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odaehler/Desktop/2_SCHOOL/5_PAPERS/COVID19-DOMINANCE/Data/"/>
    </mc:Choice>
  </mc:AlternateContent>
  <xr:revisionPtr revIDLastSave="0" documentId="13_ncr:1_{DDBE8998-6161-3E4F-B6AB-76788137AF79}" xr6:coauthVersionLast="46" xr6:coauthVersionMax="46" xr10:uidLastSave="{00000000-0000-0000-0000-000000000000}"/>
  <bookViews>
    <workbookView xWindow="0" yWindow="460" windowWidth="15680" windowHeight="15460" activeTab="2" xr2:uid="{3CC5D65E-9092-6641-BD5D-31DE27AABD59}"/>
  </bookViews>
  <sheets>
    <sheet name="Sheet1" sheetId="1" r:id="rId1"/>
    <sheet name="Sheet2" sheetId="2" r:id="rId2"/>
    <sheet name="Sour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3" i="1" l="1"/>
  <c r="C161" i="1"/>
  <c r="F159" i="1"/>
  <c r="C159" i="1"/>
  <c r="C160" i="1"/>
  <c r="D157" i="1"/>
  <c r="D156" i="1"/>
  <c r="C149" i="1"/>
  <c r="C148" i="1"/>
  <c r="C144" i="1"/>
  <c r="C141" i="1"/>
  <c r="C136" i="1"/>
  <c r="D131" i="1"/>
  <c r="F128" i="1"/>
  <c r="C128" i="1"/>
  <c r="F127" i="1"/>
  <c r="C127" i="1"/>
  <c r="D126" i="1"/>
  <c r="C122" i="1"/>
  <c r="C103" i="1"/>
  <c r="F164" i="1"/>
  <c r="F166" i="1"/>
  <c r="C95" i="1"/>
  <c r="C94" i="1"/>
  <c r="H87" i="1"/>
  <c r="C79" i="1"/>
  <c r="C75" i="1"/>
  <c r="D74" i="1"/>
  <c r="H72" i="1"/>
  <c r="F71" i="1"/>
  <c r="D71" i="1"/>
  <c r="F62" i="1"/>
  <c r="H60" i="1"/>
  <c r="C60" i="1"/>
  <c r="C61" i="1"/>
  <c r="C57" i="1"/>
  <c r="C56" i="1"/>
  <c r="C55" i="1"/>
  <c r="C43" i="1"/>
  <c r="C38" i="1"/>
  <c r="C20" i="1" l="1"/>
  <c r="C16" i="1"/>
  <c r="H3" i="1"/>
  <c r="D165" i="1" l="1"/>
  <c r="C162" i="1"/>
  <c r="H157" i="1"/>
  <c r="C153" i="1"/>
  <c r="C143" i="1"/>
  <c r="F144" i="1"/>
  <c r="F141" i="1"/>
  <c r="F139" i="1"/>
  <c r="D138" i="1"/>
  <c r="F134" i="1"/>
  <c r="C134" i="1"/>
  <c r="D168" i="1"/>
  <c r="D130" i="1"/>
  <c r="F130" i="1"/>
  <c r="D129" i="1"/>
  <c r="F126" i="1"/>
  <c r="F121" i="1"/>
  <c r="F118" i="1" l="1"/>
  <c r="D118" i="1"/>
  <c r="F114" i="1" l="1"/>
  <c r="F112" i="1"/>
  <c r="C110" i="1"/>
  <c r="C106" i="1" l="1"/>
  <c r="E105" i="1"/>
  <c r="D105" i="1"/>
  <c r="D104" i="1"/>
  <c r="C98" i="1" l="1"/>
  <c r="C88" i="1"/>
  <c r="C85" i="1"/>
  <c r="C78" i="1" l="1"/>
  <c r="H75" i="1"/>
  <c r="H73" i="1"/>
  <c r="F70" i="1"/>
  <c r="C63" i="1"/>
  <c r="H55" i="1"/>
  <c r="C54" i="1"/>
  <c r="C52" i="1"/>
  <c r="F49" i="1"/>
  <c r="C49" i="1"/>
  <c r="F47" i="1"/>
  <c r="C47" i="1"/>
  <c r="D46" i="1"/>
  <c r="F42" i="1" l="1"/>
  <c r="C42" i="1"/>
  <c r="F41" i="1"/>
  <c r="F39" i="1" l="1"/>
  <c r="C39" i="1"/>
  <c r="D36" i="1"/>
  <c r="C25" i="1" l="1"/>
  <c r="H23" i="1"/>
  <c r="F19" i="1"/>
  <c r="C19" i="1"/>
  <c r="C14" i="1"/>
  <c r="C10" i="1"/>
  <c r="D7" i="1"/>
  <c r="E4" i="1"/>
  <c r="F3" i="1"/>
  <c r="C109" i="2" l="1"/>
  <c r="E46" i="1" l="1"/>
  <c r="C163" i="1" l="1"/>
  <c r="D152" i="1" l="1"/>
  <c r="D150" i="1"/>
  <c r="F149" i="1"/>
  <c r="F148" i="1" l="1"/>
  <c r="H145" i="1"/>
  <c r="C140" i="1"/>
  <c r="F140" i="1"/>
  <c r="C130" i="1"/>
  <c r="C139" i="1"/>
  <c r="F137" i="1"/>
  <c r="F131" i="1"/>
  <c r="C114" i="1"/>
  <c r="F122" i="1"/>
  <c r="E120" i="1"/>
  <c r="C118" i="1"/>
  <c r="F115" i="1"/>
  <c r="C115" i="1"/>
  <c r="C101" i="1"/>
  <c r="D112" i="1"/>
  <c r="C109" i="1"/>
  <c r="F108" i="1"/>
  <c r="C107" i="1"/>
  <c r="H104" i="1"/>
  <c r="F101" i="1"/>
  <c r="F95" i="1"/>
  <c r="F94" i="1"/>
  <c r="C89" i="1"/>
  <c r="F89" i="1"/>
  <c r="C82" i="1"/>
  <c r="F79" i="1"/>
  <c r="C9" i="1"/>
  <c r="C41" i="1"/>
  <c r="C44" i="1"/>
  <c r="C71" i="1"/>
  <c r="C77" i="1"/>
  <c r="F77" i="1"/>
  <c r="F73" i="1"/>
  <c r="F67" i="1"/>
  <c r="C67" i="1"/>
  <c r="E67" i="1"/>
  <c r="C66" i="1"/>
  <c r="F63" i="1"/>
  <c r="H62" i="1"/>
  <c r="F61" i="1"/>
  <c r="D60" i="1"/>
  <c r="F57" i="1"/>
  <c r="F56" i="1"/>
  <c r="F52" i="1"/>
  <c r="C46" i="1"/>
  <c r="F16" i="1"/>
  <c r="F38" i="1"/>
  <c r="F30" i="1"/>
  <c r="C30" i="1"/>
  <c r="F18" i="1"/>
  <c r="F13" i="1"/>
  <c r="F9" i="1"/>
  <c r="F8" i="1"/>
  <c r="C7" i="1"/>
  <c r="C4" i="1"/>
  <c r="E157" i="1" l="1"/>
  <c r="C146" i="1" l="1"/>
  <c r="D148" i="1"/>
  <c r="F142" i="1"/>
  <c r="F136" i="1"/>
  <c r="F123" i="1"/>
  <c r="C123" i="1"/>
  <c r="C117" i="1"/>
  <c r="D113" i="1"/>
  <c r="F109" i="1"/>
  <c r="F107" i="1"/>
  <c r="F104" i="1"/>
  <c r="F103" i="1"/>
  <c r="C155" i="1"/>
  <c r="H99" i="1"/>
  <c r="C93" i="1"/>
  <c r="C92" i="1"/>
  <c r="D91" i="1"/>
  <c r="F86" i="1"/>
  <c r="D83" i="1"/>
  <c r="F81" i="1"/>
  <c r="F78" i="1"/>
  <c r="F74" i="1"/>
  <c r="F165" i="1"/>
  <c r="C167" i="1"/>
  <c r="C169" i="1"/>
  <c r="C72" i="1"/>
  <c r="D69" i="1"/>
  <c r="C62" i="1"/>
  <c r="F60" i="1"/>
  <c r="F59" i="1"/>
  <c r="C59" i="1"/>
  <c r="C58" i="1"/>
  <c r="F55" i="1"/>
  <c r="D53" i="1"/>
  <c r="F46" i="1"/>
  <c r="F43" i="1"/>
  <c r="D38" i="1" l="1"/>
  <c r="H37" i="1"/>
  <c r="D37" i="1"/>
  <c r="F34" i="1"/>
  <c r="C34" i="1"/>
  <c r="C32" i="1"/>
  <c r="F31" i="1"/>
  <c r="F29" i="1"/>
  <c r="C29" i="1"/>
  <c r="F23" i="1"/>
  <c r="D23" i="1"/>
  <c r="C22" i="1"/>
  <c r="F22" i="1"/>
  <c r="C21" i="1"/>
  <c r="F20" i="1"/>
  <c r="D15" i="1" l="1"/>
  <c r="E13" i="1"/>
  <c r="D13" i="1"/>
  <c r="D10" i="1"/>
  <c r="H8" i="1"/>
  <c r="F6" i="1"/>
  <c r="F5" i="1"/>
  <c r="F169" i="1" l="1"/>
  <c r="F161" i="1"/>
  <c r="D160" i="1"/>
  <c r="D153" i="1"/>
  <c r="D100" i="1"/>
  <c r="H148" i="1"/>
  <c r="D145" i="1"/>
  <c r="D142" i="1"/>
  <c r="H139" i="1"/>
  <c r="C138" i="1"/>
  <c r="C135" i="1"/>
  <c r="F135" i="1" s="1"/>
  <c r="H115" i="1" l="1"/>
  <c r="D18" i="1"/>
  <c r="D98" i="1"/>
  <c r="F98" i="1"/>
  <c r="E87" i="1"/>
  <c r="F82" i="1"/>
  <c r="D64" i="1"/>
  <c r="D44" i="1" l="1"/>
  <c r="H41" i="1"/>
  <c r="D40" i="1"/>
  <c r="D26" i="1"/>
  <c r="F32" i="1"/>
  <c r="D35" i="1"/>
  <c r="F33" i="1"/>
  <c r="C27" i="1"/>
  <c r="C26" i="1"/>
  <c r="C13" i="1" l="1"/>
  <c r="D137" i="1" l="1"/>
  <c r="F124" i="1"/>
  <c r="D124" i="1"/>
  <c r="C121" i="1"/>
  <c r="D121" i="1"/>
  <c r="H119" i="1"/>
  <c r="D116" i="1"/>
  <c r="E116" i="1"/>
  <c r="D108" i="1"/>
  <c r="C96" i="1"/>
  <c r="F88" i="1"/>
  <c r="E76" i="1"/>
  <c r="C76" i="1"/>
  <c r="F44" i="1" l="1"/>
  <c r="E43" i="1" l="1"/>
  <c r="H160" i="1"/>
  <c r="H162" i="1"/>
  <c r="D162" i="1"/>
  <c r="E169" i="1"/>
  <c r="F35" i="1"/>
  <c r="H34" i="1"/>
  <c r="D135" i="1"/>
  <c r="D117" i="1"/>
  <c r="F25" i="1"/>
  <c r="C12" i="1"/>
  <c r="H10" i="1"/>
  <c r="C166" i="1" l="1"/>
  <c r="C151" i="1"/>
  <c r="E145" i="1"/>
  <c r="D136" i="1"/>
  <c r="D127" i="1"/>
  <c r="D109" i="1" l="1"/>
  <c r="D92" i="1" l="1"/>
  <c r="C91" i="1"/>
  <c r="E73" i="1"/>
  <c r="F54" i="1"/>
  <c r="D39" i="1" l="1"/>
  <c r="C5" i="1" l="1"/>
  <c r="D110" i="1" l="1"/>
  <c r="E107" i="1"/>
  <c r="H103" i="1"/>
  <c r="C90" i="1"/>
  <c r="H143" i="1"/>
  <c r="F143" i="1"/>
  <c r="D143" i="1"/>
  <c r="E83" i="1"/>
  <c r="D73" i="1"/>
  <c r="F69" i="1"/>
  <c r="E65" i="1"/>
  <c r="D65" i="1"/>
  <c r="H59" i="1"/>
  <c r="D59" i="1"/>
  <c r="E59" i="1"/>
  <c r="C28" i="1"/>
  <c r="D6" i="1"/>
  <c r="F152" i="1"/>
  <c r="E151" i="1"/>
  <c r="D151" i="1"/>
  <c r="E147" i="1"/>
  <c r="C147" i="1"/>
  <c r="C145" i="1"/>
  <c r="H124" i="1"/>
  <c r="D111" i="1"/>
  <c r="D72" i="1"/>
  <c r="F58" i="1"/>
  <c r="F48" i="1"/>
  <c r="E35" i="1"/>
  <c r="C33" i="1"/>
  <c r="C150" i="1"/>
  <c r="D132" i="1"/>
  <c r="D119" i="1"/>
  <c r="E114" i="1"/>
  <c r="D84" i="1"/>
  <c r="F64" i="1"/>
  <c r="E49" i="1"/>
  <c r="D43" i="1"/>
  <c r="E29" i="1"/>
  <c r="E22" i="1"/>
  <c r="D22" i="1"/>
  <c r="E19" i="1"/>
  <c r="D4" i="1"/>
  <c r="D8" i="1"/>
  <c r="E127" i="1"/>
  <c r="E126" i="1"/>
  <c r="D103" i="1"/>
  <c r="C83" i="1"/>
  <c r="H78" i="1"/>
  <c r="C40" i="1"/>
  <c r="D28" i="1"/>
  <c r="E36" i="1"/>
  <c r="E97" i="1"/>
  <c r="D106" i="1"/>
  <c r="E110" i="1"/>
  <c r="E155" i="1"/>
  <c r="E150" i="1"/>
  <c r="F138" i="1"/>
  <c r="E132" i="1"/>
  <c r="D125" i="1"/>
  <c r="E123" i="1"/>
  <c r="D123" i="1"/>
  <c r="E121" i="1"/>
  <c r="F120" i="1"/>
  <c r="E119" i="1"/>
  <c r="E115" i="1"/>
  <c r="E113" i="1"/>
  <c r="E109" i="1"/>
  <c r="E106" i="1"/>
  <c r="E103" i="1"/>
  <c r="E102" i="1"/>
  <c r="E99" i="1"/>
  <c r="E98" i="1"/>
  <c r="E94" i="1"/>
  <c r="D88" i="1"/>
  <c r="E88" i="1"/>
  <c r="E159" i="1"/>
  <c r="E164" i="1"/>
  <c r="E86" i="1"/>
  <c r="E84" i="1"/>
  <c r="E82" i="1"/>
  <c r="F80" i="1"/>
  <c r="E78" i="1"/>
  <c r="D78" i="1"/>
  <c r="E74" i="1"/>
  <c r="E68" i="1"/>
  <c r="D68" i="1"/>
  <c r="E62" i="1"/>
  <c r="D58" i="1"/>
  <c r="E53" i="1"/>
  <c r="D50" i="1"/>
  <c r="D41" i="1"/>
  <c r="E41" i="1"/>
  <c r="E37" i="1"/>
  <c r="D32" i="1"/>
  <c r="E70" i="1"/>
  <c r="D34" i="1"/>
  <c r="D33" i="1"/>
  <c r="E31" i="1"/>
  <c r="D31" i="1"/>
  <c r="D30" i="1"/>
  <c r="D29" i="1"/>
  <c r="E28" i="1"/>
  <c r="E23" i="1"/>
  <c r="E14" i="1"/>
  <c r="D14" i="1"/>
  <c r="E12" i="1"/>
  <c r="D5" i="1"/>
  <c r="D159" i="1"/>
  <c r="D161" i="1"/>
  <c r="D163" i="1"/>
  <c r="D166" i="1"/>
  <c r="F156" i="1"/>
  <c r="D155" i="1"/>
  <c r="D134" i="1"/>
  <c r="D120" i="1"/>
  <c r="D115" i="1"/>
  <c r="D102" i="1"/>
  <c r="D87" i="1"/>
  <c r="D86" i="1"/>
  <c r="D82" i="1"/>
  <c r="D62" i="1"/>
  <c r="D55" i="1"/>
  <c r="D48" i="1"/>
  <c r="F36" i="1"/>
  <c r="D70" i="1"/>
  <c r="D12" i="1"/>
  <c r="H36" i="1"/>
  <c r="C24" i="1"/>
  <c r="F24" i="1" s="1"/>
  <c r="H6" i="1"/>
  <c r="D3" i="1"/>
</calcChain>
</file>

<file path=xl/sharedStrings.xml><?xml version="1.0" encoding="utf-8"?>
<sst xmlns="http://schemas.openxmlformats.org/spreadsheetml/2006/main" count="352" uniqueCount="184">
  <si>
    <t>Country</t>
  </si>
  <si>
    <t>Date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</si>
  <si>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</si>
  <si>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</si>
  <si>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</si>
  <si>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</si>
  <si>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</si>
  <si>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</si>
  <si>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</si>
  <si>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</si>
  <si>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</si>
  <si>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</si>
  <si>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</si>
  <si>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</si>
  <si>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</si>
  <si>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Zimbabwe</t>
  </si>
  <si>
    <t>Belgium</t>
  </si>
  <si>
    <t>Belize</t>
  </si>
  <si>
    <t>Benin</t>
  </si>
  <si>
    <t>Bhutan</t>
  </si>
  <si>
    <t>Bolivia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</si>
  <si>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</si>
  <si>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</si>
  <si>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</si>
  <si>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</si>
  <si>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</si>
  <si>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</si>
  <si>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</si>
  <si>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</si>
  <si>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</si>
  <si>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</si>
  <si>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Chad</t>
  </si>
  <si>
    <t>Chile</t>
  </si>
  <si>
    <t>China</t>
  </si>
  <si>
    <t>Hong Kong</t>
  </si>
  <si>
    <t>Colombia</t>
  </si>
  <si>
    <t>Zambia</t>
  </si>
  <si>
    <t>Yemen</t>
  </si>
  <si>
    <t>Vietnam</t>
  </si>
  <si>
    <t>Costa Rica</t>
  </si>
  <si>
    <t>United States</t>
  </si>
  <si>
    <t>Cote Ivory</t>
  </si>
  <si>
    <t>Croatia</t>
  </si>
  <si>
    <t>Cyprus</t>
  </si>
  <si>
    <t>Czech</t>
  </si>
  <si>
    <t>Denmark</t>
  </si>
  <si>
    <t>Djibouti</t>
  </si>
  <si>
    <t>Egypt</t>
  </si>
  <si>
    <t>El Salvador</t>
  </si>
  <si>
    <t>Equit. Guinea</t>
  </si>
  <si>
    <t>Eritrea</t>
  </si>
  <si>
    <t>Estonia</t>
  </si>
  <si>
    <t>Eswatini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</si>
  <si>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</si>
  <si>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</si>
  <si>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</si>
  <si>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</si>
  <si>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</si>
  <si>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</si>
  <si>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</si>
  <si>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</si>
  <si>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Guatemala</t>
  </si>
  <si>
    <t>Guinea</t>
  </si>
  <si>
    <t>Guinea Bissau</t>
  </si>
  <si>
    <t>Guyana</t>
  </si>
  <si>
    <t>Haiti</t>
  </si>
  <si>
    <t>Honduras</t>
  </si>
  <si>
    <t>Hungary</t>
  </si>
  <si>
    <t>Iceland</t>
  </si>
  <si>
    <t>India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</si>
  <si>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</si>
  <si>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</si>
  <si>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</si>
  <si>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</si>
  <si>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</si>
  <si>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</si>
  <si>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</si>
  <si>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</si>
  <si>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</si>
  <si>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Kosovo</t>
  </si>
  <si>
    <t>Kuwait</t>
  </si>
  <si>
    <t>Laos</t>
  </si>
  <si>
    <t>Latvia</t>
  </si>
  <si>
    <t>Lebanon</t>
  </si>
  <si>
    <t>Lesotho</t>
  </si>
  <si>
    <t>Liberia</t>
  </si>
  <si>
    <t>Lithuania</t>
  </si>
  <si>
    <t>Madagascar</t>
  </si>
  <si>
    <t>Malawi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</si>
  <si>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</si>
  <si>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</si>
  <si>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</si>
  <si>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</si>
  <si>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</si>
  <si>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</si>
  <si>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</si>
  <si>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</si>
  <si>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</si>
  <si>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</si>
  <si>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</si>
  <si>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</si>
  <si>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</si>
  <si>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</si>
  <si>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</si>
  <si>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</si>
  <si>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</si>
  <si>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</si>
  <si>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</si>
  <si>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N. Macedonia</t>
  </si>
  <si>
    <t>Norway</t>
  </si>
  <si>
    <t>Oman</t>
  </si>
  <si>
    <t>Pakistan</t>
  </si>
  <si>
    <t>Papua N. Guineia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</si>
  <si>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</si>
  <si>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</si>
  <si>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</si>
  <si>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</si>
  <si>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</si>
  <si>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</si>
  <si>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</si>
  <si>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</si>
  <si>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</si>
  <si>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</si>
  <si>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</si>
  <si>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</si>
  <si>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</si>
  <si>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</si>
  <si>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</si>
  <si>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</si>
  <si>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Spain</t>
  </si>
  <si>
    <t>Sudan</t>
  </si>
  <si>
    <t>Suriname</t>
  </si>
  <si>
    <t>Sweden</t>
  </si>
  <si>
    <t>Switzerland</t>
  </si>
  <si>
    <t>Tanzania</t>
  </si>
  <si>
    <t>Thailand</t>
  </si>
  <si>
    <t>Togo</t>
  </si>
  <si>
    <t>Tonga</t>
  </si>
  <si>
    <t>Trinidad Tobago</t>
  </si>
  <si>
    <t>Tunisia</t>
  </si>
  <si>
    <t>Turkey</t>
  </si>
  <si>
    <t>Turkmenistan</t>
  </si>
  <si>
    <t>Uganda</t>
  </si>
  <si>
    <t>Ukraine</t>
  </si>
  <si>
    <t>UAE</t>
  </si>
  <si>
    <t>Uruguay</t>
  </si>
  <si>
    <t>Uzbekistan</t>
  </si>
  <si>
    <t>Malaysia</t>
  </si>
  <si>
    <t>UK</t>
  </si>
  <si>
    <t>Ecuador</t>
  </si>
  <si>
    <t>Panama</t>
  </si>
  <si>
    <t>Tajikistan</t>
  </si>
  <si>
    <t>Dominican Republic</t>
  </si>
  <si>
    <t>Ethiopia</t>
  </si>
  <si>
    <t>Libya</t>
  </si>
  <si>
    <t>Luxembourg</t>
  </si>
  <si>
    <t>South Africa</t>
  </si>
  <si>
    <t>Kazakhstan</t>
  </si>
  <si>
    <t>South Korea</t>
  </si>
  <si>
    <t>Indonesia</t>
  </si>
  <si>
    <t>Sri Lanka</t>
  </si>
  <si>
    <t>Afghanistan</t>
  </si>
  <si>
    <t>Democratic Republic of Congo</t>
  </si>
  <si>
    <t>Bosnia and Herzegovian</t>
  </si>
  <si>
    <t>Republic of Congo</t>
  </si>
  <si>
    <t>The Gambia</t>
  </si>
  <si>
    <t>Slovenia</t>
  </si>
  <si>
    <t>Slovak Republic</t>
  </si>
  <si>
    <t>Central African Republic</t>
  </si>
  <si>
    <t>Kyrgyz Republic</t>
  </si>
  <si>
    <t>fiscal_12</t>
  </si>
  <si>
    <t>ratecut_12</t>
  </si>
  <si>
    <t>macrofin_12</t>
  </si>
  <si>
    <t>fiscal_13</t>
  </si>
  <si>
    <t>ratecut_13</t>
  </si>
  <si>
    <t>reserve_req_13</t>
  </si>
  <si>
    <t>macrofin_13</t>
  </si>
  <si>
    <t>othermonetary_13</t>
  </si>
  <si>
    <t>bopgdp_13</t>
  </si>
  <si>
    <t>otherbop_13</t>
  </si>
  <si>
    <t>Gambia</t>
  </si>
  <si>
    <t>http://www.ceyhunelgin.com</t>
  </si>
  <si>
    <t>http://web.boun.edu.tr/elgin/CESI_14.xlsx</t>
  </si>
  <si>
    <t> EXCEL (November 29th,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</si>
</sst>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1" fontId="0" fillId="0" borderId="0" xfId="0" applyNumberFormat="1" applyFont="1"/>
    <xf numFmtId="0" fontId="2" fillId="0" borderId="0" xfId="0" applyFont="1"/>
    <xf numFmtId="1" fontId="2" fillId="0" borderId="0" xfId="0" applyNumberFormat="1" applyFont="1"/>
    <xf numFmtId="2" fontId="0" fillId="0" borderId="0" xfId="0" applyNumberFormat="1" applyFont="1"/>
    <xf numFmtId="1" fontId="1" fillId="0" borderId="0" xfId="0" applyNumberFormat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215900</xdr:colOff>
      <xdr:row>4</xdr:row>
      <xdr:rowOff>12706</xdr:rowOff>
    </xdr:from>
    <xdr:to>
      <xdr:col>54</xdr:col>
      <xdr:colOff>266700</xdr:colOff>
      <xdr:row>28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AE28AC7-52E8-1F48-AB36-59869F777B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38100" y="825506"/>
              <a:ext cx="7480300" cy="50037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eb.boun.edu.tr/elgin/CESI_14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94254-673E-7843-A1B0-6BD4AAFAB4AF}">
  <dimension ref="A1:K174"/>
  <sheetViews>
    <sheetView workbookViewId="0">
      <pane ySplit="1" topLeftCell="A2" activePane="bottomLeft" state="frozen"/>
      <selection pane="bottomLeft" activeCellId="1" sqref="C1:C1048576 A1:A1048576"/>
    </sheetView>
  </sheetViews>
  <sheetFormatPr baseColWidth="10" defaultRowHeight="16" x14ac:dyDescent="0.2"/>
  <cols>
    <col min="1" max="1" width="17.5" style="2" customWidth="1"/>
    <col min="2" max="2" width="10.83203125" style="2"/>
    <col min="3" max="3" width="9.33203125" style="2" customWidth="1"/>
    <col min="4" max="4" width="9.1640625" style="2" customWidth="1"/>
    <col min="5" max="5" width="13.33203125" style="2" customWidth="1"/>
    <col min="6" max="6" width="11" style="2" customWidth="1"/>
    <col min="7" max="7" width="15.5" style="2" customWidth="1"/>
    <col min="8" max="8" width="9.6640625" style="2" customWidth="1"/>
    <col min="9" max="9" width="11.33203125" style="4" customWidth="1"/>
  </cols>
  <sheetData>
    <row r="1" spans="1:9" s="5" customFormat="1" x14ac:dyDescent="0.2">
      <c r="A1" s="5" t="s">
        <v>0</v>
      </c>
      <c r="B1" s="5" t="s">
        <v>1</v>
      </c>
      <c r="C1" s="5" t="s">
        <v>173</v>
      </c>
      <c r="D1" s="5" t="s">
        <v>174</v>
      </c>
      <c r="E1" s="5" t="s">
        <v>175</v>
      </c>
      <c r="F1" s="5" t="s">
        <v>176</v>
      </c>
      <c r="G1" s="5" t="s">
        <v>177</v>
      </c>
      <c r="H1" s="5" t="s">
        <v>178</v>
      </c>
      <c r="I1" s="6" t="s">
        <v>179</v>
      </c>
    </row>
    <row r="2" spans="1:9" s="1" customFormat="1" x14ac:dyDescent="0.2">
      <c r="A2" s="1" t="s">
        <v>161</v>
      </c>
      <c r="B2" s="3">
        <v>44154</v>
      </c>
      <c r="C2" s="2">
        <v>2.9</v>
      </c>
      <c r="D2" s="2">
        <v>0</v>
      </c>
      <c r="E2" s="2">
        <v>0</v>
      </c>
      <c r="F2" s="2">
        <v>0</v>
      </c>
      <c r="G2" s="2">
        <v>1</v>
      </c>
      <c r="H2" s="2">
        <v>0</v>
      </c>
      <c r="I2" s="4">
        <v>0</v>
      </c>
    </row>
    <row r="3" spans="1:9" s="1" customFormat="1" x14ac:dyDescent="0.2">
      <c r="A3" s="1" t="s">
        <v>2</v>
      </c>
      <c r="B3" s="3">
        <v>44154</v>
      </c>
      <c r="C3" s="2">
        <v>2.6</v>
      </c>
      <c r="D3" s="7">
        <f>100*0.5</f>
        <v>50</v>
      </c>
      <c r="E3" s="7">
        <v>0</v>
      </c>
      <c r="F3" s="2">
        <f>0.9+100*468.8/15100</f>
        <v>4.0046357615894044</v>
      </c>
      <c r="G3" s="2">
        <v>1</v>
      </c>
      <c r="H3" s="2">
        <f>100*478.2/15418</f>
        <v>3.1015695939810612</v>
      </c>
      <c r="I3" s="4">
        <v>0</v>
      </c>
    </row>
    <row r="4" spans="1:9" s="1" customFormat="1" x14ac:dyDescent="0.2">
      <c r="A4" s="1" t="s">
        <v>3</v>
      </c>
      <c r="B4" s="3">
        <v>44154</v>
      </c>
      <c r="C4" s="2">
        <f>-2.2</f>
        <v>-2.2000000000000002</v>
      </c>
      <c r="D4" s="7">
        <f>100*(0.5/3.5)</f>
        <v>14.285714285714285</v>
      </c>
      <c r="E4" s="7">
        <f>100*7/10</f>
        <v>70</v>
      </c>
      <c r="F4" s="2">
        <v>0</v>
      </c>
      <c r="G4" s="2">
        <v>1</v>
      </c>
      <c r="H4" s="2">
        <v>6</v>
      </c>
      <c r="I4" s="4">
        <v>1</v>
      </c>
    </row>
    <row r="5" spans="1:9" s="1" customFormat="1" x14ac:dyDescent="0.2">
      <c r="A5" s="1" t="s">
        <v>4</v>
      </c>
      <c r="B5" s="3">
        <v>44154</v>
      </c>
      <c r="C5" s="2">
        <f>100*120/91527</f>
        <v>0.13110885312530729</v>
      </c>
      <c r="D5" s="2">
        <f>100*3/10</f>
        <v>30</v>
      </c>
      <c r="E5" s="2">
        <v>0</v>
      </c>
      <c r="F5" s="2">
        <f>0.5+100*370/91527</f>
        <v>0.90425229713636412</v>
      </c>
      <c r="G5" s="2">
        <v>1</v>
      </c>
      <c r="H5" s="2">
        <v>0</v>
      </c>
      <c r="I5" s="4">
        <v>0</v>
      </c>
    </row>
    <row r="6" spans="1:9" s="1" customFormat="1" x14ac:dyDescent="0.2">
      <c r="A6" s="1" t="s">
        <v>5</v>
      </c>
      <c r="B6" s="3">
        <v>44154</v>
      </c>
      <c r="C6" s="2">
        <v>6</v>
      </c>
      <c r="D6" s="2">
        <f>100*2/40</f>
        <v>5</v>
      </c>
      <c r="E6" s="2">
        <v>0</v>
      </c>
      <c r="F6" s="2">
        <f>100*23.7/445.469</f>
        <v>5.3202355270512651</v>
      </c>
      <c r="G6" s="2">
        <v>1</v>
      </c>
      <c r="H6" s="2">
        <f>100*1/445.469</f>
        <v>0.22448251168992681</v>
      </c>
      <c r="I6" s="4">
        <v>0</v>
      </c>
    </row>
    <row r="7" spans="1:9" s="1" customFormat="1" x14ac:dyDescent="0.2">
      <c r="A7" s="1" t="s">
        <v>6</v>
      </c>
      <c r="B7" s="3">
        <v>44154</v>
      </c>
      <c r="C7" s="2">
        <f>100*295/12430</f>
        <v>2.3732904263877717</v>
      </c>
      <c r="D7" s="2">
        <f>100*125/550</f>
        <v>22.727272727272727</v>
      </c>
      <c r="E7" s="2">
        <v>0</v>
      </c>
      <c r="F7" s="2">
        <v>0</v>
      </c>
      <c r="G7" s="2">
        <v>1</v>
      </c>
      <c r="H7" s="2">
        <v>0</v>
      </c>
      <c r="I7" s="4">
        <v>0</v>
      </c>
    </row>
    <row r="8" spans="1:9" s="1" customFormat="1" x14ac:dyDescent="0.2">
      <c r="A8" s="1" t="s">
        <v>7</v>
      </c>
      <c r="B8" s="3">
        <v>44154</v>
      </c>
      <c r="C8" s="2">
        <v>16.8</v>
      </c>
      <c r="D8" s="2">
        <f>100*0.5/0.75</f>
        <v>66.666666666666671</v>
      </c>
      <c r="E8" s="2">
        <v>0</v>
      </c>
      <c r="F8" s="2">
        <f>100*146.49/1376</f>
        <v>10.646075581395349</v>
      </c>
      <c r="G8" s="2">
        <v>1</v>
      </c>
      <c r="H8" s="2">
        <f>100*42.96/1376</f>
        <v>3.1220930232558142</v>
      </c>
      <c r="I8" s="4">
        <v>0</v>
      </c>
    </row>
    <row r="9" spans="1:9" s="1" customFormat="1" x14ac:dyDescent="0.2">
      <c r="A9" s="1" t="s">
        <v>8</v>
      </c>
      <c r="B9" s="3">
        <v>44154</v>
      </c>
      <c r="C9" s="2">
        <f>13+4.3+100*(390+87.3)/18292</f>
        <v>19.909337415263504</v>
      </c>
      <c r="D9" s="2">
        <v>0</v>
      </c>
      <c r="E9" s="2">
        <v>0</v>
      </c>
      <c r="F9" s="2">
        <f>100*((1350+120+360)/12500)</f>
        <v>14.64</v>
      </c>
      <c r="G9" s="2">
        <v>1</v>
      </c>
      <c r="H9" s="2">
        <v>0</v>
      </c>
      <c r="I9" s="4">
        <v>0</v>
      </c>
    </row>
    <row r="10" spans="1:9" s="1" customFormat="1" x14ac:dyDescent="0.2">
      <c r="A10" s="1" t="s">
        <v>9</v>
      </c>
      <c r="B10" s="3">
        <v>44154</v>
      </c>
      <c r="C10" s="2">
        <f>4.1+0.15+100*0.85/47.171+0.02</f>
        <v>6.0719545907443129</v>
      </c>
      <c r="D10" s="7">
        <f>-100*1/3*0.75/5.5+100*1/3*1.75/9+1/3*0.5/7.25</f>
        <v>1.9590154417740624</v>
      </c>
      <c r="E10" s="7">
        <v>0</v>
      </c>
      <c r="F10" s="2">
        <v>0</v>
      </c>
      <c r="G10" s="2">
        <v>1</v>
      </c>
      <c r="H10" s="2">
        <f>100*200/47171</f>
        <v>0.42398931546925017</v>
      </c>
      <c r="I10" s="4">
        <v>1</v>
      </c>
    </row>
    <row r="11" spans="1:9" s="1" customFormat="1" x14ac:dyDescent="0.2">
      <c r="A11" s="1" t="s">
        <v>10</v>
      </c>
      <c r="B11" s="3">
        <v>44153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4">
        <v>1</v>
      </c>
    </row>
    <row r="12" spans="1:9" s="1" customFormat="1" x14ac:dyDescent="0.2">
      <c r="A12" s="1" t="s">
        <v>11</v>
      </c>
      <c r="B12" s="3">
        <v>44153</v>
      </c>
      <c r="C12" s="2">
        <f>4.2+1.3+5.5*1.3/177+100*570/38184</f>
        <v>7.0331673218350401</v>
      </c>
      <c r="D12" s="2">
        <f>100*(1/3*125/225+1/3*125/200+1/3*155/400)</f>
        <v>52.268518518518512</v>
      </c>
      <c r="E12" s="2">
        <f>100*2/5</f>
        <v>40</v>
      </c>
      <c r="F12" s="2">
        <v>28</v>
      </c>
      <c r="G12" s="2">
        <v>1</v>
      </c>
      <c r="H12" s="2">
        <v>0</v>
      </c>
      <c r="I12" s="4">
        <v>0</v>
      </c>
    </row>
    <row r="13" spans="1:9" s="1" customFormat="1" x14ac:dyDescent="0.2">
      <c r="A13" s="1" t="s">
        <v>12</v>
      </c>
      <c r="B13" s="3">
        <v>44154</v>
      </c>
      <c r="C13" s="2">
        <f>100*588/347000+(100*(21.3+7.6+7.5+1+500+20)*588/50)/347000</f>
        <v>2.0585083573487033</v>
      </c>
      <c r="D13" s="2">
        <f>100*1.25/6</f>
        <v>20.833333333333332</v>
      </c>
      <c r="E13" s="2">
        <f>100*(0.5*4/5+0.5*4/5.5)</f>
        <v>76.363636363636374</v>
      </c>
      <c r="F13" s="2">
        <f>(100*380*588/50)/347000+100*5/347</f>
        <v>2.7287608069164264</v>
      </c>
      <c r="G13" s="2">
        <v>1</v>
      </c>
      <c r="H13" s="2">
        <v>0</v>
      </c>
      <c r="I13" s="4">
        <v>1</v>
      </c>
    </row>
    <row r="14" spans="1:9" s="1" customFormat="1" x14ac:dyDescent="0.2">
      <c r="A14" s="1" t="s">
        <v>13</v>
      </c>
      <c r="B14" s="3">
        <v>44154</v>
      </c>
      <c r="C14" s="2">
        <f>2+100*114/5087</f>
        <v>4.2410064871240412</v>
      </c>
      <c r="D14" s="2">
        <f>100*5/7</f>
        <v>71.428571428571431</v>
      </c>
      <c r="E14" s="2">
        <f>100*(0.5*12.5/17.5+0.5*1)</f>
        <v>85.714285714285722</v>
      </c>
      <c r="F14" s="2">
        <v>0</v>
      </c>
      <c r="G14" s="2">
        <v>1</v>
      </c>
      <c r="H14" s="2">
        <v>0</v>
      </c>
      <c r="I14" s="4">
        <v>0</v>
      </c>
    </row>
    <row r="15" spans="1:9" s="1" customFormat="1" x14ac:dyDescent="0.2">
      <c r="A15" s="1" t="s">
        <v>14</v>
      </c>
      <c r="B15" s="3">
        <v>44154</v>
      </c>
      <c r="C15" s="2">
        <v>1.2</v>
      </c>
      <c r="D15" s="2">
        <f>100*1/8.75</f>
        <v>11.428571428571429</v>
      </c>
      <c r="E15" s="2">
        <v>0</v>
      </c>
      <c r="F15" s="2">
        <v>0</v>
      </c>
      <c r="G15" s="2">
        <v>1</v>
      </c>
      <c r="H15" s="2">
        <v>0</v>
      </c>
      <c r="I15" s="4">
        <v>1</v>
      </c>
    </row>
    <row r="16" spans="1:9" s="1" customFormat="1" x14ac:dyDescent="0.2">
      <c r="A16" s="1" t="s">
        <v>16</v>
      </c>
      <c r="B16" s="3">
        <v>44154</v>
      </c>
      <c r="C16" s="2">
        <f>4.3+100*(390+87.3)/18292+3.9</f>
        <v>10.809337415263503</v>
      </c>
      <c r="D16" s="2">
        <v>0</v>
      </c>
      <c r="E16" s="2">
        <v>0</v>
      </c>
      <c r="F16" s="2">
        <f>100*((1350+120+360)/12500)+12</f>
        <v>26.64</v>
      </c>
      <c r="G16" s="2">
        <v>1</v>
      </c>
      <c r="H16" s="2">
        <v>0</v>
      </c>
      <c r="I16" s="4">
        <v>0</v>
      </c>
    </row>
    <row r="17" spans="1:9" s="1" customFormat="1" ht="15" customHeight="1" x14ac:dyDescent="0.2">
      <c r="A17" s="1" t="s">
        <v>17</v>
      </c>
      <c r="B17" s="3">
        <v>44155</v>
      </c>
      <c r="C17" s="2">
        <v>1</v>
      </c>
      <c r="D17" s="2">
        <v>0</v>
      </c>
      <c r="E17" s="2">
        <v>10</v>
      </c>
      <c r="F17" s="2">
        <v>0</v>
      </c>
      <c r="G17" s="2">
        <v>1</v>
      </c>
      <c r="H17" s="2">
        <v>0</v>
      </c>
      <c r="I17" s="4">
        <v>0</v>
      </c>
    </row>
    <row r="18" spans="1:9" s="1" customFormat="1" x14ac:dyDescent="0.2">
      <c r="A18" s="1" t="s">
        <v>18</v>
      </c>
      <c r="B18" s="3">
        <v>44154</v>
      </c>
      <c r="C18" s="2">
        <v>1.7</v>
      </c>
      <c r="D18" s="2">
        <f>100*(0.5*0.5/4.5+0.5*0.5/2.5)</f>
        <v>15.555555555555555</v>
      </c>
      <c r="E18" s="2">
        <v>0</v>
      </c>
      <c r="F18" s="2">
        <f>100*4/14000+1.5+1.5</f>
        <v>3.0285714285714285</v>
      </c>
      <c r="G18" s="2">
        <v>1</v>
      </c>
      <c r="H18" s="2">
        <v>0</v>
      </c>
      <c r="I18" s="4">
        <v>0</v>
      </c>
    </row>
    <row r="19" spans="1:9" s="1" customFormat="1" x14ac:dyDescent="0.2">
      <c r="A19" s="1" t="s">
        <v>19</v>
      </c>
      <c r="B19" s="3">
        <v>44154</v>
      </c>
      <c r="C19" s="2">
        <f>100*3.3*0.013/2.842+100*5/2842</f>
        <v>1.685432793807178</v>
      </c>
      <c r="D19" s="2">
        <v>0</v>
      </c>
      <c r="E19" s="2">
        <f>100*2/9</f>
        <v>22.222222222222221</v>
      </c>
      <c r="F19" s="2">
        <f>100*3*0.013/2.842</f>
        <v>1.3722730471498943</v>
      </c>
      <c r="G19" s="2">
        <v>1</v>
      </c>
      <c r="H19" s="2">
        <v>0</v>
      </c>
      <c r="I19" s="4">
        <v>0</v>
      </c>
    </row>
    <row r="20" spans="1:9" s="1" customFormat="1" x14ac:dyDescent="0.2">
      <c r="A20" s="1" t="s">
        <v>20</v>
      </c>
      <c r="B20" s="3">
        <v>44154</v>
      </c>
      <c r="C20" s="2">
        <f>((100*(219+729))+150*(73+58))/42400</f>
        <v>2.6992924528301887</v>
      </c>
      <c r="D20" s="2">
        <v>0</v>
      </c>
      <c r="E20" s="2">
        <v>0</v>
      </c>
      <c r="F20" s="7">
        <f>100*(1740+160+17.5+729+1166+510)/42401</f>
        <v>10.194335039267942</v>
      </c>
      <c r="G20" s="2">
        <v>1</v>
      </c>
      <c r="H20" s="2">
        <v>0</v>
      </c>
      <c r="I20" s="4">
        <v>0</v>
      </c>
    </row>
    <row r="21" spans="1:9" s="1" customFormat="1" x14ac:dyDescent="0.2">
      <c r="A21" s="1" t="s">
        <v>163</v>
      </c>
      <c r="B21" s="3">
        <v>44153</v>
      </c>
      <c r="C21" s="2">
        <f>0.15+0.1+0.15+0.16+0.08+1.5</f>
        <v>2.14</v>
      </c>
      <c r="D21" s="2">
        <v>0</v>
      </c>
      <c r="E21" s="2">
        <v>0</v>
      </c>
      <c r="F21" s="2">
        <v>1.5</v>
      </c>
      <c r="G21" s="2">
        <v>1</v>
      </c>
      <c r="H21" s="2">
        <v>0</v>
      </c>
      <c r="I21" s="4">
        <v>0</v>
      </c>
    </row>
    <row r="22" spans="1:9" s="1" customFormat="1" x14ac:dyDescent="0.2">
      <c r="A22" s="1" t="s">
        <v>21</v>
      </c>
      <c r="B22" s="3">
        <v>44154</v>
      </c>
      <c r="C22" s="2">
        <f>1.1-0.55*0.8</f>
        <v>0.66</v>
      </c>
      <c r="D22" s="2">
        <f>100*50/475</f>
        <v>10.526315789473685</v>
      </c>
      <c r="E22" s="2">
        <f>100*2.5/5</f>
        <v>50</v>
      </c>
      <c r="F22" s="2">
        <f>0.55*0.8</f>
        <v>0.44000000000000006</v>
      </c>
      <c r="G22" s="2">
        <v>1</v>
      </c>
      <c r="H22" s="2">
        <v>0</v>
      </c>
      <c r="I22" s="4">
        <v>1</v>
      </c>
    </row>
    <row r="23" spans="1:9" s="1" customFormat="1" x14ac:dyDescent="0.2">
      <c r="A23" s="1" t="s">
        <v>22</v>
      </c>
      <c r="B23" s="3">
        <v>44126</v>
      </c>
      <c r="C23" s="2">
        <v>12</v>
      </c>
      <c r="D23" s="2">
        <f>100*(2.25/4.25)</f>
        <v>52.941176470588239</v>
      </c>
      <c r="E23" s="2">
        <f>100*14/31</f>
        <v>45.161290322580648</v>
      </c>
      <c r="F23" s="2">
        <f>100*9/1893+4.5</f>
        <v>4.9754358161648176</v>
      </c>
      <c r="G23" s="2">
        <v>1</v>
      </c>
      <c r="H23" s="2">
        <f>100*(110)/1893</f>
        <v>5.8108821975699945</v>
      </c>
      <c r="I23" s="4">
        <v>0</v>
      </c>
    </row>
    <row r="24" spans="1:9" s="1" customFormat="1" x14ac:dyDescent="0.2">
      <c r="A24" s="1" t="s">
        <v>23</v>
      </c>
      <c r="B24" s="3">
        <v>44154</v>
      </c>
      <c r="C24" s="2">
        <f>100*(587-587/1.05)/13568</f>
        <v>0.20601695867026062</v>
      </c>
      <c r="D24" s="2">
        <v>0</v>
      </c>
      <c r="E24" s="2">
        <v>0</v>
      </c>
      <c r="F24" s="2">
        <f>3.2-C24</f>
        <v>2.9939830413297397</v>
      </c>
      <c r="G24" s="2">
        <v>1</v>
      </c>
      <c r="H24" s="2">
        <v>0</v>
      </c>
      <c r="I24" s="4">
        <v>0</v>
      </c>
    </row>
    <row r="25" spans="1:9" s="1" customFormat="1" x14ac:dyDescent="0.2">
      <c r="A25" s="1" t="s">
        <v>24</v>
      </c>
      <c r="B25" s="3">
        <v>44154</v>
      </c>
      <c r="C25" s="2">
        <f>1.2+0.5+0.4+0.05+0.41+0.7+2.3+(100*1573/1.73)/66250+100*(390+87.3)/18292</f>
        <v>9.5417880641892303</v>
      </c>
      <c r="D25" s="2">
        <v>0</v>
      </c>
      <c r="E25" s="2">
        <v>0</v>
      </c>
      <c r="F25" s="7">
        <f>8.6+100*232.846/66250+100*2.26/66.25</f>
        <v>12.362786415094339</v>
      </c>
      <c r="G25" s="2">
        <v>1</v>
      </c>
      <c r="H25" s="2">
        <v>0</v>
      </c>
      <c r="I25" s="4">
        <v>0</v>
      </c>
    </row>
    <row r="26" spans="1:9" s="1" customFormat="1" x14ac:dyDescent="0.2">
      <c r="A26" s="1" t="s">
        <v>25</v>
      </c>
      <c r="B26" s="3">
        <v>44154</v>
      </c>
      <c r="C26" s="2">
        <f>100*115.3/14593</f>
        <v>0.79010484478859733</v>
      </c>
      <c r="D26" s="2">
        <f>100*(0.5*0.5/4.5+0.5*0.5/2.5)</f>
        <v>15.555555555555555</v>
      </c>
      <c r="E26" s="7">
        <v>0</v>
      </c>
      <c r="F26" s="2">
        <v>1.3</v>
      </c>
      <c r="G26" s="2">
        <v>1</v>
      </c>
      <c r="H26" s="2">
        <v>0</v>
      </c>
      <c r="I26" s="4">
        <v>0</v>
      </c>
    </row>
    <row r="27" spans="1:9" s="1" customFormat="1" x14ac:dyDescent="0.2">
      <c r="A27" s="1" t="s">
        <v>26</v>
      </c>
      <c r="B27" s="3">
        <v>44154</v>
      </c>
      <c r="C27" s="2">
        <f>0.5*4.7+0.4</f>
        <v>2.75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4">
        <v>0</v>
      </c>
    </row>
    <row r="28" spans="1:9" s="1" customFormat="1" x14ac:dyDescent="0.2">
      <c r="A28" s="1" t="s">
        <v>27</v>
      </c>
      <c r="B28" s="3">
        <v>44154</v>
      </c>
      <c r="C28" s="2">
        <f>(1+1+0.3+0.76+2.2)*1.2/2.2</f>
        <v>2.8690909090909087</v>
      </c>
      <c r="D28" s="2">
        <f>100*(1.25/1.5)</f>
        <v>83.333333333333343</v>
      </c>
      <c r="E28" s="2">
        <f>100*3/13</f>
        <v>23.076923076923077</v>
      </c>
      <c r="F28" s="2">
        <v>0</v>
      </c>
      <c r="G28" s="2">
        <v>1</v>
      </c>
      <c r="H28" s="2">
        <v>0</v>
      </c>
      <c r="I28" s="4">
        <v>0</v>
      </c>
    </row>
    <row r="29" spans="1:9" s="1" customFormat="1" x14ac:dyDescent="0.2">
      <c r="A29" s="1" t="s">
        <v>28</v>
      </c>
      <c r="B29" s="3">
        <v>44126</v>
      </c>
      <c r="C29" s="2">
        <f>100*(460+64+200)/26730</f>
        <v>2.7085671530115976</v>
      </c>
      <c r="D29" s="2">
        <f>100*0.17/0.55</f>
        <v>30.909090909090907</v>
      </c>
      <c r="E29" s="2">
        <f>100*(0.5*5/12+0.5*1/8)</f>
        <v>27.083333333333336</v>
      </c>
      <c r="F29" s="2">
        <f>100*600/26730</f>
        <v>2.244668911335578</v>
      </c>
      <c r="G29" s="2">
        <v>1</v>
      </c>
      <c r="H29" s="2">
        <v>0</v>
      </c>
      <c r="I29" s="4">
        <v>0</v>
      </c>
    </row>
    <row r="30" spans="1:9" s="1" customFormat="1" x14ac:dyDescent="0.2">
      <c r="A30" s="1" t="s">
        <v>29</v>
      </c>
      <c r="B30" s="3">
        <v>44155</v>
      </c>
      <c r="C30" s="2">
        <f>100*750/38632</f>
        <v>1.9413957341064403</v>
      </c>
      <c r="D30" s="2">
        <f>100*(0.5*25/350+0.5*1/6)</f>
        <v>11.904761904761903</v>
      </c>
      <c r="E30" s="2">
        <v>0</v>
      </c>
      <c r="F30" s="2">
        <f>100*310/38632</f>
        <v>0.80244357009732858</v>
      </c>
      <c r="G30" s="2">
        <v>1</v>
      </c>
      <c r="H30" s="2">
        <v>0</v>
      </c>
      <c r="I30" s="4">
        <v>0</v>
      </c>
    </row>
    <row r="31" spans="1:9" s="1" customFormat="1" x14ac:dyDescent="0.2">
      <c r="A31" s="1" t="s">
        <v>30</v>
      </c>
      <c r="B31" s="3">
        <v>44153</v>
      </c>
      <c r="C31" s="2">
        <v>16.399999999999999</v>
      </c>
      <c r="D31" s="2">
        <f>100*150/175</f>
        <v>85.714285714285708</v>
      </c>
      <c r="E31" s="2">
        <f>100*125/225</f>
        <v>55.555555555555557</v>
      </c>
      <c r="F31" s="2">
        <f>100*264.25/1741</f>
        <v>15.178058587018954</v>
      </c>
      <c r="G31" s="2">
        <v>1</v>
      </c>
      <c r="H31" s="2">
        <v>0</v>
      </c>
      <c r="I31" s="4">
        <v>0</v>
      </c>
    </row>
    <row r="32" spans="1:9" s="1" customFormat="1" x14ac:dyDescent="0.2">
      <c r="A32" s="1" t="s">
        <v>168</v>
      </c>
      <c r="B32" s="3">
        <v>44154</v>
      </c>
      <c r="C32" s="2">
        <f>44*1.9/27</f>
        <v>3.0962962962962961</v>
      </c>
      <c r="D32" s="2">
        <f>100*(0.5*25/350+0.5*100/600)</f>
        <v>11.904761904761903</v>
      </c>
      <c r="E32" s="2">
        <v>0</v>
      </c>
      <c r="F32" s="2">
        <f>100*(460/6)/2321</f>
        <v>3.3031739192876635</v>
      </c>
      <c r="G32" s="2">
        <v>1</v>
      </c>
      <c r="H32" s="2">
        <v>0</v>
      </c>
      <c r="I32" s="4">
        <v>0</v>
      </c>
    </row>
    <row r="33" spans="1:10" s="1" customFormat="1" x14ac:dyDescent="0.2">
      <c r="A33" s="1" t="s">
        <v>31</v>
      </c>
      <c r="B33" s="3">
        <v>44154</v>
      </c>
      <c r="C33" s="2">
        <f>100*408/11051+0.7/2</f>
        <v>4.0419735770518503</v>
      </c>
      <c r="D33" s="2">
        <f>100*(0.5*25/350+0.5*100/600)</f>
        <v>11.904761904761903</v>
      </c>
      <c r="E33" s="2">
        <v>0</v>
      </c>
      <c r="F33" s="2">
        <f>100*(460/6)/11051</f>
        <v>0.6937532048381746</v>
      </c>
      <c r="G33" s="2">
        <v>1</v>
      </c>
      <c r="H33" s="2">
        <v>0</v>
      </c>
      <c r="I33" s="4">
        <v>0</v>
      </c>
    </row>
    <row r="34" spans="1:10" s="1" customFormat="1" x14ac:dyDescent="0.2">
      <c r="A34" s="1" t="s">
        <v>32</v>
      </c>
      <c r="B34" s="3">
        <v>44085</v>
      </c>
      <c r="C34" s="2">
        <f>4.7+14.1*4.7/11.75</f>
        <v>10.34</v>
      </c>
      <c r="D34" s="2">
        <f>100*125/175</f>
        <v>71.428571428571431</v>
      </c>
      <c r="E34" s="2">
        <v>0</v>
      </c>
      <c r="F34" s="2">
        <f>100*35/294.237</f>
        <v>11.895172938821425</v>
      </c>
      <c r="G34" s="2">
        <v>1</v>
      </c>
      <c r="H34" s="2">
        <f>100*23.93/294.237</f>
        <v>8.1328996693141917</v>
      </c>
      <c r="I34" s="4">
        <v>1</v>
      </c>
    </row>
    <row r="35" spans="1:10" s="1" customFormat="1" x14ac:dyDescent="0.2">
      <c r="A35" s="1" t="s">
        <v>33</v>
      </c>
      <c r="B35" s="3">
        <v>44154</v>
      </c>
      <c r="C35" s="2">
        <v>6</v>
      </c>
      <c r="D35" s="2">
        <f>100*0.375/2.4</f>
        <v>15.625</v>
      </c>
      <c r="E35" s="2">
        <f>100*0.75/6.75</f>
        <v>11.111111111111111</v>
      </c>
      <c r="F35" s="2">
        <f>100*1196.785716/14140</f>
        <v>8.4638310891089112</v>
      </c>
      <c r="G35" s="2">
        <v>1</v>
      </c>
      <c r="H35" s="2">
        <v>0</v>
      </c>
      <c r="I35" s="4">
        <v>1</v>
      </c>
    </row>
    <row r="36" spans="1:10" s="1" customFormat="1" x14ac:dyDescent="0.2">
      <c r="A36" s="1" t="s">
        <v>35</v>
      </c>
      <c r="B36" s="3">
        <v>44154</v>
      </c>
      <c r="C36" s="2">
        <v>2.8</v>
      </c>
      <c r="D36" s="2">
        <f>100*250/425</f>
        <v>58.823529411764703</v>
      </c>
      <c r="E36" s="2">
        <f>100*(0.5*3/11+0.5*1/4.5)</f>
        <v>24.747474747474747</v>
      </c>
      <c r="F36" s="2">
        <f>100*3.85/327.895</f>
        <v>1.1741563610302079</v>
      </c>
      <c r="G36" s="2">
        <v>1</v>
      </c>
      <c r="H36" s="2">
        <f>100*1.4/327.895</f>
        <v>0.42696594946553013</v>
      </c>
      <c r="I36" s="4">
        <v>1</v>
      </c>
    </row>
    <row r="37" spans="1:10" s="1" customFormat="1" x14ac:dyDescent="0.2">
      <c r="A37" s="1" t="s">
        <v>162</v>
      </c>
      <c r="B37" s="3">
        <v>44154</v>
      </c>
      <c r="C37" s="1">
        <v>0.3</v>
      </c>
      <c r="D37" s="1">
        <f>100*-9.5/9</f>
        <v>-105.55555555555556</v>
      </c>
      <c r="E37" s="1">
        <f>100*2/2</f>
        <v>100</v>
      </c>
      <c r="F37" s="1">
        <v>0</v>
      </c>
      <c r="G37" s="1">
        <v>1</v>
      </c>
      <c r="H37" s="1">
        <f>100*25/48994</f>
        <v>5.1026656325264319E-2</v>
      </c>
      <c r="I37" s="8">
        <v>0</v>
      </c>
    </row>
    <row r="38" spans="1:10" s="1" customFormat="1" x14ac:dyDescent="0.2">
      <c r="A38" s="1" t="s">
        <v>164</v>
      </c>
      <c r="B38" s="3">
        <v>44154</v>
      </c>
      <c r="C38" s="2">
        <f>0.75*1.6</f>
        <v>1.2000000000000002</v>
      </c>
      <c r="D38" s="2">
        <f>100*(0.5*25/350+0.5*100/600)</f>
        <v>11.904761904761903</v>
      </c>
      <c r="E38" s="2">
        <v>0</v>
      </c>
      <c r="F38" s="2">
        <f>100*(460/6+181)/11576</f>
        <v>2.2258696152960149</v>
      </c>
      <c r="G38" s="2">
        <v>1</v>
      </c>
      <c r="H38" s="2">
        <v>0</v>
      </c>
      <c r="I38" s="4">
        <v>0</v>
      </c>
    </row>
    <row r="39" spans="1:10" s="1" customFormat="1" x14ac:dyDescent="0.2">
      <c r="A39" s="1" t="s">
        <v>39</v>
      </c>
      <c r="B39" s="3">
        <v>44149</v>
      </c>
      <c r="C39" s="2">
        <f>100*(150000*3*375000+3100000000)/(569.15*61021000000)</f>
        <v>0.49481570557373095</v>
      </c>
      <c r="D39" s="2">
        <f>100*1.5/2.25</f>
        <v>66.666666666666671</v>
      </c>
      <c r="E39" s="2">
        <v>0</v>
      </c>
      <c r="F39" s="2">
        <f>100*1600000000/(569.15*61021000000)</f>
        <v>4.6069544889029354E-3</v>
      </c>
      <c r="G39" s="2">
        <v>1</v>
      </c>
      <c r="H39" s="2">
        <v>0</v>
      </c>
      <c r="I39" s="4">
        <v>1</v>
      </c>
      <c r="J39"/>
    </row>
    <row r="40" spans="1:10" s="1" customFormat="1" x14ac:dyDescent="0.2">
      <c r="A40" s="1" t="s">
        <v>41</v>
      </c>
      <c r="B40" s="3">
        <v>44154</v>
      </c>
      <c r="C40" s="2">
        <f>0.3+2.3</f>
        <v>2.5999999999999996</v>
      </c>
      <c r="D40" s="2">
        <f>100*(0.5*0.5/4.5+0.5*0.5/2.5)</f>
        <v>15.555555555555555</v>
      </c>
      <c r="E40" s="2">
        <v>0</v>
      </c>
      <c r="F40" s="2">
        <v>2.1</v>
      </c>
      <c r="G40" s="2">
        <v>1</v>
      </c>
      <c r="H40" s="2">
        <v>0</v>
      </c>
      <c r="I40" s="4">
        <v>0</v>
      </c>
    </row>
    <row r="41" spans="1:10" s="1" customFormat="1" x14ac:dyDescent="0.2">
      <c r="A41" s="1" t="s">
        <v>42</v>
      </c>
      <c r="B41" s="3">
        <v>44146</v>
      </c>
      <c r="C41" s="2">
        <f>2.3+4.3*100/60.702+100*8.5*4.3/(30*60.702)+100*(390+87.3)/18292</f>
        <v>14.000196585197498</v>
      </c>
      <c r="D41" s="2">
        <f>100*25/30</f>
        <v>83.333333333333329</v>
      </c>
      <c r="E41" s="2">
        <f>100*3/12</f>
        <v>25</v>
      </c>
      <c r="F41" s="2">
        <f>100*3.63/60.702</f>
        <v>5.9800336068004354</v>
      </c>
      <c r="G41" s="2">
        <v>1</v>
      </c>
      <c r="H41" s="2">
        <f>100*2330/60702</f>
        <v>3.8384237751639154</v>
      </c>
      <c r="I41" s="4">
        <v>1</v>
      </c>
    </row>
    <row r="42" spans="1:10" x14ac:dyDescent="0.2">
      <c r="A42" s="1" t="s">
        <v>43</v>
      </c>
      <c r="B42" s="3">
        <v>44154</v>
      </c>
      <c r="C42" s="2">
        <f>4.5+4.3+430*4.3/896+100*(390+87.3)/18292</f>
        <v>13.472953486692075</v>
      </c>
      <c r="D42" s="2">
        <v>0</v>
      </c>
      <c r="E42" s="2">
        <v>0</v>
      </c>
      <c r="F42" s="2">
        <f>100*((1350+120+360)/12500)+100*(2230)/24280</f>
        <v>23.824514003294894</v>
      </c>
      <c r="G42" s="2">
        <v>1</v>
      </c>
      <c r="H42" s="2">
        <v>0</v>
      </c>
      <c r="I42" s="4">
        <v>0</v>
      </c>
      <c r="J42" s="1"/>
    </row>
    <row r="43" spans="1:10" s="1" customFormat="1" x14ac:dyDescent="0.2">
      <c r="A43" s="1" t="s">
        <v>44</v>
      </c>
      <c r="B43" s="3">
        <v>44154</v>
      </c>
      <c r="C43" s="2">
        <f>4.9+2.3+100*(390+87.3)/18292</f>
        <v>9.8093374152635029</v>
      </c>
      <c r="D43" s="2">
        <f>100*200/225</f>
        <v>88.888888888888886</v>
      </c>
      <c r="E43" s="2">
        <f>100*125/175</f>
        <v>71.428571428571431</v>
      </c>
      <c r="F43" s="2">
        <f>9.25</f>
        <v>9.25</v>
      </c>
      <c r="G43" s="2">
        <v>1</v>
      </c>
      <c r="H43" s="2">
        <v>0</v>
      </c>
      <c r="I43" s="4">
        <v>0</v>
      </c>
    </row>
    <row r="44" spans="1:10" s="1" customFormat="1" x14ac:dyDescent="0.2">
      <c r="A44" s="1" t="s">
        <v>45</v>
      </c>
      <c r="B44" s="3">
        <v>44126</v>
      </c>
      <c r="C44" s="2">
        <f>5.7+5.1+2.3+0.91*100/347.176+100*(390+87.3)/18292</f>
        <v>15.971452307998026</v>
      </c>
      <c r="D44" s="2">
        <f>-0.15/0.75*100</f>
        <v>-20</v>
      </c>
      <c r="E44" s="2">
        <v>100</v>
      </c>
      <c r="F44" s="2">
        <f>100*27.13/347.176</f>
        <v>7.8144802636126922</v>
      </c>
      <c r="G44" s="2">
        <v>1</v>
      </c>
      <c r="H44" s="2">
        <v>0</v>
      </c>
      <c r="I44" s="4">
        <v>0</v>
      </c>
    </row>
    <row r="45" spans="1:10" s="1" customFormat="1" x14ac:dyDescent="0.2">
      <c r="A45" s="1" t="s">
        <v>46</v>
      </c>
      <c r="B45" s="3">
        <v>44140</v>
      </c>
      <c r="C45" s="2">
        <v>2.4</v>
      </c>
      <c r="D45" s="2">
        <v>0</v>
      </c>
      <c r="E45" s="2">
        <v>0</v>
      </c>
      <c r="F45" s="2">
        <v>0</v>
      </c>
      <c r="G45" s="2">
        <v>1</v>
      </c>
      <c r="H45" s="2">
        <v>0</v>
      </c>
      <c r="I45" s="4">
        <v>0</v>
      </c>
    </row>
    <row r="46" spans="1:10" s="1" customFormat="1" x14ac:dyDescent="0.2">
      <c r="A46" s="1" t="s">
        <v>152</v>
      </c>
      <c r="B46" s="3">
        <v>44153</v>
      </c>
      <c r="C46" s="2">
        <f>0.75+2.4*0.75/32+4.5</f>
        <v>5.3062500000000004</v>
      </c>
      <c r="D46" s="2">
        <f>100*(1/5*1/4.5+1/5*1/6+1/5*0.5/3+1/5*1.8/2.7+1/5*4.5/6)</f>
        <v>39.444444444444443</v>
      </c>
      <c r="E46" s="2">
        <f>100*25/100</f>
        <v>25</v>
      </c>
      <c r="F46" s="2">
        <f>7.4+100*(2000+60)/85630+20*2/90</f>
        <v>10.250143381732778</v>
      </c>
      <c r="G46" s="2">
        <v>1</v>
      </c>
      <c r="H46" s="2">
        <v>0</v>
      </c>
      <c r="I46" s="4">
        <v>1</v>
      </c>
    </row>
    <row r="47" spans="1:10" s="1" customFormat="1" x14ac:dyDescent="0.2">
      <c r="A47" s="1" t="s">
        <v>149</v>
      </c>
      <c r="B47" s="3">
        <v>44153</v>
      </c>
      <c r="C47" s="2">
        <f>100*1.2/108.398</f>
        <v>1.107031495046034</v>
      </c>
      <c r="D47" s="2">
        <v>0</v>
      </c>
      <c r="E47" s="2">
        <v>0</v>
      </c>
      <c r="F47" s="2">
        <f>100*0.95/108.398</f>
        <v>0.8763999335781103</v>
      </c>
      <c r="G47" s="2">
        <v>1</v>
      </c>
      <c r="H47" s="2">
        <v>0</v>
      </c>
      <c r="I47" s="4">
        <v>0</v>
      </c>
    </row>
    <row r="48" spans="1:10" s="1" customFormat="1" x14ac:dyDescent="0.2">
      <c r="A48" s="1" t="s">
        <v>47</v>
      </c>
      <c r="B48" s="3">
        <v>44154</v>
      </c>
      <c r="C48" s="2">
        <v>1.8</v>
      </c>
      <c r="D48" s="2">
        <f>100*3/12.75</f>
        <v>23.529411764705884</v>
      </c>
      <c r="E48" s="2">
        <v>0</v>
      </c>
      <c r="F48" s="2">
        <f>123*1.8/100</f>
        <v>2.214</v>
      </c>
      <c r="G48" s="2">
        <v>1</v>
      </c>
      <c r="H48" s="2">
        <v>0</v>
      </c>
      <c r="I48" s="4">
        <v>1</v>
      </c>
    </row>
    <row r="49" spans="1:10" s="1" customFormat="1" x14ac:dyDescent="0.2">
      <c r="A49" s="1" t="s">
        <v>48</v>
      </c>
      <c r="B49" s="3">
        <v>44098</v>
      </c>
      <c r="C49" s="2">
        <f>100*350/26057</f>
        <v>1.3432091184710442</v>
      </c>
      <c r="D49" s="2">
        <v>0</v>
      </c>
      <c r="E49" s="2">
        <f>0.5*100*8/22+0.5*25</f>
        <v>30.681818181818183</v>
      </c>
      <c r="F49" s="2">
        <f>100*650/26057</f>
        <v>2.4945312200176537</v>
      </c>
      <c r="G49" s="2">
        <v>1</v>
      </c>
      <c r="H49" s="2">
        <v>0</v>
      </c>
      <c r="I49" s="4">
        <v>0</v>
      </c>
    </row>
    <row r="50" spans="1:10" s="1" customFormat="1" x14ac:dyDescent="0.2">
      <c r="A50" s="1" t="s">
        <v>49</v>
      </c>
      <c r="B50" s="3">
        <v>44152</v>
      </c>
      <c r="C50" s="2">
        <v>2</v>
      </c>
      <c r="D50" s="2">
        <f>100*(0.5*25/350+0.5*100/600)</f>
        <v>11.904761904761903</v>
      </c>
      <c r="E50" s="2">
        <v>0</v>
      </c>
      <c r="F50" s="2">
        <v>0</v>
      </c>
      <c r="G50" s="2">
        <v>1</v>
      </c>
      <c r="H50" s="2">
        <v>0</v>
      </c>
      <c r="I50" s="4">
        <v>0</v>
      </c>
    </row>
    <row r="51" spans="1:10" s="1" customFormat="1" x14ac:dyDescent="0.2">
      <c r="A51" s="1" t="s">
        <v>50</v>
      </c>
      <c r="B51" s="3">
        <v>44152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4">
        <v>0</v>
      </c>
    </row>
    <row r="52" spans="1:10" s="1" customFormat="1" x14ac:dyDescent="0.2">
      <c r="A52" s="1" t="s">
        <v>51</v>
      </c>
      <c r="B52" s="3">
        <v>44153</v>
      </c>
      <c r="C52" s="2">
        <f>7+4.3+100*(390+87.3)/18292</f>
        <v>13.909337415263504</v>
      </c>
      <c r="D52" s="2">
        <v>0</v>
      </c>
      <c r="E52" s="2">
        <v>100</v>
      </c>
      <c r="F52" s="2">
        <f>100*((1350+120+360)/12500)+100*110/27790+100*18.9/27790</f>
        <v>15.103835912198633</v>
      </c>
      <c r="G52" s="2">
        <v>1</v>
      </c>
      <c r="H52" s="2">
        <v>0</v>
      </c>
      <c r="I52" s="4">
        <v>0</v>
      </c>
    </row>
    <row r="53" spans="1:10" s="1" customFormat="1" x14ac:dyDescent="0.2">
      <c r="A53" s="1" t="s">
        <v>52</v>
      </c>
      <c r="B53" s="3">
        <v>44152</v>
      </c>
      <c r="C53" s="2">
        <v>1.88</v>
      </c>
      <c r="D53" s="2">
        <f>100*(2.75/6.5)</f>
        <v>42.307692307692307</v>
      </c>
      <c r="E53" s="2">
        <f>100*(1/2*1/6+1/4*5/25+1/4*4/22)</f>
        <v>17.878787878787879</v>
      </c>
      <c r="F53" s="2">
        <v>0</v>
      </c>
      <c r="G53" s="2">
        <v>1</v>
      </c>
      <c r="H53" s="2">
        <v>0</v>
      </c>
      <c r="I53" s="4">
        <v>0</v>
      </c>
      <c r="J53"/>
    </row>
    <row r="54" spans="1:10" s="1" customFormat="1" x14ac:dyDescent="0.2">
      <c r="A54" s="1" t="s">
        <v>153</v>
      </c>
      <c r="B54" s="3">
        <v>44140</v>
      </c>
      <c r="C54" s="2">
        <f>1.6+0.15+1+0.6+100*88/91166+100*88/91166</f>
        <v>3.5430544281859464</v>
      </c>
      <c r="D54" s="2">
        <v>0</v>
      </c>
      <c r="E54" s="2">
        <v>0</v>
      </c>
      <c r="F54" s="2">
        <f>0.45+33*0.45/15</f>
        <v>1.44</v>
      </c>
      <c r="G54" s="2">
        <v>0</v>
      </c>
      <c r="H54" s="2">
        <v>0</v>
      </c>
      <c r="I54" s="4">
        <v>0</v>
      </c>
      <c r="J54"/>
    </row>
    <row r="55" spans="1:10" x14ac:dyDescent="0.2">
      <c r="A55" s="1" t="s">
        <v>53</v>
      </c>
      <c r="B55" s="3">
        <v>44140</v>
      </c>
      <c r="C55" s="2">
        <f>8.7+0.16*8.7+8.7*(50.9+23.5)/1000</f>
        <v>10.739279999999999</v>
      </c>
      <c r="D55" s="2">
        <f>50</f>
        <v>50</v>
      </c>
      <c r="E55" s="2">
        <v>0</v>
      </c>
      <c r="F55" s="2">
        <f>100*440*0.46/5524</f>
        <v>3.6640115858073861</v>
      </c>
      <c r="G55" s="2">
        <v>0</v>
      </c>
      <c r="H55" s="2">
        <f>100*2/5524</f>
        <v>3.6205648081100654E-2</v>
      </c>
      <c r="I55" s="4">
        <v>1</v>
      </c>
    </row>
    <row r="56" spans="1:10" x14ac:dyDescent="0.2">
      <c r="A56" s="1" t="s">
        <v>54</v>
      </c>
      <c r="B56" s="3">
        <v>44154</v>
      </c>
      <c r="C56" s="2">
        <f>3+4.5+2+0.3+4.3+4.85*0.3/0.7+100*71.09/270000+100*(390+87.3+237.09)/18292+100*1.922/268</f>
        <v>20.827543041810241</v>
      </c>
      <c r="D56" s="2">
        <v>0</v>
      </c>
      <c r="E56" s="2">
        <v>100</v>
      </c>
      <c r="F56" s="2">
        <f>100*((1350+120+360)/12500)+100*55340/270000</f>
        <v>35.136296296296294</v>
      </c>
      <c r="G56" s="2">
        <v>1</v>
      </c>
      <c r="H56" s="2">
        <v>0</v>
      </c>
      <c r="I56" s="4">
        <v>0</v>
      </c>
    </row>
    <row r="57" spans="1:10" x14ac:dyDescent="0.2">
      <c r="A57" s="1" t="s">
        <v>55</v>
      </c>
      <c r="B57" s="3">
        <v>44140</v>
      </c>
      <c r="C57" s="2">
        <f>135*5/110+4.3+100*(390+87.3)/18292+100*50/2700+0.9</f>
        <v>15.797552903478993</v>
      </c>
      <c r="D57" s="2">
        <v>0</v>
      </c>
      <c r="E57" s="2">
        <v>100</v>
      </c>
      <c r="F57" s="2">
        <f>100*((1350+120+360)/12500)+14</f>
        <v>28.64</v>
      </c>
      <c r="G57" s="2">
        <v>1</v>
      </c>
      <c r="H57" s="2">
        <v>0</v>
      </c>
      <c r="I57" s="4">
        <v>0</v>
      </c>
    </row>
    <row r="58" spans="1:10" x14ac:dyDescent="0.2">
      <c r="A58" s="1" t="s">
        <v>56</v>
      </c>
      <c r="B58" s="3">
        <v>44154</v>
      </c>
      <c r="C58" s="2">
        <f>1.2+0.74</f>
        <v>1.94</v>
      </c>
      <c r="D58" s="2">
        <f>100*(0.5*25/350+0.5*100/600)</f>
        <v>11.904761904761903</v>
      </c>
      <c r="E58" s="2">
        <v>0</v>
      </c>
      <c r="F58" s="2">
        <f>100*375/16875</f>
        <v>2.2222222222222223</v>
      </c>
      <c r="G58" s="2">
        <v>1</v>
      </c>
      <c r="H58" s="2">
        <v>0</v>
      </c>
      <c r="I58" s="4">
        <v>0</v>
      </c>
      <c r="J58" s="1"/>
    </row>
    <row r="59" spans="1:10" x14ac:dyDescent="0.2">
      <c r="A59" s="1" t="s">
        <v>180</v>
      </c>
      <c r="B59" s="3">
        <v>44154</v>
      </c>
      <c r="C59" s="2">
        <f>0.5+100*(15.8+1.5+10+9.81+546*15.8/800)/1773</f>
        <v>3.2012690355329951</v>
      </c>
      <c r="D59" s="2">
        <f>100*(2.5/12.5)</f>
        <v>20</v>
      </c>
      <c r="E59" s="2">
        <f>100*2/15</f>
        <v>13.333333333333334</v>
      </c>
      <c r="F59" s="2">
        <f>0.7+100*(855*15.8/800)/1773</f>
        <v>1.6524111675126902</v>
      </c>
      <c r="G59" s="2">
        <v>1</v>
      </c>
      <c r="H59" s="2">
        <f>100*(68.4+2.9+6.68)/1773</f>
        <v>4.3981951494641862</v>
      </c>
      <c r="I59" s="4">
        <v>1</v>
      </c>
      <c r="J59" s="1"/>
    </row>
    <row r="60" spans="1:10" s="1" customFormat="1" x14ac:dyDescent="0.2">
      <c r="A60" s="1" t="s">
        <v>57</v>
      </c>
      <c r="B60" s="3">
        <v>44153</v>
      </c>
      <c r="C60" s="2">
        <f>100*(3400+450+250+75+170+48+13+24+133.5+45+285+60+45+70+20+139+600+100+195+24)*0.32/15925+0.65</f>
        <v>13.000894819466248</v>
      </c>
      <c r="D60" s="2">
        <f>100*1/9</f>
        <v>11.111111111111111</v>
      </c>
      <c r="E60" s="2">
        <v>0</v>
      </c>
      <c r="F60" s="2">
        <f>100*(400)*0.32/15925</f>
        <v>0.8037676609105181</v>
      </c>
      <c r="G60" s="2">
        <v>1</v>
      </c>
      <c r="H60" s="2">
        <f>100*820/15925</f>
        <v>5.1491365777080063</v>
      </c>
      <c r="I60" s="4">
        <v>0</v>
      </c>
    </row>
    <row r="61" spans="1:10" s="1" customFormat="1" x14ac:dyDescent="0.2">
      <c r="A61" s="1" t="s">
        <v>58</v>
      </c>
      <c r="B61" s="3">
        <v>44153</v>
      </c>
      <c r="C61" s="2">
        <f>4.9+4.3+(141+130)*4.9/156+100*(390+87.3)/18292</f>
        <v>20.32151690244299</v>
      </c>
      <c r="D61" s="2">
        <v>0</v>
      </c>
      <c r="E61" s="2">
        <v>100</v>
      </c>
      <c r="F61" s="2">
        <f>100*((1350+120+360)/12500)+100*235.9/3863+24</f>
        <v>44.746652860471137</v>
      </c>
      <c r="G61" s="2">
        <v>1</v>
      </c>
      <c r="H61" s="2">
        <v>0</v>
      </c>
      <c r="I61" s="4">
        <v>0</v>
      </c>
      <c r="J61"/>
    </row>
    <row r="62" spans="1:10" s="1" customFormat="1" x14ac:dyDescent="0.2">
      <c r="A62" s="1" t="s">
        <v>59</v>
      </c>
      <c r="B62" s="3">
        <v>44140</v>
      </c>
      <c r="C62" s="2">
        <f>100*1936.77568/67077-0.3</f>
        <v>2.5873916245508894</v>
      </c>
      <c r="D62" s="2">
        <f>100*1.5/16</f>
        <v>9.375</v>
      </c>
      <c r="E62" s="2">
        <f>0.5*100*2/10+0.5*100*1.5/3</f>
        <v>35</v>
      </c>
      <c r="F62" s="2">
        <f>0.3+1.4+100*2.73/67.077+2.6</f>
        <v>8.369949461067133</v>
      </c>
      <c r="G62" s="2">
        <v>1</v>
      </c>
      <c r="H62" s="2">
        <f>100*1/67.077</f>
        <v>1.4908239784128687</v>
      </c>
      <c r="I62" s="4">
        <v>0</v>
      </c>
      <c r="J62"/>
    </row>
    <row r="63" spans="1:10" x14ac:dyDescent="0.2">
      <c r="A63" s="1" t="s">
        <v>60</v>
      </c>
      <c r="B63" s="3">
        <v>44154</v>
      </c>
      <c r="C63" s="2">
        <f>14</f>
        <v>14</v>
      </c>
      <c r="D63" s="2">
        <v>0</v>
      </c>
      <c r="E63" s="2">
        <v>0</v>
      </c>
      <c r="F63" s="2">
        <f>100*((750+600+360)/12500)</f>
        <v>13.68</v>
      </c>
      <c r="G63" s="2">
        <v>1</v>
      </c>
      <c r="H63" s="2">
        <v>0</v>
      </c>
      <c r="I63" s="4">
        <v>0</v>
      </c>
    </row>
    <row r="64" spans="1:10" x14ac:dyDescent="0.2">
      <c r="A64" s="1" t="s">
        <v>61</v>
      </c>
      <c r="B64" s="3">
        <v>44154</v>
      </c>
      <c r="C64" s="2">
        <v>3.4</v>
      </c>
      <c r="D64" s="2">
        <f>100/275*100</f>
        <v>36.363636363636367</v>
      </c>
      <c r="E64" s="2">
        <v>0</v>
      </c>
      <c r="F64" s="2">
        <f>100*1.5/81.318</f>
        <v>1.8446100494355493</v>
      </c>
      <c r="G64" s="2">
        <v>1</v>
      </c>
      <c r="H64" s="2">
        <v>0</v>
      </c>
      <c r="I64" s="4">
        <v>0</v>
      </c>
    </row>
    <row r="65" spans="1:10" x14ac:dyDescent="0.2">
      <c r="A65" s="1" t="s">
        <v>62</v>
      </c>
      <c r="B65" s="3">
        <v>44154</v>
      </c>
      <c r="C65" s="2">
        <v>2.94</v>
      </c>
      <c r="D65" s="2">
        <f>100*1/12</f>
        <v>8.3333333333333339</v>
      </c>
      <c r="E65" s="2">
        <f>100*1/16</f>
        <v>6.25</v>
      </c>
      <c r="F65" s="2">
        <v>0</v>
      </c>
      <c r="G65" s="2">
        <v>1</v>
      </c>
      <c r="H65" s="2">
        <v>0</v>
      </c>
      <c r="I65" s="4">
        <v>0</v>
      </c>
    </row>
    <row r="66" spans="1:10" x14ac:dyDescent="0.2">
      <c r="A66" s="1" t="s">
        <v>63</v>
      </c>
      <c r="B66" s="3">
        <v>44153</v>
      </c>
      <c r="C66" s="2">
        <f>0.3+0.07+222*5*0.07/580</f>
        <v>0.50396551724137928</v>
      </c>
      <c r="D66" s="2">
        <v>15.55555556</v>
      </c>
      <c r="E66" s="2">
        <v>0</v>
      </c>
      <c r="F66" s="2">
        <v>3.1</v>
      </c>
      <c r="G66" s="2">
        <v>1</v>
      </c>
      <c r="H66" s="2">
        <v>0</v>
      </c>
      <c r="I66" s="4">
        <v>0</v>
      </c>
    </row>
    <row r="67" spans="1:10" x14ac:dyDescent="0.2">
      <c r="A67" s="1" t="s">
        <v>64</v>
      </c>
      <c r="B67" s="3">
        <v>44154</v>
      </c>
      <c r="C67" s="2">
        <f>100*330*0.0048/3.899</f>
        <v>40.625801487560906</v>
      </c>
      <c r="D67" s="2">
        <v>0</v>
      </c>
      <c r="E67" s="2">
        <f>100*2/12</f>
        <v>16.666666666666668</v>
      </c>
      <c r="F67" s="2">
        <f>100*20*0.0048/3899</f>
        <v>2.4621697871249036E-3</v>
      </c>
      <c r="G67" s="2">
        <v>1</v>
      </c>
      <c r="H67" s="2">
        <v>0</v>
      </c>
      <c r="I67" s="4">
        <v>0</v>
      </c>
      <c r="J67" s="1"/>
    </row>
    <row r="68" spans="1:10" x14ac:dyDescent="0.2">
      <c r="A68" s="1" t="s">
        <v>65</v>
      </c>
      <c r="B68" s="3">
        <v>44154</v>
      </c>
      <c r="C68" s="2">
        <v>2.12</v>
      </c>
      <c r="D68" s="2">
        <f>1/5*20+1/5*100*1/7+1/5*1/3*100+1/5*0+1/5*5/22</f>
        <v>13.56926406926407</v>
      </c>
      <c r="E68" s="2">
        <f>(1/3*5/45+1/3*5/33.5+1/3*5/45)*100</f>
        <v>12.382531785516859</v>
      </c>
      <c r="F68" s="2">
        <v>0</v>
      </c>
      <c r="G68" s="2">
        <v>1</v>
      </c>
      <c r="H68" s="2">
        <v>0</v>
      </c>
      <c r="I68" s="4">
        <v>0</v>
      </c>
      <c r="J68" s="1"/>
    </row>
    <row r="69" spans="1:10" s="1" customFormat="1" x14ac:dyDescent="0.2">
      <c r="A69" s="1" t="s">
        <v>66</v>
      </c>
      <c r="B69" s="3">
        <v>44097</v>
      </c>
      <c r="C69" s="2">
        <v>2.1</v>
      </c>
      <c r="D69" s="2">
        <f>100*150/525</f>
        <v>28.571428571428573</v>
      </c>
      <c r="E69" s="2">
        <v>0</v>
      </c>
      <c r="F69" s="2">
        <f>2+3.5</f>
        <v>5.5</v>
      </c>
      <c r="G69" s="2">
        <v>1</v>
      </c>
      <c r="H69" s="2">
        <v>0</v>
      </c>
      <c r="I69" s="4">
        <v>0</v>
      </c>
    </row>
    <row r="70" spans="1:10" s="1" customFormat="1" x14ac:dyDescent="0.2">
      <c r="A70" s="1" t="s">
        <v>34</v>
      </c>
      <c r="B70" s="3">
        <v>44154</v>
      </c>
      <c r="C70" s="2">
        <v>11</v>
      </c>
      <c r="D70" s="2">
        <f>100*1.14/2</f>
        <v>56.999999999999993</v>
      </c>
      <c r="E70" s="2">
        <f>100*1/2</f>
        <v>50</v>
      </c>
      <c r="F70" s="2">
        <f>100*(10+70*0.13)/372.989</f>
        <v>5.1207944470212263</v>
      </c>
      <c r="G70" s="2">
        <v>1</v>
      </c>
      <c r="H70" s="2">
        <v>0</v>
      </c>
      <c r="I70" s="4">
        <v>0</v>
      </c>
    </row>
    <row r="71" spans="1:10" s="1" customFormat="1" x14ac:dyDescent="0.2">
      <c r="A71" s="1" t="s">
        <v>67</v>
      </c>
      <c r="B71" s="3">
        <v>44152</v>
      </c>
      <c r="C71" s="2">
        <f>100*556/170407+0.06+0.6+0.3+2.3+100*(390+87.3)/18292</f>
        <v>6.195615091650037</v>
      </c>
      <c r="D71" s="2">
        <f>100*0.15/0.9</f>
        <v>16.666666666666668</v>
      </c>
      <c r="E71" s="2">
        <v>0</v>
      </c>
      <c r="F71" s="2">
        <f>100*30/170.407+1.7</f>
        <v>19.304910596395686</v>
      </c>
      <c r="G71" s="2">
        <v>1</v>
      </c>
      <c r="H71" s="2">
        <v>0</v>
      </c>
      <c r="I71" s="4">
        <v>1</v>
      </c>
    </row>
    <row r="72" spans="1:10" s="1" customFormat="1" x14ac:dyDescent="0.2">
      <c r="A72" s="1" t="s">
        <v>68</v>
      </c>
      <c r="B72" s="3">
        <v>44154</v>
      </c>
      <c r="C72" s="2">
        <f>100*2.2/23.918</f>
        <v>9.1980934860774326</v>
      </c>
      <c r="D72" s="2">
        <f>100*(175/275)</f>
        <v>63.636363636363633</v>
      </c>
      <c r="E72" s="2">
        <v>50</v>
      </c>
      <c r="F72" s="2">
        <v>12</v>
      </c>
      <c r="G72" s="2">
        <v>1</v>
      </c>
      <c r="H72" s="2">
        <f>(795.59+57.43)*100/23918</f>
        <v>3.5664353206789867</v>
      </c>
      <c r="I72" s="4">
        <v>0</v>
      </c>
    </row>
    <row r="73" spans="1:10" s="1" customFormat="1" x14ac:dyDescent="0.2">
      <c r="A73" s="1" t="s">
        <v>69</v>
      </c>
      <c r="B73" s="3">
        <v>44154</v>
      </c>
      <c r="C73" s="2">
        <v>7</v>
      </c>
      <c r="D73" s="2">
        <f>(0.5*115/515+0.5*155/490)*100</f>
        <v>26.981375074301567</v>
      </c>
      <c r="E73" s="2">
        <f>100*(1/3)</f>
        <v>33.333333333333329</v>
      </c>
      <c r="F73" s="2">
        <f>4.9+5.9</f>
        <v>10.8</v>
      </c>
      <c r="G73" s="2">
        <v>1</v>
      </c>
      <c r="H73" s="2">
        <f>100*4/2719</f>
        <v>0.14711290915777858</v>
      </c>
      <c r="I73" s="4">
        <v>1</v>
      </c>
    </row>
    <row r="74" spans="1:10" s="1" customFormat="1" x14ac:dyDescent="0.2">
      <c r="A74" s="1" t="s">
        <v>159</v>
      </c>
      <c r="B74" s="3">
        <v>44154</v>
      </c>
      <c r="C74" s="2">
        <v>4.4000000000000004</v>
      </c>
      <c r="D74" s="2">
        <f>125/500*100</f>
        <v>25</v>
      </c>
      <c r="E74" s="2">
        <f>100*4/8</f>
        <v>50</v>
      </c>
      <c r="F74" s="2">
        <f>100*(480.7+42.96)*0.000068/1.1</f>
        <v>3.2371709090909087</v>
      </c>
      <c r="G74" s="2">
        <v>1</v>
      </c>
      <c r="H74" s="2">
        <v>0</v>
      </c>
      <c r="I74" s="4">
        <v>1</v>
      </c>
    </row>
    <row r="75" spans="1:10" s="1" customFormat="1" x14ac:dyDescent="0.2">
      <c r="A75" s="1" t="s">
        <v>70</v>
      </c>
      <c r="B75" s="3">
        <v>44154</v>
      </c>
      <c r="C75" s="2">
        <f>8.6+100*245/458500</f>
        <v>8.6534351145038162</v>
      </c>
      <c r="D75" s="2">
        <v>0</v>
      </c>
      <c r="E75" s="2">
        <v>0</v>
      </c>
      <c r="F75" s="2">
        <v>4.46</v>
      </c>
      <c r="G75" s="2">
        <v>1</v>
      </c>
      <c r="H75" s="2">
        <f>100*2.5/458.5</f>
        <v>0.54525627044711011</v>
      </c>
      <c r="I75" s="4">
        <v>0</v>
      </c>
    </row>
    <row r="76" spans="1:10" s="1" customFormat="1" x14ac:dyDescent="0.2">
      <c r="A76" s="1" t="s">
        <v>71</v>
      </c>
      <c r="B76" s="3">
        <v>44154</v>
      </c>
      <c r="C76" s="2">
        <f>100*(254+79)/224228</f>
        <v>0.14850955277663808</v>
      </c>
      <c r="D76" s="2">
        <v>0</v>
      </c>
      <c r="E76" s="2">
        <f>100*2/15</f>
        <v>13.333333333333334</v>
      </c>
      <c r="F76" s="2">
        <v>1</v>
      </c>
      <c r="G76" s="2">
        <v>1</v>
      </c>
      <c r="H76" s="2">
        <v>0</v>
      </c>
      <c r="I76" s="4">
        <v>0</v>
      </c>
    </row>
    <row r="77" spans="1:10" s="1" customFormat="1" ht="31" customHeight="1" x14ac:dyDescent="0.2">
      <c r="A77" s="1" t="s">
        <v>72</v>
      </c>
      <c r="B77" s="3">
        <v>44154</v>
      </c>
      <c r="C77" s="2">
        <f>6.8+4.3+4-100*2.35/384.94+100*(390+87.3)/18292</f>
        <v>17.098852664393238</v>
      </c>
      <c r="D77" s="2">
        <v>0</v>
      </c>
      <c r="E77" s="2">
        <v>100</v>
      </c>
      <c r="F77" s="2">
        <f>100*((1350+120+360)/12500)+100*2.36/384.94</f>
        <v>15.253082558320777</v>
      </c>
      <c r="G77" s="2">
        <v>1</v>
      </c>
      <c r="H77" s="2">
        <v>0</v>
      </c>
      <c r="I77" s="4">
        <v>0</v>
      </c>
    </row>
    <row r="78" spans="1:10" s="1" customFormat="1" ht="20" customHeight="1" x14ac:dyDescent="0.2">
      <c r="A78" s="1" t="s">
        <v>73</v>
      </c>
      <c r="B78" s="3">
        <v>44154</v>
      </c>
      <c r="C78" s="2">
        <f>6.1+1.5+50/20*1.5+(10.5+6.72)*6.1/80</f>
        <v>12.663024999999999</v>
      </c>
      <c r="D78" s="2">
        <f>100*15/25</f>
        <v>60</v>
      </c>
      <c r="E78" s="2">
        <f>(1/10+1/9+1/13.5+1/12.5)*100/4</f>
        <v>9.1296296296296298</v>
      </c>
      <c r="F78" s="2">
        <f>95/20*1.5</f>
        <v>7.125</v>
      </c>
      <c r="G78" s="2">
        <v>1</v>
      </c>
      <c r="H78" s="2">
        <f>100*15/387.717</f>
        <v>3.8688012132560607</v>
      </c>
      <c r="I78" s="4">
        <v>0</v>
      </c>
    </row>
    <row r="79" spans="1:10" s="1" customFormat="1" ht="25" customHeight="1" x14ac:dyDescent="0.2">
      <c r="A79" s="1" t="s">
        <v>74</v>
      </c>
      <c r="B79" s="3">
        <v>44153</v>
      </c>
      <c r="C79" s="2">
        <f>4.3+3.5+1.6+100*(390+87.3)/18292+100*(14.22)/2000+0.3</f>
        <v>13.020337415263505</v>
      </c>
      <c r="D79" s="2">
        <v>0</v>
      </c>
      <c r="E79" s="2">
        <v>0</v>
      </c>
      <c r="F79" s="2">
        <f>100*((1350+120+360)/12500)+50</f>
        <v>64.64</v>
      </c>
      <c r="G79" s="2">
        <v>1</v>
      </c>
      <c r="H79" s="2">
        <v>0</v>
      </c>
      <c r="I79" s="4">
        <v>0</v>
      </c>
    </row>
    <row r="80" spans="1:10" s="1" customFormat="1" ht="25" customHeight="1" x14ac:dyDescent="0.2">
      <c r="A80" s="1" t="s">
        <v>75</v>
      </c>
      <c r="B80" s="3">
        <v>44026</v>
      </c>
      <c r="C80" s="2">
        <v>1.1000000000000001</v>
      </c>
      <c r="D80" s="2">
        <v>0</v>
      </c>
      <c r="E80" s="2">
        <v>0</v>
      </c>
      <c r="F80" s="2">
        <f>100*(57*0.0074)/15.461</f>
        <v>2.7281547118556366</v>
      </c>
      <c r="G80" s="2">
        <v>1</v>
      </c>
      <c r="H80" s="2">
        <v>0</v>
      </c>
      <c r="I80" s="4">
        <v>1</v>
      </c>
    </row>
    <row r="81" spans="1:9" s="1" customFormat="1" ht="27" customHeight="1" x14ac:dyDescent="0.2">
      <c r="A81" s="1" t="s">
        <v>76</v>
      </c>
      <c r="B81" s="3">
        <v>44154</v>
      </c>
      <c r="C81" s="2">
        <v>42.2</v>
      </c>
      <c r="D81" s="2">
        <v>0</v>
      </c>
      <c r="E81" s="2">
        <v>0</v>
      </c>
      <c r="F81" s="2">
        <f>100*(838+28.343)/5154</f>
        <v>16.809138533178114</v>
      </c>
      <c r="G81" s="2">
        <v>1</v>
      </c>
      <c r="H81" s="2">
        <v>0</v>
      </c>
      <c r="I81" s="4">
        <v>0</v>
      </c>
    </row>
    <row r="82" spans="1:9" s="1" customFormat="1" ht="15" customHeight="1" x14ac:dyDescent="0.2">
      <c r="A82" s="1" t="s">
        <v>77</v>
      </c>
      <c r="B82" s="3">
        <v>44154</v>
      </c>
      <c r="C82" s="2">
        <f>100*(114+71+23)/42291+3</f>
        <v>3.4918304130902555</v>
      </c>
      <c r="D82" s="2">
        <f>100*1.5/4</f>
        <v>37.5</v>
      </c>
      <c r="E82" s="2">
        <f>100*2/7</f>
        <v>28.571428571428573</v>
      </c>
      <c r="F82" s="2">
        <f>100*916/42291</f>
        <v>2.1659454730320871</v>
      </c>
      <c r="G82" s="2">
        <v>1</v>
      </c>
      <c r="H82" s="2">
        <v>0</v>
      </c>
      <c r="I82" s="4">
        <v>0</v>
      </c>
    </row>
    <row r="83" spans="1:9" s="1" customFormat="1" ht="15" customHeight="1" x14ac:dyDescent="0.2">
      <c r="A83" s="1" t="s">
        <v>157</v>
      </c>
      <c r="B83" s="3">
        <v>44153</v>
      </c>
      <c r="C83" s="2">
        <f>100*(95*500000+3400000000000/446.1)/170326000000</f>
        <v>4.502606474992298</v>
      </c>
      <c r="D83" s="2">
        <f>100*0.25/9</f>
        <v>2.7777777777777777</v>
      </c>
      <c r="E83" s="2">
        <f>100*2/8</f>
        <v>25</v>
      </c>
      <c r="F83" s="2">
        <v>0</v>
      </c>
      <c r="G83" s="2">
        <v>1</v>
      </c>
      <c r="H83" s="2">
        <v>0</v>
      </c>
      <c r="I83" s="4">
        <v>1</v>
      </c>
    </row>
    <row r="84" spans="1:9" s="1" customFormat="1" ht="31" customHeight="1" x14ac:dyDescent="0.2">
      <c r="A84" s="1" t="s">
        <v>78</v>
      </c>
      <c r="B84" s="3">
        <v>44140</v>
      </c>
      <c r="C84" s="2">
        <v>0.9</v>
      </c>
      <c r="D84" s="2">
        <f>100*(125/825)</f>
        <v>15.151515151515152</v>
      </c>
      <c r="E84" s="2">
        <f>100/525</f>
        <v>0.19047619047619047</v>
      </c>
      <c r="F84" s="2">
        <v>0</v>
      </c>
      <c r="G84" s="2">
        <v>1</v>
      </c>
      <c r="H84" s="2">
        <v>0</v>
      </c>
      <c r="I84" s="4">
        <v>0</v>
      </c>
    </row>
    <row r="85" spans="1:9" s="1" customFormat="1" ht="17" customHeight="1" x14ac:dyDescent="0.2">
      <c r="A85" s="1" t="s">
        <v>79</v>
      </c>
      <c r="B85" s="3">
        <v>44154</v>
      </c>
      <c r="C85" s="2">
        <f>100*(6.7+169.01)/8402+2.5</f>
        <v>4.5912877886217558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4">
        <v>0</v>
      </c>
    </row>
    <row r="86" spans="1:9" s="1" customFormat="1" ht="23" customHeight="1" x14ac:dyDescent="0.2">
      <c r="A86" s="1" t="s">
        <v>80</v>
      </c>
      <c r="B86" s="3">
        <v>44153</v>
      </c>
      <c r="C86" s="2">
        <v>1.5</v>
      </c>
      <c r="D86" s="2">
        <f>100*1.25/2.75</f>
        <v>45.454545454545453</v>
      </c>
      <c r="E86" s="2">
        <f>100*2.5/13</f>
        <v>19.23076923076923</v>
      </c>
      <c r="F86" s="2">
        <f>100*31.9*1.5/141646</f>
        <v>3.3781398698163025E-2</v>
      </c>
      <c r="G86" s="2">
        <v>1</v>
      </c>
      <c r="H86" s="2">
        <v>0</v>
      </c>
      <c r="I86" s="4">
        <v>0</v>
      </c>
    </row>
    <row r="87" spans="1:9" s="1" customFormat="1" ht="24" customHeight="1" x14ac:dyDescent="0.2">
      <c r="A87" s="1" t="s">
        <v>169</v>
      </c>
      <c r="B87" s="3">
        <v>44155</v>
      </c>
      <c r="C87" s="2">
        <v>7.4</v>
      </c>
      <c r="D87" s="2">
        <f>-100*75/425</f>
        <v>-17.647058823529413</v>
      </c>
      <c r="E87" s="2">
        <f>100*(1/3*15/45+1/3*10/80+1/3*1)</f>
        <v>48.611111111111107</v>
      </c>
      <c r="F87" s="2">
        <v>0</v>
      </c>
      <c r="G87" s="2">
        <v>1</v>
      </c>
      <c r="H87" s="2">
        <f>100*313.4/8261</f>
        <v>3.7937295726909572</v>
      </c>
      <c r="I87" s="4">
        <v>1</v>
      </c>
    </row>
    <row r="88" spans="1:9" s="1" customFormat="1" ht="24" customHeight="1" x14ac:dyDescent="0.2">
      <c r="A88" s="1" t="s">
        <v>81</v>
      </c>
      <c r="B88" s="3">
        <v>44154</v>
      </c>
      <c r="C88" s="2">
        <f>100*(129980000000/8942+(500000*80000)/8942)/19127000000</f>
        <v>9.9383960934841614E-2</v>
      </c>
      <c r="D88" s="2">
        <f>(1/4+1/5+1/10)*100/3</f>
        <v>18.333333333333336</v>
      </c>
      <c r="E88" s="2">
        <f>100*2/10</f>
        <v>20</v>
      </c>
      <c r="F88" s="2">
        <f>(100*200000000000/8942)/19127000000</f>
        <v>0.11693606416618618</v>
      </c>
      <c r="G88" s="2">
        <v>1</v>
      </c>
      <c r="H88" s="2">
        <v>0</v>
      </c>
      <c r="I88" s="4">
        <v>0</v>
      </c>
    </row>
    <row r="89" spans="1:9" s="1" customFormat="1" ht="15" customHeight="1" x14ac:dyDescent="0.2">
      <c r="A89" s="1" t="s">
        <v>82</v>
      </c>
      <c r="B89" s="3">
        <v>44154</v>
      </c>
      <c r="C89" s="2">
        <f>12-1.2*12/3.4+4.3+100*(390+87.3)/18292</f>
        <v>14.674043297616445</v>
      </c>
      <c r="D89" s="2">
        <v>0</v>
      </c>
      <c r="E89" s="2">
        <v>0</v>
      </c>
      <c r="F89" s="2">
        <f>100*((1350+120+360)/12500)+100*1560/35045</f>
        <v>19.0914196033671</v>
      </c>
      <c r="G89" s="2">
        <v>1</v>
      </c>
      <c r="H89" s="2">
        <v>0</v>
      </c>
      <c r="I89" s="4">
        <v>0</v>
      </c>
    </row>
    <row r="90" spans="1:9" s="1" customFormat="1" x14ac:dyDescent="0.2">
      <c r="A90" s="1" t="s">
        <v>83</v>
      </c>
      <c r="B90" s="3">
        <v>44154</v>
      </c>
      <c r="C90" s="2">
        <f>100*1650*0.00066/56.372</f>
        <v>1.9318101184985454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4">
        <v>0</v>
      </c>
    </row>
    <row r="91" spans="1:9" s="1" customFormat="1" x14ac:dyDescent="0.2">
      <c r="A91" s="1" t="s">
        <v>84</v>
      </c>
      <c r="B91" s="3">
        <v>44153</v>
      </c>
      <c r="C91" s="2">
        <f>2+1.35*2/0.7</f>
        <v>5.8571428571428577</v>
      </c>
      <c r="D91" s="2">
        <f>100*275/625</f>
        <v>44</v>
      </c>
      <c r="E91" s="2">
        <v>0</v>
      </c>
      <c r="F91" s="2">
        <v>0</v>
      </c>
      <c r="G91" s="2">
        <v>1</v>
      </c>
      <c r="H91" s="2">
        <v>0</v>
      </c>
      <c r="I91" s="4">
        <v>0</v>
      </c>
    </row>
    <row r="92" spans="1:9" s="1" customFormat="1" x14ac:dyDescent="0.2">
      <c r="A92" s="1" t="s">
        <v>85</v>
      </c>
      <c r="B92" s="3">
        <v>44155</v>
      </c>
      <c r="C92" s="2">
        <f>100*61/3222</f>
        <v>1.893234016139044</v>
      </c>
      <c r="D92" s="2">
        <f>100*5/30</f>
        <v>16.666666666666668</v>
      </c>
      <c r="E92" s="2">
        <v>0</v>
      </c>
      <c r="F92" s="2">
        <v>0</v>
      </c>
      <c r="G92" s="2">
        <v>1</v>
      </c>
      <c r="H92" s="2">
        <v>0</v>
      </c>
      <c r="I92" s="4">
        <v>0</v>
      </c>
    </row>
    <row r="93" spans="1:9" s="1" customFormat="1" x14ac:dyDescent="0.2">
      <c r="A93" s="1" t="s">
        <v>154</v>
      </c>
      <c r="B93" s="3">
        <v>44154</v>
      </c>
      <c r="C93" s="2">
        <f>847*1/500</f>
        <v>1.694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4">
        <v>0</v>
      </c>
    </row>
    <row r="94" spans="1:9" s="1" customFormat="1" x14ac:dyDescent="0.2">
      <c r="A94" s="1" t="s">
        <v>86</v>
      </c>
      <c r="B94" s="3">
        <v>44154</v>
      </c>
      <c r="C94" s="2">
        <f>5+4.3+2+4.5+2.1+100*38.5/53641+100*(390+87.3)/18292+100*200/53641</f>
        <v>20.953959998735105</v>
      </c>
      <c r="D94" s="2">
        <v>0</v>
      </c>
      <c r="E94" s="2">
        <f>100</f>
        <v>100</v>
      </c>
      <c r="F94" s="2">
        <f>100*((1350+120+360)/12500)+100*370/53641+2.6</f>
        <v>17.929770884211706</v>
      </c>
      <c r="G94" s="2">
        <v>1</v>
      </c>
      <c r="H94" s="2">
        <v>0</v>
      </c>
      <c r="I94" s="4">
        <v>0</v>
      </c>
    </row>
    <row r="95" spans="1:9" s="1" customFormat="1" x14ac:dyDescent="0.2">
      <c r="A95" s="1" t="s">
        <v>155</v>
      </c>
      <c r="B95" s="3">
        <v>44154</v>
      </c>
      <c r="C95" s="2">
        <f>4.3+3.6+12.8+1.3-5.6+100*(390+87.3)/18292+100*151.94/71000</f>
        <v>19.223337415263508</v>
      </c>
      <c r="D95" s="2">
        <v>0</v>
      </c>
      <c r="E95" s="2">
        <v>0</v>
      </c>
      <c r="F95" s="2">
        <f>100*((1350+120+360)/12500)+5.6</f>
        <v>20.240000000000002</v>
      </c>
      <c r="G95" s="2">
        <v>1</v>
      </c>
      <c r="H95" s="2">
        <v>0</v>
      </c>
      <c r="I95" s="4">
        <v>0</v>
      </c>
    </row>
    <row r="96" spans="1:9" s="1" customFormat="1" x14ac:dyDescent="0.2">
      <c r="A96" s="1" t="s">
        <v>87</v>
      </c>
      <c r="B96" s="3">
        <v>44153</v>
      </c>
      <c r="C96" s="2">
        <f>100*(165.9+103.7)/11500+1.1</f>
        <v>3.4443478260869571</v>
      </c>
      <c r="D96" s="2">
        <v>0</v>
      </c>
      <c r="E96" s="2">
        <v>0</v>
      </c>
      <c r="F96" s="2">
        <v>1.2</v>
      </c>
      <c r="G96" s="2">
        <v>1</v>
      </c>
      <c r="H96" s="2">
        <v>0</v>
      </c>
      <c r="I96" s="4">
        <v>1</v>
      </c>
    </row>
    <row r="97" spans="1:9" s="1" customFormat="1" x14ac:dyDescent="0.2">
      <c r="A97" s="1" t="s">
        <v>88</v>
      </c>
      <c r="B97" s="3">
        <v>44154</v>
      </c>
      <c r="C97" s="2">
        <v>0.85</v>
      </c>
      <c r="D97" s="2">
        <v>50</v>
      </c>
      <c r="E97" s="2">
        <f>100*125/500</f>
        <v>25</v>
      </c>
      <c r="F97" s="2">
        <v>0</v>
      </c>
      <c r="G97" s="2">
        <v>1</v>
      </c>
      <c r="H97" s="2">
        <v>0</v>
      </c>
      <c r="I97" s="4">
        <v>0</v>
      </c>
    </row>
    <row r="98" spans="1:9" s="1" customFormat="1" x14ac:dyDescent="0.2">
      <c r="A98" s="1" t="s">
        <v>147</v>
      </c>
      <c r="B98" s="3">
        <v>44140</v>
      </c>
      <c r="C98" s="2">
        <f>2.9+1.4+0.7</f>
        <v>5</v>
      </c>
      <c r="D98" s="2">
        <f>100*100/275</f>
        <v>36.363636363636367</v>
      </c>
      <c r="E98" s="2">
        <f>100*1/3</f>
        <v>33.333333333333336</v>
      </c>
      <c r="F98" s="2">
        <f>1.3+50/10*0.7</f>
        <v>4.8</v>
      </c>
      <c r="G98" s="2">
        <v>1</v>
      </c>
      <c r="H98" s="2">
        <v>0</v>
      </c>
      <c r="I98" s="4">
        <v>0</v>
      </c>
    </row>
    <row r="99" spans="1:9" s="1" customFormat="1" x14ac:dyDescent="0.2">
      <c r="A99" s="1" t="s">
        <v>89</v>
      </c>
      <c r="B99" s="3">
        <v>44155</v>
      </c>
      <c r="C99" s="2">
        <v>3.4</v>
      </c>
      <c r="D99" s="2">
        <v>0</v>
      </c>
      <c r="E99" s="2">
        <f>100*5/10</f>
        <v>50</v>
      </c>
      <c r="F99" s="2">
        <v>0</v>
      </c>
      <c r="G99" s="2">
        <v>1</v>
      </c>
      <c r="H99" s="2">
        <f>100*550/5786</f>
        <v>9.5057034220532319</v>
      </c>
      <c r="I99" s="4">
        <v>1</v>
      </c>
    </row>
    <row r="100" spans="1:9" s="1" customFormat="1" x14ac:dyDescent="0.2">
      <c r="A100" s="1" t="s">
        <v>90</v>
      </c>
      <c r="B100" s="3">
        <v>44154</v>
      </c>
      <c r="C100" s="2">
        <v>0.6</v>
      </c>
      <c r="D100" s="2">
        <f>100*(0.5*0.5/4.5+0.5*0.5/2.5)</f>
        <v>15.555555555555555</v>
      </c>
      <c r="E100" s="2">
        <v>0</v>
      </c>
      <c r="F100" s="2">
        <v>1.4</v>
      </c>
      <c r="G100" s="2">
        <v>1</v>
      </c>
      <c r="H100" s="2">
        <v>0</v>
      </c>
      <c r="I100" s="4">
        <v>0</v>
      </c>
    </row>
    <row r="101" spans="1:9" s="1" customFormat="1" x14ac:dyDescent="0.2">
      <c r="A101" s="1" t="s">
        <v>91</v>
      </c>
      <c r="B101" s="3">
        <v>44155</v>
      </c>
      <c r="C101" s="2">
        <f>7+4+4.3+100*(9.17)/14859+100*(390+87.3)/18292</f>
        <v>17.9710508549297</v>
      </c>
      <c r="D101" s="2">
        <v>0</v>
      </c>
      <c r="E101" s="2">
        <v>0</v>
      </c>
      <c r="F101" s="2">
        <f>100*((1350+120+360)/12500)+8.7</f>
        <v>23.34</v>
      </c>
      <c r="G101" s="2">
        <v>1</v>
      </c>
      <c r="H101" s="2">
        <v>0</v>
      </c>
      <c r="I101" s="4">
        <v>0</v>
      </c>
    </row>
    <row r="102" spans="1:9" s="1" customFormat="1" x14ac:dyDescent="0.2">
      <c r="A102" s="1" t="s">
        <v>92</v>
      </c>
      <c r="B102" s="3">
        <v>44154</v>
      </c>
      <c r="C102" s="2">
        <v>5</v>
      </c>
      <c r="D102" s="2">
        <f>100*(0.5*1.5/6.5+0.5*2.5/9)</f>
        <v>25.427350427350426</v>
      </c>
      <c r="E102" s="2">
        <f>100*2/7</f>
        <v>28.571428571428573</v>
      </c>
      <c r="F102" s="2">
        <v>0</v>
      </c>
      <c r="G102" s="2">
        <v>0</v>
      </c>
      <c r="H102" s="2">
        <v>0</v>
      </c>
      <c r="I102" s="4">
        <v>0</v>
      </c>
    </row>
    <row r="103" spans="1:9" s="1" customFormat="1" x14ac:dyDescent="0.2">
      <c r="A103" s="1" t="s">
        <v>93</v>
      </c>
      <c r="B103" s="3">
        <v>44154</v>
      </c>
      <c r="C103" s="2">
        <f>0.28+1.8+0.5+0.84+3.6</f>
        <v>7.02</v>
      </c>
      <c r="D103" s="2">
        <f>100*1.5/3.35</f>
        <v>44.776119402985074</v>
      </c>
      <c r="E103" s="2">
        <f>100*1/9</f>
        <v>11.111111111111111</v>
      </c>
      <c r="F103" s="2">
        <f>100*400/14277+12+2.2</f>
        <v>17.001709042515934</v>
      </c>
      <c r="G103" s="2">
        <v>1</v>
      </c>
      <c r="H103" s="2">
        <f>100*327/14277</f>
        <v>2.2903971422567766</v>
      </c>
      <c r="I103" s="4">
        <v>1</v>
      </c>
    </row>
    <row r="104" spans="1:9" s="1" customFormat="1" x14ac:dyDescent="0.2">
      <c r="A104" s="1" t="s">
        <v>94</v>
      </c>
      <c r="B104" s="3">
        <v>44154</v>
      </c>
      <c r="C104" s="2">
        <v>2</v>
      </c>
      <c r="D104" s="2">
        <f>100*275/700</f>
        <v>39.285714285714285</v>
      </c>
      <c r="E104" s="2">
        <v>15</v>
      </c>
      <c r="F104" s="2">
        <f>(500*0.045+10)*100/1274+3.3</f>
        <v>5.8510204081632651</v>
      </c>
      <c r="G104" s="2">
        <v>1</v>
      </c>
      <c r="H104" s="2">
        <f>0.2+100*120/1274</f>
        <v>9.6191522762951323</v>
      </c>
      <c r="I104" s="4">
        <v>1</v>
      </c>
    </row>
    <row r="105" spans="1:9" s="1" customFormat="1" x14ac:dyDescent="0.2">
      <c r="A105" s="1" t="s">
        <v>95</v>
      </c>
      <c r="B105" s="3">
        <v>44154</v>
      </c>
      <c r="C105" s="2">
        <v>2.4</v>
      </c>
      <c r="D105" s="2">
        <f>100*2.75/5.5</f>
        <v>50</v>
      </c>
      <c r="E105" s="2">
        <f>100*0.5*8.5/40.5-100*0.5*8/22</f>
        <v>-7.6879910213243559</v>
      </c>
      <c r="F105" s="2">
        <v>0</v>
      </c>
      <c r="G105" s="2">
        <v>1</v>
      </c>
      <c r="H105" s="2">
        <v>0</v>
      </c>
      <c r="I105" s="4">
        <v>0</v>
      </c>
    </row>
    <row r="106" spans="1:9" s="1" customFormat="1" x14ac:dyDescent="0.2">
      <c r="A106" s="1" t="s">
        <v>96</v>
      </c>
      <c r="B106" s="3">
        <v>44154</v>
      </c>
      <c r="C106" s="2">
        <f>2.04+7.5</f>
        <v>9.5399999999999991</v>
      </c>
      <c r="D106" s="2">
        <f>100*2/11</f>
        <v>18.181818181818183</v>
      </c>
      <c r="E106" s="2">
        <f>100*2/10.5</f>
        <v>19.047619047619047</v>
      </c>
      <c r="F106" s="2">
        <v>1</v>
      </c>
      <c r="G106" s="2">
        <v>1</v>
      </c>
      <c r="H106" s="2">
        <v>0</v>
      </c>
      <c r="I106" s="4">
        <v>1</v>
      </c>
    </row>
    <row r="107" spans="1:9" s="1" customFormat="1" x14ac:dyDescent="0.2">
      <c r="A107" s="1" t="s">
        <v>97</v>
      </c>
      <c r="B107" s="3">
        <v>44154</v>
      </c>
      <c r="C107" s="2">
        <f>100*(144.21+333.77)/5424</f>
        <v>8.8123156342182885</v>
      </c>
      <c r="D107" s="2">
        <v>0</v>
      </c>
      <c r="E107" s="2">
        <f>100*2/7.5</f>
        <v>26.666666666666668</v>
      </c>
      <c r="F107" s="2">
        <f>100*165.17/5424</f>
        <v>3.0451696165191739</v>
      </c>
      <c r="G107" s="2">
        <v>1</v>
      </c>
      <c r="H107" s="2">
        <v>0</v>
      </c>
      <c r="I107" s="4">
        <v>0</v>
      </c>
    </row>
    <row r="108" spans="1:9" s="1" customFormat="1" x14ac:dyDescent="0.2">
      <c r="A108" s="1" t="s">
        <v>98</v>
      </c>
      <c r="B108" s="3">
        <v>44154</v>
      </c>
      <c r="C108" s="2">
        <v>3</v>
      </c>
      <c r="D108" s="2">
        <f>100*75/225</f>
        <v>33.333333333333336</v>
      </c>
      <c r="E108" s="2">
        <v>0</v>
      </c>
      <c r="F108" s="2">
        <f>100*0.984/119.04+3.7</f>
        <v>4.5266129032258071</v>
      </c>
      <c r="G108" s="2">
        <v>1</v>
      </c>
      <c r="H108" s="2">
        <v>3</v>
      </c>
      <c r="I108" s="4">
        <v>1</v>
      </c>
    </row>
    <row r="109" spans="1:9" s="1" customFormat="1" ht="21" customHeight="1" x14ac:dyDescent="0.2">
      <c r="A109" s="1" t="s">
        <v>99</v>
      </c>
      <c r="B109" s="3">
        <v>44154</v>
      </c>
      <c r="C109" s="2">
        <f>0.1+100*700/14396</f>
        <v>4.9624617949430396</v>
      </c>
      <c r="D109" s="2">
        <f>100*2.5/12.75</f>
        <v>19.607843137254903</v>
      </c>
      <c r="E109" s="2">
        <f>100*0.5*1.5/13+100*0.5*1.5/36</f>
        <v>7.8525641025641022</v>
      </c>
      <c r="F109" s="2">
        <f>100*500/14396</f>
        <v>3.4731869963878856</v>
      </c>
      <c r="G109" s="2">
        <v>1</v>
      </c>
      <c r="H109" s="2">
        <v>0</v>
      </c>
      <c r="I109" s="4">
        <v>1</v>
      </c>
    </row>
    <row r="110" spans="1:9" s="1" customFormat="1" ht="16" customHeight="1" x14ac:dyDescent="0.2">
      <c r="A110" s="1" t="s">
        <v>100</v>
      </c>
      <c r="B110" s="3">
        <v>44154</v>
      </c>
      <c r="C110" s="2">
        <f>100*1/65.994</f>
        <v>1.515289268721399</v>
      </c>
      <c r="D110" s="2">
        <f>100*3/8</f>
        <v>37.5</v>
      </c>
      <c r="E110" s="2">
        <f>100*1.5/5</f>
        <v>30</v>
      </c>
      <c r="F110" s="2">
        <v>0</v>
      </c>
      <c r="G110" s="2">
        <v>1</v>
      </c>
      <c r="H110" s="2">
        <v>0</v>
      </c>
      <c r="I110" s="4">
        <v>0</v>
      </c>
    </row>
    <row r="111" spans="1:9" s="1" customFormat="1" ht="18" customHeight="1" x14ac:dyDescent="0.2">
      <c r="A111" s="1" t="s">
        <v>108</v>
      </c>
      <c r="B111" s="3">
        <v>44154</v>
      </c>
      <c r="C111" s="2">
        <v>1.2</v>
      </c>
      <c r="D111" s="2">
        <f>100*50/200</f>
        <v>25</v>
      </c>
      <c r="E111" s="2">
        <v>0</v>
      </c>
      <c r="F111" s="2">
        <v>0</v>
      </c>
      <c r="G111" s="2">
        <v>1</v>
      </c>
      <c r="H111" s="2">
        <v>0</v>
      </c>
      <c r="I111" s="4">
        <v>1</v>
      </c>
    </row>
    <row r="112" spans="1:9" s="1" customFormat="1" ht="24" customHeight="1" x14ac:dyDescent="0.2">
      <c r="A112" s="1" t="s">
        <v>101</v>
      </c>
      <c r="B112" s="3">
        <v>44154</v>
      </c>
      <c r="C112" s="2">
        <v>4.25</v>
      </c>
      <c r="D112" s="2">
        <f>100*250/625</f>
        <v>40</v>
      </c>
      <c r="E112" s="2">
        <v>100</v>
      </c>
      <c r="F112" s="2">
        <f>50*4.25/8000</f>
        <v>2.6562499999999999E-2</v>
      </c>
      <c r="G112" s="2">
        <v>1</v>
      </c>
      <c r="H112" s="2">
        <v>0</v>
      </c>
      <c r="I112" s="4">
        <v>0</v>
      </c>
    </row>
    <row r="113" spans="1:9" s="1" customFormat="1" ht="23" customHeight="1" x14ac:dyDescent="0.2">
      <c r="A113" s="1" t="s">
        <v>102</v>
      </c>
      <c r="B113" s="3">
        <v>44155</v>
      </c>
      <c r="C113" s="2">
        <v>4</v>
      </c>
      <c r="D113" s="2">
        <f>100*3/6</f>
        <v>50</v>
      </c>
      <c r="E113" s="2">
        <f>100*1/4</f>
        <v>25</v>
      </c>
      <c r="F113" s="2">
        <v>0</v>
      </c>
      <c r="G113" s="2">
        <v>1</v>
      </c>
      <c r="H113" s="2">
        <v>0</v>
      </c>
      <c r="I113" s="4">
        <v>1</v>
      </c>
    </row>
    <row r="114" spans="1:9" s="1" customFormat="1" ht="38" customHeight="1" x14ac:dyDescent="0.2">
      <c r="A114" s="1" t="s">
        <v>103</v>
      </c>
      <c r="B114" s="3">
        <v>44154</v>
      </c>
      <c r="C114" s="2">
        <f>4.6+3.5+4.3+100*(390+87.3)/18292+1.7</f>
        <v>16.709337415263501</v>
      </c>
      <c r="D114" s="2">
        <v>0</v>
      </c>
      <c r="E114" s="2">
        <f>100*(1/3*1.5/3+1/3*1/3+1/3*0.5/3)</f>
        <v>33.333333333333336</v>
      </c>
      <c r="F114" s="2">
        <f>100*((1350+120+360)/12500)+7.8</f>
        <v>22.44</v>
      </c>
      <c r="G114" s="2">
        <v>1</v>
      </c>
      <c r="H114" s="2">
        <v>0</v>
      </c>
      <c r="I114" s="4">
        <v>0</v>
      </c>
    </row>
    <row r="115" spans="1:9" s="1" customFormat="1" ht="21" customHeight="1" x14ac:dyDescent="0.2">
      <c r="A115" s="1" t="s">
        <v>104</v>
      </c>
      <c r="B115" s="3">
        <v>44154</v>
      </c>
      <c r="C115" s="2">
        <f>10.6+0.9*21.3/62.1</f>
        <v>10.908695652173913</v>
      </c>
      <c r="D115" s="2">
        <f>100*75/100</f>
        <v>75</v>
      </c>
      <c r="E115" s="2">
        <f>100*25/75</f>
        <v>33.333333333333336</v>
      </c>
      <c r="F115" s="2">
        <f>100*91.5*0.65/203.127</f>
        <v>29.279711707453956</v>
      </c>
      <c r="G115" s="2">
        <v>1</v>
      </c>
      <c r="H115" s="2">
        <f>100*30/203.127</f>
        <v>14.769085350544239</v>
      </c>
      <c r="I115" s="4">
        <v>0</v>
      </c>
    </row>
    <row r="116" spans="1:9" s="1" customFormat="1" ht="27" customHeight="1" x14ac:dyDescent="0.2">
      <c r="A116" s="1" t="s">
        <v>105</v>
      </c>
      <c r="B116" s="3">
        <v>44028</v>
      </c>
      <c r="C116" s="2">
        <v>0</v>
      </c>
      <c r="D116" s="2">
        <f>100*2.25/10</f>
        <v>22.5</v>
      </c>
      <c r="E116" s="2">
        <f>100*10.5/15</f>
        <v>70</v>
      </c>
      <c r="F116" s="2">
        <v>0</v>
      </c>
      <c r="G116" s="2">
        <v>1</v>
      </c>
      <c r="H116" s="2">
        <v>0</v>
      </c>
      <c r="I116" s="4">
        <v>0</v>
      </c>
    </row>
    <row r="117" spans="1:9" s="1" customFormat="1" ht="24" customHeight="1" x14ac:dyDescent="0.2">
      <c r="A117" s="1" t="s">
        <v>106</v>
      </c>
      <c r="B117" s="3">
        <v>44140</v>
      </c>
      <c r="C117" s="2">
        <f>1.3+100*114.5/9299</f>
        <v>2.5313151951822777</v>
      </c>
      <c r="D117" s="2">
        <f>100*0.625/3.625</f>
        <v>17.241379310344829</v>
      </c>
      <c r="E117" s="2">
        <v>0</v>
      </c>
      <c r="F117" s="2">
        <v>4</v>
      </c>
      <c r="G117" s="2">
        <v>1</v>
      </c>
      <c r="H117" s="2">
        <v>0</v>
      </c>
      <c r="I117" s="4">
        <v>0</v>
      </c>
    </row>
    <row r="118" spans="1:9" s="1" customFormat="1" ht="29" customHeight="1" x14ac:dyDescent="0.2">
      <c r="A118" s="1" t="s">
        <v>107</v>
      </c>
      <c r="B118" s="3">
        <v>44154</v>
      </c>
      <c r="C118" s="2">
        <f>100*(48.7/446543)+2.45/0.5*0.3+0.3</f>
        <v>1.7809060045729079</v>
      </c>
      <c r="D118" s="2">
        <f>100*2/13.5</f>
        <v>14.814814814814815</v>
      </c>
      <c r="E118" s="2">
        <v>0</v>
      </c>
      <c r="F118" s="2">
        <f>2.4+100*150/446543+100*383/446543+3.6*0.3/0.5</f>
        <v>4.6793614052845971</v>
      </c>
      <c r="G118" s="2">
        <v>1</v>
      </c>
      <c r="H118" s="2">
        <v>0</v>
      </c>
      <c r="I118" s="4">
        <v>1</v>
      </c>
    </row>
    <row r="119" spans="1:9" s="1" customFormat="1" x14ac:dyDescent="0.2">
      <c r="A119" s="1" t="s">
        <v>109</v>
      </c>
      <c r="B119" s="3">
        <v>44140</v>
      </c>
      <c r="C119" s="2">
        <v>5.5</v>
      </c>
      <c r="D119" s="2">
        <f>100*1.5/1.5</f>
        <v>100</v>
      </c>
      <c r="E119" s="2">
        <f>100*1.5/2.5</f>
        <v>60</v>
      </c>
      <c r="F119" s="2">
        <v>0</v>
      </c>
      <c r="G119" s="2">
        <v>1</v>
      </c>
      <c r="H119" s="2">
        <f>100*30/417.627</f>
        <v>7.1834435991925805</v>
      </c>
      <c r="I119" s="4">
        <v>0</v>
      </c>
    </row>
    <row r="120" spans="1:9" s="1" customFormat="1" x14ac:dyDescent="0.2">
      <c r="A120" s="1" t="s">
        <v>110</v>
      </c>
      <c r="B120" s="3">
        <v>44153</v>
      </c>
      <c r="C120" s="2">
        <v>-5</v>
      </c>
      <c r="D120" s="2">
        <f>100*75/125</f>
        <v>60</v>
      </c>
      <c r="E120" s="2">
        <f>100*5/12.5</f>
        <v>40</v>
      </c>
      <c r="F120" s="2">
        <f>100*20.8/79.277</f>
        <v>26.2371179535048</v>
      </c>
      <c r="G120" s="2">
        <v>1</v>
      </c>
      <c r="H120" s="2">
        <v>0</v>
      </c>
      <c r="I120" s="4">
        <v>0</v>
      </c>
    </row>
    <row r="121" spans="1:9" s="1" customFormat="1" x14ac:dyDescent="0.2">
      <c r="A121" s="1" t="s">
        <v>111</v>
      </c>
      <c r="B121" s="3">
        <v>44154</v>
      </c>
      <c r="C121" s="2">
        <f>100*((2375000000000)/165.5)/284214000000</f>
        <v>5.0491718114538475</v>
      </c>
      <c r="D121" s="2">
        <f>100*6.25/13.25</f>
        <v>47.169811320754718</v>
      </c>
      <c r="E121" s="2">
        <f>100*100/250</f>
        <v>40</v>
      </c>
      <c r="F121" s="2">
        <f>100*((2000000000000)/165.5)/284214000000</f>
        <v>4.2519341570137668</v>
      </c>
      <c r="G121" s="2">
        <v>1</v>
      </c>
      <c r="H121" s="2">
        <v>0</v>
      </c>
      <c r="I121" s="4">
        <v>1</v>
      </c>
    </row>
    <row r="122" spans="1:9" s="1" customFormat="1" x14ac:dyDescent="0.2">
      <c r="A122" s="1" t="s">
        <v>150</v>
      </c>
      <c r="B122" s="3">
        <v>44153</v>
      </c>
      <c r="C122" s="2">
        <f>100*(2100+515+300+400+41+1+1300+250)/68536</f>
        <v>7.1597408661141593</v>
      </c>
      <c r="D122" s="2">
        <v>0</v>
      </c>
      <c r="E122" s="2">
        <v>0</v>
      </c>
      <c r="F122" s="2">
        <f>2+100*1150/68536</f>
        <v>3.6779502743083929</v>
      </c>
      <c r="G122" s="2">
        <v>1</v>
      </c>
      <c r="H122" s="2">
        <v>0</v>
      </c>
      <c r="I122" s="4">
        <v>0</v>
      </c>
    </row>
    <row r="123" spans="1:9" s="1" customFormat="1" x14ac:dyDescent="0.2">
      <c r="A123" s="1" t="s">
        <v>112</v>
      </c>
      <c r="B123" s="3">
        <v>44155</v>
      </c>
      <c r="C123" s="2">
        <f>100*1.91/23.587</f>
        <v>8.0976809259337763</v>
      </c>
      <c r="D123" s="2">
        <f>100*2/5</f>
        <v>40</v>
      </c>
      <c r="E123" s="2">
        <f>100*3/10</f>
        <v>30</v>
      </c>
      <c r="F123" s="2">
        <f>100*0.42/23.587</f>
        <v>1.7806418790011447</v>
      </c>
      <c r="G123" s="2">
        <v>1</v>
      </c>
      <c r="H123" s="2">
        <v>0</v>
      </c>
      <c r="I123" s="4">
        <v>1</v>
      </c>
    </row>
    <row r="124" spans="1:9" s="1" customFormat="1" x14ac:dyDescent="0.2">
      <c r="A124" s="1" t="s">
        <v>113</v>
      </c>
      <c r="B124" s="3">
        <v>44154</v>
      </c>
      <c r="C124" s="2">
        <v>2.5</v>
      </c>
      <c r="D124" s="2">
        <f>100*(0.5*325/400+0.5*200/450)</f>
        <v>62.847222222222221</v>
      </c>
      <c r="E124" s="2">
        <v>35</v>
      </c>
      <c r="F124" s="2">
        <f>100*(760+500)/40714</f>
        <v>3.0947585597091911</v>
      </c>
      <c r="G124" s="2">
        <v>0</v>
      </c>
      <c r="H124" s="2">
        <f>100*274/40714</f>
        <v>0.67298717885739545</v>
      </c>
      <c r="I124" s="4">
        <v>0</v>
      </c>
    </row>
    <row r="125" spans="1:9" s="1" customFormat="1" x14ac:dyDescent="0.2">
      <c r="A125" s="1" t="s">
        <v>114</v>
      </c>
      <c r="B125" s="3">
        <v>44155</v>
      </c>
      <c r="C125" s="2">
        <v>6</v>
      </c>
      <c r="D125" s="2">
        <f>100*2/2.25</f>
        <v>88.888888888888886</v>
      </c>
      <c r="E125" s="2">
        <v>0</v>
      </c>
      <c r="F125" s="2">
        <v>8.8000000000000007</v>
      </c>
      <c r="G125" s="2">
        <v>1</v>
      </c>
      <c r="H125" s="2">
        <v>0.4</v>
      </c>
      <c r="I125" s="4">
        <v>0</v>
      </c>
    </row>
    <row r="126" spans="1:9" s="1" customFormat="1" x14ac:dyDescent="0.2">
      <c r="A126" s="1" t="s">
        <v>115</v>
      </c>
      <c r="B126" s="3">
        <v>44155</v>
      </c>
      <c r="C126" s="2">
        <v>3.3</v>
      </c>
      <c r="D126" s="2">
        <f>100*200/400</f>
        <v>50</v>
      </c>
      <c r="E126" s="2">
        <f>100*2/14</f>
        <v>14.285714285714286</v>
      </c>
      <c r="F126" s="2">
        <f>1.5+20*1.5/300+0.6</f>
        <v>2.2000000000000002</v>
      </c>
      <c r="G126" s="2">
        <v>1</v>
      </c>
      <c r="H126" s="2">
        <v>0</v>
      </c>
      <c r="I126" s="4">
        <v>1</v>
      </c>
    </row>
    <row r="127" spans="1:9" s="1" customFormat="1" x14ac:dyDescent="0.2">
      <c r="A127" s="1" t="s">
        <v>116</v>
      </c>
      <c r="B127" s="3">
        <v>44154</v>
      </c>
      <c r="C127" s="2">
        <f>5.2+2.3+0.6*4.5+100*(390+87.3)/18292</f>
        <v>12.809337415263503</v>
      </c>
      <c r="D127" s="2">
        <f>100*140/150</f>
        <v>93.333333333333329</v>
      </c>
      <c r="E127" s="2">
        <f>100*(3/3.5)</f>
        <v>85.714285714285708</v>
      </c>
      <c r="F127" s="2">
        <f>4.6+3.3+4.5</f>
        <v>12.399999999999999</v>
      </c>
      <c r="G127" s="2">
        <v>1</v>
      </c>
      <c r="H127" s="2">
        <v>0</v>
      </c>
      <c r="I127" s="4">
        <v>0</v>
      </c>
    </row>
    <row r="128" spans="1:9" s="1" customFormat="1" x14ac:dyDescent="0.2">
      <c r="A128" s="1" t="s">
        <v>117</v>
      </c>
      <c r="B128" s="3">
        <v>44154</v>
      </c>
      <c r="C128" s="2">
        <f>0.3*7+3.7+4.3+100*(390+87.3)/18292+1300*0.3/600</f>
        <v>13.359337415263505</v>
      </c>
      <c r="D128" s="2">
        <v>0</v>
      </c>
      <c r="E128" s="2">
        <v>0</v>
      </c>
      <c r="F128" s="2">
        <f>100*((1350+120+360)/12500)+6.8+0.8</f>
        <v>22.240000000000002</v>
      </c>
      <c r="G128" s="2">
        <v>1</v>
      </c>
      <c r="H128" s="2">
        <v>0</v>
      </c>
      <c r="I128" s="4">
        <v>0</v>
      </c>
    </row>
    <row r="129" spans="1:11" s="1" customFormat="1" x14ac:dyDescent="0.2">
      <c r="A129" s="1" t="s">
        <v>118</v>
      </c>
      <c r="B129" s="3">
        <v>44152</v>
      </c>
      <c r="C129" s="2">
        <v>14</v>
      </c>
      <c r="D129" s="2">
        <f>100*(1/3*1/2+1/3*175/425+1/3*100/200)</f>
        <v>47.058823529411761</v>
      </c>
      <c r="E129" s="2">
        <v>0</v>
      </c>
      <c r="F129" s="2">
        <v>12</v>
      </c>
      <c r="G129" s="2">
        <v>1</v>
      </c>
      <c r="H129" s="2">
        <v>0</v>
      </c>
      <c r="I129" s="4">
        <v>0</v>
      </c>
    </row>
    <row r="130" spans="1:11" s="1" customFormat="1" x14ac:dyDescent="0.2">
      <c r="A130" s="1" t="s">
        <v>119</v>
      </c>
      <c r="B130" s="3">
        <v>44154</v>
      </c>
      <c r="C130" s="2">
        <f>2+2.3+100*(390+87.3)/18292+2.4</f>
        <v>9.3093374152635029</v>
      </c>
      <c r="D130" s="2">
        <f>100*1/2.5</f>
        <v>40</v>
      </c>
      <c r="E130" s="2">
        <v>0</v>
      </c>
      <c r="F130" s="2">
        <f>100*5.1/246.698+1.65+33*1.5/15</f>
        <v>7.0173049639640368</v>
      </c>
      <c r="G130" s="2">
        <v>1</v>
      </c>
      <c r="H130" s="2">
        <v>0</v>
      </c>
      <c r="I130" s="4">
        <v>0</v>
      </c>
    </row>
    <row r="131" spans="1:11" s="1" customFormat="1" x14ac:dyDescent="0.2">
      <c r="A131" s="1" t="s">
        <v>120</v>
      </c>
      <c r="B131" s="3">
        <v>44153</v>
      </c>
      <c r="C131" s="2">
        <v>4.2</v>
      </c>
      <c r="D131" s="2">
        <f>100*2/6</f>
        <v>33.333333333333336</v>
      </c>
      <c r="E131" s="2">
        <v>0</v>
      </c>
      <c r="F131" s="2">
        <f>100*10.18/1638+0.3</f>
        <v>0.92148962148962155</v>
      </c>
      <c r="G131" s="2">
        <v>1</v>
      </c>
      <c r="H131" s="2">
        <v>0</v>
      </c>
      <c r="I131" s="4">
        <v>1</v>
      </c>
    </row>
    <row r="132" spans="1:11" s="1" customFormat="1" x14ac:dyDescent="0.2">
      <c r="A132" s="1" t="s">
        <v>121</v>
      </c>
      <c r="B132" s="3">
        <v>44153</v>
      </c>
      <c r="C132" s="2">
        <v>3.3</v>
      </c>
      <c r="D132" s="2">
        <f>100*50/500</f>
        <v>10</v>
      </c>
      <c r="E132" s="2">
        <f>100*1/5</f>
        <v>20</v>
      </c>
      <c r="F132" s="2">
        <v>0.5</v>
      </c>
      <c r="G132" s="2">
        <v>1</v>
      </c>
      <c r="H132" s="2">
        <v>0</v>
      </c>
      <c r="I132" s="4">
        <v>0</v>
      </c>
    </row>
    <row r="133" spans="1:11" s="1" customFormat="1" x14ac:dyDescent="0.2">
      <c r="A133" s="1" t="s">
        <v>122</v>
      </c>
      <c r="B133" s="3">
        <v>44126</v>
      </c>
      <c r="C133" s="2">
        <v>2</v>
      </c>
      <c r="D133" s="2">
        <v>0</v>
      </c>
      <c r="E133" s="2">
        <v>0</v>
      </c>
      <c r="F133" s="2">
        <v>2.5</v>
      </c>
      <c r="G133" s="2">
        <v>1</v>
      </c>
      <c r="H133" s="2">
        <v>0</v>
      </c>
      <c r="I133" s="4">
        <v>0</v>
      </c>
    </row>
    <row r="134" spans="1:11" s="1" customFormat="1" x14ac:dyDescent="0.2">
      <c r="A134" s="1" t="s">
        <v>123</v>
      </c>
      <c r="B134" s="3">
        <v>44152</v>
      </c>
      <c r="C134" s="2">
        <f>2.8-2+0.4+2.8*0.9/70-100*2.8/70+3.7*2.8/70+0.67*2.8/70+0.4</f>
        <v>-2.1892</v>
      </c>
      <c r="D134" s="2">
        <f>100*(0.5*1.25/1.75+0.5*1.25/2.25)</f>
        <v>63.492063492063487</v>
      </c>
      <c r="E134" s="2">
        <v>0</v>
      </c>
      <c r="F134" s="2">
        <f>4+74.5/50*2</f>
        <v>6.98</v>
      </c>
      <c r="G134" s="2">
        <v>1</v>
      </c>
      <c r="H134" s="2">
        <v>0</v>
      </c>
      <c r="I134" s="4">
        <v>0</v>
      </c>
    </row>
    <row r="135" spans="1:11" s="1" customFormat="1" x14ac:dyDescent="0.2">
      <c r="A135" s="1" t="s">
        <v>124</v>
      </c>
      <c r="B135" s="3">
        <v>44154</v>
      </c>
      <c r="C135" s="2">
        <f>7-200*0.5/78.7</f>
        <v>5.7293519695044477</v>
      </c>
      <c r="D135" s="2">
        <f>100*0.625/3.625</f>
        <v>17.241379310344829</v>
      </c>
      <c r="E135" s="2">
        <v>0</v>
      </c>
      <c r="F135" s="2">
        <f>2+7-C135</f>
        <v>3.2706480304955523</v>
      </c>
      <c r="G135" s="2">
        <v>1</v>
      </c>
      <c r="H135" s="2">
        <v>0</v>
      </c>
      <c r="I135" s="4">
        <v>0</v>
      </c>
    </row>
    <row r="136" spans="1:11" s="1" customFormat="1" x14ac:dyDescent="0.2">
      <c r="A136" s="1" t="s">
        <v>125</v>
      </c>
      <c r="B136" s="3">
        <v>44154</v>
      </c>
      <c r="C136" s="2">
        <f>7+66*7/390+0.02+0.02</f>
        <v>8.2246153846153831</v>
      </c>
      <c r="D136" s="2">
        <f>100*1/2.25</f>
        <v>44.444444444444443</v>
      </c>
      <c r="E136" s="2">
        <v>0</v>
      </c>
      <c r="F136" s="2">
        <f>264*6.5/353+100*1.18/51.523</f>
        <v>7.1514291122988665</v>
      </c>
      <c r="G136" s="2">
        <v>1</v>
      </c>
      <c r="H136" s="2">
        <v>0</v>
      </c>
      <c r="I136" s="4">
        <v>1</v>
      </c>
    </row>
    <row r="137" spans="1:11" s="1" customFormat="1" x14ac:dyDescent="0.2">
      <c r="A137" s="1" t="s">
        <v>126</v>
      </c>
      <c r="B137" s="3">
        <v>44154</v>
      </c>
      <c r="C137" s="2">
        <v>5</v>
      </c>
      <c r="D137" s="2">
        <f>100*2/5</f>
        <v>40</v>
      </c>
      <c r="E137" s="2">
        <v>0</v>
      </c>
      <c r="F137" s="2">
        <f>100*(125.628)/1583</f>
        <v>7.9360707517372076</v>
      </c>
      <c r="G137" s="2">
        <v>1</v>
      </c>
      <c r="H137" s="2">
        <v>0</v>
      </c>
      <c r="I137" s="4">
        <v>0</v>
      </c>
    </row>
    <row r="138" spans="1:11" x14ac:dyDescent="0.2">
      <c r="A138" s="1" t="s">
        <v>127</v>
      </c>
      <c r="B138" s="3">
        <v>44150</v>
      </c>
      <c r="C138" s="2">
        <f>100*(101.6+143+7.5)/4082</f>
        <v>6.1758941695247431</v>
      </c>
      <c r="D138" s="2">
        <f>100*(1/2*1.5/16.5+0.5*2/12)</f>
        <v>12.878787878787879</v>
      </c>
      <c r="E138" s="2">
        <v>0</v>
      </c>
      <c r="F138" s="2">
        <f>100*52468000/4082000000</f>
        <v>1.2853503184713375</v>
      </c>
      <c r="G138" s="2">
        <v>1</v>
      </c>
      <c r="H138" s="2">
        <v>0</v>
      </c>
      <c r="I138" s="4">
        <v>0</v>
      </c>
      <c r="K138" s="1"/>
    </row>
    <row r="139" spans="1:11" s="1" customFormat="1" x14ac:dyDescent="0.2">
      <c r="A139" s="1" t="s">
        <v>128</v>
      </c>
      <c r="B139" s="3">
        <v>44154</v>
      </c>
      <c r="C139" s="2">
        <f>100*73.6885/369.627</f>
        <v>19.935908361672713</v>
      </c>
      <c r="D139" s="2">
        <v>0</v>
      </c>
      <c r="E139" s="2">
        <v>0</v>
      </c>
      <c r="F139" s="2">
        <f>100*(15.65)/(369.627)</f>
        <v>4.2339980575012106</v>
      </c>
      <c r="G139" s="2">
        <v>1</v>
      </c>
      <c r="H139" s="2">
        <f>100*60/369.627</f>
        <v>16.232580412145218</v>
      </c>
      <c r="I139" s="4">
        <v>0</v>
      </c>
      <c r="K139"/>
    </row>
    <row r="140" spans="1:11" s="1" customFormat="1" x14ac:dyDescent="0.2">
      <c r="A140" s="1" t="s">
        <v>167</v>
      </c>
      <c r="B140" s="3">
        <v>44154</v>
      </c>
      <c r="C140" s="2">
        <f>2.3+4.3+100*(390+87.3)/18292</f>
        <v>9.2093374152635032</v>
      </c>
      <c r="D140" s="2">
        <v>0</v>
      </c>
      <c r="E140" s="2">
        <v>50</v>
      </c>
      <c r="F140" s="2">
        <f>100*((1350+120+360)/12500)+4.4</f>
        <v>19.04</v>
      </c>
      <c r="G140" s="2">
        <v>1</v>
      </c>
      <c r="H140" s="2">
        <v>0</v>
      </c>
      <c r="I140" s="4">
        <v>0</v>
      </c>
    </row>
    <row r="141" spans="1:11" x14ac:dyDescent="0.2">
      <c r="A141" s="1" t="s">
        <v>166</v>
      </c>
      <c r="B141" s="3">
        <v>44154</v>
      </c>
      <c r="C141" s="2">
        <f>6.7+2.2+4.5+4.3+100*1.09/54.154+100*(390+87.3)/18292+100*1.2/54.154</f>
        <v>24.538018583782907</v>
      </c>
      <c r="D141" s="2">
        <v>0</v>
      </c>
      <c r="E141" s="2">
        <v>0</v>
      </c>
      <c r="F141" s="2">
        <f>100*((1350+120+360)/12500)+100*2.72/54.154</f>
        <v>19.66271300365624</v>
      </c>
      <c r="G141" s="2">
        <v>1</v>
      </c>
      <c r="H141" s="2">
        <v>0</v>
      </c>
      <c r="I141" s="4">
        <v>0</v>
      </c>
      <c r="K141" s="1"/>
    </row>
    <row r="142" spans="1:11" s="1" customFormat="1" x14ac:dyDescent="0.2">
      <c r="A142" s="1" t="s">
        <v>156</v>
      </c>
      <c r="B142" s="3">
        <v>44153</v>
      </c>
      <c r="C142" s="2">
        <v>10</v>
      </c>
      <c r="D142" s="2">
        <f>100*275/625</f>
        <v>44</v>
      </c>
      <c r="E142" s="2">
        <v>20</v>
      </c>
      <c r="F142" s="2">
        <f>100*2.26/358.839</f>
        <v>0.62980891151742135</v>
      </c>
      <c r="G142" s="2">
        <v>1</v>
      </c>
      <c r="H142" s="2">
        <v>0</v>
      </c>
      <c r="I142" s="4">
        <v>1</v>
      </c>
      <c r="K142"/>
    </row>
    <row r="143" spans="1:11" x14ac:dyDescent="0.2">
      <c r="A143" s="1" t="s">
        <v>158</v>
      </c>
      <c r="B143" s="3">
        <v>44154</v>
      </c>
      <c r="C143" s="2">
        <f>100*((10.9+0.8+14.3+35.1+6.3+23.7+4+11.6+7.8)*0.00082)/1.63</f>
        <v>5.7601226993865033</v>
      </c>
      <c r="D143" s="2">
        <f>100*75/125</f>
        <v>60</v>
      </c>
      <c r="E143" s="2">
        <v>0</v>
      </c>
      <c r="F143" s="2">
        <f>0.5+3*0.5/10+5.3+1.3+1.9+2.1</f>
        <v>11.25</v>
      </c>
      <c r="G143" s="2">
        <v>1</v>
      </c>
      <c r="H143" s="2">
        <f>100*60/1630</f>
        <v>3.6809815950920246</v>
      </c>
      <c r="I143" s="4">
        <v>1</v>
      </c>
      <c r="K143" s="1"/>
    </row>
    <row r="144" spans="1:11" x14ac:dyDescent="0.2">
      <c r="A144" s="1" t="s">
        <v>129</v>
      </c>
      <c r="B144" s="3">
        <v>44154</v>
      </c>
      <c r="C144" s="2">
        <f>3.8+4.3+100*(390+87.3)/18292</f>
        <v>10.709337415263503</v>
      </c>
      <c r="D144" s="2">
        <v>0</v>
      </c>
      <c r="E144" s="2">
        <v>0</v>
      </c>
      <c r="F144" s="2">
        <f>100*((1350+120)/12500)+100*196.32/1398</f>
        <v>25.802918454935622</v>
      </c>
      <c r="G144" s="2">
        <v>1</v>
      </c>
      <c r="H144" s="2">
        <v>0</v>
      </c>
      <c r="I144" s="4">
        <v>0</v>
      </c>
    </row>
    <row r="145" spans="1:11" s="1" customFormat="1" x14ac:dyDescent="0.2">
      <c r="A145" s="1" t="s">
        <v>160</v>
      </c>
      <c r="B145" s="3">
        <v>44154</v>
      </c>
      <c r="C145" s="2">
        <f>0.36</f>
        <v>0.36</v>
      </c>
      <c r="D145" s="2">
        <f>100*(0.5*2/6.5+0.5*2/7.5)</f>
        <v>28.717948717948715</v>
      </c>
      <c r="E145" s="2">
        <f>100*3/8</f>
        <v>37.5</v>
      </c>
      <c r="F145" s="2">
        <v>1</v>
      </c>
      <c r="G145" s="2">
        <v>1</v>
      </c>
      <c r="H145" s="2">
        <f>100*400/92111</f>
        <v>0.43425866617450687</v>
      </c>
      <c r="I145" s="4">
        <v>1</v>
      </c>
      <c r="K145"/>
    </row>
    <row r="146" spans="1:11" s="1" customFormat="1" x14ac:dyDescent="0.2">
      <c r="A146" s="1" t="s">
        <v>130</v>
      </c>
      <c r="B146" s="3">
        <v>44154</v>
      </c>
      <c r="C146" s="2">
        <f>100*(1800)/30873</f>
        <v>5.8303371878340293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4">
        <v>0</v>
      </c>
    </row>
    <row r="147" spans="1:11" s="1" customFormat="1" x14ac:dyDescent="0.2">
      <c r="A147" s="1" t="s">
        <v>131</v>
      </c>
      <c r="B147" s="3">
        <v>44126</v>
      </c>
      <c r="C147" s="2">
        <f>(100*1105/7.46)/86566</f>
        <v>0.17111027932072967</v>
      </c>
      <c r="D147" s="2">
        <v>0</v>
      </c>
      <c r="E147" s="2">
        <f>100*7.5/35</f>
        <v>21.428571428571427</v>
      </c>
      <c r="F147" s="2">
        <v>0</v>
      </c>
      <c r="G147" s="2">
        <v>1</v>
      </c>
      <c r="H147" s="2">
        <v>0</v>
      </c>
      <c r="I147" s="4">
        <v>0</v>
      </c>
    </row>
    <row r="148" spans="1:11" s="1" customFormat="1" x14ac:dyDescent="0.2">
      <c r="A148" s="1" t="s">
        <v>132</v>
      </c>
      <c r="B148" s="3">
        <v>44154</v>
      </c>
      <c r="C148" s="2">
        <f>16+2.3+100*(390+87.3)/18292</f>
        <v>20.909337415263504</v>
      </c>
      <c r="D148" s="2">
        <f>100*(65/75)</f>
        <v>86.666666666666671</v>
      </c>
      <c r="E148" s="2">
        <v>100</v>
      </c>
      <c r="F148" s="2">
        <f>100*142.49/528.929</f>
        <v>26.939343465758167</v>
      </c>
      <c r="G148" s="2">
        <v>1</v>
      </c>
      <c r="H148" s="2">
        <f>100*60/528.29</f>
        <v>11.357398398606827</v>
      </c>
      <c r="I148" s="4">
        <v>0</v>
      </c>
    </row>
    <row r="149" spans="1:11" s="1" customFormat="1" x14ac:dyDescent="0.2">
      <c r="A149" s="1" t="s">
        <v>133</v>
      </c>
      <c r="B149" s="3">
        <v>44154</v>
      </c>
      <c r="C149" s="2">
        <f>10.4+100*(440.21-638.3)/715360+100*442/715360+100*364/715360</f>
        <v>10.484979590695595</v>
      </c>
      <c r="D149" s="2">
        <v>0</v>
      </c>
      <c r="E149" s="2">
        <v>100</v>
      </c>
      <c r="F149" s="2">
        <f>100*(60*2.08/1.9)/705.546+100*638.3/715360</f>
        <v>9.3989270309643445</v>
      </c>
      <c r="G149" s="2">
        <v>1</v>
      </c>
      <c r="H149" s="2">
        <v>16.3</v>
      </c>
      <c r="I149" s="4">
        <v>1</v>
      </c>
    </row>
    <row r="150" spans="1:11" s="1" customFormat="1" x14ac:dyDescent="0.2">
      <c r="A150" s="1" t="s">
        <v>151</v>
      </c>
      <c r="B150" s="3">
        <v>44097</v>
      </c>
      <c r="C150" s="2">
        <f>100*189.5/8152</f>
        <v>2.3245829244357212</v>
      </c>
      <c r="D150" s="2">
        <f>100*2/12.75</f>
        <v>15.686274509803921</v>
      </c>
      <c r="E150" s="2">
        <f>0.5*2/3+0.5*4/9</f>
        <v>0.55555555555555558</v>
      </c>
      <c r="F150" s="2">
        <v>0</v>
      </c>
      <c r="G150" s="2">
        <v>1</v>
      </c>
      <c r="H150" s="2">
        <v>0</v>
      </c>
      <c r="I150" s="4">
        <v>1</v>
      </c>
    </row>
    <row r="151" spans="1:11" s="1" customFormat="1" x14ac:dyDescent="0.2">
      <c r="A151" s="1" t="s">
        <v>134</v>
      </c>
      <c r="B151" s="3">
        <v>44153</v>
      </c>
      <c r="C151" s="2">
        <f>100*(11.6+376+32.1)/62224</f>
        <v>0.67449858575469279</v>
      </c>
      <c r="D151" s="2">
        <f>100*2/7</f>
        <v>28.571428571428573</v>
      </c>
      <c r="E151" s="2">
        <f>100*1/7</f>
        <v>14.285714285714286</v>
      </c>
      <c r="F151" s="2">
        <v>0</v>
      </c>
      <c r="G151" s="2">
        <v>1</v>
      </c>
      <c r="H151" s="2">
        <v>0</v>
      </c>
      <c r="I151" s="4">
        <v>0</v>
      </c>
    </row>
    <row r="152" spans="1:11" s="1" customFormat="1" x14ac:dyDescent="0.2">
      <c r="A152" s="1" t="s">
        <v>135</v>
      </c>
      <c r="B152" s="3">
        <v>44154</v>
      </c>
      <c r="C152" s="2">
        <v>9.6</v>
      </c>
      <c r="D152" s="2">
        <f>100*0.75/1.25</f>
        <v>60</v>
      </c>
      <c r="E152" s="2">
        <v>50</v>
      </c>
      <c r="F152" s="2">
        <f>100*(1000/32.53)/529.177</f>
        <v>5.8091819175356747</v>
      </c>
      <c r="G152" s="2">
        <v>1</v>
      </c>
      <c r="H152" s="2">
        <v>0</v>
      </c>
      <c r="I152" s="4">
        <v>1</v>
      </c>
    </row>
    <row r="153" spans="1:11" s="1" customFormat="1" x14ac:dyDescent="0.2">
      <c r="A153" s="1" t="s">
        <v>136</v>
      </c>
      <c r="B153" s="3">
        <v>44154</v>
      </c>
      <c r="C153" s="2">
        <f>3.7+100*131/5502</f>
        <v>6.0809523809523807</v>
      </c>
      <c r="D153" s="2">
        <f>100*(0.5*0.5/4.5+0.5*0.5/2.5)</f>
        <v>15.555555555555555</v>
      </c>
      <c r="E153" s="2">
        <v>0</v>
      </c>
      <c r="F153" s="2">
        <v>5.3</v>
      </c>
      <c r="G153" s="2">
        <v>1</v>
      </c>
      <c r="H153" s="2">
        <v>0</v>
      </c>
      <c r="I153" s="4">
        <v>0</v>
      </c>
    </row>
    <row r="154" spans="1:11" s="1" customFormat="1" x14ac:dyDescent="0.2">
      <c r="A154" s="1" t="s">
        <v>137</v>
      </c>
      <c r="B154" s="3">
        <v>44154</v>
      </c>
      <c r="C154" s="2">
        <v>5.3</v>
      </c>
      <c r="D154" s="2">
        <v>0</v>
      </c>
      <c r="E154" s="2">
        <v>0</v>
      </c>
      <c r="F154" s="2">
        <v>4</v>
      </c>
      <c r="G154" s="2">
        <v>1</v>
      </c>
      <c r="H154" s="2">
        <v>0</v>
      </c>
      <c r="I154" s="4">
        <v>0</v>
      </c>
    </row>
    <row r="155" spans="1:11" s="1" customFormat="1" x14ac:dyDescent="0.2">
      <c r="A155" s="1" t="s">
        <v>138</v>
      </c>
      <c r="B155" s="3">
        <v>44154</v>
      </c>
      <c r="C155" s="2">
        <f>3.25+397*3.25/740</f>
        <v>4.9935810810810812</v>
      </c>
      <c r="D155" s="2">
        <f>100*150/500</f>
        <v>30</v>
      </c>
      <c r="E155" s="2">
        <f>100*3/17</f>
        <v>17.647058823529413</v>
      </c>
      <c r="F155" s="2">
        <v>0</v>
      </c>
      <c r="G155" s="2">
        <v>1</v>
      </c>
      <c r="H155" s="2">
        <v>0</v>
      </c>
      <c r="I155" s="4">
        <v>1</v>
      </c>
    </row>
    <row r="156" spans="1:11" s="1" customFormat="1" x14ac:dyDescent="0.2">
      <c r="A156" s="1" t="s">
        <v>139</v>
      </c>
      <c r="B156" s="3">
        <v>44154</v>
      </c>
      <c r="C156" s="2">
        <v>1.8</v>
      </c>
      <c r="D156" s="2">
        <f>100*2/7.75</f>
        <v>25.806451612903224</v>
      </c>
      <c r="E156" s="2">
        <v>0</v>
      </c>
      <c r="F156" s="2">
        <f>100*1.1*0.35/38.732</f>
        <v>0.99401012083032125</v>
      </c>
      <c r="G156" s="2">
        <v>1</v>
      </c>
      <c r="H156" s="2">
        <v>0</v>
      </c>
      <c r="I156" s="4">
        <v>0</v>
      </c>
    </row>
    <row r="157" spans="1:11" s="1" customFormat="1" x14ac:dyDescent="0.2">
      <c r="A157" s="1" t="s">
        <v>140</v>
      </c>
      <c r="B157" s="3">
        <v>44155</v>
      </c>
      <c r="C157" s="2">
        <v>4</v>
      </c>
      <c r="D157" s="2">
        <f>100*-4.25/10.75</f>
        <v>-39.534883720930232</v>
      </c>
      <c r="E157" s="2">
        <f>100*5/19*0.5</f>
        <v>13.157894736842104</v>
      </c>
      <c r="F157" s="2">
        <v>8.8000000000000007</v>
      </c>
      <c r="G157" s="2">
        <v>1</v>
      </c>
      <c r="H157" s="2">
        <f>100*10/744+100*20/744</f>
        <v>4.032258064516129</v>
      </c>
      <c r="I157" s="4">
        <v>1</v>
      </c>
    </row>
    <row r="158" spans="1:11" s="1" customFormat="1" x14ac:dyDescent="0.2">
      <c r="A158" s="1" t="s">
        <v>141</v>
      </c>
      <c r="B158" s="3">
        <v>44154</v>
      </c>
      <c r="C158" s="2">
        <v>1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4">
        <v>1</v>
      </c>
    </row>
    <row r="159" spans="1:11" s="1" customFormat="1" x14ac:dyDescent="0.2">
      <c r="A159" s="1" t="s">
        <v>144</v>
      </c>
      <c r="B159" s="3">
        <v>44154</v>
      </c>
      <c r="C159" s="2">
        <f>2.8+0.4*2/7.2+0.27*2/7.2</f>
        <v>2.9861111111111112</v>
      </c>
      <c r="D159" s="2">
        <f>100*125/200</f>
        <v>62.5</v>
      </c>
      <c r="E159" s="2">
        <f>100*7/14</f>
        <v>50</v>
      </c>
      <c r="F159" s="2">
        <f>100*20/70+1.4</f>
        <v>29.971428571428572</v>
      </c>
      <c r="G159" s="2">
        <v>1</v>
      </c>
      <c r="H159" s="2">
        <v>0</v>
      </c>
      <c r="I159" s="4">
        <v>0</v>
      </c>
    </row>
    <row r="160" spans="1:11" s="1" customFormat="1" x14ac:dyDescent="0.2">
      <c r="A160" s="1" t="s">
        <v>142</v>
      </c>
      <c r="B160" s="3">
        <v>44154</v>
      </c>
      <c r="C160" s="2">
        <f>100*(371.3+300)/33930+0.7</f>
        <v>2.6784851164161507</v>
      </c>
      <c r="D160" s="2">
        <f>100*2/9</f>
        <v>22.222222222222221</v>
      </c>
      <c r="E160" s="2">
        <v>0</v>
      </c>
      <c r="F160" s="2">
        <v>0</v>
      </c>
      <c r="G160" s="2">
        <v>1</v>
      </c>
      <c r="H160" s="2">
        <f>100*491.5/33930</f>
        <v>1.448570586501621</v>
      </c>
      <c r="I160" s="4">
        <v>1</v>
      </c>
    </row>
    <row r="161" spans="1:11" s="1" customFormat="1" x14ac:dyDescent="0.2">
      <c r="A161" s="1" t="s">
        <v>148</v>
      </c>
      <c r="B161" s="3">
        <v>44154</v>
      </c>
      <c r="C161" s="2">
        <f>8.5+0.5</f>
        <v>9</v>
      </c>
      <c r="D161" s="2">
        <f>100*0.65/0.75</f>
        <v>86.666666666666671</v>
      </c>
      <c r="E161" s="2">
        <v>100</v>
      </c>
      <c r="F161" s="2">
        <f>100*863.45/2744</f>
        <v>31.466836734693878</v>
      </c>
      <c r="G161" s="2">
        <v>1</v>
      </c>
      <c r="H161" s="2">
        <v>0</v>
      </c>
      <c r="I161" s="4">
        <v>0</v>
      </c>
    </row>
    <row r="162" spans="1:11" s="1" customFormat="1" x14ac:dyDescent="0.2">
      <c r="A162" s="1" t="s">
        <v>143</v>
      </c>
      <c r="B162" s="3">
        <v>44154</v>
      </c>
      <c r="C162" s="2">
        <f>100*(64.669+1.1+2.3+4.25+6.8)*0.037/150.401</f>
        <v>1.9463986276686984</v>
      </c>
      <c r="D162" s="2">
        <f>100*500/1100</f>
        <v>45.454545454545453</v>
      </c>
      <c r="E162" s="2">
        <v>5</v>
      </c>
      <c r="F162" s="2">
        <v>3.5</v>
      </c>
      <c r="G162" s="2">
        <v>1</v>
      </c>
      <c r="H162" s="2">
        <f>100*500/150401</f>
        <v>0.33244459810772536</v>
      </c>
      <c r="I162" s="4">
        <v>1</v>
      </c>
    </row>
    <row r="163" spans="1:11" s="1" customFormat="1" x14ac:dyDescent="0.2">
      <c r="A163" s="1" t="s">
        <v>40</v>
      </c>
      <c r="B163" s="3">
        <v>44154</v>
      </c>
      <c r="C163" s="2">
        <f>100*(2.3+0.483+0.0083+0.192+0.044)/21.428</f>
        <v>14.127776740713086</v>
      </c>
      <c r="D163" s="2">
        <f>100*150/150</f>
        <v>100</v>
      </c>
      <c r="E163" s="2">
        <v>0</v>
      </c>
      <c r="F163" s="2">
        <f>100*2.3/21.428</f>
        <v>10.73361956318835</v>
      </c>
      <c r="G163" s="2">
        <v>1</v>
      </c>
      <c r="H163" s="2">
        <v>0</v>
      </c>
      <c r="I163" s="4">
        <v>0</v>
      </c>
    </row>
    <row r="164" spans="1:11" s="1" customFormat="1" x14ac:dyDescent="0.2">
      <c r="A164" s="1" t="s">
        <v>145</v>
      </c>
      <c r="B164" s="3">
        <v>44154</v>
      </c>
      <c r="C164" s="2">
        <v>1.6</v>
      </c>
      <c r="D164" s="2">
        <v>0</v>
      </c>
      <c r="E164" s="2">
        <f>(7/22+5/11+5/7+3/5)*100/4</f>
        <v>52.175324675324674</v>
      </c>
      <c r="F164" s="2">
        <f>100*2700/59918</f>
        <v>4.5061584165025534</v>
      </c>
      <c r="G164" s="2">
        <v>1</v>
      </c>
      <c r="H164" s="2">
        <v>0</v>
      </c>
      <c r="I164" s="4">
        <v>1</v>
      </c>
    </row>
    <row r="165" spans="1:11" s="1" customFormat="1" x14ac:dyDescent="0.2">
      <c r="A165" s="1" t="s">
        <v>146</v>
      </c>
      <c r="B165" s="3">
        <v>44126</v>
      </c>
      <c r="C165" s="2">
        <v>2</v>
      </c>
      <c r="D165" s="2">
        <f>100*2/16</f>
        <v>12.5</v>
      </c>
      <c r="E165" s="2">
        <v>0</v>
      </c>
      <c r="F165" s="2">
        <f>100*500/60490</f>
        <v>0.82658290626549846</v>
      </c>
      <c r="G165" s="2">
        <v>1</v>
      </c>
      <c r="H165" s="2">
        <v>0</v>
      </c>
      <c r="I165" s="4">
        <v>0</v>
      </c>
    </row>
    <row r="166" spans="1:11" s="1" customFormat="1" x14ac:dyDescent="0.2">
      <c r="A166" s="1" t="s">
        <v>38</v>
      </c>
      <c r="B166" s="3">
        <v>44154</v>
      </c>
      <c r="C166" s="2">
        <f>3.6+0.6</f>
        <v>4.2</v>
      </c>
      <c r="D166" s="2">
        <f>100*(1/3*1/6+1/3*0.5/4+1/3*1/7)</f>
        <v>14.484126984126982</v>
      </c>
      <c r="E166" s="2">
        <v>0</v>
      </c>
      <c r="F166" s="2">
        <f>4+0.68*9</f>
        <v>10.120000000000001</v>
      </c>
      <c r="G166" s="2">
        <v>1</v>
      </c>
      <c r="H166" s="2">
        <v>0</v>
      </c>
      <c r="I166" s="4">
        <v>1</v>
      </c>
    </row>
    <row r="167" spans="1:11" x14ac:dyDescent="0.2">
      <c r="A167" s="1" t="s">
        <v>37</v>
      </c>
      <c r="B167" s="3">
        <v>44154</v>
      </c>
      <c r="C167" s="2">
        <f>100*776.9/27591</f>
        <v>2.8157732593961797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4">
        <v>0</v>
      </c>
      <c r="K167" s="1"/>
    </row>
    <row r="168" spans="1:11" x14ac:dyDescent="0.2">
      <c r="A168" s="1" t="s">
        <v>36</v>
      </c>
      <c r="B168" s="3">
        <v>44152</v>
      </c>
      <c r="C168" s="2">
        <v>2.4</v>
      </c>
      <c r="D168" s="2">
        <f>100*3.5/11.5</f>
        <v>30.434782608695652</v>
      </c>
      <c r="E168" s="2">
        <v>0</v>
      </c>
      <c r="F168" s="2">
        <v>3.1</v>
      </c>
      <c r="G168" s="2">
        <v>1</v>
      </c>
      <c r="H168" s="2">
        <v>0</v>
      </c>
      <c r="I168" s="4">
        <v>0</v>
      </c>
    </row>
    <row r="169" spans="1:11" s="1" customFormat="1" x14ac:dyDescent="0.2">
      <c r="A169" s="1" t="s">
        <v>15</v>
      </c>
      <c r="B169" s="3">
        <v>44154</v>
      </c>
      <c r="C169" s="2">
        <f>100*220/12818</f>
        <v>1.7163364019347793</v>
      </c>
      <c r="D169" s="2">
        <v>0</v>
      </c>
      <c r="E169" s="2">
        <f>100*2.5/5</f>
        <v>50</v>
      </c>
      <c r="F169" s="2">
        <f>(100*6.5/361.9)/12.818+100*4.144/12800</f>
        <v>0.17249641240141761</v>
      </c>
      <c r="G169" s="2">
        <v>1</v>
      </c>
      <c r="H169" s="2">
        <v>0</v>
      </c>
      <c r="I169" s="4">
        <v>1</v>
      </c>
      <c r="K169"/>
    </row>
    <row r="170" spans="1:11" x14ac:dyDescent="0.2">
      <c r="I170" s="2"/>
      <c r="K170" s="1"/>
    </row>
    <row r="173" spans="1:11" x14ac:dyDescent="0.2">
      <c r="I173" s="2"/>
    </row>
    <row r="174" spans="1:11" x14ac:dyDescent="0.2">
      <c r="I174" s="2"/>
    </row>
  </sheetData>
  <sortState xmlns:xlrd2="http://schemas.microsoft.com/office/spreadsheetml/2017/richdata2" ref="A2:I325">
    <sortCondition ref="A2:A325"/>
  </sortState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6517-644F-A544-9EFA-3BA935026163}">
  <dimension ref="A1:D170"/>
  <sheetViews>
    <sheetView workbookViewId="0">
      <selection sqref="A1:D1048576"/>
    </sheetView>
  </sheetViews>
  <sheetFormatPr baseColWidth="10" defaultRowHeight="16" x14ac:dyDescent="0.2"/>
  <cols>
    <col min="1" max="1" width="17.5" style="2" customWidth="1"/>
    <col min="2" max="2" width="9.33203125" style="2" customWidth="1"/>
    <col min="3" max="3" width="9.1640625" style="2" customWidth="1"/>
    <col min="4" max="4" width="11" style="2" customWidth="1"/>
  </cols>
  <sheetData>
    <row r="1" spans="1:4" x14ac:dyDescent="0.2">
      <c r="A1" s="5" t="s">
        <v>0</v>
      </c>
      <c r="B1" s="5" t="s">
        <v>170</v>
      </c>
      <c r="C1" s="5" t="s">
        <v>171</v>
      </c>
      <c r="D1" s="5" t="s">
        <v>172</v>
      </c>
    </row>
    <row r="2" spans="1:4" x14ac:dyDescent="0.2">
      <c r="A2" s="2" t="s">
        <v>40</v>
      </c>
      <c r="B2" s="2">
        <v>14.127776740713086</v>
      </c>
      <c r="C2" s="2">
        <v>100</v>
      </c>
      <c r="D2" s="2">
        <v>10.73361956318835</v>
      </c>
    </row>
    <row r="3" spans="1:4" x14ac:dyDescent="0.2">
      <c r="A3" s="2" t="s">
        <v>109</v>
      </c>
      <c r="B3" s="2">
        <v>5.5</v>
      </c>
      <c r="C3" s="2">
        <v>100</v>
      </c>
      <c r="D3" s="2">
        <v>0</v>
      </c>
    </row>
    <row r="4" spans="1:4" x14ac:dyDescent="0.2">
      <c r="A4" s="2" t="s">
        <v>116</v>
      </c>
      <c r="B4" s="2">
        <v>12.209337415263503</v>
      </c>
      <c r="C4" s="2">
        <v>93.333333333333329</v>
      </c>
      <c r="D4" s="2">
        <v>7.8999999999999995</v>
      </c>
    </row>
    <row r="5" spans="1:4" x14ac:dyDescent="0.2">
      <c r="A5" s="2" t="s">
        <v>44</v>
      </c>
      <c r="B5" s="2">
        <v>9.6093374152635036</v>
      </c>
      <c r="C5" s="2">
        <v>88.888888888888886</v>
      </c>
      <c r="D5" s="2">
        <v>9.25</v>
      </c>
    </row>
    <row r="6" spans="1:4" x14ac:dyDescent="0.2">
      <c r="A6" s="2" t="s">
        <v>114</v>
      </c>
      <c r="B6" s="2">
        <v>7</v>
      </c>
      <c r="C6" s="2">
        <v>88.888888888888886</v>
      </c>
      <c r="D6" s="2">
        <v>8.8000000000000007</v>
      </c>
    </row>
    <row r="7" spans="1:4" x14ac:dyDescent="0.2">
      <c r="A7" s="2" t="s">
        <v>132</v>
      </c>
      <c r="B7" s="2">
        <v>19.009337415263502</v>
      </c>
      <c r="C7" s="2">
        <v>86.666666666666671</v>
      </c>
      <c r="D7" s="2">
        <v>26.939343465758167</v>
      </c>
    </row>
    <row r="8" spans="1:4" x14ac:dyDescent="0.2">
      <c r="A8" s="2" t="s">
        <v>148</v>
      </c>
      <c r="B8" s="2">
        <v>7.4</v>
      </c>
      <c r="C8" s="2">
        <v>86.666666666666671</v>
      </c>
      <c r="D8" s="2">
        <v>31.466836734693878</v>
      </c>
    </row>
    <row r="9" spans="1:4" x14ac:dyDescent="0.2">
      <c r="A9" s="2" t="s">
        <v>30</v>
      </c>
      <c r="B9" s="2">
        <v>15</v>
      </c>
      <c r="C9" s="2">
        <v>85.714285714285708</v>
      </c>
      <c r="D9" s="2">
        <v>15.178058587018954</v>
      </c>
    </row>
    <row r="10" spans="1:4" x14ac:dyDescent="0.2">
      <c r="A10" s="2" t="s">
        <v>27</v>
      </c>
      <c r="B10" s="2">
        <v>2.8690909090909087</v>
      </c>
      <c r="C10" s="2">
        <v>83.333333333333343</v>
      </c>
      <c r="D10" s="2">
        <v>0</v>
      </c>
    </row>
    <row r="11" spans="1:4" x14ac:dyDescent="0.2">
      <c r="A11" s="2" t="s">
        <v>42</v>
      </c>
      <c r="B11" s="2">
        <v>14.000196585197498</v>
      </c>
      <c r="C11" s="2">
        <v>83.333333333333329</v>
      </c>
      <c r="D11" s="2">
        <v>5.0047774373167275</v>
      </c>
    </row>
    <row r="12" spans="1:4" x14ac:dyDescent="0.2">
      <c r="A12" s="2" t="s">
        <v>104</v>
      </c>
      <c r="B12" s="2">
        <v>10.908695652173913</v>
      </c>
      <c r="C12" s="2">
        <v>75</v>
      </c>
      <c r="D12" s="2">
        <v>29.279711707453956</v>
      </c>
    </row>
    <row r="13" spans="1:4" x14ac:dyDescent="0.2">
      <c r="A13" s="2" t="s">
        <v>32</v>
      </c>
      <c r="B13" s="2">
        <v>10.34</v>
      </c>
      <c r="C13" s="2">
        <v>71.428571428571431</v>
      </c>
      <c r="D13" s="2">
        <v>11.895172938821425</v>
      </c>
    </row>
    <row r="14" spans="1:4" x14ac:dyDescent="0.2">
      <c r="A14" s="2" t="s">
        <v>13</v>
      </c>
      <c r="B14" s="2">
        <v>2</v>
      </c>
      <c r="C14" s="2">
        <v>71.428571428571431</v>
      </c>
      <c r="D14" s="2">
        <v>0</v>
      </c>
    </row>
    <row r="15" spans="1:4" x14ac:dyDescent="0.2">
      <c r="A15" s="2" t="s">
        <v>7</v>
      </c>
      <c r="B15" s="2">
        <v>11.700000000000001</v>
      </c>
      <c r="C15" s="2">
        <v>66.666666666666671</v>
      </c>
      <c r="D15" s="2">
        <v>10.646075581395349</v>
      </c>
    </row>
    <row r="16" spans="1:4" x14ac:dyDescent="0.2">
      <c r="A16" s="2" t="s">
        <v>39</v>
      </c>
      <c r="B16" s="2">
        <v>0.49481570557373095</v>
      </c>
      <c r="C16" s="2">
        <v>66.666666666666671</v>
      </c>
      <c r="D16" s="2">
        <v>0</v>
      </c>
    </row>
    <row r="17" spans="1:4" x14ac:dyDescent="0.2">
      <c r="A17" s="2" t="s">
        <v>68</v>
      </c>
      <c r="B17" s="2">
        <v>9.1980934860774326</v>
      </c>
      <c r="C17" s="2">
        <v>63.636363636363633</v>
      </c>
      <c r="D17" s="2">
        <v>12</v>
      </c>
    </row>
    <row r="18" spans="1:4" x14ac:dyDescent="0.2">
      <c r="A18" s="2" t="s">
        <v>123</v>
      </c>
      <c r="B18" s="2">
        <v>-2.5891999999999999</v>
      </c>
      <c r="C18" s="2">
        <v>63.492063492063487</v>
      </c>
      <c r="D18" s="2">
        <v>4</v>
      </c>
    </row>
    <row r="19" spans="1:4" x14ac:dyDescent="0.2">
      <c r="A19" s="2" t="s">
        <v>113</v>
      </c>
      <c r="B19" s="2">
        <v>2.5</v>
      </c>
      <c r="C19" s="2">
        <v>62.847222222222221</v>
      </c>
      <c r="D19" s="2">
        <v>3.0947585597091911</v>
      </c>
    </row>
    <row r="20" spans="1:4" x14ac:dyDescent="0.2">
      <c r="A20" s="2" t="s">
        <v>144</v>
      </c>
      <c r="B20" s="2">
        <v>2.1111111111111112</v>
      </c>
      <c r="C20" s="2">
        <v>62.5</v>
      </c>
      <c r="D20" s="2">
        <v>28.571428571428573</v>
      </c>
    </row>
    <row r="21" spans="1:4" x14ac:dyDescent="0.2">
      <c r="A21" s="2" t="s">
        <v>73</v>
      </c>
      <c r="B21" s="2">
        <v>11.35</v>
      </c>
      <c r="C21" s="2">
        <v>60</v>
      </c>
      <c r="D21" s="2">
        <v>7.125</v>
      </c>
    </row>
    <row r="22" spans="1:4" x14ac:dyDescent="0.2">
      <c r="A22" s="2" t="s">
        <v>135</v>
      </c>
      <c r="B22" s="2">
        <v>9.6</v>
      </c>
      <c r="C22" s="2">
        <v>60</v>
      </c>
      <c r="D22" s="2">
        <v>5.8091819175356747</v>
      </c>
    </row>
    <row r="23" spans="1:4" x14ac:dyDescent="0.2">
      <c r="A23" s="2" t="s">
        <v>158</v>
      </c>
      <c r="B23" s="2">
        <v>5.3677300613496932</v>
      </c>
      <c r="C23" s="2">
        <v>60</v>
      </c>
      <c r="D23" s="2">
        <v>11.25</v>
      </c>
    </row>
    <row r="24" spans="1:4" x14ac:dyDescent="0.2">
      <c r="A24" s="2" t="s">
        <v>110</v>
      </c>
      <c r="B24" s="2">
        <v>-5</v>
      </c>
      <c r="C24" s="2">
        <v>60</v>
      </c>
      <c r="D24" s="2">
        <v>26.2371179535048</v>
      </c>
    </row>
    <row r="25" spans="1:4" x14ac:dyDescent="0.2">
      <c r="A25" s="2" t="s">
        <v>34</v>
      </c>
      <c r="B25" s="2">
        <v>10</v>
      </c>
      <c r="C25" s="2">
        <v>56.999999999999993</v>
      </c>
      <c r="D25" s="2">
        <v>4.4237229516151952</v>
      </c>
    </row>
    <row r="26" spans="1:4" x14ac:dyDescent="0.2">
      <c r="A26" s="2" t="s">
        <v>22</v>
      </c>
      <c r="B26" s="2">
        <v>12</v>
      </c>
      <c r="C26" s="2">
        <v>52.941176470588239</v>
      </c>
      <c r="D26" s="2">
        <v>4.9754358161648176</v>
      </c>
    </row>
    <row r="27" spans="1:4" x14ac:dyDescent="0.2">
      <c r="A27" s="2" t="s">
        <v>35</v>
      </c>
      <c r="B27" s="2">
        <v>2.8</v>
      </c>
      <c r="C27" s="2">
        <v>52.941176470588232</v>
      </c>
      <c r="D27" s="2">
        <v>1.1741563610302079</v>
      </c>
    </row>
    <row r="28" spans="1:4" x14ac:dyDescent="0.2">
      <c r="A28" s="2" t="s">
        <v>11</v>
      </c>
      <c r="B28" s="2">
        <v>7.0331673218350401</v>
      </c>
      <c r="C28" s="2">
        <v>52.268518518518512</v>
      </c>
      <c r="D28" s="2">
        <v>28</v>
      </c>
    </row>
    <row r="29" spans="1:4" x14ac:dyDescent="0.2">
      <c r="A29" s="2" t="s">
        <v>53</v>
      </c>
      <c r="B29" s="2">
        <v>8.6999999999999993</v>
      </c>
      <c r="C29" s="2">
        <v>50</v>
      </c>
      <c r="D29" s="2">
        <v>3.6640115858073861</v>
      </c>
    </row>
    <row r="30" spans="1:4" x14ac:dyDescent="0.2">
      <c r="A30" s="2" t="s">
        <v>102</v>
      </c>
      <c r="B30" s="2">
        <v>4</v>
      </c>
      <c r="C30" s="2">
        <v>50</v>
      </c>
      <c r="D30" s="2">
        <v>0</v>
      </c>
    </row>
    <row r="31" spans="1:4" x14ac:dyDescent="0.2">
      <c r="A31" s="2" t="s">
        <v>2</v>
      </c>
      <c r="B31" s="2">
        <v>2.8</v>
      </c>
      <c r="C31" s="7">
        <v>50</v>
      </c>
      <c r="D31" s="2">
        <v>0</v>
      </c>
    </row>
    <row r="32" spans="1:4" x14ac:dyDescent="0.2">
      <c r="A32" s="2" t="s">
        <v>88</v>
      </c>
      <c r="B32" s="2">
        <v>0.85</v>
      </c>
      <c r="C32" s="2">
        <v>50</v>
      </c>
      <c r="D32" s="2">
        <v>0</v>
      </c>
    </row>
    <row r="33" spans="1:4" x14ac:dyDescent="0.2">
      <c r="A33" s="2" t="s">
        <v>111</v>
      </c>
      <c r="B33" s="2">
        <v>5.0491718114538475</v>
      </c>
      <c r="C33" s="2">
        <v>47.169811320754718</v>
      </c>
      <c r="D33" s="2">
        <v>0.6329003992714991</v>
      </c>
    </row>
    <row r="34" spans="1:4" x14ac:dyDescent="0.2">
      <c r="A34" s="2" t="s">
        <v>143</v>
      </c>
      <c r="B34" s="2">
        <v>1.9463986276686984</v>
      </c>
      <c r="C34" s="2">
        <v>45.454545454545453</v>
      </c>
      <c r="D34" s="2">
        <v>3.5</v>
      </c>
    </row>
    <row r="35" spans="1:4" x14ac:dyDescent="0.2">
      <c r="A35" s="2" t="s">
        <v>80</v>
      </c>
      <c r="B35" s="2">
        <v>1.5</v>
      </c>
      <c r="C35" s="2">
        <v>45.454545454545453</v>
      </c>
      <c r="D35" s="2">
        <v>3.3781398698163025E-2</v>
      </c>
    </row>
    <row r="36" spans="1:4" x14ac:dyDescent="0.2">
      <c r="A36" s="2" t="s">
        <v>93</v>
      </c>
      <c r="B36" s="2">
        <v>3.42</v>
      </c>
      <c r="C36" s="2">
        <v>44.776119402985074</v>
      </c>
      <c r="D36" s="2">
        <v>17.001709042515934</v>
      </c>
    </row>
    <row r="37" spans="1:4" x14ac:dyDescent="0.2">
      <c r="A37" s="2" t="s">
        <v>125</v>
      </c>
      <c r="B37" s="2">
        <v>8.2046153846153835</v>
      </c>
      <c r="C37" s="2">
        <v>44.444444444444443</v>
      </c>
      <c r="D37" s="2">
        <v>7.1514291122988665</v>
      </c>
    </row>
    <row r="38" spans="1:4" x14ac:dyDescent="0.2">
      <c r="A38" s="2" t="s">
        <v>156</v>
      </c>
      <c r="B38" s="2">
        <v>10</v>
      </c>
      <c r="C38" s="2">
        <v>44</v>
      </c>
      <c r="D38" s="2">
        <v>0.62980891151742135</v>
      </c>
    </row>
    <row r="39" spans="1:4" x14ac:dyDescent="0.2">
      <c r="A39" s="2" t="s">
        <v>84</v>
      </c>
      <c r="B39" s="2">
        <v>5.8571428571428577</v>
      </c>
      <c r="C39" s="2">
        <v>44</v>
      </c>
      <c r="D39" s="2">
        <v>0</v>
      </c>
    </row>
    <row r="40" spans="1:4" x14ac:dyDescent="0.2">
      <c r="A40" s="2" t="s">
        <v>115</v>
      </c>
      <c r="B40" s="2">
        <v>2.6</v>
      </c>
      <c r="C40" s="2">
        <v>43.75</v>
      </c>
      <c r="D40" s="2">
        <v>2.1</v>
      </c>
    </row>
    <row r="41" spans="1:4" x14ac:dyDescent="0.2">
      <c r="A41" s="2" t="s">
        <v>118</v>
      </c>
      <c r="B41" s="2">
        <v>13</v>
      </c>
      <c r="C41" s="2">
        <v>43.725490196078425</v>
      </c>
      <c r="D41" s="2">
        <v>5.6815516369644881</v>
      </c>
    </row>
    <row r="42" spans="1:4" x14ac:dyDescent="0.2">
      <c r="A42" s="2" t="s">
        <v>52</v>
      </c>
      <c r="B42" s="2">
        <v>1.88</v>
      </c>
      <c r="C42" s="2">
        <v>42.307692307692307</v>
      </c>
      <c r="D42" s="2">
        <v>0</v>
      </c>
    </row>
    <row r="43" spans="1:4" x14ac:dyDescent="0.2">
      <c r="A43" s="2" t="s">
        <v>95</v>
      </c>
      <c r="B43" s="2">
        <v>2.4</v>
      </c>
      <c r="C43" s="2">
        <v>40.909090909090907</v>
      </c>
      <c r="D43" s="2">
        <v>0</v>
      </c>
    </row>
    <row r="44" spans="1:4" x14ac:dyDescent="0.2">
      <c r="A44" s="2" t="s">
        <v>112</v>
      </c>
      <c r="B44" s="2">
        <v>8.0976809259337763</v>
      </c>
      <c r="C44" s="2">
        <v>40</v>
      </c>
      <c r="D44" s="2">
        <v>1.7806418790011447</v>
      </c>
    </row>
    <row r="45" spans="1:4" x14ac:dyDescent="0.2">
      <c r="A45" s="2" t="s">
        <v>126</v>
      </c>
      <c r="B45" s="2">
        <v>5</v>
      </c>
      <c r="C45" s="2">
        <v>40</v>
      </c>
      <c r="D45" s="2">
        <v>7.9360707517372076</v>
      </c>
    </row>
    <row r="46" spans="1:4" x14ac:dyDescent="0.2">
      <c r="A46" s="2" t="s">
        <v>101</v>
      </c>
      <c r="B46" s="2">
        <v>4.25</v>
      </c>
      <c r="C46" s="2">
        <v>40</v>
      </c>
      <c r="D46" s="2">
        <v>0</v>
      </c>
    </row>
    <row r="47" spans="1:4" x14ac:dyDescent="0.2">
      <c r="A47" s="2" t="s">
        <v>77</v>
      </c>
      <c r="B47" s="2">
        <v>3.4918304130902555</v>
      </c>
      <c r="C47" s="2">
        <v>37.5</v>
      </c>
      <c r="D47" s="2">
        <v>2.1659454730320871</v>
      </c>
    </row>
    <row r="48" spans="1:4" x14ac:dyDescent="0.2">
      <c r="A48" s="2" t="s">
        <v>100</v>
      </c>
      <c r="B48" s="2">
        <v>0.67667681477536923</v>
      </c>
      <c r="C48" s="2">
        <v>37.5</v>
      </c>
      <c r="D48" s="2">
        <v>0</v>
      </c>
    </row>
    <row r="49" spans="1:4" x14ac:dyDescent="0.2">
      <c r="A49" s="2" t="s">
        <v>147</v>
      </c>
      <c r="B49" s="2">
        <v>4.3</v>
      </c>
      <c r="C49" s="2">
        <v>36.363636363636367</v>
      </c>
      <c r="D49" s="2">
        <v>4.8</v>
      </c>
    </row>
    <row r="50" spans="1:4" x14ac:dyDescent="0.2">
      <c r="A50" s="2" t="s">
        <v>61</v>
      </c>
      <c r="B50" s="2">
        <v>3.4</v>
      </c>
      <c r="C50" s="2">
        <v>36.363636363636367</v>
      </c>
      <c r="D50" s="2">
        <v>1.8446100494355493</v>
      </c>
    </row>
    <row r="51" spans="1:4" x14ac:dyDescent="0.2">
      <c r="A51" s="2" t="s">
        <v>94</v>
      </c>
      <c r="B51" s="2">
        <v>1.2</v>
      </c>
      <c r="C51" s="2">
        <v>35.714285714285715</v>
      </c>
      <c r="D51" s="2">
        <v>5.8510204081632651</v>
      </c>
    </row>
    <row r="52" spans="1:4" x14ac:dyDescent="0.2">
      <c r="A52" s="2" t="s">
        <v>67</v>
      </c>
      <c r="B52" s="2">
        <v>6.195615091650037</v>
      </c>
      <c r="C52" s="2">
        <v>33.333333333333336</v>
      </c>
      <c r="D52" s="2">
        <v>17.604910596395687</v>
      </c>
    </row>
    <row r="53" spans="1:4" x14ac:dyDescent="0.2">
      <c r="A53" s="2" t="s">
        <v>98</v>
      </c>
      <c r="B53" s="2">
        <v>3</v>
      </c>
      <c r="C53" s="2">
        <v>33.333333333333336</v>
      </c>
      <c r="D53" s="2">
        <v>4.5266129032258071</v>
      </c>
    </row>
    <row r="54" spans="1:4" x14ac:dyDescent="0.2">
      <c r="A54" s="2" t="s">
        <v>28</v>
      </c>
      <c r="B54" s="2">
        <v>2.7085671530115976</v>
      </c>
      <c r="C54" s="2">
        <v>30.909090909090907</v>
      </c>
      <c r="D54" s="2">
        <v>2.244668911335578</v>
      </c>
    </row>
    <row r="55" spans="1:4" x14ac:dyDescent="0.2">
      <c r="A55" s="2" t="s">
        <v>152</v>
      </c>
      <c r="B55" s="2">
        <v>5.3062500000000004</v>
      </c>
      <c r="C55" s="2">
        <v>30.555555555555554</v>
      </c>
      <c r="D55" s="2">
        <v>10.250143381732778</v>
      </c>
    </row>
    <row r="56" spans="1:4" x14ac:dyDescent="0.2">
      <c r="A56" s="2" t="s">
        <v>119</v>
      </c>
      <c r="B56" s="2">
        <v>9.3093374152635029</v>
      </c>
      <c r="C56" s="2">
        <v>30</v>
      </c>
      <c r="D56" s="2">
        <v>6.8673049639640364</v>
      </c>
    </row>
    <row r="57" spans="1:4" x14ac:dyDescent="0.2">
      <c r="A57" s="2" t="s">
        <v>138</v>
      </c>
      <c r="B57" s="2">
        <v>4.9935810810810812</v>
      </c>
      <c r="C57" s="2">
        <v>30</v>
      </c>
      <c r="D57" s="2">
        <v>0</v>
      </c>
    </row>
    <row r="58" spans="1:4" x14ac:dyDescent="0.2">
      <c r="A58" s="2" t="s">
        <v>4</v>
      </c>
      <c r="B58" s="2">
        <v>0.13110885312530729</v>
      </c>
      <c r="C58" s="2">
        <v>30</v>
      </c>
      <c r="D58" s="2">
        <v>0.90425229713636412</v>
      </c>
    </row>
    <row r="59" spans="1:4" x14ac:dyDescent="0.2">
      <c r="A59" s="2" t="s">
        <v>120</v>
      </c>
      <c r="B59" s="2">
        <v>3.4</v>
      </c>
      <c r="C59" s="2">
        <v>29.166666666666668</v>
      </c>
      <c r="D59" s="2">
        <v>0.92148962148962155</v>
      </c>
    </row>
    <row r="60" spans="1:4" x14ac:dyDescent="0.2">
      <c r="A60" s="2" t="s">
        <v>160</v>
      </c>
      <c r="B60" s="2">
        <v>0.36</v>
      </c>
      <c r="C60" s="2">
        <v>28.717948717948715</v>
      </c>
      <c r="D60" s="2">
        <v>1</v>
      </c>
    </row>
    <row r="61" spans="1:4" x14ac:dyDescent="0.2">
      <c r="A61" s="2" t="s">
        <v>66</v>
      </c>
      <c r="B61" s="2">
        <v>7.3</v>
      </c>
      <c r="C61" s="2">
        <v>28.571428571428573</v>
      </c>
      <c r="D61" s="2">
        <v>5.5</v>
      </c>
    </row>
    <row r="62" spans="1:4" x14ac:dyDescent="0.2">
      <c r="A62" s="2" t="s">
        <v>134</v>
      </c>
      <c r="B62" s="2">
        <v>0.67449858575469279</v>
      </c>
      <c r="C62" s="2">
        <v>28.571428571428573</v>
      </c>
      <c r="D62" s="2">
        <v>0</v>
      </c>
    </row>
    <row r="63" spans="1:4" x14ac:dyDescent="0.2">
      <c r="A63" s="2" t="s">
        <v>69</v>
      </c>
      <c r="B63" s="2">
        <v>7</v>
      </c>
      <c r="C63" s="2">
        <v>26.981375074301567</v>
      </c>
      <c r="D63" s="2">
        <v>10.8</v>
      </c>
    </row>
    <row r="64" spans="1:4" x14ac:dyDescent="0.2">
      <c r="A64" s="2" t="s">
        <v>92</v>
      </c>
      <c r="B64" s="2">
        <v>6.0875000000000004</v>
      </c>
      <c r="C64" s="2">
        <v>25.427350427350426</v>
      </c>
      <c r="D64" s="2">
        <v>0</v>
      </c>
    </row>
    <row r="65" spans="1:4" x14ac:dyDescent="0.2">
      <c r="A65" s="2" t="s">
        <v>108</v>
      </c>
      <c r="B65" s="2">
        <v>1.2</v>
      </c>
      <c r="C65" s="2">
        <v>25</v>
      </c>
      <c r="D65" s="2">
        <v>0</v>
      </c>
    </row>
    <row r="66" spans="1:4" x14ac:dyDescent="0.2">
      <c r="A66" s="2" t="s">
        <v>47</v>
      </c>
      <c r="B66" s="2">
        <v>1.8</v>
      </c>
      <c r="C66" s="2">
        <v>23.529411764705884</v>
      </c>
      <c r="D66" s="2">
        <v>2.214</v>
      </c>
    </row>
    <row r="67" spans="1:4" x14ac:dyDescent="0.2">
      <c r="A67" s="2" t="s">
        <v>105</v>
      </c>
      <c r="B67" s="2">
        <v>0</v>
      </c>
      <c r="C67" s="2">
        <v>22.5</v>
      </c>
      <c r="D67" s="2">
        <v>0</v>
      </c>
    </row>
    <row r="68" spans="1:4" x14ac:dyDescent="0.2">
      <c r="A68" s="2" t="s">
        <v>142</v>
      </c>
      <c r="B68" s="2">
        <v>1.978485116416151</v>
      </c>
      <c r="C68" s="2">
        <v>22.222222222222221</v>
      </c>
      <c r="D68" s="2">
        <v>0</v>
      </c>
    </row>
    <row r="69" spans="1:4" x14ac:dyDescent="0.2">
      <c r="A69" s="2" t="s">
        <v>12</v>
      </c>
      <c r="B69" s="2">
        <v>2.0585083573487033</v>
      </c>
      <c r="C69" s="2">
        <v>20.833333333333332</v>
      </c>
      <c r="D69" s="2">
        <v>2.7287608069164264</v>
      </c>
    </row>
    <row r="70" spans="1:4" x14ac:dyDescent="0.2">
      <c r="A70" s="2" t="s">
        <v>159</v>
      </c>
      <c r="B70" s="2">
        <v>4.4000000000000004</v>
      </c>
      <c r="C70" s="2">
        <v>20</v>
      </c>
      <c r="D70" s="2">
        <v>3.2371709090909087</v>
      </c>
    </row>
    <row r="71" spans="1:4" x14ac:dyDescent="0.2">
      <c r="A71" s="2" t="s">
        <v>165</v>
      </c>
      <c r="B71" s="2">
        <v>3.2012690355329951</v>
      </c>
      <c r="C71" s="2">
        <v>20</v>
      </c>
      <c r="D71" s="2">
        <v>1.6524111675126902</v>
      </c>
    </row>
    <row r="72" spans="1:4" x14ac:dyDescent="0.2">
      <c r="A72" s="2" t="s">
        <v>99</v>
      </c>
      <c r="B72" s="2">
        <v>4.9624617949430396</v>
      </c>
      <c r="C72" s="2">
        <v>19.607843137254903</v>
      </c>
      <c r="D72" s="2">
        <v>3.4731869963878856</v>
      </c>
    </row>
    <row r="73" spans="1:4" x14ac:dyDescent="0.2">
      <c r="A73" s="2" t="s">
        <v>36</v>
      </c>
      <c r="B73" s="2">
        <v>2.4</v>
      </c>
      <c r="C73" s="2">
        <v>19.565217391304348</v>
      </c>
      <c r="D73" s="2">
        <v>3.1</v>
      </c>
    </row>
    <row r="74" spans="1:4" x14ac:dyDescent="0.2">
      <c r="A74" s="2" t="s">
        <v>81</v>
      </c>
      <c r="B74" s="2">
        <v>9.9383960934841614E-2</v>
      </c>
      <c r="C74" s="2">
        <v>18.333333333333336</v>
      </c>
      <c r="D74" s="2">
        <v>0.11693606416618618</v>
      </c>
    </row>
    <row r="75" spans="1:4" x14ac:dyDescent="0.2">
      <c r="A75" s="2" t="s">
        <v>6</v>
      </c>
      <c r="B75" s="2">
        <v>2.3732904263877717</v>
      </c>
      <c r="C75" s="2">
        <v>18.181818181818183</v>
      </c>
      <c r="D75" s="2">
        <v>0</v>
      </c>
    </row>
    <row r="76" spans="1:4" x14ac:dyDescent="0.2">
      <c r="A76" s="2" t="s">
        <v>96</v>
      </c>
      <c r="B76" s="2">
        <v>2.04</v>
      </c>
      <c r="C76" s="2">
        <v>18.181818181818183</v>
      </c>
      <c r="D76" s="2">
        <v>0.61597125467478187</v>
      </c>
    </row>
    <row r="77" spans="1:4" x14ac:dyDescent="0.2">
      <c r="A77" s="2" t="s">
        <v>124</v>
      </c>
      <c r="B77" s="2">
        <v>5.7293519695044477</v>
      </c>
      <c r="C77" s="2">
        <v>17.241379310344829</v>
      </c>
      <c r="D77" s="2">
        <v>3.2706480304955523</v>
      </c>
    </row>
    <row r="78" spans="1:4" x14ac:dyDescent="0.2">
      <c r="A78" s="2" t="s">
        <v>106</v>
      </c>
      <c r="B78" s="2">
        <v>2.5313151951822777</v>
      </c>
      <c r="C78" s="2">
        <v>17.241379310344829</v>
      </c>
      <c r="D78" s="2">
        <v>2.7</v>
      </c>
    </row>
    <row r="79" spans="1:4" x14ac:dyDescent="0.2">
      <c r="A79" s="2" t="s">
        <v>85</v>
      </c>
      <c r="B79" s="2">
        <v>1.893234016139044</v>
      </c>
      <c r="C79" s="2">
        <v>16.666666666666668</v>
      </c>
      <c r="D79" s="2">
        <v>0</v>
      </c>
    </row>
    <row r="80" spans="1:4" x14ac:dyDescent="0.2">
      <c r="A80" s="2" t="s">
        <v>151</v>
      </c>
      <c r="B80" s="2">
        <v>2.3245829244357212</v>
      </c>
      <c r="C80" s="2">
        <v>15.686274509803921</v>
      </c>
      <c r="D80" s="2">
        <v>0</v>
      </c>
    </row>
    <row r="81" spans="1:4" x14ac:dyDescent="0.2">
      <c r="A81" s="2" t="s">
        <v>33</v>
      </c>
      <c r="B81" s="2">
        <v>4.5</v>
      </c>
      <c r="C81" s="2">
        <v>15.625</v>
      </c>
      <c r="D81" s="2">
        <v>8.4638310891089112</v>
      </c>
    </row>
    <row r="82" spans="1:4" x14ac:dyDescent="0.2">
      <c r="A82" s="2" t="s">
        <v>63</v>
      </c>
      <c r="B82" s="2">
        <v>0.50396551724137928</v>
      </c>
      <c r="C82" s="2">
        <v>15.55555556</v>
      </c>
      <c r="D82" s="2">
        <v>3.1</v>
      </c>
    </row>
    <row r="83" spans="1:4" x14ac:dyDescent="0.2">
      <c r="A83" s="2" t="s">
        <v>136</v>
      </c>
      <c r="B83" s="2">
        <v>6.0809523809523807</v>
      </c>
      <c r="C83" s="2">
        <v>15.555555555555555</v>
      </c>
      <c r="D83" s="2">
        <v>5.3</v>
      </c>
    </row>
    <row r="84" spans="1:4" x14ac:dyDescent="0.2">
      <c r="A84" s="2" t="s">
        <v>41</v>
      </c>
      <c r="B84" s="2">
        <v>2.5999999999999996</v>
      </c>
      <c r="C84" s="2">
        <v>15.555555555555555</v>
      </c>
      <c r="D84" s="2">
        <v>2.1</v>
      </c>
    </row>
    <row r="85" spans="1:4" x14ac:dyDescent="0.2">
      <c r="A85" s="2" t="s">
        <v>18</v>
      </c>
      <c r="B85" s="2">
        <v>1.7</v>
      </c>
      <c r="C85" s="2">
        <v>15.555555555555555</v>
      </c>
      <c r="D85" s="2">
        <v>3.0285714285714285</v>
      </c>
    </row>
    <row r="86" spans="1:4" x14ac:dyDescent="0.2">
      <c r="A86" s="2" t="s">
        <v>25</v>
      </c>
      <c r="B86" s="2">
        <v>0.79010484478859733</v>
      </c>
      <c r="C86" s="2">
        <v>15.555555555555555</v>
      </c>
      <c r="D86" s="2">
        <v>1.3</v>
      </c>
    </row>
    <row r="87" spans="1:4" x14ac:dyDescent="0.2">
      <c r="A87" s="2" t="s">
        <v>90</v>
      </c>
      <c r="B87" s="2">
        <v>0.5</v>
      </c>
      <c r="C87" s="2">
        <v>15.555555555555555</v>
      </c>
      <c r="D87" s="2">
        <v>1.4</v>
      </c>
    </row>
    <row r="88" spans="1:4" x14ac:dyDescent="0.2">
      <c r="A88" s="2" t="s">
        <v>78</v>
      </c>
      <c r="B88" s="2">
        <v>0.9</v>
      </c>
      <c r="C88" s="2">
        <v>15.151515151515152</v>
      </c>
      <c r="D88" s="2">
        <v>0</v>
      </c>
    </row>
    <row r="89" spans="1:4" x14ac:dyDescent="0.2">
      <c r="A89" s="2" t="s">
        <v>38</v>
      </c>
      <c r="B89" s="2">
        <v>4.2</v>
      </c>
      <c r="C89" s="2">
        <v>14.484126984126982</v>
      </c>
      <c r="D89" s="2">
        <v>7.24</v>
      </c>
    </row>
    <row r="90" spans="1:4" x14ac:dyDescent="0.2">
      <c r="A90" s="2" t="s">
        <v>3</v>
      </c>
      <c r="B90" s="2">
        <v>-2.2000000000000002</v>
      </c>
      <c r="C90" s="7">
        <v>14.285714285714285</v>
      </c>
      <c r="D90" s="2">
        <v>0</v>
      </c>
    </row>
    <row r="91" spans="1:4" x14ac:dyDescent="0.2">
      <c r="A91" s="2" t="s">
        <v>65</v>
      </c>
      <c r="B91" s="2">
        <v>4</v>
      </c>
      <c r="C91" s="2">
        <v>13.56926406926407</v>
      </c>
      <c r="D91" s="2">
        <v>0</v>
      </c>
    </row>
    <row r="92" spans="1:4" x14ac:dyDescent="0.2">
      <c r="A92" s="2" t="s">
        <v>139</v>
      </c>
      <c r="B92" s="2">
        <v>1.8</v>
      </c>
      <c r="C92" s="2">
        <v>12.903225806451612</v>
      </c>
      <c r="D92" s="2">
        <v>0.99401012083032125</v>
      </c>
    </row>
    <row r="93" spans="1:4" x14ac:dyDescent="0.2">
      <c r="A93" s="2" t="s">
        <v>31</v>
      </c>
      <c r="B93" s="2">
        <v>4.0419735770518503</v>
      </c>
      <c r="C93" s="2">
        <v>11.904761904761903</v>
      </c>
      <c r="D93" s="2">
        <v>0.6937532048381746</v>
      </c>
    </row>
    <row r="94" spans="1:4" x14ac:dyDescent="0.2">
      <c r="A94" s="2" t="s">
        <v>168</v>
      </c>
      <c r="B94" s="2">
        <v>3.0962962962962961</v>
      </c>
      <c r="C94" s="2">
        <v>11.904761904761903</v>
      </c>
      <c r="D94" s="2">
        <v>3.3031739192876635</v>
      </c>
    </row>
    <row r="95" spans="1:4" x14ac:dyDescent="0.2">
      <c r="A95" s="2" t="s">
        <v>49</v>
      </c>
      <c r="B95" s="2">
        <v>2</v>
      </c>
      <c r="C95" s="2">
        <v>11.904761904761903</v>
      </c>
      <c r="D95" s="2">
        <v>0</v>
      </c>
    </row>
    <row r="96" spans="1:4" x14ac:dyDescent="0.2">
      <c r="A96" s="2" t="s">
        <v>29</v>
      </c>
      <c r="B96" s="2">
        <v>1.9413957341064403</v>
      </c>
      <c r="C96" s="2">
        <v>11.904761904761903</v>
      </c>
      <c r="D96" s="2">
        <v>0.80244357009732858</v>
      </c>
    </row>
    <row r="97" spans="1:4" x14ac:dyDescent="0.2">
      <c r="A97" s="2" t="s">
        <v>56</v>
      </c>
      <c r="B97" s="2">
        <v>1.94</v>
      </c>
      <c r="C97" s="2">
        <v>11.904761904761903</v>
      </c>
      <c r="D97" s="2">
        <v>2.2222222222222223</v>
      </c>
    </row>
    <row r="98" spans="1:4" x14ac:dyDescent="0.2">
      <c r="A98" s="2" t="s">
        <v>164</v>
      </c>
      <c r="B98" s="2">
        <v>0.13647058823529412</v>
      </c>
      <c r="C98" s="2">
        <v>11.904761904761903</v>
      </c>
      <c r="D98" s="2">
        <v>2.2258696152960149</v>
      </c>
    </row>
    <row r="99" spans="1:4" x14ac:dyDescent="0.2">
      <c r="A99" s="2" t="s">
        <v>14</v>
      </c>
      <c r="B99" s="2">
        <v>1.2</v>
      </c>
      <c r="C99" s="2">
        <v>11.428571428571429</v>
      </c>
      <c r="D99" s="2">
        <v>0</v>
      </c>
    </row>
    <row r="100" spans="1:4" x14ac:dyDescent="0.2">
      <c r="A100" s="2" t="s">
        <v>57</v>
      </c>
      <c r="B100" s="2">
        <v>12.350894819466248</v>
      </c>
      <c r="C100" s="2">
        <v>11.111111111111111</v>
      </c>
      <c r="D100" s="2">
        <v>0.8037676609105181</v>
      </c>
    </row>
    <row r="101" spans="1:4" x14ac:dyDescent="0.2">
      <c r="A101" s="2" t="s">
        <v>21</v>
      </c>
      <c r="B101" s="2">
        <v>0.66</v>
      </c>
      <c r="C101" s="2">
        <v>10.526315789473685</v>
      </c>
      <c r="D101" s="2">
        <v>0.44000000000000006</v>
      </c>
    </row>
    <row r="102" spans="1:4" x14ac:dyDescent="0.2">
      <c r="A102" s="2" t="s">
        <v>121</v>
      </c>
      <c r="B102" s="2">
        <v>3.3</v>
      </c>
      <c r="C102" s="2">
        <v>10</v>
      </c>
      <c r="D102" s="2">
        <v>0.5</v>
      </c>
    </row>
    <row r="103" spans="1:4" x14ac:dyDescent="0.2">
      <c r="A103" s="2" t="s">
        <v>59</v>
      </c>
      <c r="B103" s="2">
        <v>2.5873916245508894</v>
      </c>
      <c r="C103" s="2">
        <v>9.375</v>
      </c>
      <c r="D103" s="2">
        <v>5.7699494610671325</v>
      </c>
    </row>
    <row r="104" spans="1:4" x14ac:dyDescent="0.2">
      <c r="A104" s="2" t="s">
        <v>127</v>
      </c>
      <c r="B104" s="2">
        <v>6.1758941695247431</v>
      </c>
      <c r="C104" s="2">
        <v>9.0909090909090917</v>
      </c>
      <c r="D104" s="2">
        <v>1.2853503184713375</v>
      </c>
    </row>
    <row r="105" spans="1:4" x14ac:dyDescent="0.2">
      <c r="A105" s="2" t="s">
        <v>62</v>
      </c>
      <c r="B105" s="2">
        <v>2.94</v>
      </c>
      <c r="C105" s="2">
        <v>8.3333333333333339</v>
      </c>
      <c r="D105" s="2">
        <v>0</v>
      </c>
    </row>
    <row r="106" spans="1:4" x14ac:dyDescent="0.2">
      <c r="A106" s="2" t="s">
        <v>107</v>
      </c>
      <c r="B106" s="2">
        <v>1.7809060045729079</v>
      </c>
      <c r="C106" s="2">
        <v>7.4074074074074074</v>
      </c>
      <c r="D106" s="2">
        <v>2.5193614052845974</v>
      </c>
    </row>
    <row r="107" spans="1:4" x14ac:dyDescent="0.2">
      <c r="A107" s="2" t="s">
        <v>146</v>
      </c>
      <c r="B107" s="2">
        <v>2</v>
      </c>
      <c r="C107" s="2">
        <v>6.25</v>
      </c>
      <c r="D107" s="2">
        <v>0.82658290626549846</v>
      </c>
    </row>
    <row r="108" spans="1:4" x14ac:dyDescent="0.2">
      <c r="A108" s="2" t="s">
        <v>5</v>
      </c>
      <c r="B108" s="2">
        <v>6</v>
      </c>
      <c r="C108" s="2">
        <v>5</v>
      </c>
      <c r="D108" s="2">
        <v>5.3202355270512651</v>
      </c>
    </row>
    <row r="109" spans="1:4" x14ac:dyDescent="0.2">
      <c r="A109" s="2" t="s">
        <v>140</v>
      </c>
      <c r="B109" s="2">
        <v>3.78</v>
      </c>
      <c r="C109" s="2">
        <f>100*0.5/10.75</f>
        <v>4.6511627906976747</v>
      </c>
      <c r="D109" s="2">
        <v>4.6799996210998875</v>
      </c>
    </row>
    <row r="110" spans="1:4" x14ac:dyDescent="0.2">
      <c r="A110" s="2" t="s">
        <v>157</v>
      </c>
      <c r="B110" s="2">
        <v>4.502606474992298</v>
      </c>
      <c r="C110" s="2">
        <v>2.7777777777777777</v>
      </c>
      <c r="D110" s="2">
        <v>0</v>
      </c>
    </row>
    <row r="111" spans="1:4" x14ac:dyDescent="0.2">
      <c r="A111" s="2" t="s">
        <v>9</v>
      </c>
      <c r="B111" s="2">
        <v>6.0519545907443133</v>
      </c>
      <c r="C111" s="7">
        <v>1.9590154417740624</v>
      </c>
      <c r="D111" s="2">
        <v>0</v>
      </c>
    </row>
    <row r="112" spans="1:4" x14ac:dyDescent="0.2">
      <c r="B112" s="2">
        <v>2.262673769335807</v>
      </c>
      <c r="C112" s="2">
        <v>0.35210743557623175</v>
      </c>
      <c r="D112" s="2">
        <v>2.5264097946906294</v>
      </c>
    </row>
    <row r="113" spans="1:4" x14ac:dyDescent="0.2">
      <c r="A113" s="2" t="s">
        <v>76</v>
      </c>
      <c r="B113" s="2">
        <v>42.2</v>
      </c>
      <c r="C113" s="2">
        <v>0</v>
      </c>
      <c r="D113" s="2">
        <v>16.809138533178114</v>
      </c>
    </row>
    <row r="114" spans="1:4" x14ac:dyDescent="0.2">
      <c r="A114" s="2" t="s">
        <v>64</v>
      </c>
      <c r="B114" s="2">
        <v>40.625801487560906</v>
      </c>
      <c r="C114" s="2">
        <v>0</v>
      </c>
      <c r="D114" s="2">
        <v>2.4621697871249036E-3</v>
      </c>
    </row>
    <row r="115" spans="1:4" x14ac:dyDescent="0.2">
      <c r="A115" s="2" t="s">
        <v>166</v>
      </c>
      <c r="B115" s="2">
        <v>22.322115788052216</v>
      </c>
      <c r="C115" s="2">
        <v>0</v>
      </c>
      <c r="D115" s="2">
        <v>19.459588580714261</v>
      </c>
    </row>
    <row r="116" spans="1:4" x14ac:dyDescent="0.2">
      <c r="A116" s="2" t="s">
        <v>86</v>
      </c>
      <c r="B116" s="2">
        <v>20.581110872134182</v>
      </c>
      <c r="C116" s="2">
        <v>0</v>
      </c>
      <c r="D116" s="2">
        <v>17.929770884211706</v>
      </c>
    </row>
    <row r="117" spans="1:4" x14ac:dyDescent="0.2">
      <c r="A117" s="2" t="s">
        <v>58</v>
      </c>
      <c r="B117" s="2">
        <v>20.32151690244299</v>
      </c>
      <c r="C117" s="2">
        <v>0</v>
      </c>
      <c r="D117" s="2">
        <v>44.746652860471137</v>
      </c>
    </row>
    <row r="118" spans="1:4" x14ac:dyDescent="0.2">
      <c r="A118" s="2" t="s">
        <v>128</v>
      </c>
      <c r="B118" s="2">
        <v>19.935908361672713</v>
      </c>
      <c r="C118" s="2">
        <v>0</v>
      </c>
      <c r="D118" s="2">
        <v>3.9418116100825968</v>
      </c>
    </row>
    <row r="119" spans="1:4" x14ac:dyDescent="0.2">
      <c r="A119" s="2" t="s">
        <v>8</v>
      </c>
      <c r="B119" s="2">
        <v>19.909337415263504</v>
      </c>
      <c r="C119" s="2">
        <v>0</v>
      </c>
      <c r="D119" s="2">
        <v>14.64</v>
      </c>
    </row>
    <row r="120" spans="1:4" x14ac:dyDescent="0.2">
      <c r="A120" s="2" t="s">
        <v>155</v>
      </c>
      <c r="B120" s="2">
        <v>19.009337415263509</v>
      </c>
      <c r="C120" s="2">
        <v>0</v>
      </c>
      <c r="D120" s="2">
        <v>20.240000000000002</v>
      </c>
    </row>
    <row r="121" spans="1:4" x14ac:dyDescent="0.2">
      <c r="A121" s="2" t="s">
        <v>54</v>
      </c>
      <c r="B121" s="2">
        <v>18.814238473464563</v>
      </c>
      <c r="C121" s="2">
        <v>0</v>
      </c>
      <c r="D121" s="2">
        <v>35.136296296296294</v>
      </c>
    </row>
    <row r="122" spans="1:4" x14ac:dyDescent="0.2">
      <c r="A122" s="2" t="s">
        <v>91</v>
      </c>
      <c r="B122" s="2">
        <v>17.9710508549297</v>
      </c>
      <c r="C122" s="2">
        <v>0</v>
      </c>
      <c r="D122" s="2">
        <v>23.34</v>
      </c>
    </row>
    <row r="123" spans="1:4" x14ac:dyDescent="0.2">
      <c r="A123" s="2" t="s">
        <v>72</v>
      </c>
      <c r="B123" s="2">
        <v>17.098852664393238</v>
      </c>
      <c r="C123" s="2">
        <v>0</v>
      </c>
      <c r="D123" s="2">
        <v>15.253082558320777</v>
      </c>
    </row>
    <row r="124" spans="1:4" x14ac:dyDescent="0.2">
      <c r="A124" s="2" t="s">
        <v>103</v>
      </c>
      <c r="B124" s="2">
        <v>16.709337415263501</v>
      </c>
      <c r="C124" s="2">
        <v>0</v>
      </c>
      <c r="D124" s="2">
        <v>18.940000000000001</v>
      </c>
    </row>
    <row r="125" spans="1:4" x14ac:dyDescent="0.2">
      <c r="A125" s="2" t="s">
        <v>60</v>
      </c>
      <c r="B125" s="2">
        <v>16.609337415263504</v>
      </c>
      <c r="C125" s="2">
        <v>0</v>
      </c>
      <c r="D125" s="2">
        <v>13.68</v>
      </c>
    </row>
    <row r="126" spans="1:4" x14ac:dyDescent="0.2">
      <c r="A126" s="2" t="s">
        <v>82</v>
      </c>
      <c r="B126" s="2">
        <v>14.674043297616445</v>
      </c>
      <c r="C126" s="2">
        <v>0</v>
      </c>
      <c r="D126" s="2">
        <v>19.0914196033671</v>
      </c>
    </row>
    <row r="127" spans="1:4" x14ac:dyDescent="0.2">
      <c r="A127" s="2" t="s">
        <v>51</v>
      </c>
      <c r="B127" s="2">
        <v>13.909337415263504</v>
      </c>
      <c r="C127" s="2">
        <v>0</v>
      </c>
      <c r="D127" s="2">
        <v>15.103835912198633</v>
      </c>
    </row>
    <row r="128" spans="1:4" x14ac:dyDescent="0.2">
      <c r="A128" s="2" t="s">
        <v>43</v>
      </c>
      <c r="B128" s="2">
        <v>13.472953486692075</v>
      </c>
      <c r="C128" s="2">
        <v>0</v>
      </c>
      <c r="D128" s="2">
        <v>23.824514003294894</v>
      </c>
    </row>
    <row r="129" spans="1:4" x14ac:dyDescent="0.2">
      <c r="A129" s="2" t="s">
        <v>55</v>
      </c>
      <c r="B129" s="2">
        <v>13.045701051627141</v>
      </c>
      <c r="C129" s="2">
        <v>0</v>
      </c>
      <c r="D129" s="2">
        <v>28.64</v>
      </c>
    </row>
    <row r="130" spans="1:4" x14ac:dyDescent="0.2">
      <c r="A130" s="2" t="s">
        <v>74</v>
      </c>
      <c r="B130" s="2">
        <v>12.720337415263504</v>
      </c>
      <c r="C130" s="2">
        <v>0</v>
      </c>
      <c r="D130" s="2">
        <v>64.64</v>
      </c>
    </row>
    <row r="131" spans="1:4" x14ac:dyDescent="0.2">
      <c r="A131" s="2" t="s">
        <v>117</v>
      </c>
      <c r="B131" s="2">
        <v>11.109337415263504</v>
      </c>
      <c r="C131" s="2">
        <v>0</v>
      </c>
      <c r="D131" s="2">
        <v>21.44</v>
      </c>
    </row>
    <row r="132" spans="1:4" x14ac:dyDescent="0.2">
      <c r="A132" s="2" t="s">
        <v>129</v>
      </c>
      <c r="B132" s="2">
        <v>10.409337415263503</v>
      </c>
      <c r="C132" s="2">
        <v>0</v>
      </c>
      <c r="D132" s="2">
        <v>25.594048640915595</v>
      </c>
    </row>
    <row r="133" spans="1:4" x14ac:dyDescent="0.2">
      <c r="A133" s="2" t="s">
        <v>133</v>
      </c>
      <c r="B133" s="2">
        <v>10.372309047193022</v>
      </c>
      <c r="C133" s="2">
        <v>0</v>
      </c>
      <c r="D133" s="2">
        <v>9.3989270309643445</v>
      </c>
    </row>
    <row r="134" spans="1:4" x14ac:dyDescent="0.2">
      <c r="A134" s="2" t="s">
        <v>16</v>
      </c>
      <c r="B134" s="2">
        <v>10.309337415263503</v>
      </c>
      <c r="C134" s="2">
        <v>0</v>
      </c>
      <c r="D134" s="2">
        <v>26.64</v>
      </c>
    </row>
    <row r="135" spans="1:4" x14ac:dyDescent="0.2">
      <c r="A135" s="2" t="s">
        <v>167</v>
      </c>
      <c r="B135" s="2">
        <v>9.2093374152635032</v>
      </c>
      <c r="C135" s="2">
        <v>0</v>
      </c>
      <c r="D135" s="2">
        <v>19.04</v>
      </c>
    </row>
    <row r="136" spans="1:4" x14ac:dyDescent="0.2">
      <c r="A136" s="2" t="s">
        <v>97</v>
      </c>
      <c r="B136" s="2">
        <v>8.8123156342182885</v>
      </c>
      <c r="C136" s="2">
        <v>0</v>
      </c>
      <c r="D136" s="2">
        <v>3.0451696165191739</v>
      </c>
    </row>
    <row r="137" spans="1:4" x14ac:dyDescent="0.2">
      <c r="A137" s="2" t="s">
        <v>70</v>
      </c>
      <c r="B137" s="2">
        <v>8.6</v>
      </c>
      <c r="C137" s="2">
        <v>0</v>
      </c>
      <c r="D137" s="2">
        <v>4.46</v>
      </c>
    </row>
    <row r="138" spans="1:4" x14ac:dyDescent="0.2">
      <c r="A138" s="2" t="s">
        <v>24</v>
      </c>
      <c r="B138" s="2">
        <v>8.4817880641892316</v>
      </c>
      <c r="C138" s="2">
        <v>0</v>
      </c>
      <c r="D138" s="7">
        <v>12.362786415094339</v>
      </c>
    </row>
    <row r="139" spans="1:4" x14ac:dyDescent="0.2">
      <c r="A139" s="2" t="s">
        <v>150</v>
      </c>
      <c r="B139" s="2">
        <v>6.7949690673514649</v>
      </c>
      <c r="C139" s="2">
        <v>0</v>
      </c>
      <c r="D139" s="2">
        <v>3.6779502743083929</v>
      </c>
    </row>
    <row r="140" spans="1:4" x14ac:dyDescent="0.2">
      <c r="A140" s="2" t="s">
        <v>130</v>
      </c>
      <c r="B140" s="2">
        <v>5.8303371878340293</v>
      </c>
      <c r="C140" s="2">
        <v>0</v>
      </c>
      <c r="D140" s="2">
        <v>0</v>
      </c>
    </row>
    <row r="141" spans="1:4" x14ac:dyDescent="0.2">
      <c r="A141" s="2" t="s">
        <v>137</v>
      </c>
      <c r="B141" s="2">
        <v>5.3</v>
      </c>
      <c r="C141" s="2">
        <v>0</v>
      </c>
      <c r="D141" s="2">
        <v>4</v>
      </c>
    </row>
    <row r="142" spans="1:4" x14ac:dyDescent="0.2">
      <c r="A142" s="2" t="s">
        <v>79</v>
      </c>
      <c r="B142" s="2">
        <v>3.8296834087122114</v>
      </c>
      <c r="C142" s="2">
        <v>0</v>
      </c>
      <c r="D142" s="2">
        <v>0</v>
      </c>
    </row>
    <row r="143" spans="1:4" x14ac:dyDescent="0.2">
      <c r="A143" s="2" t="s">
        <v>153</v>
      </c>
      <c r="B143" s="2">
        <v>3.4465272140929732</v>
      </c>
      <c r="C143" s="2">
        <v>0</v>
      </c>
      <c r="D143" s="2">
        <v>1.44</v>
      </c>
    </row>
    <row r="144" spans="1:4" x14ac:dyDescent="0.2">
      <c r="A144" s="2" t="s">
        <v>87</v>
      </c>
      <c r="B144" s="2">
        <v>3.4443478260869571</v>
      </c>
      <c r="C144" s="2">
        <v>0</v>
      </c>
      <c r="D144" s="2">
        <v>1.2</v>
      </c>
    </row>
    <row r="145" spans="1:4" x14ac:dyDescent="0.2">
      <c r="A145" s="2" t="s">
        <v>161</v>
      </c>
      <c r="B145" s="2">
        <v>2.9</v>
      </c>
      <c r="C145" s="2">
        <v>0</v>
      </c>
      <c r="D145" s="2">
        <v>0</v>
      </c>
    </row>
    <row r="146" spans="1:4" x14ac:dyDescent="0.2">
      <c r="A146" s="2" t="s">
        <v>37</v>
      </c>
      <c r="B146" s="2">
        <v>2.8157732593961797</v>
      </c>
      <c r="C146" s="2">
        <v>0</v>
      </c>
      <c r="D146" s="2">
        <v>0</v>
      </c>
    </row>
    <row r="147" spans="1:4" x14ac:dyDescent="0.2">
      <c r="A147" s="2" t="s">
        <v>89</v>
      </c>
      <c r="B147" s="2">
        <v>2.8</v>
      </c>
      <c r="C147" s="2">
        <v>0</v>
      </c>
      <c r="D147" s="2">
        <v>0</v>
      </c>
    </row>
    <row r="148" spans="1:4" x14ac:dyDescent="0.2">
      <c r="A148" s="2" t="s">
        <v>26</v>
      </c>
      <c r="B148" s="2">
        <v>2.75</v>
      </c>
      <c r="C148" s="2">
        <v>0</v>
      </c>
      <c r="D148" s="2">
        <v>0</v>
      </c>
    </row>
    <row r="149" spans="1:4" x14ac:dyDescent="0.2">
      <c r="A149" s="2" t="s">
        <v>46</v>
      </c>
      <c r="B149" s="2">
        <v>2.4</v>
      </c>
      <c r="C149" s="2">
        <v>0</v>
      </c>
      <c r="D149" s="2">
        <v>0</v>
      </c>
    </row>
    <row r="150" spans="1:4" x14ac:dyDescent="0.2">
      <c r="A150" s="2" t="s">
        <v>163</v>
      </c>
      <c r="B150" s="2">
        <v>2.14</v>
      </c>
      <c r="C150" s="2">
        <v>0</v>
      </c>
      <c r="D150" s="2">
        <v>1.5</v>
      </c>
    </row>
    <row r="151" spans="1:4" x14ac:dyDescent="0.2">
      <c r="A151" s="2" t="s">
        <v>122</v>
      </c>
      <c r="B151" s="2">
        <v>2</v>
      </c>
      <c r="C151" s="2">
        <v>0</v>
      </c>
      <c r="D151" s="2">
        <v>2.5</v>
      </c>
    </row>
    <row r="152" spans="1:4" x14ac:dyDescent="0.2">
      <c r="A152" s="2" t="s">
        <v>83</v>
      </c>
      <c r="B152" s="2">
        <v>1.9318101184985454</v>
      </c>
      <c r="C152" s="2">
        <v>0</v>
      </c>
      <c r="D152" s="2">
        <v>0</v>
      </c>
    </row>
    <row r="153" spans="1:4" x14ac:dyDescent="0.2">
      <c r="A153" s="2" t="s">
        <v>15</v>
      </c>
      <c r="B153" s="2">
        <v>1.7163364019347793</v>
      </c>
      <c r="C153" s="2">
        <v>0</v>
      </c>
      <c r="D153" s="2">
        <v>0.17249641240141761</v>
      </c>
    </row>
    <row r="154" spans="1:4" x14ac:dyDescent="0.2">
      <c r="A154" s="2" t="s">
        <v>154</v>
      </c>
      <c r="B154" s="2">
        <v>1.694</v>
      </c>
      <c r="C154" s="2">
        <v>0</v>
      </c>
      <c r="D154" s="2">
        <v>0</v>
      </c>
    </row>
    <row r="155" spans="1:4" x14ac:dyDescent="0.2">
      <c r="A155" s="2" t="s">
        <v>19</v>
      </c>
      <c r="B155" s="2">
        <v>1.685432793807178</v>
      </c>
      <c r="C155" s="2">
        <v>0</v>
      </c>
      <c r="D155" s="2">
        <v>0</v>
      </c>
    </row>
    <row r="156" spans="1:4" x14ac:dyDescent="0.2">
      <c r="A156" s="2" t="s">
        <v>145</v>
      </c>
      <c r="B156" s="2">
        <v>1.4</v>
      </c>
      <c r="C156" s="2">
        <v>0</v>
      </c>
      <c r="D156" s="2">
        <v>1.5354317567342035</v>
      </c>
    </row>
    <row r="157" spans="1:4" x14ac:dyDescent="0.2">
      <c r="A157" s="2" t="s">
        <v>48</v>
      </c>
      <c r="B157" s="2">
        <v>1.3432091184710442</v>
      </c>
      <c r="C157" s="2">
        <v>0</v>
      </c>
      <c r="D157" s="2">
        <v>0</v>
      </c>
    </row>
    <row r="158" spans="1:4" x14ac:dyDescent="0.2">
      <c r="A158" s="2" t="s">
        <v>75</v>
      </c>
      <c r="B158" s="2">
        <v>1.1000000000000001</v>
      </c>
      <c r="C158" s="2">
        <v>0</v>
      </c>
      <c r="D158" s="2">
        <v>2.7281547118556366</v>
      </c>
    </row>
    <row r="159" spans="1:4" x14ac:dyDescent="0.2">
      <c r="A159" s="2" t="s">
        <v>10</v>
      </c>
      <c r="B159" s="2">
        <v>1</v>
      </c>
      <c r="C159" s="2">
        <v>0</v>
      </c>
      <c r="D159" s="2">
        <v>0</v>
      </c>
    </row>
    <row r="160" spans="1:4" x14ac:dyDescent="0.2">
      <c r="A160" s="2" t="s">
        <v>17</v>
      </c>
      <c r="B160" s="2">
        <v>1</v>
      </c>
      <c r="C160" s="2">
        <v>0</v>
      </c>
      <c r="D160" s="2">
        <v>0</v>
      </c>
    </row>
    <row r="161" spans="1:4" x14ac:dyDescent="0.2">
      <c r="A161" s="2" t="s">
        <v>20</v>
      </c>
      <c r="B161" s="2">
        <v>0.97995283018867929</v>
      </c>
      <c r="C161" s="2">
        <v>0</v>
      </c>
      <c r="D161" s="7">
        <v>10.194335039267942</v>
      </c>
    </row>
    <row r="162" spans="1:4" x14ac:dyDescent="0.2">
      <c r="A162" s="2" t="s">
        <v>149</v>
      </c>
      <c r="B162" s="2">
        <v>0.50105167992029376</v>
      </c>
      <c r="C162" s="2">
        <v>0</v>
      </c>
      <c r="D162" s="2">
        <v>0</v>
      </c>
    </row>
    <row r="163" spans="1:4" x14ac:dyDescent="0.2">
      <c r="A163" s="2" t="s">
        <v>23</v>
      </c>
      <c r="B163" s="2">
        <v>0.20601695867026062</v>
      </c>
      <c r="C163" s="2">
        <v>0</v>
      </c>
      <c r="D163" s="2">
        <v>2.9939830413297397</v>
      </c>
    </row>
    <row r="164" spans="1:4" x14ac:dyDescent="0.2">
      <c r="A164" s="2" t="s">
        <v>131</v>
      </c>
      <c r="B164" s="2">
        <v>0.17111027932072967</v>
      </c>
      <c r="C164" s="2">
        <v>0</v>
      </c>
      <c r="D164" s="2">
        <v>0</v>
      </c>
    </row>
    <row r="165" spans="1:4" x14ac:dyDescent="0.2">
      <c r="A165" s="2" t="s">
        <v>71</v>
      </c>
      <c r="B165" s="2">
        <v>0.14850955277663808</v>
      </c>
      <c r="C165" s="2">
        <v>0</v>
      </c>
      <c r="D165" s="2">
        <v>1</v>
      </c>
    </row>
    <row r="166" spans="1:4" x14ac:dyDescent="0.2">
      <c r="A166" s="2" t="s">
        <v>50</v>
      </c>
      <c r="B166" s="2">
        <v>0</v>
      </c>
      <c r="C166" s="2">
        <v>0</v>
      </c>
      <c r="D166" s="2">
        <v>0</v>
      </c>
    </row>
    <row r="167" spans="1:4" x14ac:dyDescent="0.2">
      <c r="A167" s="2" t="s">
        <v>141</v>
      </c>
      <c r="B167" s="2">
        <v>0</v>
      </c>
      <c r="C167" s="2">
        <v>0</v>
      </c>
      <c r="D167" s="2">
        <v>0</v>
      </c>
    </row>
    <row r="168" spans="1:4" x14ac:dyDescent="0.2">
      <c r="A168" s="2" t="s">
        <v>169</v>
      </c>
      <c r="B168" s="2">
        <v>7.4</v>
      </c>
      <c r="C168" s="2">
        <v>-17.647058823529413</v>
      </c>
      <c r="D168" s="2">
        <v>0</v>
      </c>
    </row>
    <row r="169" spans="1:4" x14ac:dyDescent="0.2">
      <c r="A169" s="2" t="s">
        <v>45</v>
      </c>
      <c r="B169" s="2">
        <v>15.971452307998026</v>
      </c>
      <c r="C169" s="2">
        <v>-20</v>
      </c>
      <c r="D169" s="2">
        <v>7.8144802636126922</v>
      </c>
    </row>
    <row r="170" spans="1:4" x14ac:dyDescent="0.2">
      <c r="A170" s="2" t="s">
        <v>162</v>
      </c>
      <c r="B170" s="2">
        <v>0.3</v>
      </c>
      <c r="C170" s="2">
        <v>-105.55555555555556</v>
      </c>
      <c r="D170" s="2">
        <v>0</v>
      </c>
    </row>
  </sheetData>
  <sortState xmlns:xlrd2="http://schemas.microsoft.com/office/spreadsheetml/2017/richdata2" ref="A2:D176">
    <sortCondition descending="1" ref="C2:C17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1F16-08B8-6845-A001-20CAFDD78AD5}">
  <dimension ref="A1:A3"/>
  <sheetViews>
    <sheetView tabSelected="1" workbookViewId="0">
      <selection activeCell="A3" sqref="A3"/>
    </sheetView>
  </sheetViews>
  <sheetFormatPr baseColWidth="10" defaultRowHeight="16" x14ac:dyDescent="0.2"/>
  <sheetData>
    <row r="1" spans="1:1" x14ac:dyDescent="0.2">
      <c r="A1" t="s">
        <v>181</v>
      </c>
    </row>
    <row r="2" spans="1:1" x14ac:dyDescent="0.2">
      <c r="A2" t="s">
        <v>182</v>
      </c>
    </row>
    <row r="3" spans="1:1" x14ac:dyDescent="0.2">
      <c r="A3" s="9" t="s">
        <v>183</v>
      </c>
    </row>
  </sheetData>
  <hyperlinks>
    <hyperlink ref="A3" r:id="rId1" display="http://web.boun.edu.tr/elgin/CESI_14.xlsx" xr:uid="{975E0BB0-1C41-AC49-9DC4-E0D6ED68E4F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timo.daehler@gmail.com</cp:lastModifiedBy>
  <dcterms:created xsi:type="dcterms:W3CDTF">2020-03-28T20:35:37Z</dcterms:created>
  <dcterms:modified xsi:type="dcterms:W3CDTF">2021-01-12T20:20:30Z</dcterms:modified>
</cp:coreProperties>
</file>