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nner\Dropbox\finance\6\"/>
    </mc:Choice>
  </mc:AlternateContent>
  <xr:revisionPtr revIDLastSave="0" documentId="8_{BF2CB823-798F-45E0-9005-E6AF555F6303}" xr6:coauthVersionLast="40" xr6:coauthVersionMax="40" xr10:uidLastSave="{00000000-0000-0000-0000-000000000000}"/>
  <bookViews>
    <workbookView xWindow="0" yWindow="0" windowWidth="23040" windowHeight="8988" tabRatio="665" activeTab="6" xr2:uid="{00000000-000D-0000-FFFF-FFFF00000000}"/>
  </bookViews>
  <sheets>
    <sheet name="Exhibit 1" sheetId="29" r:id="rId1"/>
    <sheet name="Exhibit 2" sheetId="6" r:id="rId2"/>
    <sheet name="Exhibit 3" sheetId="8" r:id="rId3"/>
    <sheet name="Exhibit 4" sheetId="7" r:id="rId4"/>
    <sheet name="Exhibit 5" sheetId="9" r:id="rId5"/>
    <sheet name="Exhibit 6" sheetId="15" r:id="rId6"/>
    <sheet name="Exhibit 7" sheetId="10" r:id="rId7"/>
  </sheets>
  <externalReferences>
    <externalReference r:id="rId8"/>
  </externalReferences>
  <definedNames>
    <definedName name="acc_size">#REF!</definedName>
    <definedName name="atc_backhaul_cost">#REF!</definedName>
    <definedName name="atc_hist_inc">'Exhibit 4'!$A$52:$R$102</definedName>
    <definedName name="atc_proj_bal">#REF!</definedName>
    <definedName name="atc_proj_cashass">#REF!</definedName>
    <definedName name="atc_proj_debt">#REF!</definedName>
    <definedName name="atc_proj_inc">#REF!</definedName>
    <definedName name="atc_rev_synergy">#REF!</definedName>
    <definedName name="atc_size">'Exhibit 2'!$C$11</definedName>
    <definedName name="case">[1]Assumptions!$D$56</definedName>
    <definedName name="libor">[1]Assumptions!$D$71</definedName>
    <definedName name="_xlnm.Print_Area" localSheetId="3">'Exhibit 4'!$A$52:$R$102</definedName>
    <definedName name="revolver">[1]Assumptions!$D$72</definedName>
    <definedName name="term_a">[1]Assumptions!$D$73</definedName>
    <definedName name="term_a_cov">[1]Assumptions!$D$74</definedName>
    <definedName name="term_b">[1]Assumptions!$D$76</definedName>
    <definedName name="term_b_cov">[1]Assumptions!$D$77</definedName>
    <definedName name="trans_mult">[1]Assumptions!$D$65</definedName>
  </definedNames>
  <calcPr calcId="191029" calcMode="autoNoTable" iterate="1" iterateCount="3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29" l="1"/>
  <c r="G58" i="29" s="1"/>
  <c r="H58" i="29" s="1"/>
  <c r="I58" i="29" s="1"/>
  <c r="R102" i="29"/>
  <c r="R52" i="29"/>
  <c r="I52" i="29"/>
  <c r="A52" i="29"/>
  <c r="R51" i="29"/>
  <c r="R1" i="29"/>
  <c r="I1" i="29"/>
  <c r="A1" i="29"/>
  <c r="I84" i="10"/>
  <c r="A1" i="15"/>
  <c r="I1" i="15"/>
  <c r="R1" i="15"/>
  <c r="R51" i="15"/>
  <c r="A52" i="15"/>
  <c r="I52" i="15"/>
  <c r="R52" i="15"/>
  <c r="G61" i="15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R102" i="15"/>
  <c r="R153" i="15"/>
  <c r="A1" i="10"/>
  <c r="I1" i="10"/>
  <c r="R1" i="10"/>
  <c r="R51" i="10"/>
  <c r="A52" i="10"/>
  <c r="I52" i="10"/>
  <c r="R52" i="10"/>
  <c r="R102" i="10"/>
  <c r="A1" i="9"/>
  <c r="I1" i="9"/>
  <c r="R1" i="9"/>
  <c r="R51" i="9"/>
  <c r="A52" i="9"/>
  <c r="I52" i="9"/>
  <c r="R52" i="9"/>
  <c r="F58" i="9"/>
  <c r="G58" i="9" s="1"/>
  <c r="E90" i="9"/>
  <c r="F90" i="9"/>
  <c r="G90" i="9"/>
  <c r="E91" i="9"/>
  <c r="F91" i="9"/>
  <c r="G91" i="9"/>
  <c r="E92" i="9"/>
  <c r="F92" i="9"/>
  <c r="G92" i="9"/>
  <c r="E93" i="9"/>
  <c r="F93" i="9"/>
  <c r="G93" i="9"/>
  <c r="E94" i="9"/>
  <c r="F94" i="9"/>
  <c r="G94" i="9"/>
  <c r="E95" i="9"/>
  <c r="F95" i="9"/>
  <c r="G95" i="9"/>
  <c r="E97" i="9"/>
  <c r="F97" i="9"/>
  <c r="G97" i="9"/>
  <c r="E99" i="9"/>
  <c r="F99" i="9"/>
  <c r="G99" i="9"/>
  <c r="E100" i="9"/>
  <c r="F100" i="9"/>
  <c r="G100" i="9"/>
  <c r="R102" i="9"/>
  <c r="A1" i="7"/>
  <c r="I1" i="7"/>
  <c r="R1" i="7"/>
  <c r="R51" i="7"/>
  <c r="A52" i="7"/>
  <c r="I52" i="7"/>
  <c r="R52" i="7"/>
  <c r="F58" i="7"/>
  <c r="G58" i="7" s="1"/>
  <c r="R102" i="7"/>
  <c r="A1" i="6"/>
  <c r="I1" i="6"/>
  <c r="R1" i="6"/>
  <c r="R51" i="6"/>
  <c r="A52" i="6"/>
  <c r="I52" i="6"/>
  <c r="R52" i="6"/>
  <c r="L68" i="6"/>
  <c r="L69" i="6"/>
  <c r="L70" i="6"/>
  <c r="L71" i="6"/>
  <c r="L72" i="6"/>
  <c r="J73" i="6"/>
  <c r="K73" i="6"/>
  <c r="L77" i="6"/>
  <c r="L78" i="6"/>
  <c r="L79" i="6"/>
  <c r="L80" i="6"/>
  <c r="L81" i="6"/>
  <c r="J82" i="6"/>
  <c r="K82" i="6"/>
  <c r="R102" i="6"/>
  <c r="A1" i="8"/>
  <c r="I1" i="8"/>
  <c r="R1" i="8"/>
  <c r="R51" i="8"/>
  <c r="A52" i="8"/>
  <c r="I52" i="8"/>
  <c r="R52" i="8"/>
  <c r="F58" i="8"/>
  <c r="G58" i="8" s="1"/>
  <c r="F61" i="8"/>
  <c r="G61" i="8"/>
  <c r="E61" i="8"/>
  <c r="F70" i="8"/>
  <c r="G70" i="8" s="1"/>
  <c r="E73" i="8"/>
  <c r="F73" i="8"/>
  <c r="G73" i="8"/>
  <c r="R102" i="8"/>
  <c r="G66" i="9"/>
  <c r="H84" i="10"/>
  <c r="L82" i="6" l="1"/>
  <c r="L73" i="6"/>
  <c r="F66" i="9"/>
  <c r="F76" i="9" s="1"/>
  <c r="E66" i="9"/>
  <c r="E76" i="9" s="1"/>
  <c r="E61" i="7"/>
  <c r="E65" i="7" s="1"/>
  <c r="G88" i="9"/>
  <c r="F88" i="9"/>
  <c r="F101" i="9" s="1"/>
  <c r="E88" i="9"/>
  <c r="E101" i="9" s="1"/>
  <c r="G76" i="9"/>
  <c r="G61" i="7"/>
  <c r="F61" i="7"/>
  <c r="E67" i="7" l="1"/>
  <c r="E72" i="7" s="1"/>
  <c r="E74" i="7" s="1"/>
  <c r="E76" i="7" s="1"/>
  <c r="J84" i="10"/>
  <c r="G101" i="9"/>
  <c r="G65" i="7"/>
  <c r="F65" i="7"/>
  <c r="G67" i="7" l="1"/>
  <c r="F67" i="7"/>
  <c r="G72" i="7" l="1"/>
  <c r="F72" i="7"/>
  <c r="C60" i="15" l="1"/>
  <c r="C61" i="15"/>
  <c r="C62" i="15" s="1"/>
  <c r="C63" i="15" s="1"/>
  <c r="C64" i="15" s="1"/>
  <c r="C65" i="15" s="1"/>
  <c r="D60" i="15"/>
  <c r="G74" i="7"/>
  <c r="G76" i="7" s="1"/>
  <c r="F74" i="7"/>
  <c r="F76" i="7" s="1"/>
  <c r="E60" i="15" l="1"/>
  <c r="F60" i="15" s="1"/>
  <c r="D61" i="15" s="1"/>
  <c r="E61" i="15" s="1"/>
  <c r="K60" i="15"/>
  <c r="K61" i="15"/>
  <c r="K62" i="15" s="1"/>
  <c r="K63" i="15" s="1"/>
  <c r="K64" i="15" s="1"/>
  <c r="K65" i="15" s="1"/>
  <c r="C66" i="15"/>
  <c r="F61" i="15" l="1"/>
  <c r="D62" i="15" s="1"/>
  <c r="C67" i="15"/>
  <c r="K66" i="15"/>
  <c r="E62" i="15" l="1"/>
  <c r="K67" i="15"/>
  <c r="C68" i="15"/>
  <c r="C69" i="15" l="1"/>
  <c r="K68" i="15"/>
  <c r="F62" i="15"/>
  <c r="D63" i="15" l="1"/>
  <c r="K69" i="15"/>
  <c r="C70" i="15"/>
  <c r="C71" i="15" l="1"/>
  <c r="K70" i="15"/>
  <c r="E63" i="15"/>
  <c r="F63" i="15" l="1"/>
  <c r="K71" i="15"/>
  <c r="C72" i="15"/>
  <c r="D64" i="15" l="1"/>
  <c r="E64" i="15" s="1"/>
  <c r="F64" i="15" s="1"/>
  <c r="C73" i="15"/>
  <c r="K72" i="15"/>
  <c r="D65" i="15" l="1"/>
  <c r="E65" i="15" s="1"/>
  <c r="F65" i="15" s="1"/>
  <c r="K73" i="15"/>
  <c r="C74" i="15"/>
  <c r="D66" i="15" l="1"/>
  <c r="E66" i="15" s="1"/>
  <c r="F66" i="15" s="1"/>
  <c r="C75" i="15"/>
  <c r="K74" i="15"/>
  <c r="D67" i="15" l="1"/>
  <c r="E67" i="15" s="1"/>
  <c r="F67" i="15" s="1"/>
  <c r="K75" i="15"/>
  <c r="C76" i="15"/>
  <c r="D68" i="15" l="1"/>
  <c r="E68" i="15" s="1"/>
  <c r="F68" i="15" s="1"/>
  <c r="C77" i="15"/>
  <c r="K76" i="15"/>
  <c r="D69" i="15" l="1"/>
  <c r="E69" i="15" s="1"/>
  <c r="F69" i="15" s="1"/>
  <c r="K77" i="15"/>
  <c r="C78" i="15"/>
  <c r="D70" i="15" l="1"/>
  <c r="E70" i="15" s="1"/>
  <c r="F70" i="15" s="1"/>
  <c r="C79" i="15"/>
  <c r="D71" i="15" l="1"/>
  <c r="C80" i="15"/>
  <c r="C81" i="15" l="1"/>
  <c r="E71" i="15"/>
  <c r="C82" i="15" l="1"/>
  <c r="F71" i="15"/>
  <c r="D72" i="15" l="1"/>
  <c r="C83" i="15"/>
  <c r="C84" i="15" l="1"/>
  <c r="E72" i="15"/>
  <c r="C85" i="15" l="1"/>
  <c r="F72" i="15"/>
  <c r="C86" i="15" l="1"/>
  <c r="D73" i="15"/>
  <c r="C87" i="15" l="1"/>
  <c r="E73" i="15"/>
  <c r="F73" i="15" l="1"/>
  <c r="C88" i="15"/>
  <c r="C89" i="15" l="1"/>
  <c r="D74" i="15"/>
  <c r="E74" i="15" l="1"/>
  <c r="C90" i="15"/>
  <c r="C91" i="15" l="1"/>
  <c r="F74" i="15"/>
  <c r="D75" i="15" l="1"/>
  <c r="C92" i="15"/>
  <c r="C93" i="15" l="1"/>
  <c r="E75" i="15"/>
  <c r="F75" i="15" l="1"/>
  <c r="C94" i="15"/>
  <c r="D76" i="15" l="1"/>
  <c r="C95" i="15"/>
  <c r="C96" i="15" l="1"/>
  <c r="E76" i="15"/>
  <c r="F76" i="15" l="1"/>
  <c r="C97" i="15"/>
  <c r="D77" i="15" l="1"/>
  <c r="E77" i="15" s="1"/>
  <c r="F77" i="15" s="1"/>
  <c r="C98" i="15"/>
  <c r="D78" i="15" l="1"/>
  <c r="E78" i="15" s="1"/>
  <c r="F78" i="15" s="1"/>
  <c r="C99" i="15"/>
  <c r="D79" i="15" l="1"/>
  <c r="E79" i="15" s="1"/>
  <c r="F79" i="15" s="1"/>
  <c r="C100" i="15"/>
  <c r="D80" i="15" l="1"/>
  <c r="E80" i="15" s="1"/>
  <c r="F80" i="15" s="1"/>
  <c r="D81" i="15" l="1"/>
  <c r="E81" i="15" s="1"/>
  <c r="F81" i="15" s="1"/>
  <c r="D82" i="15" l="1"/>
  <c r="E82" i="15" s="1"/>
  <c r="F82" i="15" s="1"/>
  <c r="D83" i="15" l="1"/>
  <c r="E83" i="15" l="1"/>
  <c r="F83" i="15" l="1"/>
  <c r="D84" i="15" l="1"/>
  <c r="E84" i="15" l="1"/>
  <c r="F84" i="15" l="1"/>
  <c r="D85" i="15" l="1"/>
  <c r="E85" i="15" l="1"/>
  <c r="F85" i="15" l="1"/>
  <c r="D86" i="15" l="1"/>
  <c r="E86" i="15" l="1"/>
  <c r="F86" i="15" l="1"/>
  <c r="D87" i="15" l="1"/>
  <c r="E87" i="15" l="1"/>
  <c r="F87" i="15" l="1"/>
  <c r="D88" i="15" l="1"/>
  <c r="E88" i="15" l="1"/>
  <c r="F88" i="15" l="1"/>
  <c r="D89" i="15" l="1"/>
  <c r="E89" i="15" s="1"/>
  <c r="F89" i="15" s="1"/>
  <c r="D90" i="15" l="1"/>
  <c r="E90" i="15" s="1"/>
  <c r="F90" i="15" s="1"/>
  <c r="D91" i="15" l="1"/>
  <c r="E91" i="15" s="1"/>
  <c r="F91" i="15" s="1"/>
  <c r="D92" i="15" l="1"/>
  <c r="E92" i="15" s="1"/>
  <c r="F92" i="15" s="1"/>
  <c r="D93" i="15" l="1"/>
  <c r="E93" i="15" s="1"/>
  <c r="F93" i="15" s="1"/>
  <c r="D94" i="15" l="1"/>
  <c r="E94" i="15" s="1"/>
  <c r="F94" i="15" s="1"/>
  <c r="D95" i="15" l="1"/>
  <c r="E95" i="15" l="1"/>
  <c r="F95" i="15" l="1"/>
  <c r="D96" i="15" l="1"/>
  <c r="E96" i="15" l="1"/>
  <c r="F96" i="15" l="1"/>
  <c r="D97" i="15" l="1"/>
  <c r="E97" i="15" l="1"/>
  <c r="F97" i="15" l="1"/>
  <c r="D98" i="15" l="1"/>
  <c r="E98" i="15" l="1"/>
  <c r="F98" i="15" l="1"/>
  <c r="D99" i="15" l="1"/>
  <c r="E99" i="15" l="1"/>
  <c r="F99" i="15" l="1"/>
  <c r="D100" i="15" l="1"/>
  <c r="E100" i="15" l="1"/>
  <c r="F100" i="15" l="1"/>
  <c r="L60" i="15" l="1"/>
  <c r="M60" i="15" s="1"/>
  <c r="N60" i="15" s="1"/>
  <c r="L61" i="15" l="1"/>
  <c r="M61" i="15" s="1"/>
  <c r="N61" i="15" s="1"/>
  <c r="L62" i="15" l="1"/>
  <c r="M62" i="15" s="1"/>
  <c r="N62" i="15" s="1"/>
  <c r="L63" i="15" l="1"/>
  <c r="M63" i="15" s="1"/>
  <c r="N63" i="15" s="1"/>
  <c r="L64" i="15" l="1"/>
  <c r="M64" i="15" s="1"/>
  <c r="N64" i="15" s="1"/>
  <c r="L65" i="15" l="1"/>
  <c r="M65" i="15" s="1"/>
  <c r="N65" i="15" s="1"/>
  <c r="L66" i="15" l="1"/>
  <c r="M66" i="15" l="1"/>
  <c r="N66" i="15" l="1"/>
  <c r="L67" i="15" l="1"/>
  <c r="M67" i="15" l="1"/>
  <c r="N67" i="15" l="1"/>
  <c r="L68" i="15" l="1"/>
  <c r="M68" i="15" l="1"/>
  <c r="N68" i="15" l="1"/>
  <c r="L69" i="15" l="1"/>
  <c r="M69" i="15" l="1"/>
  <c r="N69" i="15" l="1"/>
  <c r="L70" i="15" l="1"/>
  <c r="M70" i="15" l="1"/>
  <c r="N70" i="15" l="1"/>
  <c r="L71" i="15" l="1"/>
  <c r="M71" i="15" l="1"/>
  <c r="N71" i="15" l="1"/>
  <c r="L72" i="15" l="1"/>
  <c r="M72" i="15" s="1"/>
  <c r="N72" i="15" s="1"/>
  <c r="L73" i="15" l="1"/>
  <c r="M73" i="15" s="1"/>
  <c r="N73" i="15" s="1"/>
  <c r="L74" i="15" l="1"/>
  <c r="M74" i="15" s="1"/>
  <c r="N74" i="15" s="1"/>
  <c r="L75" i="15" l="1"/>
  <c r="M75" i="15" s="1"/>
  <c r="N75" i="15" s="1"/>
  <c r="L76" i="15" l="1"/>
  <c r="M76" i="15" s="1"/>
  <c r="N76" i="15" s="1"/>
  <c r="L77" i="15" l="1"/>
  <c r="M77" i="15" s="1"/>
  <c r="N77" i="15" s="1"/>
  <c r="L78" i="15" l="1"/>
  <c r="K78" i="15" l="1"/>
  <c r="M78" i="15" s="1"/>
  <c r="N78" i="15" l="1"/>
</calcChain>
</file>

<file path=xl/sharedStrings.xml><?xml version="1.0" encoding="utf-8"?>
<sst xmlns="http://schemas.openxmlformats.org/spreadsheetml/2006/main" count="222" uniqueCount="142">
  <si>
    <t>Project:</t>
  </si>
  <si>
    <t>Analysis:</t>
  </si>
  <si>
    <t>Draft:</t>
  </si>
  <si>
    <t>Footer:</t>
  </si>
  <si>
    <t>AIRTHREAD ACQUISITION</t>
  </si>
  <si>
    <t>Size Factor</t>
  </si>
  <si>
    <t>Penetration</t>
  </si>
  <si>
    <t>Total Revenue</t>
  </si>
  <si>
    <t>Operating Results:</t>
  </si>
  <si>
    <t>Revenue</t>
  </si>
  <si>
    <t>Less:  Selling, General &amp; Administrative</t>
  </si>
  <si>
    <t>Less:  Interest Expense</t>
  </si>
  <si>
    <t>Less:  Taxes</t>
  </si>
  <si>
    <t>Less:  Minority Interest</t>
  </si>
  <si>
    <t>Net Income</t>
  </si>
  <si>
    <t>Assets:</t>
  </si>
  <si>
    <t>Accounts Receivable</t>
  </si>
  <si>
    <t>Deferred Taxes</t>
  </si>
  <si>
    <t>Other Current Assets</t>
  </si>
  <si>
    <t>Total Current Assets</t>
  </si>
  <si>
    <t>Goodwill</t>
  </si>
  <si>
    <t>Other Long Term Assets</t>
  </si>
  <si>
    <t>Total Assets</t>
  </si>
  <si>
    <t>Liabilities &amp; Owners' Equity:</t>
  </si>
  <si>
    <t>Accounts Payable</t>
  </si>
  <si>
    <t>Accrued Liabilities</t>
  </si>
  <si>
    <t>Total Current Liabilities</t>
  </si>
  <si>
    <t>Long Term Debt</t>
  </si>
  <si>
    <t>Minority Interest</t>
  </si>
  <si>
    <t>Common Stock &amp; Paid-In Capital</t>
  </si>
  <si>
    <t>Retained Earnings</t>
  </si>
  <si>
    <t>Total Liabilities &amp; Owners' Equity</t>
  </si>
  <si>
    <t>Other Current Liabilities</t>
  </si>
  <si>
    <t>Equity</t>
  </si>
  <si>
    <t>Net</t>
  </si>
  <si>
    <t>Market Value</t>
  </si>
  <si>
    <t>Debt</t>
  </si>
  <si>
    <t>Income</t>
  </si>
  <si>
    <t>EBIT</t>
  </si>
  <si>
    <t>EBITDA</t>
  </si>
  <si>
    <t>Value</t>
  </si>
  <si>
    <t>Average</t>
  </si>
  <si>
    <t>Comparable Companies:</t>
  </si>
  <si>
    <t>Capital Expenditures</t>
  </si>
  <si>
    <t>Total</t>
  </si>
  <si>
    <t>Licensing Agreemts</t>
  </si>
  <si>
    <t>Population</t>
  </si>
  <si>
    <t>Customers</t>
  </si>
  <si>
    <t>Region</t>
  </si>
  <si>
    <t>Central US</t>
  </si>
  <si>
    <t>Mid-Atlantic</t>
  </si>
  <si>
    <t>New England</t>
  </si>
  <si>
    <t>Northwest</t>
  </si>
  <si>
    <t>New York</t>
  </si>
  <si>
    <t>Total Consolidated Markets:</t>
  </si>
  <si>
    <t>Total Operating Markets:</t>
  </si>
  <si>
    <t>Service Revenue</t>
  </si>
  <si>
    <t>Plus:  Equipment Sales</t>
  </si>
  <si>
    <t>Less:  System Operating Expenses</t>
  </si>
  <si>
    <t>Less:  Cost of Equipment Sold</t>
  </si>
  <si>
    <t>Less:  Depreciation &amp; Amortization</t>
  </si>
  <si>
    <t>Cost of Equipment Sold</t>
  </si>
  <si>
    <t>Monthly ARPU</t>
  </si>
  <si>
    <t>Customer Minutes Per Month</t>
  </si>
  <si>
    <t>Revenue Per Minute</t>
  </si>
  <si>
    <t>Customer Operating Data</t>
  </si>
  <si>
    <t>Customer Data:</t>
  </si>
  <si>
    <t>Net Customer Additions</t>
  </si>
  <si>
    <t>Cost Per Customer Addition</t>
  </si>
  <si>
    <t>Cost of New Customer Additions</t>
  </si>
  <si>
    <t>Monthly Churn Rate</t>
  </si>
  <si>
    <t>Cost of Equipment Sold/Equipment Revenue</t>
  </si>
  <si>
    <t>Plus:  Equity in Earnings of Affiliates</t>
  </si>
  <si>
    <t>Plus:  Gains (Losses) on Investments</t>
  </si>
  <si>
    <t>Plus:  Other Income</t>
  </si>
  <si>
    <t>EBT</t>
  </si>
  <si>
    <t>Income Before Minority Interest</t>
  </si>
  <si>
    <t>Income Statement</t>
  </si>
  <si>
    <t>Balance Sheet</t>
  </si>
  <si>
    <t>Cash &amp; Cash Equivalents</t>
  </si>
  <si>
    <t>Marketable Securities</t>
  </si>
  <si>
    <t>Inventory</t>
  </si>
  <si>
    <t>Prepaid Expenses</t>
  </si>
  <si>
    <t>Property, Plan &amp; Equipment</t>
  </si>
  <si>
    <t>Licenses</t>
  </si>
  <si>
    <t>Marketable Equity Securities</t>
  </si>
  <si>
    <t>Investments in Affiliated Entities</t>
  </si>
  <si>
    <t>Long Term Note Receivable</t>
  </si>
  <si>
    <t>Customer Lists</t>
  </si>
  <si>
    <t>Deferred Revenue &amp; Deposits</t>
  </si>
  <si>
    <t>Note Payable</t>
  </si>
  <si>
    <t>Forward Contract</t>
  </si>
  <si>
    <t>Derivative Liability</t>
  </si>
  <si>
    <t>Taxes Payable</t>
  </si>
  <si>
    <t>Forward Contracts</t>
  </si>
  <si>
    <t>Deferred Tax Liability</t>
  </si>
  <si>
    <t>Asset Retirement Obligation</t>
  </si>
  <si>
    <t>Other Deferred Liabilities</t>
  </si>
  <si>
    <t>Service Revenue Growth</t>
  </si>
  <si>
    <t>Wireless Comparables</t>
  </si>
  <si>
    <t>Selling, General &amp; Administrative</t>
  </si>
  <si>
    <t>Depreciation &amp; Amortization</t>
  </si>
  <si>
    <t>Days Sales Equip. Rev.</t>
  </si>
  <si>
    <t>Deferred Serv. Revenue</t>
  </si>
  <si>
    <t>Balance</t>
  </si>
  <si>
    <t>Amortization Schedule</t>
  </si>
  <si>
    <t>Annual</t>
  </si>
  <si>
    <t>Amortization</t>
  </si>
  <si>
    <t>Payment</t>
  </si>
  <si>
    <t>Interest</t>
  </si>
  <si>
    <t>Principal</t>
  </si>
  <si>
    <t>Period</t>
  </si>
  <si>
    <t>Date:</t>
  </si>
  <si>
    <t>Historical Operating Results</t>
  </si>
  <si>
    <t>System Operating Expenses</t>
  </si>
  <si>
    <t>Tax Rate</t>
  </si>
  <si>
    <t>Universal Mobile</t>
  </si>
  <si>
    <t>Neuberger Wireless</t>
  </si>
  <si>
    <t>Agile Connections</t>
  </si>
  <si>
    <t>Big Country Communications</t>
  </si>
  <si>
    <t>Rocky Mountain Wireless</t>
  </si>
  <si>
    <t>Debt/</t>
  </si>
  <si>
    <t>Operating Assumptions</t>
  </si>
  <si>
    <t>Revenue Projections:</t>
  </si>
  <si>
    <t>Equipment Revenue</t>
  </si>
  <si>
    <t>Equipment Revenue/Service Revenue (1)</t>
  </si>
  <si>
    <t>Operating Expenses:</t>
  </si>
  <si>
    <t>System Operating Exp./Service Revenue</t>
  </si>
  <si>
    <t>Equipment COGS</t>
  </si>
  <si>
    <t>SG&amp;A/Total Revenue</t>
  </si>
  <si>
    <t>Cap-x/Total Revenue</t>
  </si>
  <si>
    <t>Working Capital Assumptions (1):</t>
  </si>
  <si>
    <t>Capital Expenditures (2):</t>
  </si>
  <si>
    <t>(2)  Includes investments in property, plant &amp; equipment, as well as licenses and customer lists.</t>
  </si>
  <si>
    <t xml:space="preserve">       based on total cash operating expenses.</t>
  </si>
  <si>
    <t>(1)  Based on a 360-day year.  Days Payable, Deferred Service Revenue, and Days Accrued Liabilities are</t>
  </si>
  <si>
    <t>Term Loan Amortization</t>
  </si>
  <si>
    <t>n</t>
  </si>
  <si>
    <t>Harvard Business Publishing</t>
  </si>
  <si>
    <r>
      <t>Beta</t>
    </r>
    <r>
      <rPr>
        <b/>
        <vertAlign val="superscript"/>
        <sz val="8"/>
        <color theme="1"/>
        <rFont val="Times New Roman"/>
        <family val="1"/>
      </rPr>
      <t>1</t>
    </r>
  </si>
  <si>
    <t>1) Equity betas were estimated on a weekly based on weekly stock returns over a three year period.</t>
  </si>
  <si>
    <t>Note:  The current industry and competitor leverage ratios reflect the historical averages that existed over the past three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</si>
</sst>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_);\(0\)"/>
    <numFmt numFmtId="166" formatCode="#,##0.0_);\(#,##0.0\)"/>
    <numFmt numFmtId="167" formatCode="#,##0.0000_);\(#,##0.0000\)"/>
    <numFmt numFmtId="168" formatCode="#,##0.00&quot;x&quot;;\(#,##0.00&quot;x&quot;\)"/>
  </numFmts>
  <fonts count="18" x14ac:knownFonts="1">
    <font>
      <sz val="8"/>
      <color theme="1"/>
      <name val="Times New Roman"/>
      <family val="2"/>
    </font>
    <font>
      <sz val="8"/>
      <color indexed="8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indexed="14"/>
      <name val="Times New Roman"/>
      <family val="1"/>
    </font>
    <font>
      <sz val="8"/>
      <color theme="1"/>
      <name val="Times New Roman"/>
      <family val="2"/>
    </font>
    <font>
      <b/>
      <sz val="8"/>
      <color theme="1"/>
      <name val="Times New Roman"/>
      <family val="2"/>
    </font>
    <font>
      <b/>
      <sz val="14"/>
      <color theme="1"/>
      <name val="Times New Roman"/>
      <family val="2"/>
    </font>
    <font>
      <i/>
      <sz val="12"/>
      <color theme="1"/>
      <name val="Times New Roman"/>
      <family val="2"/>
    </font>
    <font>
      <i/>
      <sz val="12"/>
      <color rgb="FF800080"/>
      <name val="Times New Roman"/>
      <family val="2"/>
    </font>
    <font>
      <sz val="8"/>
      <color rgb="FF0000FF"/>
      <name val="Times New Roman"/>
      <family val="2"/>
    </font>
    <font>
      <u/>
      <sz val="8"/>
      <color theme="1"/>
      <name val="Times New Roman"/>
      <family val="2"/>
    </font>
    <font>
      <i/>
      <u/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i/>
      <u/>
      <sz val="8"/>
      <color theme="1"/>
      <name val="Times New Roman"/>
      <family val="1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b/>
      <vertAlign val="superscript"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7">
    <xf numFmtId="0" fontId="0" fillId="0" borderId="0" xfId="0"/>
    <xf numFmtId="37" fontId="0" fillId="0" borderId="0" xfId="0" applyNumberFormat="1"/>
    <xf numFmtId="37" fontId="7" fillId="0" borderId="0" xfId="0" applyNumberFormat="1" applyFont="1"/>
    <xf numFmtId="37" fontId="0" fillId="2" borderId="0" xfId="0" applyNumberFormat="1" applyFill="1"/>
    <xf numFmtId="37" fontId="8" fillId="0" borderId="0" xfId="0" applyNumberFormat="1" applyFont="1"/>
    <xf numFmtId="37" fontId="7" fillId="0" borderId="0" xfId="0" applyNumberFormat="1" applyFont="1" applyAlignment="1">
      <alignment horizontal="right"/>
    </xf>
    <xf numFmtId="37" fontId="0" fillId="2" borderId="0" xfId="0" applyNumberFormat="1" applyFill="1" applyAlignment="1">
      <alignment horizontal="right"/>
    </xf>
    <xf numFmtId="37" fontId="8" fillId="0" borderId="0" xfId="0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37" fontId="9" fillId="0" borderId="1" xfId="0" applyNumberFormat="1" applyFont="1" applyBorder="1" applyAlignment="1">
      <alignment horizontal="right"/>
    </xf>
    <xf numFmtId="37" fontId="0" fillId="0" borderId="1" xfId="0" applyNumberFormat="1" applyBorder="1"/>
    <xf numFmtId="37" fontId="10" fillId="0" borderId="0" xfId="0" applyNumberFormat="1" applyFont="1"/>
    <xf numFmtId="164" fontId="10" fillId="0" borderId="0" xfId="0" applyNumberFormat="1" applyFont="1"/>
    <xf numFmtId="165" fontId="6" fillId="3" borderId="2" xfId="0" applyNumberFormat="1" applyFont="1" applyFill="1" applyBorder="1"/>
    <xf numFmtId="165" fontId="6" fillId="3" borderId="3" xfId="0" applyNumberFormat="1" applyFont="1" applyFill="1" applyBorder="1"/>
    <xf numFmtId="165" fontId="6" fillId="3" borderId="4" xfId="0" applyNumberFormat="1" applyFont="1" applyFill="1" applyBorder="1"/>
    <xf numFmtId="37" fontId="11" fillId="0" borderId="0" xfId="0" applyNumberFormat="1" applyFont="1"/>
    <xf numFmtId="37" fontId="12" fillId="0" borderId="0" xfId="0" applyNumberFormat="1" applyFont="1"/>
    <xf numFmtId="166" fontId="0" fillId="0" borderId="0" xfId="0" applyNumberFormat="1"/>
    <xf numFmtId="164" fontId="0" fillId="0" borderId="0" xfId="0" applyNumberFormat="1"/>
    <xf numFmtId="39" fontId="0" fillId="0" borderId="0" xfId="0" applyNumberFormat="1"/>
    <xf numFmtId="37" fontId="13" fillId="0" borderId="0" xfId="0" applyNumberFormat="1" applyFont="1"/>
    <xf numFmtId="37" fontId="6" fillId="3" borderId="5" xfId="0" applyNumberFormat="1" applyFont="1" applyFill="1" applyBorder="1" applyAlignment="1">
      <alignment horizontal="right"/>
    </xf>
    <xf numFmtId="37" fontId="6" fillId="3" borderId="1" xfId="0" applyNumberFormat="1" applyFont="1" applyFill="1" applyBorder="1" applyAlignment="1">
      <alignment horizontal="right"/>
    </xf>
    <xf numFmtId="37" fontId="6" fillId="3" borderId="6" xfId="0" applyNumberFormat="1" applyFont="1" applyFill="1" applyBorder="1" applyAlignment="1">
      <alignment horizontal="right"/>
    </xf>
    <xf numFmtId="164" fontId="13" fillId="0" borderId="0" xfId="0" applyNumberFormat="1" applyFont="1"/>
    <xf numFmtId="164" fontId="11" fillId="0" borderId="0" xfId="0" applyNumberFormat="1" applyFont="1"/>
    <xf numFmtId="165" fontId="6" fillId="3" borderId="2" xfId="0" applyNumberFormat="1" applyFont="1" applyFill="1" applyBorder="1"/>
    <xf numFmtId="165" fontId="6" fillId="3" borderId="3" xfId="0" applyNumberFormat="1" applyFont="1" applyFill="1" applyBorder="1"/>
    <xf numFmtId="165" fontId="6" fillId="3" borderId="4" xfId="0" applyNumberFormat="1" applyFont="1" applyFill="1" applyBorder="1"/>
    <xf numFmtId="37" fontId="6" fillId="3" borderId="7" xfId="0" applyNumberFormat="1" applyFont="1" applyFill="1" applyBorder="1" applyAlignment="1">
      <alignment horizontal="centerContinuous"/>
    </xf>
    <xf numFmtId="37" fontId="6" fillId="3" borderId="8" xfId="0" applyNumberFormat="1" applyFont="1" applyFill="1" applyBorder="1" applyAlignment="1">
      <alignment horizontal="centerContinuous"/>
    </xf>
    <xf numFmtId="37" fontId="6" fillId="3" borderId="9" xfId="0" applyNumberFormat="1" applyFont="1" applyFill="1" applyBorder="1" applyAlignment="1">
      <alignment horizontal="centerContinuous"/>
    </xf>
    <xf numFmtId="37" fontId="13" fillId="0" borderId="0" xfId="0" applyNumberFormat="1" applyFont="1" applyAlignment="1">
      <alignment horizontal="right"/>
    </xf>
    <xf numFmtId="37" fontId="14" fillId="0" borderId="0" xfId="0" applyNumberFormat="1" applyFont="1"/>
    <xf numFmtId="167" fontId="13" fillId="0" borderId="0" xfId="0" applyNumberFormat="1" applyFont="1"/>
    <xf numFmtId="37" fontId="15" fillId="0" borderId="0" xfId="0" applyNumberFormat="1" applyFont="1"/>
    <xf numFmtId="166" fontId="11" fillId="0" borderId="0" xfId="0" applyNumberFormat="1" applyFont="1"/>
    <xf numFmtId="166" fontId="13" fillId="0" borderId="0" xfId="0" applyNumberFormat="1" applyFont="1"/>
    <xf numFmtId="37" fontId="0" fillId="0" borderId="0" xfId="0" applyNumberFormat="1" applyBorder="1"/>
    <xf numFmtId="9" fontId="5" fillId="0" borderId="0" xfId="1" applyFont="1"/>
    <xf numFmtId="9" fontId="7" fillId="0" borderId="0" xfId="1" applyFont="1"/>
    <xf numFmtId="9" fontId="5" fillId="2" borderId="0" xfId="1" applyFont="1" applyFill="1"/>
    <xf numFmtId="9" fontId="8" fillId="0" borderId="0" xfId="1" applyFont="1"/>
    <xf numFmtId="9" fontId="5" fillId="0" borderId="1" xfId="1" applyFont="1" applyBorder="1"/>
    <xf numFmtId="37" fontId="5" fillId="0" borderId="0" xfId="1" applyNumberFormat="1" applyFont="1"/>
    <xf numFmtId="9" fontId="13" fillId="0" borderId="0" xfId="1" applyFont="1"/>
    <xf numFmtId="37" fontId="3" fillId="0" borderId="0" xfId="0" applyNumberFormat="1" applyFont="1" applyBorder="1"/>
    <xf numFmtId="10" fontId="0" fillId="0" borderId="0" xfId="0" applyNumberFormat="1"/>
    <xf numFmtId="37" fontId="4" fillId="0" borderId="1" xfId="0" applyNumberFormat="1" applyFont="1" applyBorder="1"/>
    <xf numFmtId="10" fontId="4" fillId="0" borderId="1" xfId="0" applyNumberFormat="1" applyFont="1" applyBorder="1"/>
    <xf numFmtId="37" fontId="1" fillId="0" borderId="1" xfId="0" applyNumberFormat="1" applyFont="1" applyBorder="1"/>
    <xf numFmtId="14" fontId="3" fillId="0" borderId="0" xfId="0" applyNumberFormat="1" applyFont="1"/>
    <xf numFmtId="14" fontId="4" fillId="0" borderId="0" xfId="0" applyNumberFormat="1" applyFont="1"/>
    <xf numFmtId="37" fontId="4" fillId="0" borderId="0" xfId="0" applyNumberFormat="1" applyFont="1"/>
    <xf numFmtId="9" fontId="5" fillId="0" borderId="0" xfId="1" applyFont="1"/>
    <xf numFmtId="9" fontId="12" fillId="0" borderId="0" xfId="1" applyFont="1"/>
    <xf numFmtId="9" fontId="6" fillId="3" borderId="7" xfId="1" applyFont="1" applyFill="1" applyBorder="1" applyAlignment="1">
      <alignment horizontal="right"/>
    </xf>
    <xf numFmtId="9" fontId="6" fillId="3" borderId="8" xfId="1" applyFont="1" applyFill="1" applyBorder="1" applyAlignment="1">
      <alignment horizontal="right"/>
    </xf>
    <xf numFmtId="37" fontId="6" fillId="3" borderId="8" xfId="1" applyNumberFormat="1" applyFont="1" applyFill="1" applyBorder="1" applyAlignment="1">
      <alignment horizontal="right"/>
    </xf>
    <xf numFmtId="37" fontId="6" fillId="3" borderId="8" xfId="0" applyNumberFormat="1" applyFont="1" applyFill="1" applyBorder="1" applyAlignment="1">
      <alignment horizontal="right"/>
    </xf>
    <xf numFmtId="37" fontId="6" fillId="3" borderId="9" xfId="0" applyNumberFormat="1" applyFont="1" applyFill="1" applyBorder="1" applyAlignment="1">
      <alignment horizontal="right"/>
    </xf>
    <xf numFmtId="9" fontId="6" fillId="3" borderId="5" xfId="1" applyFont="1" applyFill="1" applyBorder="1" applyAlignment="1">
      <alignment horizontal="right"/>
    </xf>
    <xf numFmtId="9" fontId="6" fillId="3" borderId="1" xfId="1" applyFont="1" applyFill="1" applyBorder="1" applyAlignment="1">
      <alignment horizontal="right"/>
    </xf>
    <xf numFmtId="37" fontId="6" fillId="3" borderId="1" xfId="1" applyNumberFormat="1" applyFont="1" applyFill="1" applyBorder="1" applyAlignment="1">
      <alignment horizontal="right"/>
    </xf>
    <xf numFmtId="39" fontId="5" fillId="0" borderId="0" xfId="1" applyNumberFormat="1" applyFont="1"/>
    <xf numFmtId="164" fontId="5" fillId="0" borderId="0" xfId="1" applyNumberFormat="1" applyFont="1"/>
    <xf numFmtId="164" fontId="11" fillId="0" borderId="0" xfId="1" applyNumberFormat="1" applyFont="1"/>
    <xf numFmtId="39" fontId="11" fillId="0" borderId="0" xfId="1" applyNumberFormat="1" applyFont="1"/>
    <xf numFmtId="14" fontId="2" fillId="0" borderId="0" xfId="0" applyNumberFormat="1" applyFont="1"/>
    <xf numFmtId="168" fontId="0" fillId="0" borderId="0" xfId="0" applyNumberFormat="1"/>
    <xf numFmtId="37" fontId="16" fillId="0" borderId="0" xfId="0" applyNumberFormat="1" applyFont="1"/>
    <xf numFmtId="164" fontId="16" fillId="0" borderId="0" xfId="0" applyNumberFormat="1" applyFont="1" applyBorder="1"/>
    <xf numFmtId="164" fontId="16" fillId="0" borderId="0" xfId="0" applyNumberFormat="1" applyFont="1"/>
    <xf numFmtId="37" fontId="0" fillId="0" borderId="8" xfId="0" applyNumberFormat="1" applyBorder="1"/>
    <xf numFmtId="37" fontId="0" fillId="0" borderId="8" xfId="0" quotePrefix="1" applyNumberFormat="1" applyBorder="1"/>
    <xf numFmtId="37" fontId="0" fillId="0" borderId="0" xfId="0" quotePrefix="1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CC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belli/Local%20Settings/Temporary%20Internet%20Files/Content.Outlook/XJE9K5N1/06.04.08%20Mountain%20High%20Res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Historical"/>
      <sheetName val="Transaction"/>
      <sheetName val="Returns"/>
      <sheetName val="Projections"/>
      <sheetName val="Term Loans"/>
      <sheetName val="Debt Fin"/>
      <sheetName val="Credit Ratios"/>
      <sheetName val="Profit Ratios"/>
    </sheetNames>
    <sheetDataSet>
      <sheetData sheetId="0">
        <row r="56">
          <cell r="D56">
            <v>1</v>
          </cell>
        </row>
        <row r="65">
          <cell r="D65">
            <v>1</v>
          </cell>
        </row>
        <row r="71">
          <cell r="D71">
            <v>4.2500000000000003E-2</v>
          </cell>
        </row>
        <row r="72">
          <cell r="D72">
            <v>0.02</v>
          </cell>
        </row>
        <row r="73">
          <cell r="D73">
            <v>3.2500000000000001E-2</v>
          </cell>
        </row>
        <row r="74">
          <cell r="D74">
            <v>5.05</v>
          </cell>
        </row>
        <row r="76">
          <cell r="D76">
            <v>3.5000000000000003E-2</v>
          </cell>
        </row>
        <row r="77">
          <cell r="D77">
            <v>8.3000000000000007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showGridLines="0" topLeftCell="A52" workbookViewId="0">
      <selection activeCell="A52" sqref="A52"/>
    </sheetView>
  </sheetViews>
  <sheetFormatPr defaultColWidth="9.33203125" defaultRowHeight="10.199999999999999" x14ac:dyDescent="0.2"/>
  <cols>
    <col min="1" max="16384" width="9.33203125" style="1"/>
  </cols>
  <sheetData>
    <row r="1" spans="1:18" s="2" customFormat="1" ht="17.399999999999999" hidden="1" x14ac:dyDescent="0.3">
      <c r="A1" s="2" t="str">
        <f>$C$6</f>
        <v>AIRTHREAD ACQUISITION</v>
      </c>
      <c r="I1" s="2" t="str">
        <f>IF($C$8="Y","Draft","")</f>
        <v/>
      </c>
      <c r="R1" s="5" t="str">
        <f>$C$7</f>
        <v>Operating Assumptions</v>
      </c>
    </row>
    <row r="2" spans="1:18" s="3" customFormat="1" ht="2.1" hidden="1" customHeight="1" x14ac:dyDescent="0.2">
      <c r="R2" s="6"/>
    </row>
    <row r="3" spans="1:18" s="4" customFormat="1" ht="15.6" hidden="1" x14ac:dyDescent="0.3">
      <c r="R3" s="7"/>
    </row>
    <row r="4" spans="1:18" hidden="1" x14ac:dyDescent="0.2"/>
    <row r="5" spans="1:18" hidden="1" x14ac:dyDescent="0.2"/>
    <row r="6" spans="1:18" hidden="1" x14ac:dyDescent="0.2">
      <c r="A6" s="1" t="s">
        <v>0</v>
      </c>
      <c r="C6" s="11" t="s">
        <v>4</v>
      </c>
    </row>
    <row r="7" spans="1:18" hidden="1" x14ac:dyDescent="0.2">
      <c r="A7" s="1" t="s">
        <v>1</v>
      </c>
      <c r="C7" s="11" t="s">
        <v>122</v>
      </c>
    </row>
    <row r="8" spans="1:18" hidden="1" x14ac:dyDescent="0.2">
      <c r="A8" s="1" t="s">
        <v>2</v>
      </c>
      <c r="C8" s="11" t="s">
        <v>137</v>
      </c>
    </row>
    <row r="9" spans="1:18" hidden="1" x14ac:dyDescent="0.2">
      <c r="A9" s="1" t="s">
        <v>3</v>
      </c>
      <c r="C9" s="11" t="s">
        <v>138</v>
      </c>
    </row>
    <row r="10" spans="1:18" hidden="1" x14ac:dyDescent="0.2"/>
    <row r="11" spans="1:18" hidden="1" x14ac:dyDescent="0.2">
      <c r="A11" s="1" t="s">
        <v>5</v>
      </c>
      <c r="C11" s="12">
        <v>1</v>
      </c>
    </row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1:18" hidden="1" x14ac:dyDescent="0.2"/>
    <row r="50" spans="1:18" hidden="1" x14ac:dyDescent="0.2"/>
    <row r="51" spans="1:18" s="10" customFormat="1" ht="15.6" hidden="1" x14ac:dyDescent="0.3">
      <c r="R51" s="9" t="str">
        <f>$C$9</f>
        <v>Harvard Business Publishing</v>
      </c>
    </row>
    <row r="52" spans="1:18" ht="17.399999999999999" x14ac:dyDescent="0.3">
      <c r="A52" s="2" t="str">
        <f>$C$6</f>
        <v>AIRTHREAD ACQUISITION</v>
      </c>
      <c r="B52" s="2"/>
      <c r="C52" s="2"/>
      <c r="D52" s="2"/>
      <c r="E52" s="2"/>
      <c r="F52" s="2"/>
      <c r="G52" s="2"/>
      <c r="H52" s="2"/>
      <c r="I52" s="2" t="str">
        <f>IF($C$8="Y","Draft","")</f>
        <v/>
      </c>
      <c r="J52" s="2"/>
      <c r="K52" s="2"/>
      <c r="L52" s="2"/>
      <c r="M52" s="2"/>
      <c r="N52" s="2"/>
      <c r="O52" s="2"/>
      <c r="P52" s="2"/>
      <c r="Q52" s="2"/>
      <c r="R52" s="5" t="str">
        <f>$C$7</f>
        <v>Operating Assumptions</v>
      </c>
    </row>
    <row r="53" spans="1:18" ht="2.1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/>
    </row>
    <row r="54" spans="1:18" ht="15.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7"/>
    </row>
    <row r="58" spans="1:18" x14ac:dyDescent="0.2">
      <c r="A58" s="17" t="s">
        <v>123</v>
      </c>
      <c r="E58" s="27">
        <v>2008</v>
      </c>
      <c r="F58" s="28">
        <f>E58+1</f>
        <v>2009</v>
      </c>
      <c r="G58" s="28">
        <f>F58+1</f>
        <v>2010</v>
      </c>
      <c r="H58" s="28">
        <f>G58+1</f>
        <v>2011</v>
      </c>
      <c r="I58" s="29">
        <f>H58+1</f>
        <v>2012</v>
      </c>
    </row>
    <row r="59" spans="1:18" x14ac:dyDescent="0.2">
      <c r="A59" s="21" t="s">
        <v>56</v>
      </c>
      <c r="B59" s="21"/>
      <c r="C59" s="21"/>
      <c r="D59" s="21"/>
      <c r="E59" s="38">
        <v>4194.3301799999999</v>
      </c>
      <c r="F59" s="38">
        <v>4781.5364052000004</v>
      </c>
      <c r="G59" s="38">
        <v>5379.2284558499996</v>
      </c>
      <c r="H59" s="38">
        <v>5917.1513014350003</v>
      </c>
      <c r="I59" s="38">
        <v>6331.3518925354501</v>
      </c>
    </row>
    <row r="60" spans="1:18" x14ac:dyDescent="0.2">
      <c r="A60" s="71" t="s">
        <v>98</v>
      </c>
      <c r="B60" s="71"/>
      <c r="C60" s="71"/>
      <c r="D60" s="71"/>
      <c r="E60" s="72">
        <v>0.14000000000000001</v>
      </c>
      <c r="F60" s="72">
        <v>0.14000000000000001</v>
      </c>
      <c r="G60" s="72">
        <v>0.125</v>
      </c>
      <c r="H60" s="72">
        <v>0.1</v>
      </c>
      <c r="I60" s="72">
        <v>7.0000000000000007E-2</v>
      </c>
    </row>
    <row r="62" spans="1:18" x14ac:dyDescent="0.2">
      <c r="A62" s="21" t="s">
        <v>124</v>
      </c>
      <c r="E62" s="38">
        <v>314.77315023873302</v>
      </c>
      <c r="F62" s="38">
        <v>358.84139127215502</v>
      </c>
      <c r="G62" s="38">
        <v>403.69656518117398</v>
      </c>
      <c r="H62" s="38">
        <v>444.06622169929199</v>
      </c>
      <c r="I62" s="38">
        <v>475.15085721824198</v>
      </c>
    </row>
    <row r="63" spans="1:18" x14ac:dyDescent="0.2">
      <c r="A63" s="71" t="s">
        <v>125</v>
      </c>
      <c r="B63" s="71"/>
      <c r="C63" s="71"/>
      <c r="D63" s="71"/>
      <c r="E63" s="73">
        <v>7.5047298789131703E-2</v>
      </c>
      <c r="F63" s="73">
        <v>7.5047298789131703E-2</v>
      </c>
      <c r="G63" s="73">
        <v>7.5047298789131703E-2</v>
      </c>
      <c r="H63" s="73">
        <v>7.5047298789131703E-2</v>
      </c>
      <c r="I63" s="73">
        <v>7.5047298789131703E-2</v>
      </c>
    </row>
    <row r="65" spans="1:9" x14ac:dyDescent="0.2">
      <c r="A65" s="17" t="s">
        <v>126</v>
      </c>
    </row>
    <row r="66" spans="1:9" x14ac:dyDescent="0.2">
      <c r="A66" s="1" t="s">
        <v>114</v>
      </c>
      <c r="E66" s="18">
        <v>838.86603600000001</v>
      </c>
      <c r="F66" s="18">
        <v>956.30728104000002</v>
      </c>
      <c r="G66" s="18">
        <v>1075.84569117</v>
      </c>
      <c r="H66" s="18">
        <v>1183.430260287</v>
      </c>
      <c r="I66" s="18">
        <v>1266.2703785070901</v>
      </c>
    </row>
    <row r="67" spans="1:9" x14ac:dyDescent="0.2">
      <c r="A67" s="71" t="s">
        <v>127</v>
      </c>
      <c r="B67" s="71"/>
      <c r="C67" s="71"/>
      <c r="D67" s="71"/>
      <c r="E67" s="73">
        <v>0.2</v>
      </c>
      <c r="F67" s="73">
        <v>0.2</v>
      </c>
      <c r="G67" s="73">
        <v>0.2</v>
      </c>
      <c r="H67" s="73">
        <v>0.2</v>
      </c>
      <c r="I67" s="73">
        <v>0.2</v>
      </c>
    </row>
    <row r="69" spans="1:9" x14ac:dyDescent="0.2">
      <c r="A69" s="1" t="s">
        <v>61</v>
      </c>
      <c r="E69" s="18">
        <v>755.45556057295903</v>
      </c>
      <c r="F69" s="18">
        <v>861.21933905317201</v>
      </c>
      <c r="G69" s="18">
        <v>968.87175643481703</v>
      </c>
      <c r="H69" s="18">
        <v>1065.7589320782999</v>
      </c>
      <c r="I69" s="18">
        <v>1140.3620573237799</v>
      </c>
    </row>
    <row r="70" spans="1:9" x14ac:dyDescent="0.2">
      <c r="A70" s="71" t="s">
        <v>128</v>
      </c>
      <c r="B70" s="71"/>
      <c r="C70" s="71"/>
      <c r="D70" s="71"/>
      <c r="E70" s="73">
        <v>2.4</v>
      </c>
      <c r="F70" s="73">
        <v>2.4</v>
      </c>
      <c r="G70" s="73">
        <v>2.4</v>
      </c>
      <c r="H70" s="73">
        <v>2.4</v>
      </c>
      <c r="I70" s="73">
        <v>2.4</v>
      </c>
    </row>
    <row r="72" spans="1:9" x14ac:dyDescent="0.2">
      <c r="A72" s="1" t="s">
        <v>100</v>
      </c>
      <c r="E72" s="18">
        <v>1803.64133209549</v>
      </c>
      <c r="F72" s="18">
        <v>2056.1511185888598</v>
      </c>
      <c r="G72" s="18">
        <v>2313.17000841247</v>
      </c>
      <c r="H72" s="18">
        <v>2544.4870092537199</v>
      </c>
      <c r="I72" s="18">
        <v>2722.6010999014802</v>
      </c>
    </row>
    <row r="73" spans="1:9" x14ac:dyDescent="0.2">
      <c r="A73" s="71" t="s">
        <v>129</v>
      </c>
      <c r="B73" s="71"/>
      <c r="C73" s="71"/>
      <c r="D73" s="71"/>
      <c r="E73" s="73">
        <v>0.4</v>
      </c>
      <c r="F73" s="73">
        <v>0.4</v>
      </c>
      <c r="G73" s="73">
        <v>0.4</v>
      </c>
      <c r="H73" s="73">
        <v>0.4</v>
      </c>
      <c r="I73" s="73">
        <v>0.4</v>
      </c>
    </row>
    <row r="75" spans="1:9" x14ac:dyDescent="0.2">
      <c r="A75" s="1" t="s">
        <v>101</v>
      </c>
      <c r="E75" s="18">
        <v>705.22931974886603</v>
      </c>
      <c r="F75" s="18">
        <v>803.96142451370702</v>
      </c>
      <c r="G75" s="18">
        <v>867.43875315467596</v>
      </c>
      <c r="H75" s="18">
        <v>922.37654085447298</v>
      </c>
      <c r="I75" s="18">
        <v>952.91038496551801</v>
      </c>
    </row>
    <row r="77" spans="1:9" x14ac:dyDescent="0.2">
      <c r="A77" s="1" t="s">
        <v>115</v>
      </c>
      <c r="E77" s="19">
        <v>0.4</v>
      </c>
      <c r="F77" s="19">
        <v>0.4</v>
      </c>
      <c r="G77" s="19">
        <v>0.4</v>
      </c>
      <c r="H77" s="19">
        <v>0.4</v>
      </c>
      <c r="I77" s="19">
        <v>0.4</v>
      </c>
    </row>
    <row r="79" spans="1:9" x14ac:dyDescent="0.2">
      <c r="A79" s="17" t="s">
        <v>131</v>
      </c>
    </row>
    <row r="80" spans="1:9" x14ac:dyDescent="0.2">
      <c r="A80" s="1" t="s">
        <v>16</v>
      </c>
      <c r="E80" s="70">
        <v>41.667318688383098</v>
      </c>
      <c r="F80" s="70">
        <v>41.667318688383098</v>
      </c>
      <c r="G80" s="70">
        <v>41.667318688383098</v>
      </c>
      <c r="H80" s="70">
        <v>41.667318688383098</v>
      </c>
      <c r="I80" s="70">
        <v>41.667318688383098</v>
      </c>
    </row>
    <row r="81" spans="1:9" x14ac:dyDescent="0.2">
      <c r="A81" s="1" t="s">
        <v>102</v>
      </c>
      <c r="E81" s="70">
        <v>154.36021230095801</v>
      </c>
      <c r="F81" s="70">
        <v>154.36021230095801</v>
      </c>
      <c r="G81" s="70">
        <v>154.36021230095801</v>
      </c>
      <c r="H81" s="70">
        <v>154.36021230095801</v>
      </c>
      <c r="I81" s="70">
        <v>154.36021230095801</v>
      </c>
    </row>
    <row r="82" spans="1:9" x14ac:dyDescent="0.2">
      <c r="A82" s="1" t="s">
        <v>82</v>
      </c>
      <c r="E82" s="48">
        <v>1.38067509544899E-2</v>
      </c>
      <c r="F82" s="48">
        <v>1.38067509544899E-2</v>
      </c>
      <c r="G82" s="48">
        <v>1.38067509544899E-2</v>
      </c>
      <c r="H82" s="48">
        <v>1.38067509544899E-2</v>
      </c>
      <c r="I82" s="48">
        <v>1.38067509544899E-2</v>
      </c>
    </row>
    <row r="83" spans="1:9" x14ac:dyDescent="0.2">
      <c r="A83" s="1" t="s">
        <v>24</v>
      </c>
      <c r="E83" s="70">
        <v>35.536489789823698</v>
      </c>
      <c r="F83" s="70">
        <v>35.536489789823698</v>
      </c>
      <c r="G83" s="70">
        <v>35.536489789823698</v>
      </c>
      <c r="H83" s="70">
        <v>35.536489789823698</v>
      </c>
      <c r="I83" s="70">
        <v>35.536489789823698</v>
      </c>
    </row>
    <row r="84" spans="1:9" x14ac:dyDescent="0.2">
      <c r="A84" s="1" t="s">
        <v>103</v>
      </c>
      <c r="E84" s="70">
        <v>14.0121369868444</v>
      </c>
      <c r="F84" s="70">
        <v>14.0121369868444</v>
      </c>
      <c r="G84" s="70">
        <v>14.0121369868444</v>
      </c>
      <c r="H84" s="70">
        <v>14.0121369868444</v>
      </c>
      <c r="I84" s="70">
        <v>14.0121369868444</v>
      </c>
    </row>
    <row r="85" spans="1:9" x14ac:dyDescent="0.2">
      <c r="A85" s="1" t="s">
        <v>25</v>
      </c>
      <c r="E85" s="70">
        <v>6.84505830201274</v>
      </c>
      <c r="F85" s="70">
        <v>6.84505830201274</v>
      </c>
      <c r="G85" s="70">
        <v>6.84505830201274</v>
      </c>
      <c r="H85" s="70">
        <v>6.84505830201274</v>
      </c>
      <c r="I85" s="70">
        <v>6.84505830201274</v>
      </c>
    </row>
    <row r="87" spans="1:9" x14ac:dyDescent="0.2">
      <c r="A87" s="17" t="s">
        <v>132</v>
      </c>
    </row>
    <row r="88" spans="1:9" x14ac:dyDescent="0.2">
      <c r="A88" s="1" t="s">
        <v>43</v>
      </c>
      <c r="E88" s="18">
        <v>631.27446623342303</v>
      </c>
      <c r="F88" s="18">
        <v>719.65289150610204</v>
      </c>
      <c r="G88" s="18">
        <v>867.43875315467596</v>
      </c>
      <c r="H88" s="18">
        <v>970.08567227798005</v>
      </c>
      <c r="I88" s="18">
        <v>1055.0079262118199</v>
      </c>
    </row>
    <row r="89" spans="1:9" x14ac:dyDescent="0.2">
      <c r="A89" s="71" t="s">
        <v>130</v>
      </c>
      <c r="B89" s="71"/>
      <c r="C89" s="71"/>
      <c r="D89" s="71"/>
      <c r="E89" s="73">
        <v>0.14000000000000001</v>
      </c>
      <c r="F89" s="73">
        <v>0.14000000000000001</v>
      </c>
      <c r="G89" s="73">
        <v>0.15</v>
      </c>
      <c r="H89" s="73">
        <v>0.1525</v>
      </c>
      <c r="I89" s="73">
        <v>0.155</v>
      </c>
    </row>
    <row r="98" spans="1:18" x14ac:dyDescent="0.2">
      <c r="A98" s="75" t="s">
        <v>135</v>
      </c>
      <c r="B98" s="74"/>
    </row>
    <row r="99" spans="1:18" x14ac:dyDescent="0.2">
      <c r="A99" s="1" t="s">
        <v>134</v>
      </c>
      <c r="B99" s="39"/>
    </row>
    <row r="100" spans="1:18" x14ac:dyDescent="0.2">
      <c r="A100" s="76" t="s">
        <v>133</v>
      </c>
    </row>
    <row r="102" spans="1:18" ht="15.6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9" t="str">
        <f>$C$9</f>
        <v>Harvard Business Publishing</v>
      </c>
    </row>
  </sheetData>
  <pageMargins left="0.5" right="0.5" top="0.7" bottom="0.3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2"/>
  <sheetViews>
    <sheetView showGridLines="0" topLeftCell="A52" workbookViewId="0">
      <selection activeCell="A52" sqref="A52"/>
    </sheetView>
  </sheetViews>
  <sheetFormatPr defaultColWidth="9.33203125" defaultRowHeight="10.199999999999999" x14ac:dyDescent="0.2"/>
  <cols>
    <col min="1" max="7" width="9.33203125" style="1"/>
    <col min="8" max="8" width="9.33203125" style="1" customWidth="1"/>
    <col min="9" max="12" width="10.83203125" style="1" customWidth="1"/>
    <col min="13" max="16384" width="9.33203125" style="1"/>
  </cols>
  <sheetData>
    <row r="1" spans="1:18" s="2" customFormat="1" ht="17.399999999999999" hidden="1" x14ac:dyDescent="0.3">
      <c r="A1" s="2" t="str">
        <f>$C$6</f>
        <v>AIRTHREAD ACQUISITION</v>
      </c>
      <c r="I1" s="2" t="str">
        <f>IF($C$8="Y","Draft","")</f>
        <v/>
      </c>
      <c r="R1" s="5" t="str">
        <f>$C$7</f>
        <v>Licensing Agreemts</v>
      </c>
    </row>
    <row r="2" spans="1:18" s="3" customFormat="1" ht="2.1" hidden="1" customHeight="1" x14ac:dyDescent="0.2">
      <c r="R2" s="6"/>
    </row>
    <row r="3" spans="1:18" s="4" customFormat="1" ht="15.6" hidden="1" x14ac:dyDescent="0.3">
      <c r="R3" s="7"/>
    </row>
    <row r="4" spans="1:18" hidden="1" x14ac:dyDescent="0.2"/>
    <row r="5" spans="1:18" hidden="1" x14ac:dyDescent="0.2"/>
    <row r="6" spans="1:18" hidden="1" x14ac:dyDescent="0.2">
      <c r="A6" s="1" t="s">
        <v>0</v>
      </c>
      <c r="C6" s="11" t="s">
        <v>4</v>
      </c>
    </row>
    <row r="7" spans="1:18" hidden="1" x14ac:dyDescent="0.2">
      <c r="A7" s="1" t="s">
        <v>1</v>
      </c>
      <c r="C7" s="11" t="s">
        <v>45</v>
      </c>
    </row>
    <row r="8" spans="1:18" hidden="1" x14ac:dyDescent="0.2">
      <c r="A8" s="1" t="s">
        <v>2</v>
      </c>
      <c r="C8" s="11" t="s">
        <v>137</v>
      </c>
    </row>
    <row r="9" spans="1:18" hidden="1" x14ac:dyDescent="0.2">
      <c r="A9" s="1" t="s">
        <v>3</v>
      </c>
      <c r="C9" s="11" t="s">
        <v>138</v>
      </c>
    </row>
    <row r="10" spans="1:18" hidden="1" x14ac:dyDescent="0.2"/>
    <row r="11" spans="1:18" hidden="1" x14ac:dyDescent="0.2">
      <c r="A11" s="1" t="s">
        <v>5</v>
      </c>
      <c r="C11" s="12">
        <v>1</v>
      </c>
    </row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1:18" hidden="1" x14ac:dyDescent="0.2"/>
    <row r="50" spans="1:18" hidden="1" x14ac:dyDescent="0.2"/>
    <row r="51" spans="1:18" s="10" customFormat="1" ht="15.6" hidden="1" x14ac:dyDescent="0.3">
      <c r="R51" s="9" t="str">
        <f>$C$9</f>
        <v>Harvard Business Publishing</v>
      </c>
    </row>
    <row r="52" spans="1:18" ht="17.399999999999999" x14ac:dyDescent="0.3">
      <c r="A52" s="2" t="str">
        <f>$C$6</f>
        <v>AIRTHREAD ACQUISITION</v>
      </c>
      <c r="B52" s="2"/>
      <c r="C52" s="2"/>
      <c r="D52" s="2"/>
      <c r="E52" s="2"/>
      <c r="F52" s="2"/>
      <c r="G52" s="2"/>
      <c r="H52" s="2"/>
      <c r="I52" s="2" t="str">
        <f>IF($C$8="Y","Draft","")</f>
        <v/>
      </c>
      <c r="J52" s="2"/>
      <c r="K52" s="2"/>
      <c r="L52" s="2"/>
      <c r="M52" s="2"/>
      <c r="N52" s="2"/>
      <c r="O52" s="2"/>
      <c r="P52" s="2"/>
      <c r="Q52" s="2"/>
      <c r="R52" s="5" t="str">
        <f>$C$7</f>
        <v>Licensing Agreemts</v>
      </c>
    </row>
    <row r="53" spans="1:18" ht="2.1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/>
    </row>
    <row r="54" spans="1:18" ht="15.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7"/>
    </row>
    <row r="66" spans="9:12" x14ac:dyDescent="0.2">
      <c r="I66" s="30" t="s">
        <v>54</v>
      </c>
      <c r="J66" s="31"/>
      <c r="K66" s="31"/>
      <c r="L66" s="32"/>
    </row>
    <row r="67" spans="9:12" x14ac:dyDescent="0.2">
      <c r="I67" s="22" t="s">
        <v>48</v>
      </c>
      <c r="J67" s="23" t="s">
        <v>46</v>
      </c>
      <c r="K67" s="23" t="s">
        <v>47</v>
      </c>
      <c r="L67" s="24" t="s">
        <v>6</v>
      </c>
    </row>
    <row r="68" spans="9:12" x14ac:dyDescent="0.2">
      <c r="I68" s="8" t="s">
        <v>49</v>
      </c>
      <c r="J68" s="1">
        <v>65096</v>
      </c>
      <c r="K68" s="1">
        <v>3846</v>
      </c>
      <c r="L68" s="19">
        <f t="shared" ref="L68:L73" si="0">K68/J68</f>
        <v>5.9081971242472657E-2</v>
      </c>
    </row>
    <row r="69" spans="9:12" x14ac:dyDescent="0.2">
      <c r="I69" s="8" t="s">
        <v>50</v>
      </c>
      <c r="J69" s="1">
        <v>11677</v>
      </c>
      <c r="K69" s="1">
        <v>1180</v>
      </c>
      <c r="L69" s="19">
        <f t="shared" si="0"/>
        <v>0.10105335274471183</v>
      </c>
    </row>
    <row r="70" spans="9:12" x14ac:dyDescent="0.2">
      <c r="I70" s="8" t="s">
        <v>51</v>
      </c>
      <c r="J70" s="1">
        <v>2830</v>
      </c>
      <c r="K70" s="1">
        <v>518</v>
      </c>
      <c r="L70" s="19">
        <f t="shared" si="0"/>
        <v>0.18303886925795054</v>
      </c>
    </row>
    <row r="71" spans="9:12" x14ac:dyDescent="0.2">
      <c r="I71" s="8" t="s">
        <v>52</v>
      </c>
      <c r="J71" s="1">
        <v>2287</v>
      </c>
      <c r="K71" s="1">
        <v>431</v>
      </c>
      <c r="L71" s="19">
        <f t="shared" si="0"/>
        <v>0.1884564932225623</v>
      </c>
    </row>
    <row r="72" spans="9:12" x14ac:dyDescent="0.2">
      <c r="I72" s="8" t="s">
        <v>53</v>
      </c>
      <c r="J72" s="16">
        <v>481</v>
      </c>
      <c r="K72" s="16">
        <v>147</v>
      </c>
      <c r="L72" s="26">
        <f t="shared" si="0"/>
        <v>0.30561330561330563</v>
      </c>
    </row>
    <row r="73" spans="9:12" x14ac:dyDescent="0.2">
      <c r="I73" s="33" t="s">
        <v>44</v>
      </c>
      <c r="J73" s="21">
        <f>SUM(J68:J72)</f>
        <v>82371</v>
      </c>
      <c r="K73" s="21">
        <f>SUM(K68:K72)</f>
        <v>6122</v>
      </c>
      <c r="L73" s="25">
        <f t="shared" si="0"/>
        <v>7.4322273615714265E-2</v>
      </c>
    </row>
    <row r="75" spans="9:12" x14ac:dyDescent="0.2">
      <c r="I75" s="30" t="s">
        <v>55</v>
      </c>
      <c r="J75" s="31"/>
      <c r="K75" s="31"/>
      <c r="L75" s="32"/>
    </row>
    <row r="76" spans="9:12" x14ac:dyDescent="0.2">
      <c r="I76" s="22" t="s">
        <v>48</v>
      </c>
      <c r="J76" s="23" t="s">
        <v>46</v>
      </c>
      <c r="K76" s="23" t="s">
        <v>47</v>
      </c>
      <c r="L76" s="24" t="s">
        <v>6</v>
      </c>
    </row>
    <row r="77" spans="9:12" x14ac:dyDescent="0.2">
      <c r="I77" s="8" t="s">
        <v>49</v>
      </c>
      <c r="J77" s="1">
        <v>32497</v>
      </c>
      <c r="K77" s="1">
        <v>3846</v>
      </c>
      <c r="L77" s="19">
        <f t="shared" ref="L77:L82" si="1">K77/J77</f>
        <v>0.1183493860971782</v>
      </c>
    </row>
    <row r="78" spans="9:12" x14ac:dyDescent="0.2">
      <c r="I78" s="8" t="s">
        <v>50</v>
      </c>
      <c r="J78" s="1">
        <v>7346</v>
      </c>
      <c r="K78" s="1">
        <v>1180</v>
      </c>
      <c r="L78" s="19">
        <f t="shared" si="1"/>
        <v>0.16063163626463381</v>
      </c>
    </row>
    <row r="79" spans="9:12" x14ac:dyDescent="0.2">
      <c r="I79" s="8" t="s">
        <v>51</v>
      </c>
      <c r="J79" s="1">
        <v>2344</v>
      </c>
      <c r="K79" s="1">
        <v>518</v>
      </c>
      <c r="L79" s="19">
        <f t="shared" si="1"/>
        <v>0.22098976109215018</v>
      </c>
    </row>
    <row r="80" spans="9:12" x14ac:dyDescent="0.2">
      <c r="I80" s="8" t="s">
        <v>52</v>
      </c>
      <c r="J80" s="1">
        <v>2287</v>
      </c>
      <c r="K80" s="1">
        <v>431</v>
      </c>
      <c r="L80" s="19">
        <f t="shared" si="1"/>
        <v>0.1884564932225623</v>
      </c>
    </row>
    <row r="81" spans="9:12" x14ac:dyDescent="0.2">
      <c r="I81" s="8" t="s">
        <v>53</v>
      </c>
      <c r="J81" s="16">
        <v>481</v>
      </c>
      <c r="K81" s="16">
        <v>147</v>
      </c>
      <c r="L81" s="26">
        <f t="shared" si="1"/>
        <v>0.30561330561330563</v>
      </c>
    </row>
    <row r="82" spans="9:12" x14ac:dyDescent="0.2">
      <c r="I82" s="33" t="s">
        <v>44</v>
      </c>
      <c r="J82" s="21">
        <f>SUM(J77:J81)</f>
        <v>44955</v>
      </c>
      <c r="K82" s="21">
        <f>SUM(K77:K81)</f>
        <v>6122</v>
      </c>
      <c r="L82" s="25">
        <f t="shared" si="1"/>
        <v>0.13618062506951395</v>
      </c>
    </row>
    <row r="102" spans="1:18" ht="15.6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9" t="str">
        <f>$C$9</f>
        <v>Harvard Business Publishing</v>
      </c>
    </row>
  </sheetData>
  <pageMargins left="0.5" right="0.5" top="0.7" bottom="0.3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showGridLines="0" topLeftCell="A52" workbookViewId="0">
      <selection sqref="A1:XFD51"/>
    </sheetView>
  </sheetViews>
  <sheetFormatPr defaultColWidth="9.33203125" defaultRowHeight="10.199999999999999" x14ac:dyDescent="0.2"/>
  <cols>
    <col min="1" max="14" width="9.33203125" style="1"/>
    <col min="15" max="15" width="9.33203125" style="1" customWidth="1"/>
    <col min="16" max="16384" width="9.33203125" style="1"/>
  </cols>
  <sheetData>
    <row r="1" spans="1:18" s="2" customFormat="1" ht="17.399999999999999" hidden="1" x14ac:dyDescent="0.3">
      <c r="A1" s="2" t="str">
        <f>$C$6</f>
        <v>AIRTHREAD ACQUISITION</v>
      </c>
      <c r="I1" s="2" t="str">
        <f>IF($C$8="Y","Draft","")</f>
        <v/>
      </c>
      <c r="R1" s="5" t="str">
        <f>$C$7</f>
        <v>Customer Operating Data</v>
      </c>
    </row>
    <row r="2" spans="1:18" s="3" customFormat="1" ht="2.1" hidden="1" customHeight="1" x14ac:dyDescent="0.2">
      <c r="R2" s="6"/>
    </row>
    <row r="3" spans="1:18" s="4" customFormat="1" ht="15.6" hidden="1" x14ac:dyDescent="0.3">
      <c r="R3" s="7"/>
    </row>
    <row r="4" spans="1:18" hidden="1" x14ac:dyDescent="0.2"/>
    <row r="5" spans="1:18" hidden="1" x14ac:dyDescent="0.2"/>
    <row r="6" spans="1:18" hidden="1" x14ac:dyDescent="0.2">
      <c r="A6" s="1" t="s">
        <v>0</v>
      </c>
      <c r="C6" s="11" t="s">
        <v>4</v>
      </c>
    </row>
    <row r="7" spans="1:18" hidden="1" x14ac:dyDescent="0.2">
      <c r="A7" s="1" t="s">
        <v>1</v>
      </c>
      <c r="C7" s="11" t="s">
        <v>65</v>
      </c>
    </row>
    <row r="8" spans="1:18" hidden="1" x14ac:dyDescent="0.2">
      <c r="A8" s="1" t="s">
        <v>2</v>
      </c>
      <c r="C8" s="11" t="s">
        <v>137</v>
      </c>
    </row>
    <row r="9" spans="1:18" hidden="1" x14ac:dyDescent="0.2">
      <c r="A9" s="1" t="s">
        <v>3</v>
      </c>
      <c r="C9" s="11" t="s">
        <v>138</v>
      </c>
    </row>
    <row r="10" spans="1:18" hidden="1" x14ac:dyDescent="0.2"/>
    <row r="11" spans="1:18" hidden="1" x14ac:dyDescent="0.2">
      <c r="A11" s="1" t="s">
        <v>5</v>
      </c>
      <c r="C11" s="12">
        <v>1</v>
      </c>
    </row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1:18" hidden="1" x14ac:dyDescent="0.2"/>
    <row r="50" spans="1:18" hidden="1" x14ac:dyDescent="0.2"/>
    <row r="51" spans="1:18" s="10" customFormat="1" ht="15.6" hidden="1" x14ac:dyDescent="0.3">
      <c r="R51" s="9" t="str">
        <f>$C$9</f>
        <v>Harvard Business Publishing</v>
      </c>
    </row>
    <row r="52" spans="1:18" ht="17.399999999999999" x14ac:dyDescent="0.3">
      <c r="A52" s="2" t="str">
        <f>$C$6</f>
        <v>AIRTHREAD ACQUISITION</v>
      </c>
      <c r="B52" s="2"/>
      <c r="C52" s="2"/>
      <c r="D52" s="2"/>
      <c r="E52" s="2"/>
      <c r="F52" s="2"/>
      <c r="G52" s="2"/>
      <c r="H52" s="2"/>
      <c r="I52" s="2" t="str">
        <f>IF($C$8="Y","Draft","")</f>
        <v/>
      </c>
      <c r="J52" s="2"/>
      <c r="K52" s="2"/>
      <c r="L52" s="2"/>
      <c r="M52" s="2"/>
      <c r="N52" s="2"/>
      <c r="O52" s="2"/>
      <c r="P52" s="2"/>
      <c r="Q52" s="2"/>
      <c r="R52" s="5" t="str">
        <f>$C$7</f>
        <v>Customer Operating Data</v>
      </c>
    </row>
    <row r="53" spans="1:18" ht="2.1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/>
    </row>
    <row r="54" spans="1:18" ht="15.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7"/>
    </row>
    <row r="58" spans="1:18" x14ac:dyDescent="0.2">
      <c r="A58" s="17" t="s">
        <v>66</v>
      </c>
      <c r="E58" s="13">
        <v>2005</v>
      </c>
      <c r="F58" s="14">
        <f>E58+1</f>
        <v>2006</v>
      </c>
      <c r="G58" s="15">
        <f>F58+1</f>
        <v>2007</v>
      </c>
    </row>
    <row r="59" spans="1:18" x14ac:dyDescent="0.2">
      <c r="A59" s="1" t="s">
        <v>67</v>
      </c>
      <c r="E59" s="1">
        <v>301</v>
      </c>
      <c r="F59" s="1">
        <v>310</v>
      </c>
      <c r="G59" s="1">
        <v>477</v>
      </c>
    </row>
    <row r="60" spans="1:18" x14ac:dyDescent="0.2">
      <c r="A60" s="1" t="s">
        <v>68</v>
      </c>
      <c r="E60" s="16">
        <v>372</v>
      </c>
      <c r="F60" s="16">
        <v>385</v>
      </c>
      <c r="G60" s="16">
        <v>487</v>
      </c>
    </row>
    <row r="61" spans="1:18" s="21" customFormat="1" x14ac:dyDescent="0.2">
      <c r="A61" s="21" t="s">
        <v>69</v>
      </c>
      <c r="E61" s="21">
        <f>E60*E59</f>
        <v>111972</v>
      </c>
      <c r="F61" s="21">
        <f>F60*F59</f>
        <v>119350</v>
      </c>
      <c r="G61" s="21">
        <f>G60*G59</f>
        <v>232299</v>
      </c>
      <c r="J61" s="1"/>
      <c r="K61" s="1"/>
      <c r="L61" s="1"/>
      <c r="M61" s="1"/>
      <c r="N61" s="1"/>
      <c r="O61" s="1"/>
    </row>
    <row r="63" spans="1:18" x14ac:dyDescent="0.2">
      <c r="A63" s="1" t="s">
        <v>71</v>
      </c>
      <c r="E63" s="19">
        <v>2.5126703739514999</v>
      </c>
      <c r="F63" s="19">
        <v>2.1987014241821101</v>
      </c>
      <c r="G63" s="19">
        <v>2.3976039876117401</v>
      </c>
    </row>
    <row r="66" spans="1:7" x14ac:dyDescent="0.2">
      <c r="A66" s="1" t="s">
        <v>70</v>
      </c>
      <c r="E66" s="19">
        <v>2.1000000000000001E-2</v>
      </c>
      <c r="F66" s="19">
        <v>2.1000000000000001E-2</v>
      </c>
      <c r="G66" s="19">
        <v>1.7000000000000001E-2</v>
      </c>
    </row>
    <row r="70" spans="1:7" ht="10.8" x14ac:dyDescent="0.25">
      <c r="A70" s="34" t="s">
        <v>64</v>
      </c>
      <c r="B70" s="21"/>
      <c r="C70" s="21"/>
      <c r="E70" s="27">
        <v>2005</v>
      </c>
      <c r="F70" s="28">
        <f>E70+1</f>
        <v>2006</v>
      </c>
      <c r="G70" s="29">
        <f>F70+1</f>
        <v>2007</v>
      </c>
    </row>
    <row r="71" spans="1:7" x14ac:dyDescent="0.2">
      <c r="A71" s="1" t="s">
        <v>62</v>
      </c>
      <c r="E71" s="20">
        <v>45.24</v>
      </c>
      <c r="F71" s="20">
        <v>47.23</v>
      </c>
      <c r="G71" s="20">
        <v>51.13</v>
      </c>
    </row>
    <row r="72" spans="1:7" x14ac:dyDescent="0.2">
      <c r="A72" s="1" t="s">
        <v>63</v>
      </c>
      <c r="E72" s="16">
        <v>625</v>
      </c>
      <c r="F72" s="16">
        <v>704</v>
      </c>
      <c r="G72" s="16">
        <v>859</v>
      </c>
    </row>
    <row r="73" spans="1:7" s="36" customFormat="1" x14ac:dyDescent="0.2">
      <c r="A73" s="21" t="s">
        <v>64</v>
      </c>
      <c r="B73" s="21"/>
      <c r="C73" s="21"/>
      <c r="E73" s="35">
        <f>E71/E72</f>
        <v>7.2384000000000004E-2</v>
      </c>
      <c r="F73" s="35">
        <f>F71/F72</f>
        <v>6.7088068181818172E-2</v>
      </c>
      <c r="G73" s="35">
        <f>G71/G72</f>
        <v>5.9522700814901047E-2</v>
      </c>
    </row>
    <row r="102" spans="1:18" ht="15.6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9" t="str">
        <f>$C$9</f>
        <v>Harvard Business Publishing</v>
      </c>
    </row>
  </sheetData>
  <pageMargins left="0.5" right="0.5" top="0.7" bottom="0.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2"/>
  <sheetViews>
    <sheetView showGridLines="0" topLeftCell="A52" workbookViewId="0">
      <selection activeCell="A52" sqref="A52"/>
    </sheetView>
  </sheetViews>
  <sheetFormatPr defaultColWidth="9.33203125" defaultRowHeight="10.199999999999999" x14ac:dyDescent="0.2"/>
  <cols>
    <col min="1" max="23" width="9.33203125" style="1"/>
    <col min="24" max="24" width="17" style="1" bestFit="1" customWidth="1"/>
    <col min="25" max="16384" width="9.33203125" style="1"/>
  </cols>
  <sheetData>
    <row r="1" spans="1:18" s="2" customFormat="1" ht="17.399999999999999" hidden="1" x14ac:dyDescent="0.3">
      <c r="A1" s="2" t="str">
        <f>$C$6</f>
        <v>AIRTHREAD ACQUISITION</v>
      </c>
      <c r="I1" s="2" t="str">
        <f>IF($C$8="Y","Draft","")</f>
        <v/>
      </c>
      <c r="R1" s="5" t="str">
        <f>$C$7</f>
        <v>Income Statement</v>
      </c>
    </row>
    <row r="2" spans="1:18" s="3" customFormat="1" ht="2.1" hidden="1" customHeight="1" x14ac:dyDescent="0.2">
      <c r="R2" s="6"/>
    </row>
    <row r="3" spans="1:18" s="4" customFormat="1" ht="15.6" hidden="1" x14ac:dyDescent="0.3">
      <c r="R3" s="7"/>
    </row>
    <row r="4" spans="1:18" hidden="1" x14ac:dyDescent="0.2"/>
    <row r="5" spans="1:18" hidden="1" x14ac:dyDescent="0.2"/>
    <row r="6" spans="1:18" hidden="1" x14ac:dyDescent="0.2">
      <c r="A6" s="1" t="s">
        <v>0</v>
      </c>
      <c r="C6" s="11" t="s">
        <v>4</v>
      </c>
    </row>
    <row r="7" spans="1:18" hidden="1" x14ac:dyDescent="0.2">
      <c r="A7" s="1" t="s">
        <v>1</v>
      </c>
      <c r="C7" s="11" t="s">
        <v>77</v>
      </c>
    </row>
    <row r="8" spans="1:18" hidden="1" x14ac:dyDescent="0.2">
      <c r="A8" s="1" t="s">
        <v>2</v>
      </c>
      <c r="C8" s="11" t="s">
        <v>137</v>
      </c>
    </row>
    <row r="9" spans="1:18" hidden="1" x14ac:dyDescent="0.2">
      <c r="A9" s="1" t="s">
        <v>3</v>
      </c>
      <c r="C9" s="11" t="s">
        <v>138</v>
      </c>
    </row>
    <row r="10" spans="1:18" hidden="1" x14ac:dyDescent="0.2"/>
    <row r="11" spans="1:18" hidden="1" x14ac:dyDescent="0.2">
      <c r="A11" s="1" t="s">
        <v>5</v>
      </c>
      <c r="C11" s="12">
        <v>1</v>
      </c>
    </row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1:18" hidden="1" x14ac:dyDescent="0.2"/>
    <row r="50" spans="1:18" hidden="1" x14ac:dyDescent="0.2"/>
    <row r="51" spans="1:18" s="10" customFormat="1" ht="15.6" hidden="1" x14ac:dyDescent="0.3">
      <c r="R51" s="9" t="str">
        <f>$C$9</f>
        <v>Harvard Business Publishing</v>
      </c>
    </row>
    <row r="52" spans="1:18" ht="17.399999999999999" x14ac:dyDescent="0.3">
      <c r="A52" s="2" t="str">
        <f>$C$6</f>
        <v>AIRTHREAD ACQUISITION</v>
      </c>
      <c r="B52" s="2"/>
      <c r="C52" s="2"/>
      <c r="D52" s="2"/>
      <c r="E52" s="2"/>
      <c r="F52" s="2"/>
      <c r="G52" s="2"/>
      <c r="H52" s="2"/>
      <c r="I52" s="2" t="str">
        <f>IF($C$8="Y","Draft","")</f>
        <v/>
      </c>
      <c r="J52" s="2"/>
      <c r="K52" s="2"/>
      <c r="L52" s="2"/>
      <c r="M52" s="2"/>
      <c r="N52" s="2"/>
      <c r="O52" s="2"/>
      <c r="P52" s="2"/>
      <c r="Q52" s="2"/>
      <c r="R52" s="5" t="str">
        <f>$C$7</f>
        <v>Income Statement</v>
      </c>
    </row>
    <row r="53" spans="1:18" ht="2.1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/>
    </row>
    <row r="54" spans="1:18" ht="15.6" x14ac:dyDescent="0.3">
      <c r="A54" s="4" t="s">
        <v>113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7"/>
    </row>
    <row r="58" spans="1:18" x14ac:dyDescent="0.2">
      <c r="A58" s="17" t="s">
        <v>8</v>
      </c>
      <c r="E58" s="13">
        <v>2005</v>
      </c>
      <c r="F58" s="14">
        <f>E58+1</f>
        <v>2006</v>
      </c>
      <c r="G58" s="15">
        <f>F58+1</f>
        <v>2007</v>
      </c>
    </row>
    <row r="59" spans="1:18" x14ac:dyDescent="0.2">
      <c r="A59" s="1" t="s">
        <v>56</v>
      </c>
      <c r="E59" s="18">
        <v>2827.0219999999999</v>
      </c>
      <c r="F59" s="18">
        <v>3214.41</v>
      </c>
      <c r="G59" s="18">
        <v>3679.2370000000001</v>
      </c>
    </row>
    <row r="60" spans="1:18" x14ac:dyDescent="0.2">
      <c r="A60" s="1" t="s">
        <v>57</v>
      </c>
      <c r="E60" s="37">
        <v>203.74299999999999</v>
      </c>
      <c r="F60" s="37">
        <v>258.745</v>
      </c>
      <c r="G60" s="37">
        <v>267.02699999999999</v>
      </c>
      <c r="H60" s="37"/>
    </row>
    <row r="61" spans="1:18" s="21" customFormat="1" x14ac:dyDescent="0.2">
      <c r="A61" s="21" t="s">
        <v>7</v>
      </c>
      <c r="E61" s="38">
        <f>SUM(E59:E60)</f>
        <v>3030.7649999999999</v>
      </c>
      <c r="F61" s="38">
        <f>SUM(F59:F60)</f>
        <v>3473.1549999999997</v>
      </c>
      <c r="G61" s="38">
        <f>SUM(G59:G60)</f>
        <v>3946.2640000000001</v>
      </c>
    </row>
    <row r="62" spans="1:18" x14ac:dyDescent="0.2">
      <c r="A62" s="1" t="s">
        <v>58</v>
      </c>
      <c r="E62" s="18">
        <v>604.09299999999996</v>
      </c>
      <c r="F62" s="18">
        <v>639.68299999999999</v>
      </c>
      <c r="G62" s="18">
        <v>717.07500000000005</v>
      </c>
    </row>
    <row r="63" spans="1:18" x14ac:dyDescent="0.2">
      <c r="A63" s="1" t="s">
        <v>59</v>
      </c>
      <c r="E63" s="18">
        <v>511.93900000000002</v>
      </c>
      <c r="F63" s="18">
        <v>568.90300000000002</v>
      </c>
      <c r="G63" s="18">
        <v>640.22500000000002</v>
      </c>
    </row>
    <row r="64" spans="1:18" x14ac:dyDescent="0.2">
      <c r="A64" s="1" t="s">
        <v>10</v>
      </c>
      <c r="E64" s="37">
        <v>1217.7090000000001</v>
      </c>
      <c r="F64" s="37">
        <v>1399.5609999999999</v>
      </c>
      <c r="G64" s="37">
        <v>1555.6389999999999</v>
      </c>
    </row>
    <row r="65" spans="1:13" s="21" customFormat="1" x14ac:dyDescent="0.2">
      <c r="A65" s="21" t="s">
        <v>39</v>
      </c>
      <c r="E65" s="38">
        <f>E61-SUM(E62:E64)</f>
        <v>697.02399999999989</v>
      </c>
      <c r="F65" s="38">
        <f>F61-SUM(F62:F64)</f>
        <v>865.00799999999981</v>
      </c>
      <c r="G65" s="38">
        <f>G61-SUM(G62:G64)</f>
        <v>1033.3249999999998</v>
      </c>
    </row>
    <row r="66" spans="1:13" x14ac:dyDescent="0.2">
      <c r="A66" s="1" t="s">
        <v>60</v>
      </c>
      <c r="E66" s="37">
        <v>490.09300000000002</v>
      </c>
      <c r="F66" s="37">
        <v>555.52499999999998</v>
      </c>
      <c r="G66" s="37">
        <v>582.26900000000001</v>
      </c>
    </row>
    <row r="67" spans="1:13" s="21" customFormat="1" x14ac:dyDescent="0.2">
      <c r="A67" s="21" t="s">
        <v>38</v>
      </c>
      <c r="E67" s="38">
        <f>E65-E66</f>
        <v>206.93099999999987</v>
      </c>
      <c r="F67" s="38">
        <f>F65-F66</f>
        <v>309.48299999999983</v>
      </c>
      <c r="G67" s="38">
        <f>G65-G66</f>
        <v>451.05599999999981</v>
      </c>
    </row>
    <row r="68" spans="1:13" x14ac:dyDescent="0.2">
      <c r="A68" s="1" t="s">
        <v>11</v>
      </c>
      <c r="E68" s="18">
        <v>84.867000000000004</v>
      </c>
      <c r="F68" s="18">
        <v>93.674000000000007</v>
      </c>
      <c r="G68" s="18">
        <v>84.679000000000002</v>
      </c>
    </row>
    <row r="69" spans="1:13" x14ac:dyDescent="0.2">
      <c r="A69" s="1" t="s">
        <v>72</v>
      </c>
      <c r="E69" s="18">
        <v>66.718999999999994</v>
      </c>
      <c r="F69" s="18">
        <v>93.119</v>
      </c>
      <c r="G69" s="18">
        <v>90.033000000000001</v>
      </c>
    </row>
    <row r="70" spans="1:13" x14ac:dyDescent="0.2">
      <c r="A70" s="1" t="s">
        <v>73</v>
      </c>
      <c r="E70" s="18">
        <v>18.062999999999999</v>
      </c>
      <c r="F70" s="18">
        <v>50.84</v>
      </c>
      <c r="G70" s="18">
        <v>83.13</v>
      </c>
    </row>
    <row r="71" spans="1:13" x14ac:dyDescent="0.2">
      <c r="A71" s="1" t="s">
        <v>74</v>
      </c>
      <c r="E71" s="37">
        <v>54.500999999999998</v>
      </c>
      <c r="F71" s="37">
        <v>-46.63</v>
      </c>
      <c r="G71" s="37">
        <v>6.9610000000000003</v>
      </c>
    </row>
    <row r="72" spans="1:13" s="21" customFormat="1" x14ac:dyDescent="0.2">
      <c r="A72" s="21" t="s">
        <v>75</v>
      </c>
      <c r="E72" s="38">
        <f>E67-E68+E69+E70+E71</f>
        <v>261.34699999999981</v>
      </c>
      <c r="F72" s="38">
        <f>F67-F68+F69+F70+F71</f>
        <v>313.13799999999981</v>
      </c>
      <c r="G72" s="38">
        <f>G67-G68+G69+G70+G71</f>
        <v>546.50099999999986</v>
      </c>
      <c r="I72" s="1"/>
      <c r="J72" s="1"/>
      <c r="K72" s="1"/>
      <c r="L72" s="1"/>
      <c r="M72" s="1"/>
    </row>
    <row r="73" spans="1:13" x14ac:dyDescent="0.2">
      <c r="A73" s="1" t="s">
        <v>12</v>
      </c>
      <c r="E73" s="37">
        <v>95.855999999999995</v>
      </c>
      <c r="F73" s="37">
        <v>120.604</v>
      </c>
      <c r="G73" s="37">
        <v>216.71100000000001</v>
      </c>
    </row>
    <row r="74" spans="1:13" x14ac:dyDescent="0.2">
      <c r="A74" s="21" t="s">
        <v>76</v>
      </c>
      <c r="B74" s="21"/>
      <c r="C74" s="21"/>
      <c r="D74" s="21"/>
      <c r="E74" s="38">
        <f>E72-E73</f>
        <v>165.49099999999981</v>
      </c>
      <c r="F74" s="38">
        <f>F72-F73</f>
        <v>192.53399999999982</v>
      </c>
      <c r="G74" s="38">
        <f>G72-G73</f>
        <v>329.78999999999985</v>
      </c>
    </row>
    <row r="75" spans="1:13" x14ac:dyDescent="0.2">
      <c r="A75" s="1" t="s">
        <v>13</v>
      </c>
      <c r="E75" s="37">
        <v>10.54</v>
      </c>
      <c r="F75" s="37">
        <v>13.044</v>
      </c>
      <c r="G75" s="37">
        <v>15.055999999999999</v>
      </c>
    </row>
    <row r="76" spans="1:13" s="21" customFormat="1" x14ac:dyDescent="0.2">
      <c r="A76" s="21" t="s">
        <v>14</v>
      </c>
      <c r="E76" s="38">
        <f>E74-E75</f>
        <v>154.95099999999982</v>
      </c>
      <c r="F76" s="38">
        <f>F74-F75</f>
        <v>179.48999999999981</v>
      </c>
      <c r="G76" s="38">
        <f>G74-G75</f>
        <v>314.73399999999987</v>
      </c>
      <c r="I76" s="1"/>
      <c r="J76" s="1"/>
      <c r="K76" s="1"/>
      <c r="L76" s="1"/>
      <c r="M76" s="1"/>
    </row>
    <row r="102" spans="1:18" ht="15.6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9" t="str">
        <f>$C$9</f>
        <v>Harvard Business Publishing</v>
      </c>
    </row>
  </sheetData>
  <pageMargins left="0.5" right="0.5" top="0.7" bottom="0.3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2"/>
  <sheetViews>
    <sheetView showGridLines="0" topLeftCell="A52" workbookViewId="0">
      <selection sqref="A1:XFD51"/>
    </sheetView>
  </sheetViews>
  <sheetFormatPr defaultColWidth="9.33203125" defaultRowHeight="10.199999999999999" x14ac:dyDescent="0.2"/>
  <cols>
    <col min="1" max="16384" width="9.33203125" style="1"/>
  </cols>
  <sheetData>
    <row r="1" spans="1:18" s="2" customFormat="1" ht="17.399999999999999" hidden="1" x14ac:dyDescent="0.3">
      <c r="A1" s="2" t="str">
        <f>$C$6</f>
        <v>AIRTHREAD ACQUISITION</v>
      </c>
      <c r="I1" s="2" t="str">
        <f>IF($C$8="Y","Draft","")</f>
        <v/>
      </c>
      <c r="R1" s="5" t="str">
        <f>$C$7</f>
        <v>Balance Sheet</v>
      </c>
    </row>
    <row r="2" spans="1:18" s="3" customFormat="1" ht="2.1" hidden="1" customHeight="1" x14ac:dyDescent="0.2">
      <c r="R2" s="6"/>
    </row>
    <row r="3" spans="1:18" s="4" customFormat="1" ht="15.6" hidden="1" x14ac:dyDescent="0.3">
      <c r="R3" s="7"/>
    </row>
    <row r="4" spans="1:18" hidden="1" x14ac:dyDescent="0.2"/>
    <row r="5" spans="1:18" hidden="1" x14ac:dyDescent="0.2"/>
    <row r="6" spans="1:18" hidden="1" x14ac:dyDescent="0.2">
      <c r="A6" s="1" t="s">
        <v>0</v>
      </c>
      <c r="C6" s="11" t="s">
        <v>4</v>
      </c>
    </row>
    <row r="7" spans="1:18" hidden="1" x14ac:dyDescent="0.2">
      <c r="A7" s="1" t="s">
        <v>1</v>
      </c>
      <c r="C7" s="11" t="s">
        <v>78</v>
      </c>
    </row>
    <row r="8" spans="1:18" hidden="1" x14ac:dyDescent="0.2">
      <c r="A8" s="1" t="s">
        <v>2</v>
      </c>
      <c r="C8" s="11" t="s">
        <v>137</v>
      </c>
    </row>
    <row r="9" spans="1:18" hidden="1" x14ac:dyDescent="0.2">
      <c r="A9" s="1" t="s">
        <v>3</v>
      </c>
      <c r="C9" s="11" t="s">
        <v>138</v>
      </c>
    </row>
    <row r="10" spans="1:18" hidden="1" x14ac:dyDescent="0.2"/>
    <row r="11" spans="1:18" hidden="1" x14ac:dyDescent="0.2">
      <c r="A11" s="1" t="s">
        <v>5</v>
      </c>
      <c r="C11" s="12">
        <v>1</v>
      </c>
    </row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1:18" hidden="1" x14ac:dyDescent="0.2"/>
    <row r="50" spans="1:18" hidden="1" x14ac:dyDescent="0.2"/>
    <row r="51" spans="1:18" s="10" customFormat="1" ht="15.6" hidden="1" x14ac:dyDescent="0.3">
      <c r="R51" s="9" t="str">
        <f>$C$9</f>
        <v>Harvard Business Publishing</v>
      </c>
    </row>
    <row r="52" spans="1:18" ht="17.399999999999999" x14ac:dyDescent="0.3">
      <c r="A52" s="2" t="str">
        <f>$C$6</f>
        <v>AIRTHREAD ACQUISITION</v>
      </c>
      <c r="B52" s="2"/>
      <c r="C52" s="2"/>
      <c r="D52" s="2"/>
      <c r="E52" s="2"/>
      <c r="F52" s="2"/>
      <c r="G52" s="2"/>
      <c r="H52" s="2"/>
      <c r="I52" s="2" t="str">
        <f>IF($C$8="Y","Draft","")</f>
        <v/>
      </c>
      <c r="J52" s="2"/>
      <c r="K52" s="2"/>
      <c r="L52" s="2"/>
      <c r="M52" s="2"/>
      <c r="N52" s="2"/>
      <c r="O52" s="2"/>
      <c r="P52" s="2"/>
      <c r="Q52" s="2"/>
      <c r="R52" s="5" t="str">
        <f>$C$7</f>
        <v>Balance Sheet</v>
      </c>
    </row>
    <row r="53" spans="1:18" ht="2.1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/>
    </row>
    <row r="54" spans="1:18" ht="15.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7"/>
    </row>
    <row r="58" spans="1:18" x14ac:dyDescent="0.2">
      <c r="A58" s="17" t="s">
        <v>15</v>
      </c>
      <c r="E58" s="13">
        <v>2005</v>
      </c>
      <c r="F58" s="14">
        <f>E58+1</f>
        <v>2006</v>
      </c>
      <c r="G58" s="15">
        <f>F58+1</f>
        <v>2007</v>
      </c>
    </row>
    <row r="59" spans="1:18" x14ac:dyDescent="0.2">
      <c r="A59" s="1" t="s">
        <v>79</v>
      </c>
      <c r="E59" s="18">
        <v>29.003</v>
      </c>
      <c r="F59" s="18">
        <v>32.911999999999999</v>
      </c>
      <c r="G59" s="18">
        <v>204.53299999999999</v>
      </c>
    </row>
    <row r="60" spans="1:18" x14ac:dyDescent="0.2">
      <c r="A60" s="1" t="s">
        <v>80</v>
      </c>
      <c r="E60" s="18">
        <v>0</v>
      </c>
      <c r="F60" s="18">
        <v>249.03899999999999</v>
      </c>
      <c r="G60" s="18">
        <v>16.352</v>
      </c>
    </row>
    <row r="61" spans="1:18" x14ac:dyDescent="0.2">
      <c r="A61" s="1" t="s">
        <v>16</v>
      </c>
      <c r="E61" s="18">
        <v>362.35899999999998</v>
      </c>
      <c r="F61" s="18">
        <v>407.43799999999999</v>
      </c>
      <c r="G61" s="18">
        <v>435.49700000000001</v>
      </c>
    </row>
    <row r="62" spans="1:18" x14ac:dyDescent="0.2">
      <c r="A62" s="1" t="s">
        <v>81</v>
      </c>
      <c r="E62" s="18">
        <v>92.748000000000005</v>
      </c>
      <c r="F62" s="18">
        <v>117.18899999999999</v>
      </c>
      <c r="G62" s="18">
        <v>100.99</v>
      </c>
    </row>
    <row r="63" spans="1:18" x14ac:dyDescent="0.2">
      <c r="A63" s="1" t="s">
        <v>82</v>
      </c>
      <c r="E63" s="18">
        <v>32.067999999999998</v>
      </c>
      <c r="F63" s="18">
        <v>34.954999999999998</v>
      </c>
      <c r="G63" s="18">
        <v>41.588000000000001</v>
      </c>
    </row>
    <row r="64" spans="1:18" x14ac:dyDescent="0.2">
      <c r="A64" s="1" t="s">
        <v>17</v>
      </c>
      <c r="E64" s="18">
        <v>8.218</v>
      </c>
      <c r="F64" s="18">
        <v>0</v>
      </c>
      <c r="G64" s="18">
        <v>18.565999999999999</v>
      </c>
    </row>
    <row r="65" spans="1:16" x14ac:dyDescent="0.2">
      <c r="A65" s="1" t="s">
        <v>18</v>
      </c>
      <c r="E65" s="37">
        <v>15.489000000000001</v>
      </c>
      <c r="F65" s="37">
        <v>13.385</v>
      </c>
      <c r="G65" s="37">
        <v>16.227</v>
      </c>
    </row>
    <row r="66" spans="1:16" s="21" customFormat="1" x14ac:dyDescent="0.2">
      <c r="A66" s="21" t="s">
        <v>19</v>
      </c>
      <c r="E66" s="38">
        <f>SUM(E59:E65)</f>
        <v>539.88499999999999</v>
      </c>
      <c r="F66" s="38">
        <f>SUM(F59:F65)</f>
        <v>854.91799999999989</v>
      </c>
      <c r="G66" s="38">
        <f>SUM(G59:G65)</f>
        <v>833.75300000000004</v>
      </c>
      <c r="I66" s="1"/>
      <c r="J66" s="1"/>
      <c r="K66" s="1"/>
      <c r="L66" s="1"/>
      <c r="M66" s="1"/>
      <c r="N66" s="1"/>
      <c r="O66" s="1"/>
      <c r="P66" s="1"/>
    </row>
    <row r="67" spans="1:16" x14ac:dyDescent="0.2">
      <c r="E67" s="18"/>
      <c r="F67" s="18"/>
      <c r="G67" s="18"/>
    </row>
    <row r="68" spans="1:16" x14ac:dyDescent="0.2">
      <c r="A68" s="1" t="s">
        <v>83</v>
      </c>
      <c r="E68" s="18">
        <v>2553.029</v>
      </c>
      <c r="F68" s="18">
        <v>2628.848</v>
      </c>
      <c r="G68" s="18">
        <v>2595.096</v>
      </c>
    </row>
    <row r="69" spans="1:16" x14ac:dyDescent="0.2">
      <c r="A69" s="1" t="s">
        <v>84</v>
      </c>
      <c r="E69" s="18">
        <v>1362.2629999999999</v>
      </c>
      <c r="F69" s="18">
        <v>1494.327</v>
      </c>
      <c r="G69" s="18">
        <v>1482.4459999999999</v>
      </c>
    </row>
    <row r="70" spans="1:16" x14ac:dyDescent="0.2">
      <c r="A70" s="1" t="s">
        <v>88</v>
      </c>
      <c r="E70" s="18">
        <v>47.649000000000001</v>
      </c>
      <c r="F70" s="18">
        <v>26.196000000000002</v>
      </c>
      <c r="G70" s="18">
        <v>15.375</v>
      </c>
    </row>
    <row r="71" spans="1:16" x14ac:dyDescent="0.2">
      <c r="A71" s="1" t="s">
        <v>85</v>
      </c>
      <c r="E71" s="18">
        <v>225.387</v>
      </c>
      <c r="F71" s="18">
        <v>4.8730000000000002</v>
      </c>
      <c r="G71" s="18">
        <v>0</v>
      </c>
    </row>
    <row r="72" spans="1:16" x14ac:dyDescent="0.2">
      <c r="A72" s="1" t="s">
        <v>86</v>
      </c>
      <c r="E72" s="18">
        <v>172.09299999999999</v>
      </c>
      <c r="F72" s="18">
        <v>150.32499999999999</v>
      </c>
      <c r="G72" s="18">
        <v>157.69300000000001</v>
      </c>
    </row>
    <row r="73" spans="1:16" x14ac:dyDescent="0.2">
      <c r="A73" s="1" t="s">
        <v>87</v>
      </c>
      <c r="E73" s="18">
        <v>4.7069999999999999</v>
      </c>
      <c r="F73" s="18">
        <v>4.5410000000000004</v>
      </c>
      <c r="G73" s="18">
        <v>4.4219999999999997</v>
      </c>
    </row>
    <row r="74" spans="1:16" x14ac:dyDescent="0.2">
      <c r="A74" s="1" t="s">
        <v>20</v>
      </c>
      <c r="E74" s="18">
        <v>481.23500000000001</v>
      </c>
      <c r="F74" s="18">
        <v>485.452</v>
      </c>
      <c r="G74" s="18">
        <v>491.31599999999997</v>
      </c>
    </row>
    <row r="75" spans="1:16" x14ac:dyDescent="0.2">
      <c r="A75" s="1" t="s">
        <v>21</v>
      </c>
      <c r="E75" s="37">
        <v>29.984999999999999</v>
      </c>
      <c r="F75" s="37">
        <v>31.135999999999999</v>
      </c>
      <c r="G75" s="37">
        <v>31.773</v>
      </c>
    </row>
    <row r="76" spans="1:16" s="21" customFormat="1" x14ac:dyDescent="0.2">
      <c r="A76" s="21" t="s">
        <v>22</v>
      </c>
      <c r="E76" s="38">
        <f>SUM(E68:E75)+E66</f>
        <v>5416.2329999999993</v>
      </c>
      <c r="F76" s="38">
        <f>SUM(F68:F75)+F66</f>
        <v>5680.616</v>
      </c>
      <c r="G76" s="38">
        <f>SUM(G68:G75)+G66</f>
        <v>5611.8739999999989</v>
      </c>
      <c r="I76" s="1"/>
      <c r="J76" s="1"/>
      <c r="K76" s="1"/>
      <c r="L76" s="1"/>
      <c r="M76" s="1"/>
      <c r="N76" s="1"/>
      <c r="O76" s="1"/>
      <c r="P76" s="1"/>
    </row>
    <row r="77" spans="1:16" x14ac:dyDescent="0.2">
      <c r="E77" s="18"/>
      <c r="F77" s="18"/>
      <c r="G77" s="18"/>
    </row>
    <row r="78" spans="1:16" x14ac:dyDescent="0.2">
      <c r="A78" s="17" t="s">
        <v>23</v>
      </c>
      <c r="E78" s="18"/>
      <c r="F78" s="18"/>
      <c r="G78" s="18"/>
    </row>
    <row r="79" spans="1:16" x14ac:dyDescent="0.2">
      <c r="A79" s="1" t="s">
        <v>24</v>
      </c>
      <c r="E79" s="18">
        <v>254.11600000000001</v>
      </c>
      <c r="F79" s="18">
        <v>254.87100000000001</v>
      </c>
      <c r="G79" s="18">
        <v>260.791</v>
      </c>
    </row>
    <row r="80" spans="1:16" x14ac:dyDescent="0.2">
      <c r="A80" s="1" t="s">
        <v>89</v>
      </c>
      <c r="E80" s="18">
        <v>111.407</v>
      </c>
      <c r="F80" s="18">
        <v>123.34399999999999</v>
      </c>
      <c r="G80" s="18">
        <v>143.44499999999999</v>
      </c>
    </row>
    <row r="81" spans="1:16" x14ac:dyDescent="0.2">
      <c r="A81" s="1" t="s">
        <v>25</v>
      </c>
      <c r="E81" s="18">
        <v>42.865000000000002</v>
      </c>
      <c r="F81" s="18">
        <v>47.841999999999999</v>
      </c>
      <c r="G81" s="18">
        <v>59.223999999999997</v>
      </c>
    </row>
    <row r="82" spans="1:16" x14ac:dyDescent="0.2">
      <c r="A82" s="1" t="s">
        <v>93</v>
      </c>
      <c r="E82" s="18">
        <v>36.747999999999998</v>
      </c>
      <c r="F82" s="18">
        <v>26.913</v>
      </c>
      <c r="G82" s="18">
        <v>43.104999999999997</v>
      </c>
    </row>
    <row r="83" spans="1:16" x14ac:dyDescent="0.2">
      <c r="A83" s="1" t="s">
        <v>17</v>
      </c>
      <c r="E83" s="18">
        <v>0</v>
      </c>
      <c r="F83" s="18">
        <v>26.326000000000001</v>
      </c>
      <c r="G83" s="18">
        <v>0</v>
      </c>
    </row>
    <row r="84" spans="1:16" x14ac:dyDescent="0.2">
      <c r="A84" s="1" t="s">
        <v>90</v>
      </c>
      <c r="E84" s="18">
        <v>135</v>
      </c>
      <c r="F84" s="18">
        <v>35</v>
      </c>
      <c r="G84" s="18">
        <v>0</v>
      </c>
    </row>
    <row r="85" spans="1:16" x14ac:dyDescent="0.2">
      <c r="A85" s="1" t="s">
        <v>91</v>
      </c>
      <c r="E85" s="18">
        <v>0</v>
      </c>
      <c r="F85" s="18">
        <v>159.85599999999999</v>
      </c>
      <c r="G85" s="18">
        <v>0</v>
      </c>
    </row>
    <row r="86" spans="1:16" x14ac:dyDescent="0.2">
      <c r="A86" s="1" t="s">
        <v>92</v>
      </c>
      <c r="E86" s="18">
        <v>0</v>
      </c>
      <c r="F86" s="18">
        <v>88.84</v>
      </c>
      <c r="G86" s="18">
        <v>0</v>
      </c>
    </row>
    <row r="87" spans="1:16" x14ac:dyDescent="0.2">
      <c r="A87" s="1" t="s">
        <v>32</v>
      </c>
      <c r="E87" s="37">
        <v>82.584999999999994</v>
      </c>
      <c r="F87" s="37">
        <v>93.718000000000004</v>
      </c>
      <c r="G87" s="37">
        <v>97.677999999999997</v>
      </c>
    </row>
    <row r="88" spans="1:16" s="21" customFormat="1" x14ac:dyDescent="0.2">
      <c r="A88" s="21" t="s">
        <v>26</v>
      </c>
      <c r="E88" s="38">
        <f>SUM(E79:E87)</f>
        <v>662.721</v>
      </c>
      <c r="F88" s="38">
        <f>SUM(F79:F87)</f>
        <v>856.71</v>
      </c>
      <c r="G88" s="38">
        <f>SUM(G79:G87)</f>
        <v>604.24299999999994</v>
      </c>
      <c r="I88" s="1"/>
      <c r="J88" s="1"/>
      <c r="K88" s="1"/>
      <c r="L88" s="1"/>
      <c r="M88" s="1"/>
      <c r="N88" s="1"/>
      <c r="O88" s="1"/>
      <c r="P88" s="1"/>
    </row>
    <row r="89" spans="1:16" x14ac:dyDescent="0.2">
      <c r="E89" s="18"/>
      <c r="F89" s="18"/>
      <c r="G89" s="18"/>
    </row>
    <row r="90" spans="1:16" x14ac:dyDescent="0.2">
      <c r="A90" s="1" t="s">
        <v>27</v>
      </c>
      <c r="E90" s="18">
        <f>atc_size*1001.385</f>
        <v>1001.385</v>
      </c>
      <c r="F90" s="18">
        <f>atc_size*1001.839</f>
        <v>1001.8390000000001</v>
      </c>
      <c r="G90" s="18">
        <f>atc_size*1002.293</f>
        <v>1002.293</v>
      </c>
    </row>
    <row r="91" spans="1:16" x14ac:dyDescent="0.2">
      <c r="A91" s="1" t="s">
        <v>94</v>
      </c>
      <c r="E91" s="18">
        <f>atc_size*159.856</f>
        <v>159.85599999999999</v>
      </c>
      <c r="F91" s="18">
        <f>atc_size*0</f>
        <v>0</v>
      </c>
      <c r="G91" s="18">
        <f>atc_size*0</f>
        <v>0</v>
      </c>
    </row>
    <row r="92" spans="1:16" x14ac:dyDescent="0.2">
      <c r="A92" s="1" t="s">
        <v>92</v>
      </c>
      <c r="E92" s="18">
        <f>atc_size*25.818</f>
        <v>25.818000000000001</v>
      </c>
      <c r="F92" s="18">
        <f>atc_size*0</f>
        <v>0</v>
      </c>
      <c r="G92" s="18">
        <f>atc_size*0</f>
        <v>0</v>
      </c>
    </row>
    <row r="93" spans="1:16" x14ac:dyDescent="0.2">
      <c r="A93" s="1" t="s">
        <v>95</v>
      </c>
      <c r="E93" s="18">
        <f>atc_size*647.086</f>
        <v>647.08600000000001</v>
      </c>
      <c r="F93" s="18">
        <f>atc_size*601.535</f>
        <v>601.53499999999997</v>
      </c>
      <c r="G93" s="18">
        <f>atc_size*554.412</f>
        <v>554.41200000000003</v>
      </c>
    </row>
    <row r="94" spans="1:16" x14ac:dyDescent="0.2">
      <c r="A94" s="1" t="s">
        <v>96</v>
      </c>
      <c r="E94" s="18">
        <f>atc_size*90.224</f>
        <v>90.224000000000004</v>
      </c>
      <c r="F94" s="18">
        <f>atc_size*127.639</f>
        <v>127.639</v>
      </c>
      <c r="G94" s="18">
        <f>atc_size*126.844</f>
        <v>126.84399999999999</v>
      </c>
    </row>
    <row r="95" spans="1:16" x14ac:dyDescent="0.2">
      <c r="A95" s="1" t="s">
        <v>97</v>
      </c>
      <c r="E95" s="18">
        <f>atc_size*46.234</f>
        <v>46.234000000000002</v>
      </c>
      <c r="F95" s="18">
        <f>atc_size*62.914</f>
        <v>62.914000000000001</v>
      </c>
      <c r="G95" s="18">
        <f>atc_size*84.53</f>
        <v>84.53</v>
      </c>
    </row>
    <row r="96" spans="1:16" x14ac:dyDescent="0.2">
      <c r="E96" s="18"/>
      <c r="F96" s="18"/>
      <c r="G96" s="18"/>
    </row>
    <row r="97" spans="1:18" x14ac:dyDescent="0.2">
      <c r="A97" s="1" t="s">
        <v>28</v>
      </c>
      <c r="E97" s="18">
        <f>atc_size*41.871</f>
        <v>41.871000000000002</v>
      </c>
      <c r="F97" s="18">
        <f>atc_size*36.7</f>
        <v>36.700000000000003</v>
      </c>
      <c r="G97" s="18">
        <f>atc_size*43.396</f>
        <v>43.396000000000001</v>
      </c>
    </row>
    <row r="98" spans="1:18" x14ac:dyDescent="0.2">
      <c r="E98" s="18"/>
      <c r="F98" s="18"/>
      <c r="G98" s="18"/>
    </row>
    <row r="99" spans="1:18" x14ac:dyDescent="0.2">
      <c r="A99" s="1" t="s">
        <v>29</v>
      </c>
      <c r="E99" s="18">
        <f>atc_size*(55.046+33.006+1286.964)</f>
        <v>1375.0159999999998</v>
      </c>
      <c r="F99" s="18">
        <f>atc_size*(55.046+33.006+1290.829)</f>
        <v>1378.8809999999999</v>
      </c>
      <c r="G99" s="18">
        <f>atc_size*(55.046+33.006+1316.042)</f>
        <v>1404.0939999999998</v>
      </c>
    </row>
    <row r="100" spans="1:18" x14ac:dyDescent="0.2">
      <c r="A100" s="1" t="s">
        <v>30</v>
      </c>
      <c r="E100" s="37">
        <f>atc_size*(1368.988+44.122-47.088)</f>
        <v>1366.0220000000002</v>
      </c>
      <c r="F100" s="37">
        <f>atc_size*(1548.478+80.382-14.462)</f>
        <v>1614.3980000000001</v>
      </c>
      <c r="G100" s="37">
        <f>atc_size*(1823.022+10.134-41.094)</f>
        <v>1792.0619999999999</v>
      </c>
    </row>
    <row r="101" spans="1:18" s="21" customFormat="1" x14ac:dyDescent="0.2">
      <c r="A101" s="21" t="s">
        <v>31</v>
      </c>
      <c r="E101" s="38">
        <f>SUM(E99:E100)+E97+SUM(E90:E95)+E88</f>
        <v>5416.2330000000002</v>
      </c>
      <c r="F101" s="38">
        <f>SUM(F99:F100)+F97+SUM(F90:F95)+F88</f>
        <v>5680.616</v>
      </c>
      <c r="G101" s="38">
        <f>SUM(G99:G100)+G97+SUM(G90:G95)+G88</f>
        <v>5611.8739999999998</v>
      </c>
    </row>
    <row r="102" spans="1:18" ht="15.6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9" t="str">
        <f>$C$9</f>
        <v>Harvard Business Publishing</v>
      </c>
    </row>
  </sheetData>
  <pageMargins left="0.5" right="0.5" top="0.7" bottom="0.3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3"/>
  <sheetViews>
    <sheetView showGridLines="0" topLeftCell="A52" workbookViewId="0">
      <selection sqref="A1:XFD51"/>
    </sheetView>
  </sheetViews>
  <sheetFormatPr defaultColWidth="9.33203125" defaultRowHeight="10.199999999999999" x14ac:dyDescent="0.2"/>
  <cols>
    <col min="1" max="1" width="10.83203125" style="1" customWidth="1"/>
    <col min="2" max="2" width="4.83203125" style="1" customWidth="1"/>
    <col min="3" max="7" width="9.33203125" style="1"/>
    <col min="8" max="8" width="4.83203125" style="1" customWidth="1"/>
    <col min="9" max="9" width="10.83203125" style="1" customWidth="1"/>
    <col min="10" max="10" width="4.83203125" style="1" customWidth="1"/>
    <col min="11" max="16384" width="9.33203125" style="1"/>
  </cols>
  <sheetData>
    <row r="1" spans="1:18" s="2" customFormat="1" ht="17.399999999999999" hidden="1" x14ac:dyDescent="0.3">
      <c r="A1" s="2" t="str">
        <f>$C$6</f>
        <v>AIRTHREAD ACQUISITION</v>
      </c>
      <c r="I1" s="2" t="str">
        <f>IF($C$8="Y","Draft","")</f>
        <v/>
      </c>
      <c r="R1" s="5" t="str">
        <f>$C$7</f>
        <v>Amortization Schedule</v>
      </c>
    </row>
    <row r="2" spans="1:18" s="3" customFormat="1" ht="2.1" hidden="1" customHeight="1" x14ac:dyDescent="0.2">
      <c r="R2" s="6"/>
    </row>
    <row r="3" spans="1:18" s="4" customFormat="1" ht="15.6" hidden="1" x14ac:dyDescent="0.3">
      <c r="R3" s="7"/>
    </row>
    <row r="4" spans="1:18" hidden="1" x14ac:dyDescent="0.2"/>
    <row r="5" spans="1:18" hidden="1" x14ac:dyDescent="0.2"/>
    <row r="6" spans="1:18" hidden="1" x14ac:dyDescent="0.2">
      <c r="A6" s="1" t="s">
        <v>0</v>
      </c>
      <c r="C6" s="11" t="s">
        <v>4</v>
      </c>
    </row>
    <row r="7" spans="1:18" hidden="1" x14ac:dyDescent="0.2">
      <c r="A7" s="1" t="s">
        <v>1</v>
      </c>
      <c r="C7" s="11" t="s">
        <v>105</v>
      </c>
    </row>
    <row r="8" spans="1:18" hidden="1" x14ac:dyDescent="0.2">
      <c r="A8" s="1" t="s">
        <v>2</v>
      </c>
      <c r="C8" s="11" t="s">
        <v>137</v>
      </c>
    </row>
    <row r="9" spans="1:18" hidden="1" x14ac:dyDescent="0.2">
      <c r="A9" s="1" t="s">
        <v>3</v>
      </c>
      <c r="C9" s="11" t="s">
        <v>138</v>
      </c>
    </row>
    <row r="10" spans="1:18" hidden="1" x14ac:dyDescent="0.2"/>
    <row r="11" spans="1:18" hidden="1" x14ac:dyDescent="0.2">
      <c r="A11" s="1" t="s">
        <v>5</v>
      </c>
      <c r="C11" s="12">
        <v>1</v>
      </c>
    </row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1:18" hidden="1" x14ac:dyDescent="0.2"/>
    <row r="50" spans="1:18" hidden="1" x14ac:dyDescent="0.2"/>
    <row r="51" spans="1:18" s="10" customFormat="1" ht="15.6" hidden="1" x14ac:dyDescent="0.3">
      <c r="R51" s="9" t="str">
        <f>$C$9</f>
        <v>Harvard Business Publishing</v>
      </c>
    </row>
    <row r="52" spans="1:18" ht="17.399999999999999" x14ac:dyDescent="0.3">
      <c r="A52" s="2" t="str">
        <f>$C$6</f>
        <v>AIRTHREAD ACQUISITION</v>
      </c>
      <c r="B52" s="2"/>
      <c r="C52" s="2"/>
      <c r="D52" s="2"/>
      <c r="E52" s="2"/>
      <c r="F52" s="2"/>
      <c r="G52" s="2"/>
      <c r="H52" s="2"/>
      <c r="I52" s="2" t="str">
        <f>IF($C$8="Y","Draft","")</f>
        <v/>
      </c>
      <c r="J52" s="2"/>
      <c r="K52" s="2"/>
      <c r="L52" s="2"/>
      <c r="M52" s="2"/>
      <c r="N52" s="2"/>
      <c r="O52" s="2"/>
      <c r="P52" s="2"/>
      <c r="Q52" s="2"/>
      <c r="R52" s="5" t="str">
        <f>$C$7</f>
        <v>Amortization Schedule</v>
      </c>
    </row>
    <row r="53" spans="1:18" ht="2.1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/>
    </row>
    <row r="54" spans="1:18" ht="15.6" x14ac:dyDescent="0.3">
      <c r="A54" s="4" t="s">
        <v>136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7"/>
    </row>
    <row r="57" spans="1:18" x14ac:dyDescent="0.2">
      <c r="D57" s="8" t="s">
        <v>106</v>
      </c>
      <c r="G57" s="8" t="s">
        <v>107</v>
      </c>
      <c r="L57" s="8" t="s">
        <v>106</v>
      </c>
      <c r="O57" s="8" t="s">
        <v>107</v>
      </c>
    </row>
    <row r="58" spans="1:18" x14ac:dyDescent="0.2">
      <c r="B58" s="47"/>
      <c r="C58" s="8" t="s">
        <v>108</v>
      </c>
      <c r="D58" s="8" t="s">
        <v>109</v>
      </c>
      <c r="E58" s="8" t="s">
        <v>110</v>
      </c>
      <c r="F58" s="8" t="s">
        <v>104</v>
      </c>
      <c r="G58" s="8" t="s">
        <v>111</v>
      </c>
      <c r="J58" s="47"/>
      <c r="K58" s="8" t="s">
        <v>108</v>
      </c>
      <c r="L58" s="8" t="s">
        <v>109</v>
      </c>
      <c r="M58" s="8" t="s">
        <v>110</v>
      </c>
      <c r="N58" s="8" t="s">
        <v>104</v>
      </c>
      <c r="O58" s="8" t="s">
        <v>111</v>
      </c>
    </row>
    <row r="59" spans="1:18" x14ac:dyDescent="0.2">
      <c r="A59" s="8" t="s">
        <v>112</v>
      </c>
      <c r="C59" s="49">
        <v>40.779242244914002</v>
      </c>
      <c r="D59" s="50">
        <v>5.5E-2</v>
      </c>
      <c r="E59" s="10"/>
      <c r="F59" s="51">
        <v>3757.54545454545</v>
      </c>
      <c r="G59" s="49">
        <v>120</v>
      </c>
      <c r="I59" s="8" t="s">
        <v>112</v>
      </c>
      <c r="K59" s="49">
        <v>40.779242244914002</v>
      </c>
      <c r="L59" s="50">
        <v>5.5E-2</v>
      </c>
      <c r="M59" s="10"/>
      <c r="N59" s="51">
        <v>2697.6533312924598</v>
      </c>
      <c r="O59" s="49">
        <v>84</v>
      </c>
    </row>
    <row r="60" spans="1:18" x14ac:dyDescent="0.2">
      <c r="A60" s="52">
        <v>39478</v>
      </c>
      <c r="C60" s="1">
        <f>C59</f>
        <v>40.779242244914002</v>
      </c>
      <c r="D60" s="1">
        <f>($D$59/12)*F59</f>
        <v>17.222083333333313</v>
      </c>
      <c r="E60" s="1">
        <f t="shared" ref="E60:E100" si="0">C60-D60</f>
        <v>23.557158911580689</v>
      </c>
      <c r="F60" s="1">
        <f t="shared" ref="F60:F100" si="1">F59-E60</f>
        <v>3733.9882956338693</v>
      </c>
      <c r="G60" s="1">
        <v>1</v>
      </c>
      <c r="I60" s="52">
        <v>40724</v>
      </c>
      <c r="K60" s="1">
        <f>K59</f>
        <v>40.779242244914002</v>
      </c>
      <c r="L60" s="1">
        <f>($L$59/12)*N59</f>
        <v>12.364244435090441</v>
      </c>
      <c r="M60" s="1">
        <f>K60-L60</f>
        <v>28.414997809823561</v>
      </c>
      <c r="N60" s="1">
        <f>N59-M60</f>
        <v>2669.2383334826363</v>
      </c>
      <c r="O60" s="1">
        <f>G100+1</f>
        <v>42</v>
      </c>
    </row>
    <row r="61" spans="1:18" x14ac:dyDescent="0.2">
      <c r="A61" s="52">
        <v>39506</v>
      </c>
      <c r="C61" s="1">
        <f>C59</f>
        <v>40.779242244914002</v>
      </c>
      <c r="D61" s="1">
        <f t="shared" ref="D61:D100" si="2">($D$59/12)*F60</f>
        <v>17.114113021655236</v>
      </c>
      <c r="E61" s="1">
        <f t="shared" si="0"/>
        <v>23.665129223258766</v>
      </c>
      <c r="F61" s="1">
        <f t="shared" si="1"/>
        <v>3710.3231664106106</v>
      </c>
      <c r="G61" s="1">
        <f>G60+1</f>
        <v>2</v>
      </c>
      <c r="I61" s="52">
        <v>40755</v>
      </c>
      <c r="K61" s="1">
        <f>K59</f>
        <v>40.779242244914002</v>
      </c>
      <c r="L61" s="1">
        <f t="shared" ref="L61:L78" si="3">($L$59/12)*N60</f>
        <v>12.234009028462083</v>
      </c>
      <c r="M61" s="1">
        <f t="shared" ref="M61:M78" si="4">K61-L61</f>
        <v>28.545233216451919</v>
      </c>
      <c r="N61" s="1">
        <f t="shared" ref="N61:N78" si="5">N60-M61</f>
        <v>2640.6931002661845</v>
      </c>
      <c r="O61" s="1">
        <f>O60+1</f>
        <v>43</v>
      </c>
    </row>
    <row r="62" spans="1:18" x14ac:dyDescent="0.2">
      <c r="A62" s="52">
        <v>39538</v>
      </c>
      <c r="C62" s="1">
        <f>C61</f>
        <v>40.779242244914002</v>
      </c>
      <c r="D62" s="1">
        <f t="shared" si="2"/>
        <v>17.005647846048632</v>
      </c>
      <c r="E62" s="1">
        <f t="shared" si="0"/>
        <v>23.77359439886537</v>
      </c>
      <c r="F62" s="1">
        <f t="shared" si="1"/>
        <v>3686.5495720117451</v>
      </c>
      <c r="G62" s="1">
        <f>G61+1</f>
        <v>3</v>
      </c>
      <c r="I62" s="52">
        <v>40786</v>
      </c>
      <c r="K62" s="1">
        <f t="shared" ref="K62:K77" si="6">K61</f>
        <v>40.779242244914002</v>
      </c>
      <c r="L62" s="1">
        <f t="shared" si="3"/>
        <v>12.103176709553345</v>
      </c>
      <c r="M62" s="1">
        <f t="shared" si="4"/>
        <v>28.676065535360657</v>
      </c>
      <c r="N62" s="1">
        <f t="shared" si="5"/>
        <v>2612.017034730824</v>
      </c>
      <c r="O62" s="1">
        <f t="shared" ref="O62:O78" si="7">O61+1</f>
        <v>44</v>
      </c>
    </row>
    <row r="63" spans="1:18" x14ac:dyDescent="0.2">
      <c r="A63" s="52">
        <v>39568</v>
      </c>
      <c r="C63" s="1">
        <f>C62</f>
        <v>40.779242244914002</v>
      </c>
      <c r="D63" s="1">
        <f t="shared" si="2"/>
        <v>16.896685538387164</v>
      </c>
      <c r="E63" s="1">
        <f t="shared" si="0"/>
        <v>23.882556706526838</v>
      </c>
      <c r="F63" s="1">
        <f t="shared" si="1"/>
        <v>3662.6670153052182</v>
      </c>
      <c r="G63" s="1">
        <f t="shared" ref="G63:G100" si="8">G62+1</f>
        <v>4</v>
      </c>
      <c r="I63" s="52">
        <v>40816</v>
      </c>
      <c r="K63" s="1">
        <f t="shared" si="6"/>
        <v>40.779242244914002</v>
      </c>
      <c r="L63" s="1">
        <f t="shared" si="3"/>
        <v>11.971744742516277</v>
      </c>
      <c r="M63" s="1">
        <f t="shared" si="4"/>
        <v>28.807497502397723</v>
      </c>
      <c r="N63" s="1">
        <f t="shared" si="5"/>
        <v>2583.2095372284261</v>
      </c>
      <c r="O63" s="1">
        <f t="shared" si="7"/>
        <v>45</v>
      </c>
    </row>
    <row r="64" spans="1:18" x14ac:dyDescent="0.2">
      <c r="A64" s="52">
        <v>39599</v>
      </c>
      <c r="C64" s="1">
        <f>C63</f>
        <v>40.779242244914002</v>
      </c>
      <c r="D64" s="1">
        <f t="shared" si="2"/>
        <v>16.787223820148917</v>
      </c>
      <c r="E64" s="1">
        <f t="shared" si="0"/>
        <v>23.992018424765085</v>
      </c>
      <c r="F64" s="1">
        <f t="shared" si="1"/>
        <v>3638.6749968804534</v>
      </c>
      <c r="G64" s="1">
        <f t="shared" si="8"/>
        <v>5</v>
      </c>
      <c r="I64" s="52">
        <v>40847</v>
      </c>
      <c r="K64" s="1">
        <f t="shared" si="6"/>
        <v>40.779242244914002</v>
      </c>
      <c r="L64" s="1">
        <f t="shared" si="3"/>
        <v>11.83971037896362</v>
      </c>
      <c r="M64" s="1">
        <f t="shared" si="4"/>
        <v>28.939531865950382</v>
      </c>
      <c r="N64" s="1">
        <f t="shared" si="5"/>
        <v>2554.2700053624758</v>
      </c>
      <c r="O64" s="1">
        <f t="shared" si="7"/>
        <v>46</v>
      </c>
    </row>
    <row r="65" spans="1:15" x14ac:dyDescent="0.2">
      <c r="A65" s="52">
        <v>39629</v>
      </c>
      <c r="C65" s="1">
        <f>C64</f>
        <v>40.779242244914002</v>
      </c>
      <c r="D65" s="1">
        <f t="shared" si="2"/>
        <v>16.677260402368745</v>
      </c>
      <c r="E65" s="1">
        <f t="shared" si="0"/>
        <v>24.101981842545257</v>
      </c>
      <c r="F65" s="1">
        <f t="shared" si="1"/>
        <v>3614.5730150379081</v>
      </c>
      <c r="G65" s="1">
        <f t="shared" si="8"/>
        <v>6</v>
      </c>
      <c r="I65" s="52">
        <v>40877</v>
      </c>
      <c r="K65" s="1">
        <f t="shared" si="6"/>
        <v>40.779242244914002</v>
      </c>
      <c r="L65" s="1">
        <f t="shared" si="3"/>
        <v>11.707070857911347</v>
      </c>
      <c r="M65" s="1">
        <f t="shared" si="4"/>
        <v>29.072171387002655</v>
      </c>
      <c r="N65" s="1">
        <f t="shared" si="5"/>
        <v>2525.1978339754733</v>
      </c>
      <c r="O65" s="1">
        <f t="shared" si="7"/>
        <v>47</v>
      </c>
    </row>
    <row r="66" spans="1:15" x14ac:dyDescent="0.2">
      <c r="A66" s="52">
        <v>39660</v>
      </c>
      <c r="C66" s="1">
        <f>C65</f>
        <v>40.779242244914002</v>
      </c>
      <c r="D66" s="1">
        <f t="shared" si="2"/>
        <v>16.566792985590414</v>
      </c>
      <c r="E66" s="1">
        <f t="shared" si="0"/>
        <v>24.212449259323588</v>
      </c>
      <c r="F66" s="1">
        <f t="shared" si="1"/>
        <v>3590.3605657785847</v>
      </c>
      <c r="G66" s="1">
        <f t="shared" si="8"/>
        <v>7</v>
      </c>
      <c r="I66" s="69">
        <v>40908</v>
      </c>
      <c r="J66" s="21"/>
      <c r="K66" s="21">
        <f t="shared" si="6"/>
        <v>40.779242244914002</v>
      </c>
      <c r="L66" s="21">
        <f t="shared" si="3"/>
        <v>11.573823405720919</v>
      </c>
      <c r="M66" s="21">
        <f t="shared" si="4"/>
        <v>29.205418839193083</v>
      </c>
      <c r="N66" s="21">
        <f t="shared" si="5"/>
        <v>2495.9924151362802</v>
      </c>
      <c r="O66" s="21">
        <f t="shared" si="7"/>
        <v>48</v>
      </c>
    </row>
    <row r="67" spans="1:15" x14ac:dyDescent="0.2">
      <c r="A67" s="52">
        <v>39691</v>
      </c>
      <c r="C67" s="1">
        <f t="shared" ref="C67:C100" si="9">C66</f>
        <v>40.779242244914002</v>
      </c>
      <c r="D67" s="1">
        <f t="shared" si="2"/>
        <v>16.455819259818515</v>
      </c>
      <c r="E67" s="1">
        <f t="shared" si="0"/>
        <v>24.323422985095487</v>
      </c>
      <c r="F67" s="1">
        <f t="shared" si="1"/>
        <v>3566.0371427934892</v>
      </c>
      <c r="G67" s="1">
        <f t="shared" si="8"/>
        <v>8</v>
      </c>
      <c r="I67" s="52">
        <v>40939</v>
      </c>
      <c r="K67" s="1">
        <f t="shared" si="6"/>
        <v>40.779242244914002</v>
      </c>
      <c r="L67" s="1">
        <f t="shared" si="3"/>
        <v>11.439965236041285</v>
      </c>
      <c r="M67" s="1">
        <f t="shared" si="4"/>
        <v>29.339277008872717</v>
      </c>
      <c r="N67" s="1">
        <f t="shared" si="5"/>
        <v>2466.6531381274076</v>
      </c>
      <c r="O67" s="1">
        <f t="shared" si="7"/>
        <v>49</v>
      </c>
    </row>
    <row r="68" spans="1:15" x14ac:dyDescent="0.2">
      <c r="A68" s="52">
        <v>39721</v>
      </c>
      <c r="C68" s="1">
        <f t="shared" si="9"/>
        <v>40.779242244914002</v>
      </c>
      <c r="D68" s="1">
        <f t="shared" si="2"/>
        <v>16.344336904470158</v>
      </c>
      <c r="E68" s="1">
        <f t="shared" si="0"/>
        <v>24.434905340443844</v>
      </c>
      <c r="F68" s="1">
        <f t="shared" si="1"/>
        <v>3541.6022374530453</v>
      </c>
      <c r="G68" s="1">
        <f t="shared" si="8"/>
        <v>9</v>
      </c>
      <c r="I68" s="52">
        <v>40967</v>
      </c>
      <c r="K68" s="1">
        <f t="shared" si="6"/>
        <v>40.779242244914002</v>
      </c>
      <c r="L68" s="1">
        <f t="shared" si="3"/>
        <v>11.305493549750619</v>
      </c>
      <c r="M68" s="1">
        <f t="shared" si="4"/>
        <v>29.473748695163383</v>
      </c>
      <c r="N68" s="1">
        <f t="shared" si="5"/>
        <v>2437.1793894322441</v>
      </c>
      <c r="O68" s="1">
        <f t="shared" si="7"/>
        <v>50</v>
      </c>
    </row>
    <row r="69" spans="1:15" x14ac:dyDescent="0.2">
      <c r="A69" s="52">
        <v>39752</v>
      </c>
      <c r="C69" s="1">
        <f t="shared" si="9"/>
        <v>40.779242244914002</v>
      </c>
      <c r="D69" s="1">
        <f t="shared" si="2"/>
        <v>16.232343588326458</v>
      </c>
      <c r="E69" s="1">
        <f t="shared" si="0"/>
        <v>24.546898656587544</v>
      </c>
      <c r="F69" s="1">
        <f t="shared" si="1"/>
        <v>3517.0553387964578</v>
      </c>
      <c r="G69" s="1">
        <f t="shared" si="8"/>
        <v>10</v>
      </c>
      <c r="I69" s="52">
        <v>40999</v>
      </c>
      <c r="K69" s="1">
        <f t="shared" si="6"/>
        <v>40.779242244914002</v>
      </c>
      <c r="L69" s="1">
        <f t="shared" si="3"/>
        <v>11.170405534897785</v>
      </c>
      <c r="M69" s="1">
        <f t="shared" si="4"/>
        <v>29.608836710016217</v>
      </c>
      <c r="N69" s="1">
        <f t="shared" si="5"/>
        <v>2407.5705527222281</v>
      </c>
      <c r="O69" s="1">
        <f t="shared" si="7"/>
        <v>51</v>
      </c>
    </row>
    <row r="70" spans="1:15" x14ac:dyDescent="0.2">
      <c r="A70" s="52">
        <v>39782</v>
      </c>
      <c r="C70" s="1">
        <f t="shared" si="9"/>
        <v>40.779242244914002</v>
      </c>
      <c r="D70" s="1">
        <f t="shared" si="2"/>
        <v>16.119836969483764</v>
      </c>
      <c r="E70" s="1">
        <f t="shared" si="0"/>
        <v>24.659405275430238</v>
      </c>
      <c r="F70" s="1">
        <f t="shared" si="1"/>
        <v>3492.3959335210275</v>
      </c>
      <c r="G70" s="1">
        <f t="shared" si="8"/>
        <v>11</v>
      </c>
      <c r="I70" s="52">
        <v>41029</v>
      </c>
      <c r="K70" s="1">
        <f t="shared" si="6"/>
        <v>40.779242244914002</v>
      </c>
      <c r="L70" s="1">
        <f t="shared" si="3"/>
        <v>11.034698366643545</v>
      </c>
      <c r="M70" s="1">
        <f t="shared" si="4"/>
        <v>29.744543878270456</v>
      </c>
      <c r="N70" s="1">
        <f t="shared" si="5"/>
        <v>2377.8260088439574</v>
      </c>
      <c r="O70" s="1">
        <f t="shared" si="7"/>
        <v>52</v>
      </c>
    </row>
    <row r="71" spans="1:15" x14ac:dyDescent="0.2">
      <c r="A71" s="69">
        <v>39813</v>
      </c>
      <c r="B71" s="21"/>
      <c r="C71" s="21">
        <f t="shared" si="9"/>
        <v>40.779242244914002</v>
      </c>
      <c r="D71" s="21">
        <f t="shared" si="2"/>
        <v>16.006814695304708</v>
      </c>
      <c r="E71" s="21">
        <f t="shared" si="0"/>
        <v>24.772427549609294</v>
      </c>
      <c r="F71" s="21">
        <f t="shared" si="1"/>
        <v>3467.6235059714181</v>
      </c>
      <c r="G71" s="21">
        <f t="shared" si="8"/>
        <v>12</v>
      </c>
      <c r="I71" s="52">
        <v>41060</v>
      </c>
      <c r="K71" s="1">
        <f t="shared" si="6"/>
        <v>40.779242244914002</v>
      </c>
      <c r="L71" s="1">
        <f t="shared" si="3"/>
        <v>10.898369207201471</v>
      </c>
      <c r="M71" s="1">
        <f t="shared" si="4"/>
        <v>29.880873037712533</v>
      </c>
      <c r="N71" s="1">
        <f t="shared" si="5"/>
        <v>2347.9451358062447</v>
      </c>
      <c r="O71" s="1">
        <f t="shared" si="7"/>
        <v>53</v>
      </c>
    </row>
    <row r="72" spans="1:15" x14ac:dyDescent="0.2">
      <c r="A72" s="52">
        <v>39844</v>
      </c>
      <c r="C72" s="1">
        <f t="shared" si="9"/>
        <v>40.779242244914002</v>
      </c>
      <c r="D72" s="1">
        <f t="shared" si="2"/>
        <v>15.893274402369</v>
      </c>
      <c r="E72" s="1">
        <f t="shared" si="0"/>
        <v>24.885967842545</v>
      </c>
      <c r="F72" s="1">
        <f t="shared" si="1"/>
        <v>3442.737538128873</v>
      </c>
      <c r="G72" s="1">
        <f t="shared" si="8"/>
        <v>13</v>
      </c>
      <c r="I72" s="52">
        <v>41090</v>
      </c>
      <c r="K72" s="1">
        <f t="shared" si="6"/>
        <v>40.779242244914002</v>
      </c>
      <c r="L72" s="1">
        <f t="shared" si="3"/>
        <v>10.761415205778622</v>
      </c>
      <c r="M72" s="1">
        <f t="shared" si="4"/>
        <v>30.01782703913538</v>
      </c>
      <c r="N72" s="1">
        <f t="shared" si="5"/>
        <v>2317.9273087671095</v>
      </c>
      <c r="O72" s="1">
        <f t="shared" si="7"/>
        <v>54</v>
      </c>
    </row>
    <row r="73" spans="1:15" x14ac:dyDescent="0.2">
      <c r="A73" s="52">
        <v>39872</v>
      </c>
      <c r="C73" s="1">
        <f t="shared" si="9"/>
        <v>40.779242244914002</v>
      </c>
      <c r="D73" s="1">
        <f t="shared" si="2"/>
        <v>15.779213716424001</v>
      </c>
      <c r="E73" s="1">
        <f t="shared" si="0"/>
        <v>25.000028528489999</v>
      </c>
      <c r="F73" s="1">
        <f t="shared" si="1"/>
        <v>3417.737509600383</v>
      </c>
      <c r="G73" s="1">
        <f t="shared" si="8"/>
        <v>14</v>
      </c>
      <c r="I73" s="52">
        <v>41121</v>
      </c>
      <c r="K73" s="1">
        <f t="shared" si="6"/>
        <v>40.779242244914002</v>
      </c>
      <c r="L73" s="1">
        <f t="shared" si="3"/>
        <v>10.623833498515918</v>
      </c>
      <c r="M73" s="1">
        <f t="shared" si="4"/>
        <v>30.155408746398084</v>
      </c>
      <c r="N73" s="1">
        <f t="shared" si="5"/>
        <v>2287.7719000207112</v>
      </c>
      <c r="O73" s="1">
        <f t="shared" si="7"/>
        <v>55</v>
      </c>
    </row>
    <row r="74" spans="1:15" x14ac:dyDescent="0.2">
      <c r="A74" s="52">
        <v>39903</v>
      </c>
      <c r="C74" s="1">
        <f t="shared" si="9"/>
        <v>40.779242244914002</v>
      </c>
      <c r="D74" s="1">
        <f t="shared" si="2"/>
        <v>15.664630252335089</v>
      </c>
      <c r="E74" s="1">
        <f t="shared" si="0"/>
        <v>25.114611992578915</v>
      </c>
      <c r="F74" s="1">
        <f t="shared" si="1"/>
        <v>3392.6228976078041</v>
      </c>
      <c r="G74" s="1">
        <f t="shared" si="8"/>
        <v>15</v>
      </c>
      <c r="I74" s="52">
        <v>41152</v>
      </c>
      <c r="K74" s="1">
        <f t="shared" si="6"/>
        <v>40.779242244914002</v>
      </c>
      <c r="L74" s="1">
        <f t="shared" si="3"/>
        <v>10.48562120842826</v>
      </c>
      <c r="M74" s="1">
        <f t="shared" si="4"/>
        <v>30.293621036485742</v>
      </c>
      <c r="N74" s="1">
        <f t="shared" si="5"/>
        <v>2257.4782789842257</v>
      </c>
      <c r="O74" s="1">
        <f t="shared" si="7"/>
        <v>56</v>
      </c>
    </row>
    <row r="75" spans="1:15" x14ac:dyDescent="0.2">
      <c r="A75" s="52">
        <v>39933</v>
      </c>
      <c r="C75" s="1">
        <f t="shared" si="9"/>
        <v>40.779242244914002</v>
      </c>
      <c r="D75" s="1">
        <f t="shared" si="2"/>
        <v>15.549521614035768</v>
      </c>
      <c r="E75" s="1">
        <f t="shared" si="0"/>
        <v>25.229720630878234</v>
      </c>
      <c r="F75" s="1">
        <f t="shared" si="1"/>
        <v>3367.393176976926</v>
      </c>
      <c r="G75" s="1">
        <f t="shared" si="8"/>
        <v>16</v>
      </c>
      <c r="I75" s="52">
        <v>41182</v>
      </c>
      <c r="K75" s="1">
        <f t="shared" si="6"/>
        <v>40.779242244914002</v>
      </c>
      <c r="L75" s="1">
        <f t="shared" si="3"/>
        <v>10.346775445344367</v>
      </c>
      <c r="M75" s="1">
        <f t="shared" si="4"/>
        <v>30.432466799569635</v>
      </c>
      <c r="N75" s="1">
        <f t="shared" si="5"/>
        <v>2227.0458121846559</v>
      </c>
      <c r="O75" s="1">
        <f t="shared" si="7"/>
        <v>57</v>
      </c>
    </row>
    <row r="76" spans="1:15" x14ac:dyDescent="0.2">
      <c r="A76" s="52">
        <v>39964</v>
      </c>
      <c r="C76" s="1">
        <f t="shared" si="9"/>
        <v>40.779242244914002</v>
      </c>
      <c r="D76" s="1">
        <f t="shared" si="2"/>
        <v>15.433885394477578</v>
      </c>
      <c r="E76" s="1">
        <f t="shared" si="0"/>
        <v>25.345356850436424</v>
      </c>
      <c r="F76" s="1">
        <f t="shared" si="1"/>
        <v>3342.0478201264896</v>
      </c>
      <c r="G76" s="1">
        <f t="shared" si="8"/>
        <v>17</v>
      </c>
      <c r="I76" s="52">
        <v>41213</v>
      </c>
      <c r="K76" s="1">
        <f t="shared" si="6"/>
        <v>40.779242244914002</v>
      </c>
      <c r="L76" s="1">
        <f t="shared" si="3"/>
        <v>10.20729330584634</v>
      </c>
      <c r="M76" s="1">
        <f t="shared" si="4"/>
        <v>30.57194893906766</v>
      </c>
      <c r="N76" s="1">
        <f t="shared" si="5"/>
        <v>2196.4738632455883</v>
      </c>
      <c r="O76" s="1">
        <f t="shared" si="7"/>
        <v>58</v>
      </c>
    </row>
    <row r="77" spans="1:15" x14ac:dyDescent="0.2">
      <c r="A77" s="52">
        <v>39994</v>
      </c>
      <c r="C77" s="1">
        <f t="shared" si="9"/>
        <v>40.779242244914002</v>
      </c>
      <c r="D77" s="1">
        <f t="shared" si="2"/>
        <v>15.317719175579743</v>
      </c>
      <c r="E77" s="1">
        <f t="shared" si="0"/>
        <v>25.461523069334259</v>
      </c>
      <c r="F77" s="1">
        <f t="shared" si="1"/>
        <v>3316.5862970571552</v>
      </c>
      <c r="G77" s="1">
        <f t="shared" si="8"/>
        <v>18</v>
      </c>
      <c r="I77" s="52">
        <v>41243</v>
      </c>
      <c r="K77" s="1">
        <f t="shared" si="6"/>
        <v>40.779242244914002</v>
      </c>
      <c r="L77" s="1">
        <f t="shared" si="3"/>
        <v>10.067171873208947</v>
      </c>
      <c r="M77" s="1">
        <f t="shared" si="4"/>
        <v>30.712070371705053</v>
      </c>
      <c r="N77" s="1">
        <f t="shared" si="5"/>
        <v>2165.7617928738832</v>
      </c>
      <c r="O77" s="1">
        <f t="shared" si="7"/>
        <v>59</v>
      </c>
    </row>
    <row r="78" spans="1:15" x14ac:dyDescent="0.2">
      <c r="A78" s="52">
        <v>40025</v>
      </c>
      <c r="C78" s="1">
        <f t="shared" si="9"/>
        <v>40.779242244914002</v>
      </c>
      <c r="D78" s="1">
        <f t="shared" si="2"/>
        <v>15.201020528178628</v>
      </c>
      <c r="E78" s="1">
        <f t="shared" si="0"/>
        <v>25.578221716735374</v>
      </c>
      <c r="F78" s="1">
        <f t="shared" si="1"/>
        <v>3291.00807534042</v>
      </c>
      <c r="G78" s="1">
        <f t="shared" si="8"/>
        <v>19</v>
      </c>
      <c r="I78" s="53">
        <v>41274</v>
      </c>
      <c r="J78" s="54"/>
      <c r="K78" s="1">
        <f>N77+L78</f>
        <v>2175.6882010912218</v>
      </c>
      <c r="L78" s="1">
        <f t="shared" si="3"/>
        <v>9.926408217338631</v>
      </c>
      <c r="M78" s="1">
        <f t="shared" si="4"/>
        <v>2165.7617928738832</v>
      </c>
      <c r="N78" s="1">
        <f t="shared" si="5"/>
        <v>0</v>
      </c>
      <c r="O78" s="54">
        <f t="shared" si="7"/>
        <v>60</v>
      </c>
    </row>
    <row r="79" spans="1:15" x14ac:dyDescent="0.2">
      <c r="A79" s="52">
        <v>40056</v>
      </c>
      <c r="C79" s="1">
        <f t="shared" si="9"/>
        <v>40.779242244914002</v>
      </c>
      <c r="D79" s="1">
        <f t="shared" si="2"/>
        <v>15.083787011976925</v>
      </c>
      <c r="E79" s="1">
        <f t="shared" si="0"/>
        <v>25.695455232937078</v>
      </c>
      <c r="F79" s="1">
        <f t="shared" si="1"/>
        <v>3265.3126201074829</v>
      </c>
      <c r="G79" s="1">
        <f t="shared" si="8"/>
        <v>20</v>
      </c>
      <c r="I79" s="52"/>
    </row>
    <row r="80" spans="1:15" x14ac:dyDescent="0.2">
      <c r="A80" s="52">
        <v>40086</v>
      </c>
      <c r="C80" s="1">
        <f t="shared" si="9"/>
        <v>40.779242244914002</v>
      </c>
      <c r="D80" s="1">
        <f t="shared" si="2"/>
        <v>14.96601617549263</v>
      </c>
      <c r="E80" s="1">
        <f t="shared" si="0"/>
        <v>25.813226069421372</v>
      </c>
      <c r="F80" s="1">
        <f t="shared" si="1"/>
        <v>3239.4993940380614</v>
      </c>
      <c r="G80" s="1">
        <f t="shared" si="8"/>
        <v>21</v>
      </c>
      <c r="I80" s="52"/>
    </row>
    <row r="81" spans="1:9" x14ac:dyDescent="0.2">
      <c r="A81" s="52">
        <v>40117</v>
      </c>
      <c r="C81" s="1">
        <f t="shared" si="9"/>
        <v>40.779242244914002</v>
      </c>
      <c r="D81" s="1">
        <f t="shared" si="2"/>
        <v>14.847705556007782</v>
      </c>
      <c r="E81" s="1">
        <f t="shared" si="0"/>
        <v>25.93153668890622</v>
      </c>
      <c r="F81" s="1">
        <f t="shared" si="1"/>
        <v>3213.567857349155</v>
      </c>
      <c r="G81" s="1">
        <f t="shared" si="8"/>
        <v>22</v>
      </c>
      <c r="I81" s="52"/>
    </row>
    <row r="82" spans="1:9" x14ac:dyDescent="0.2">
      <c r="A82" s="52">
        <v>40147</v>
      </c>
      <c r="C82" s="1">
        <f t="shared" si="9"/>
        <v>40.779242244914002</v>
      </c>
      <c r="D82" s="1">
        <f t="shared" si="2"/>
        <v>14.72885267951696</v>
      </c>
      <c r="E82" s="1">
        <f t="shared" si="0"/>
        <v>26.05038956539704</v>
      </c>
      <c r="F82" s="1">
        <f t="shared" si="1"/>
        <v>3187.5174677837581</v>
      </c>
      <c r="G82" s="1">
        <f t="shared" si="8"/>
        <v>23</v>
      </c>
      <c r="I82" s="52"/>
    </row>
    <row r="83" spans="1:9" x14ac:dyDescent="0.2">
      <c r="A83" s="69">
        <v>40178</v>
      </c>
      <c r="B83" s="21"/>
      <c r="C83" s="21">
        <f t="shared" si="9"/>
        <v>40.779242244914002</v>
      </c>
      <c r="D83" s="21">
        <f t="shared" si="2"/>
        <v>14.609455060675558</v>
      </c>
      <c r="E83" s="21">
        <f t="shared" si="0"/>
        <v>26.169787184238444</v>
      </c>
      <c r="F83" s="21">
        <f t="shared" si="1"/>
        <v>3161.3476805995197</v>
      </c>
      <c r="G83" s="21">
        <f t="shared" si="8"/>
        <v>24</v>
      </c>
      <c r="I83" s="52"/>
    </row>
    <row r="84" spans="1:9" x14ac:dyDescent="0.2">
      <c r="A84" s="52">
        <v>40209</v>
      </c>
      <c r="C84" s="1">
        <f t="shared" si="9"/>
        <v>40.779242244914002</v>
      </c>
      <c r="D84" s="1">
        <f t="shared" si="2"/>
        <v>14.489510202747798</v>
      </c>
      <c r="E84" s="1">
        <f t="shared" si="0"/>
        <v>26.289732042166204</v>
      </c>
      <c r="F84" s="1">
        <f t="shared" si="1"/>
        <v>3135.0579485573535</v>
      </c>
      <c r="G84" s="1">
        <f t="shared" si="8"/>
        <v>25</v>
      </c>
      <c r="I84" s="52"/>
    </row>
    <row r="85" spans="1:9" x14ac:dyDescent="0.2">
      <c r="A85" s="52">
        <v>40237</v>
      </c>
      <c r="C85" s="1">
        <f t="shared" si="9"/>
        <v>40.779242244914002</v>
      </c>
      <c r="D85" s="1">
        <f t="shared" si="2"/>
        <v>14.369015597554537</v>
      </c>
      <c r="E85" s="1">
        <f t="shared" si="0"/>
        <v>26.410226647359465</v>
      </c>
      <c r="F85" s="1">
        <f t="shared" si="1"/>
        <v>3108.6477219099938</v>
      </c>
      <c r="G85" s="1">
        <f t="shared" si="8"/>
        <v>26</v>
      </c>
      <c r="I85" s="52"/>
    </row>
    <row r="86" spans="1:9" x14ac:dyDescent="0.2">
      <c r="A86" s="52">
        <v>40268</v>
      </c>
      <c r="C86" s="1">
        <f t="shared" si="9"/>
        <v>40.779242244914002</v>
      </c>
      <c r="D86" s="1">
        <f t="shared" si="2"/>
        <v>14.247968725420805</v>
      </c>
      <c r="E86" s="1">
        <f t="shared" si="0"/>
        <v>26.531273519493197</v>
      </c>
      <c r="F86" s="1">
        <f t="shared" si="1"/>
        <v>3082.1164483905004</v>
      </c>
      <c r="G86" s="1">
        <f t="shared" si="8"/>
        <v>27</v>
      </c>
      <c r="I86" s="52"/>
    </row>
    <row r="87" spans="1:9" x14ac:dyDescent="0.2">
      <c r="A87" s="52">
        <v>40298</v>
      </c>
      <c r="C87" s="1">
        <f t="shared" si="9"/>
        <v>40.779242244914002</v>
      </c>
      <c r="D87" s="1">
        <f t="shared" si="2"/>
        <v>14.126367055123128</v>
      </c>
      <c r="E87" s="1">
        <f t="shared" si="0"/>
        <v>26.652875189790876</v>
      </c>
      <c r="F87" s="1">
        <f t="shared" si="1"/>
        <v>3055.4635732007096</v>
      </c>
      <c r="G87" s="1">
        <f t="shared" si="8"/>
        <v>28</v>
      </c>
      <c r="I87" s="52"/>
    </row>
    <row r="88" spans="1:9" x14ac:dyDescent="0.2">
      <c r="A88" s="52">
        <v>40329</v>
      </c>
      <c r="C88" s="1">
        <f t="shared" si="9"/>
        <v>40.779242244914002</v>
      </c>
      <c r="D88" s="1">
        <f t="shared" si="2"/>
        <v>14.004208043836586</v>
      </c>
      <c r="E88" s="1">
        <f t="shared" si="0"/>
        <v>26.775034201077418</v>
      </c>
      <c r="F88" s="1">
        <f t="shared" si="1"/>
        <v>3028.6885389996323</v>
      </c>
      <c r="G88" s="1">
        <f t="shared" si="8"/>
        <v>29</v>
      </c>
      <c r="I88" s="52"/>
    </row>
    <row r="89" spans="1:9" x14ac:dyDescent="0.2">
      <c r="A89" s="52">
        <v>40359</v>
      </c>
      <c r="C89" s="1">
        <f t="shared" si="9"/>
        <v>40.779242244914002</v>
      </c>
      <c r="D89" s="1">
        <f t="shared" si="2"/>
        <v>13.881489137081648</v>
      </c>
      <c r="E89" s="1">
        <f t="shared" si="0"/>
        <v>26.897753107832354</v>
      </c>
      <c r="F89" s="1">
        <f t="shared" si="1"/>
        <v>3001.7907858918002</v>
      </c>
      <c r="G89" s="1">
        <f t="shared" si="8"/>
        <v>30</v>
      </c>
      <c r="I89" s="52"/>
    </row>
    <row r="90" spans="1:9" x14ac:dyDescent="0.2">
      <c r="A90" s="52">
        <v>40390</v>
      </c>
      <c r="C90" s="1">
        <f t="shared" si="9"/>
        <v>40.779242244914002</v>
      </c>
      <c r="D90" s="1">
        <f t="shared" si="2"/>
        <v>13.758207768670751</v>
      </c>
      <c r="E90" s="1">
        <f t="shared" si="0"/>
        <v>27.021034476243251</v>
      </c>
      <c r="F90" s="1">
        <f t="shared" si="1"/>
        <v>2974.769751415557</v>
      </c>
      <c r="G90" s="1">
        <f t="shared" si="8"/>
        <v>31</v>
      </c>
      <c r="I90" s="52"/>
    </row>
    <row r="91" spans="1:9" x14ac:dyDescent="0.2">
      <c r="A91" s="52">
        <v>40421</v>
      </c>
      <c r="C91" s="1">
        <f t="shared" si="9"/>
        <v>40.779242244914002</v>
      </c>
      <c r="D91" s="1">
        <f t="shared" si="2"/>
        <v>13.634361360654637</v>
      </c>
      <c r="E91" s="1">
        <f t="shared" si="0"/>
        <v>27.144880884259365</v>
      </c>
      <c r="F91" s="1">
        <f t="shared" si="1"/>
        <v>2947.6248705312978</v>
      </c>
      <c r="G91" s="1">
        <f t="shared" si="8"/>
        <v>32</v>
      </c>
      <c r="I91" s="52"/>
    </row>
    <row r="92" spans="1:9" x14ac:dyDescent="0.2">
      <c r="A92" s="52">
        <v>40451</v>
      </c>
      <c r="C92" s="1">
        <f t="shared" si="9"/>
        <v>40.779242244914002</v>
      </c>
      <c r="D92" s="1">
        <f t="shared" si="2"/>
        <v>13.509947323268449</v>
      </c>
      <c r="E92" s="1">
        <f t="shared" si="0"/>
        <v>27.269294921645553</v>
      </c>
      <c r="F92" s="1">
        <f t="shared" si="1"/>
        <v>2920.3555756096521</v>
      </c>
      <c r="G92" s="1">
        <f t="shared" si="8"/>
        <v>33</v>
      </c>
      <c r="I92" s="52"/>
    </row>
    <row r="93" spans="1:9" x14ac:dyDescent="0.2">
      <c r="A93" s="52">
        <v>40482</v>
      </c>
      <c r="C93" s="1">
        <f t="shared" si="9"/>
        <v>40.779242244914002</v>
      </c>
      <c r="D93" s="1">
        <f t="shared" si="2"/>
        <v>13.384963054877572</v>
      </c>
      <c r="E93" s="1">
        <f t="shared" si="0"/>
        <v>27.394279190036428</v>
      </c>
      <c r="F93" s="1">
        <f t="shared" si="1"/>
        <v>2892.9612964196158</v>
      </c>
      <c r="G93" s="1">
        <f t="shared" si="8"/>
        <v>34</v>
      </c>
      <c r="I93" s="52"/>
    </row>
    <row r="94" spans="1:9" x14ac:dyDescent="0.2">
      <c r="A94" s="52">
        <v>40512</v>
      </c>
      <c r="C94" s="1">
        <f t="shared" si="9"/>
        <v>40.779242244914002</v>
      </c>
      <c r="D94" s="1">
        <f t="shared" si="2"/>
        <v>13.259405941923239</v>
      </c>
      <c r="E94" s="1">
        <f t="shared" si="0"/>
        <v>27.519836302990761</v>
      </c>
      <c r="F94" s="1">
        <f t="shared" si="1"/>
        <v>2865.441460116625</v>
      </c>
      <c r="G94" s="1">
        <f t="shared" si="8"/>
        <v>35</v>
      </c>
      <c r="I94" s="52"/>
    </row>
    <row r="95" spans="1:9" x14ac:dyDescent="0.2">
      <c r="A95" s="69">
        <v>40543</v>
      </c>
      <c r="B95" s="21"/>
      <c r="C95" s="21">
        <f t="shared" si="9"/>
        <v>40.779242244914002</v>
      </c>
      <c r="D95" s="21">
        <f t="shared" si="2"/>
        <v>13.133273358867864</v>
      </c>
      <c r="E95" s="21">
        <f t="shared" si="0"/>
        <v>27.645968886046138</v>
      </c>
      <c r="F95" s="21">
        <f t="shared" si="1"/>
        <v>2837.795491230579</v>
      </c>
      <c r="G95" s="21">
        <f t="shared" si="8"/>
        <v>36</v>
      </c>
      <c r="I95" s="52"/>
    </row>
    <row r="96" spans="1:9" x14ac:dyDescent="0.2">
      <c r="A96" s="52">
        <v>40574</v>
      </c>
      <c r="C96" s="1">
        <f t="shared" si="9"/>
        <v>40.779242244914002</v>
      </c>
      <c r="D96" s="1">
        <f t="shared" si="2"/>
        <v>13.006562668140154</v>
      </c>
      <c r="E96" s="1">
        <f t="shared" si="0"/>
        <v>27.772679576773847</v>
      </c>
      <c r="F96" s="1">
        <f t="shared" si="1"/>
        <v>2810.0228116538051</v>
      </c>
      <c r="G96" s="1">
        <f t="shared" si="8"/>
        <v>37</v>
      </c>
      <c r="I96" s="52"/>
    </row>
    <row r="97" spans="1:18" x14ac:dyDescent="0.2">
      <c r="A97" s="52">
        <v>40602</v>
      </c>
      <c r="C97" s="1">
        <f t="shared" si="9"/>
        <v>40.779242244914002</v>
      </c>
      <c r="D97" s="1">
        <f t="shared" si="2"/>
        <v>12.879271220079939</v>
      </c>
      <c r="E97" s="1">
        <f t="shared" si="0"/>
        <v>27.899971024834063</v>
      </c>
      <c r="F97" s="1">
        <f t="shared" si="1"/>
        <v>2782.1228406289711</v>
      </c>
      <c r="G97" s="1">
        <f t="shared" si="8"/>
        <v>38</v>
      </c>
      <c r="I97" s="52"/>
    </row>
    <row r="98" spans="1:18" x14ac:dyDescent="0.2">
      <c r="A98" s="52">
        <v>40633</v>
      </c>
      <c r="C98" s="1">
        <f t="shared" si="9"/>
        <v>40.779242244914002</v>
      </c>
      <c r="D98" s="1">
        <f t="shared" si="2"/>
        <v>12.751396352882784</v>
      </c>
      <c r="E98" s="1">
        <f t="shared" si="0"/>
        <v>28.027845892031216</v>
      </c>
      <c r="F98" s="1">
        <f t="shared" si="1"/>
        <v>2754.09499473694</v>
      </c>
      <c r="G98" s="1">
        <f t="shared" si="8"/>
        <v>39</v>
      </c>
      <c r="I98" s="52"/>
    </row>
    <row r="99" spans="1:18" x14ac:dyDescent="0.2">
      <c r="A99" s="52">
        <v>40663</v>
      </c>
      <c r="C99" s="1">
        <f t="shared" si="9"/>
        <v>40.779242244914002</v>
      </c>
      <c r="D99" s="1">
        <f t="shared" si="2"/>
        <v>12.622935392544308</v>
      </c>
      <c r="E99" s="1">
        <f t="shared" si="0"/>
        <v>28.156306852369696</v>
      </c>
      <c r="F99" s="1">
        <f t="shared" si="1"/>
        <v>2725.9386878845703</v>
      </c>
      <c r="G99" s="1">
        <f t="shared" si="8"/>
        <v>40</v>
      </c>
      <c r="I99" s="52"/>
    </row>
    <row r="100" spans="1:18" x14ac:dyDescent="0.2">
      <c r="A100" s="52">
        <v>40694</v>
      </c>
      <c r="C100" s="1">
        <f t="shared" si="9"/>
        <v>40.779242244914002</v>
      </c>
      <c r="D100" s="1">
        <f t="shared" si="2"/>
        <v>12.493885652804281</v>
      </c>
      <c r="E100" s="1">
        <f t="shared" si="0"/>
        <v>28.285356592109721</v>
      </c>
      <c r="F100" s="1">
        <f t="shared" si="1"/>
        <v>2697.6533312924607</v>
      </c>
      <c r="G100" s="1">
        <f t="shared" si="8"/>
        <v>41</v>
      </c>
      <c r="I100" s="52"/>
    </row>
    <row r="102" spans="1:18" ht="15.6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9" t="str">
        <f>$C$9</f>
        <v>Harvard Business Publishing</v>
      </c>
    </row>
    <row r="104" spans="1:18" ht="11.25" customHeight="1" x14ac:dyDescent="0.2"/>
    <row r="153" spans="1:18" ht="15.6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9" t="str">
        <f>$C$9</f>
        <v>Harvard Business Publishing</v>
      </c>
    </row>
  </sheetData>
  <pageMargins left="0.5" right="0.5" top="0.7" bottom="0.3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2"/>
  <sheetViews>
    <sheetView showGridLines="0" tabSelected="1" topLeftCell="A52" workbookViewId="0">
      <selection activeCell="A54" sqref="A54"/>
    </sheetView>
  </sheetViews>
  <sheetFormatPr defaultColWidth="9.33203125" defaultRowHeight="10.199999999999999" x14ac:dyDescent="0.2"/>
  <cols>
    <col min="1" max="3" width="9.33203125" style="40"/>
    <col min="4" max="6" width="12.83203125" style="40" customWidth="1"/>
    <col min="7" max="7" width="10.83203125" style="40" bestFit="1" customWidth="1"/>
    <col min="8" max="8" width="11.1640625" style="45" bestFit="1" customWidth="1"/>
    <col min="9" max="9" width="9.33203125" style="40"/>
    <col min="10" max="10" width="10.83203125" style="40" customWidth="1"/>
    <col min="11" max="11" width="9.83203125" style="40" bestFit="1" customWidth="1"/>
    <col min="12" max="17" width="9.33203125" style="40"/>
    <col min="18" max="18" width="1.83203125" style="40" customWidth="1"/>
    <col min="19" max="16384" width="9.33203125" style="40"/>
  </cols>
  <sheetData>
    <row r="1" spans="1:18" s="41" customFormat="1" ht="17.399999999999999" hidden="1" x14ac:dyDescent="0.3">
      <c r="A1" s="2" t="str">
        <f>$C$6</f>
        <v>AIRTHREAD ACQUISITION</v>
      </c>
      <c r="B1" s="2"/>
      <c r="C1" s="2"/>
      <c r="D1" s="2"/>
      <c r="E1" s="2"/>
      <c r="F1" s="2"/>
      <c r="G1" s="2"/>
      <c r="H1" s="2"/>
      <c r="I1" s="2" t="str">
        <f>IF($C$8="Y","Draft","")</f>
        <v/>
      </c>
      <c r="J1" s="2"/>
      <c r="K1" s="2"/>
      <c r="L1" s="2"/>
      <c r="M1" s="2"/>
      <c r="N1" s="2"/>
      <c r="O1" s="2"/>
      <c r="P1" s="2"/>
      <c r="Q1" s="2"/>
      <c r="R1" s="5" t="str">
        <f>$C$7</f>
        <v>Wireless Comparables</v>
      </c>
    </row>
    <row r="2" spans="1:18" s="42" customFormat="1" ht="2.1" hidden="1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"/>
    </row>
    <row r="3" spans="1:18" s="43" customFormat="1" ht="15.6" hidden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7"/>
    </row>
    <row r="4" spans="1:18" hidden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idden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idden="1" x14ac:dyDescent="0.2">
      <c r="A6" s="1" t="s">
        <v>0</v>
      </c>
      <c r="B6" s="1"/>
      <c r="C6" s="11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idden="1" x14ac:dyDescent="0.2">
      <c r="A7" s="1" t="s">
        <v>1</v>
      </c>
      <c r="B7" s="1"/>
      <c r="C7" s="11" t="s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idden="1" x14ac:dyDescent="0.2">
      <c r="A8" s="1" t="s">
        <v>2</v>
      </c>
      <c r="B8" s="1"/>
      <c r="C8" s="11" t="s">
        <v>137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idden="1" x14ac:dyDescent="0.2">
      <c r="A9" s="1" t="s">
        <v>3</v>
      </c>
      <c r="B9" s="1"/>
      <c r="C9" s="11" t="s">
        <v>138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idden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idden="1" x14ac:dyDescent="0.2">
      <c r="A11" s="1" t="s">
        <v>5</v>
      </c>
      <c r="B11" s="1"/>
      <c r="C11" s="12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idden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idden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idden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idden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idden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idden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idden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idden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idden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idden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idden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idden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idden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idden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idden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idden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idden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idden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idden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idden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idden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idden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s="44" customFormat="1" ht="15.6" hidden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9" t="str">
        <f>$C$9</f>
        <v>Harvard Business Publishing</v>
      </c>
    </row>
    <row r="52" spans="1:18" ht="17.399999999999999" x14ac:dyDescent="0.3">
      <c r="A52" s="2" t="str">
        <f>$C$6</f>
        <v>AIRTHREAD ACQUISITION</v>
      </c>
      <c r="B52" s="2"/>
      <c r="C52" s="2"/>
      <c r="D52" s="2"/>
      <c r="E52" s="2"/>
      <c r="F52" s="2"/>
      <c r="G52" s="2"/>
      <c r="H52" s="2"/>
      <c r="I52" s="2" t="str">
        <f>IF($C$8="Y","Draft","")</f>
        <v/>
      </c>
      <c r="J52" s="2"/>
      <c r="K52" s="2"/>
      <c r="L52" s="2"/>
      <c r="M52" s="2"/>
      <c r="N52" s="2"/>
      <c r="O52" s="2"/>
      <c r="P52" s="2"/>
      <c r="Q52" s="2"/>
      <c r="R52" s="5" t="str">
        <f>$C$7</f>
        <v>Wireless Comparables</v>
      </c>
    </row>
    <row r="53" spans="1:18" ht="2.1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/>
    </row>
    <row r="54" spans="1:18" ht="15.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7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"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"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"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"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"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">
      <c r="B64" s="1"/>
      <c r="C64" s="5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">
      <c r="A65" s="1"/>
      <c r="B65" s="1"/>
      <c r="C65" s="5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">
      <c r="A66" s="1"/>
      <c r="B66" s="1"/>
      <c r="C66" s="5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">
      <c r="A67" s="1"/>
      <c r="B67" s="1"/>
      <c r="C67" s="5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">
      <c r="A68" s="1"/>
      <c r="B68" s="1"/>
      <c r="C68" s="5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">
      <c r="A69" s="1"/>
      <c r="B69" s="1"/>
      <c r="C69" s="5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">
      <c r="A70" s="1"/>
      <c r="B70" s="1"/>
      <c r="C70" s="55"/>
      <c r="D70" s="1"/>
      <c r="E70" s="1"/>
      <c r="F70" s="1"/>
      <c r="G70" s="1"/>
      <c r="H70" s="1"/>
      <c r="I70" s="1"/>
      <c r="J70" s="1"/>
      <c r="K70" s="1"/>
      <c r="L70" s="1"/>
      <c r="O70" s="1"/>
      <c r="P70" s="1"/>
      <c r="Q70" s="1"/>
      <c r="R70" s="1"/>
    </row>
    <row r="71" spans="1:18" x14ac:dyDescent="0.2">
      <c r="A71" s="1"/>
      <c r="B71" s="1"/>
      <c r="C71" s="55"/>
      <c r="D71" s="1"/>
      <c r="E71" s="1"/>
      <c r="F71" s="1"/>
      <c r="G71" s="1"/>
      <c r="H71" s="1"/>
      <c r="I71" s="1"/>
      <c r="J71" s="1"/>
      <c r="K71" s="1"/>
      <c r="L71" s="1"/>
      <c r="O71" s="1"/>
      <c r="P71" s="1"/>
      <c r="Q71" s="1"/>
      <c r="R71" s="1"/>
    </row>
    <row r="72" spans="1:18" x14ac:dyDescent="0.2">
      <c r="A72" s="1"/>
      <c r="C72" s="55"/>
      <c r="D72" s="1"/>
      <c r="E72" s="1"/>
      <c r="F72" s="1"/>
      <c r="G72" s="1"/>
      <c r="H72" s="1"/>
      <c r="I72" s="1"/>
      <c r="J72" s="1"/>
      <c r="K72" s="1"/>
      <c r="L72" s="1"/>
      <c r="O72" s="1"/>
      <c r="P72" s="1"/>
      <c r="Q72" s="1"/>
      <c r="R72" s="1"/>
    </row>
    <row r="73" spans="1:18" x14ac:dyDescent="0.2">
      <c r="A73" s="1"/>
      <c r="C73" s="5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">
      <c r="A74" s="1"/>
      <c r="C74" s="5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">
      <c r="A75" s="1"/>
      <c r="C75" s="5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">
      <c r="A76" s="1"/>
      <c r="C76" s="46"/>
      <c r="K76" s="1"/>
      <c r="L76" s="1"/>
      <c r="M76" s="1"/>
      <c r="N76" s="1"/>
      <c r="O76" s="1"/>
      <c r="P76" s="1"/>
      <c r="Q76" s="1"/>
      <c r="R76" s="1"/>
    </row>
    <row r="77" spans="1:18" x14ac:dyDescent="0.2">
      <c r="A77" s="1"/>
      <c r="F77" s="57" t="s">
        <v>33</v>
      </c>
      <c r="G77" s="58" t="s">
        <v>34</v>
      </c>
      <c r="H77" s="59" t="s">
        <v>121</v>
      </c>
      <c r="I77" s="58" t="s">
        <v>121</v>
      </c>
      <c r="J77" s="58" t="s">
        <v>33</v>
      </c>
      <c r="K77" s="60"/>
      <c r="L77" s="60"/>
      <c r="M77" s="60"/>
      <c r="N77" s="61" t="s">
        <v>34</v>
      </c>
      <c r="O77" s="1"/>
      <c r="P77" s="1"/>
      <c r="Q77" s="1"/>
      <c r="R77" s="1"/>
    </row>
    <row r="78" spans="1:18" ht="12.6" x14ac:dyDescent="0.2">
      <c r="A78" s="1"/>
      <c r="D78" s="56" t="s">
        <v>42</v>
      </c>
      <c r="F78" s="62" t="s">
        <v>35</v>
      </c>
      <c r="G78" s="63" t="s">
        <v>36</v>
      </c>
      <c r="H78" s="64" t="s">
        <v>40</v>
      </c>
      <c r="I78" s="63" t="s">
        <v>33</v>
      </c>
      <c r="J78" s="63" t="s">
        <v>139</v>
      </c>
      <c r="K78" s="23" t="s">
        <v>9</v>
      </c>
      <c r="L78" s="23" t="s">
        <v>38</v>
      </c>
      <c r="M78" s="23" t="s">
        <v>39</v>
      </c>
      <c r="N78" s="24" t="s">
        <v>37</v>
      </c>
      <c r="O78" s="1"/>
      <c r="P78" s="1"/>
      <c r="Q78" s="1"/>
      <c r="R78" s="1"/>
    </row>
    <row r="79" spans="1:18" x14ac:dyDescent="0.2">
      <c r="A79" s="1"/>
      <c r="B79" s="1"/>
      <c r="D79" s="55" t="s">
        <v>116</v>
      </c>
      <c r="F79" s="45">
        <v>118496.867</v>
      </c>
      <c r="G79" s="45">
        <v>69130</v>
      </c>
      <c r="H79" s="66">
        <v>0.368444035256422</v>
      </c>
      <c r="I79" s="66">
        <v>0.58339095159368204</v>
      </c>
      <c r="J79" s="65">
        <v>0.86</v>
      </c>
      <c r="K79" s="1">
        <v>43882</v>
      </c>
      <c r="L79" s="1">
        <v>11795</v>
      </c>
      <c r="M79" s="1">
        <v>16949</v>
      </c>
      <c r="N79" s="1">
        <v>3794</v>
      </c>
      <c r="O79" s="1"/>
      <c r="P79" s="1"/>
      <c r="Q79" s="1"/>
      <c r="R79" s="1"/>
    </row>
    <row r="80" spans="1:18" x14ac:dyDescent="0.2">
      <c r="A80" s="1"/>
      <c r="D80" s="1" t="s">
        <v>117</v>
      </c>
      <c r="F80" s="45">
        <v>189469.94865000001</v>
      </c>
      <c r="G80" s="45">
        <v>79351.251000000004</v>
      </c>
      <c r="H80" s="66">
        <v>0.29518226651511797</v>
      </c>
      <c r="I80" s="66">
        <v>0.41880652612928299</v>
      </c>
      <c r="J80" s="65">
        <v>0.89</v>
      </c>
      <c r="K80" s="1">
        <v>42684</v>
      </c>
      <c r="L80" s="1">
        <v>7020</v>
      </c>
      <c r="M80" s="1">
        <v>14099</v>
      </c>
      <c r="N80" s="1">
        <v>4102.8</v>
      </c>
      <c r="O80" s="1"/>
      <c r="P80" s="1"/>
      <c r="Q80" s="1"/>
      <c r="R80" s="1"/>
    </row>
    <row r="81" spans="1:18" x14ac:dyDescent="0.2">
      <c r="A81" s="1"/>
      <c r="B81" s="1"/>
      <c r="C81" s="1"/>
      <c r="D81" s="1" t="s">
        <v>118</v>
      </c>
      <c r="F81" s="45">
        <v>21078.873</v>
      </c>
      <c r="G81" s="45">
        <v>5080.0083930000001</v>
      </c>
      <c r="H81" s="66">
        <v>0.1941982272361</v>
      </c>
      <c r="I81" s="66">
        <v>0.24099999999999999</v>
      </c>
      <c r="J81" s="65">
        <v>1.17</v>
      </c>
      <c r="K81" s="1">
        <v>34698</v>
      </c>
      <c r="L81" s="1">
        <v>1631.2201851851801</v>
      </c>
      <c r="M81" s="1">
        <v>9914</v>
      </c>
      <c r="N81" s="1">
        <v>-29.742000000000601</v>
      </c>
      <c r="O81" s="1"/>
      <c r="P81" s="1"/>
      <c r="Q81" s="1"/>
      <c r="R81" s="1"/>
    </row>
    <row r="82" spans="1:18" x14ac:dyDescent="0.2">
      <c r="A82" s="1"/>
      <c r="B82" s="1"/>
      <c r="C82" s="1"/>
      <c r="D82" s="55" t="s">
        <v>119</v>
      </c>
      <c r="F82" s="45">
        <v>26285.354630999998</v>
      </c>
      <c r="G82" s="45">
        <v>8335.0859534900992</v>
      </c>
      <c r="H82" s="66">
        <v>0.24075620681800899</v>
      </c>
      <c r="I82" s="66">
        <v>0.31709999999999999</v>
      </c>
      <c r="J82" s="65">
        <v>0.97</v>
      </c>
      <c r="K82" s="1">
        <v>38896.457999999999</v>
      </c>
      <c r="L82" s="1">
        <v>6701.8597134000001</v>
      </c>
      <c r="M82" s="1">
        <v>12614.121329400001</v>
      </c>
      <c r="N82" s="1">
        <v>3383.9918459999999</v>
      </c>
      <c r="O82" s="1"/>
      <c r="P82" s="1"/>
      <c r="Q82" s="1"/>
      <c r="R82" s="1"/>
    </row>
    <row r="83" spans="1:18" x14ac:dyDescent="0.2">
      <c r="A83" s="1"/>
      <c r="B83" s="1"/>
      <c r="C83" s="1"/>
      <c r="D83" s="1" t="s">
        <v>120</v>
      </c>
      <c r="F83" s="45">
        <v>7359.8992966799997</v>
      </c>
      <c r="G83" s="45">
        <v>3267.7952877259199</v>
      </c>
      <c r="H83" s="67">
        <v>0.30747922437673098</v>
      </c>
      <c r="I83" s="67">
        <v>0.44399999999999901</v>
      </c>
      <c r="J83" s="68">
        <v>1.1299999999999999</v>
      </c>
      <c r="K83" s="1">
        <v>4063.5189999999998</v>
      </c>
      <c r="L83" s="1">
        <v>510.05290488000003</v>
      </c>
      <c r="M83" s="1">
        <v>1028.4766589000001</v>
      </c>
      <c r="N83" s="1">
        <v>239.74762100000001</v>
      </c>
      <c r="O83" s="1"/>
      <c r="P83" s="1"/>
      <c r="Q83" s="1"/>
      <c r="R83" s="1"/>
    </row>
    <row r="84" spans="1:18" x14ac:dyDescent="0.2">
      <c r="A84" s="1"/>
      <c r="B84" s="1"/>
      <c r="C84" s="1"/>
      <c r="D84" s="1" t="s">
        <v>41</v>
      </c>
      <c r="E84" s="1"/>
      <c r="F84" s="1"/>
      <c r="G84" s="1"/>
      <c r="H84" s="19">
        <f>AVERAGE(H79:H83)</f>
        <v>0.28121199204047598</v>
      </c>
      <c r="I84" s="19">
        <f>AVERAGE(I79:I83)</f>
        <v>0.40085949554459283</v>
      </c>
      <c r="J84" s="20">
        <f>AVERAGE(J79:J83)</f>
        <v>1.004</v>
      </c>
      <c r="K84" s="1"/>
      <c r="L84" s="1"/>
      <c r="M84" s="1"/>
      <c r="N84" s="1"/>
      <c r="O84" s="1"/>
      <c r="P84" s="1"/>
      <c r="Q84" s="1"/>
      <c r="R84" s="1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">
      <c r="A86" s="1"/>
      <c r="B86" s="1"/>
      <c r="C86" s="1"/>
      <c r="D86" s="1" t="s">
        <v>140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">
      <c r="A87" s="1"/>
      <c r="B87" s="1"/>
      <c r="C87" s="1"/>
      <c r="D87" s="1" t="s">
        <v>141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">
      <c r="A96" s="1"/>
      <c r="B96" s="1"/>
      <c r="C96" s="1"/>
      <c r="D96" s="1"/>
      <c r="E96" s="1"/>
      <c r="F96" s="1"/>
      <c r="G96" s="1"/>
      <c r="H96" s="70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6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9" t="str">
        <f>$C$9</f>
        <v>Harvard Business Publishing</v>
      </c>
    </row>
  </sheetData>
  <pageMargins left="0.5" right="0.5" top="0.7" bottom="0.3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Exhibit 1</vt:lpstr>
      <vt:lpstr>Exhibit 2</vt:lpstr>
      <vt:lpstr>Exhibit 3</vt:lpstr>
      <vt:lpstr>Exhibit 4</vt:lpstr>
      <vt:lpstr>Exhibit 5</vt:lpstr>
      <vt:lpstr>Exhibit 6</vt:lpstr>
      <vt:lpstr>Exhibit 7</vt:lpstr>
      <vt:lpstr>atc_hist_inc</vt:lpstr>
      <vt:lpstr>atc_size</vt:lpstr>
      <vt:lpstr>'Exhibit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timothee bronner</cp:lastModifiedBy>
  <cp:lastPrinted>2011-11-10T14:57:59Z</cp:lastPrinted>
  <dcterms:created xsi:type="dcterms:W3CDTF">2009-01-26T21:38:58Z</dcterms:created>
  <dcterms:modified xsi:type="dcterms:W3CDTF">2018-12-04T14:21:29Z</dcterms:modified>
</cp:coreProperties>
</file>