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2"/>
  </bookViews>
  <sheets>
    <sheet name="Sheet1" sheetId="5" r:id="rId1"/>
    <sheet name="Summary" sheetId="4" r:id="rId2"/>
    <sheet name="Flights" sheetId="1" r:id="rId3"/>
    <sheet name="Lyft" sheetId="2" r:id="rId4"/>
    <sheet name="Constants" sheetId="3" r:id="rId5"/>
  </sheets>
  <definedNames>
    <definedName name="___thinkcellUJUQAAAAAAAAAAYAAAADIOSVBH754M2IVSBY3IBBOOVUE" localSheetId="0" hidden="1">Sheet1!$A$2:$B$6</definedName>
    <definedName name="___thinkcellUJUQAAAAAAAAAAYAAAALE2QTRT6QM6KJTYN2DON4WJRE6" localSheetId="0" hidden="1">Sheet1!$D$3:$E$8</definedName>
  </definedNames>
  <calcPr calcId="152511"/>
</workbook>
</file>

<file path=xl/calcChain.xml><?xml version="1.0" encoding="utf-8"?>
<calcChain xmlns="http://schemas.openxmlformats.org/spreadsheetml/2006/main">
  <c r="C20" i="4" l="1"/>
  <c r="F2" i="2"/>
  <c r="F1" i="2"/>
  <c r="C19" i="4"/>
  <c r="K2" i="1"/>
  <c r="G43" i="1"/>
  <c r="H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  <c r="G38" i="1"/>
  <c r="H38" i="1"/>
  <c r="G39" i="1"/>
  <c r="H39" i="1"/>
  <c r="G40" i="1"/>
  <c r="H40" i="1"/>
  <c r="G41" i="1"/>
  <c r="H41" i="1"/>
  <c r="G42" i="1"/>
  <c r="H42" i="1"/>
  <c r="G37" i="1"/>
  <c r="H37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H25" i="1"/>
  <c r="G25" i="1"/>
  <c r="E19" i="4"/>
  <c r="E21" i="4" s="1"/>
  <c r="E20" i="4"/>
  <c r="E28" i="4"/>
  <c r="E25" i="4"/>
  <c r="H5" i="4"/>
  <c r="H6" i="4"/>
  <c r="H7" i="4"/>
  <c r="H8" i="4"/>
  <c r="H9" i="4"/>
  <c r="H10" i="4"/>
  <c r="H11" i="4"/>
  <c r="H12" i="4"/>
  <c r="H13" i="4"/>
  <c r="H14" i="4"/>
  <c r="H4" i="4"/>
  <c r="E5" i="4"/>
  <c r="E6" i="4"/>
  <c r="E7" i="4"/>
  <c r="E8" i="4"/>
  <c r="E9" i="4"/>
  <c r="E10" i="4"/>
  <c r="E11" i="4"/>
  <c r="E12" i="4"/>
  <c r="E13" i="4"/>
  <c r="E14" i="4"/>
  <c r="E4" i="4"/>
  <c r="J5" i="3"/>
  <c r="J6" i="3"/>
  <c r="J7" i="3"/>
  <c r="J8" i="3"/>
  <c r="J9" i="3"/>
  <c r="J10" i="3"/>
  <c r="J11" i="3"/>
  <c r="J12" i="3"/>
  <c r="J13" i="3"/>
  <c r="J14" i="3"/>
  <c r="J4" i="3"/>
  <c r="C15" i="3"/>
  <c r="C9" i="3"/>
  <c r="C5" i="3"/>
  <c r="I14" i="3"/>
  <c r="I10" i="3"/>
  <c r="I9" i="3"/>
  <c r="I8" i="3"/>
  <c r="I7" i="3"/>
  <c r="I5" i="3"/>
  <c r="I4" i="3"/>
  <c r="H15" i="4" l="1"/>
  <c r="E15" i="4"/>
  <c r="E30" i="4" s="1"/>
  <c r="K1" i="1" l="1"/>
  <c r="I5" i="4"/>
  <c r="I9" i="4"/>
  <c r="I6" i="4"/>
  <c r="I10" i="4"/>
  <c r="I14" i="4"/>
  <c r="I8" i="4"/>
  <c r="I12" i="4"/>
  <c r="I7" i="4"/>
  <c r="I11" i="4"/>
  <c r="I4" i="4"/>
  <c r="I13" i="4"/>
</calcChain>
</file>

<file path=xl/sharedStrings.xml><?xml version="1.0" encoding="utf-8"?>
<sst xmlns="http://schemas.openxmlformats.org/spreadsheetml/2006/main" count="251" uniqueCount="109">
  <si>
    <t>Ride date</t>
  </si>
  <si>
    <t>Ride distance</t>
  </si>
  <si>
    <t>Total distance (mi)</t>
  </si>
  <si>
    <t>Average mpg</t>
  </si>
  <si>
    <t>Food</t>
  </si>
  <si>
    <t>Chicken</t>
  </si>
  <si>
    <t>Vegetables</t>
  </si>
  <si>
    <t>Pound to kg</t>
  </si>
  <si>
    <t>Liters to gallons</t>
  </si>
  <si>
    <t>Unit conversions</t>
  </si>
  <si>
    <t>Flight date</t>
  </si>
  <si>
    <t>Miles</t>
  </si>
  <si>
    <t>Total miles:</t>
  </si>
  <si>
    <t>Liters per passenger km</t>
  </si>
  <si>
    <t>https://www.eia.gov/environment/emissions/co2_vol_mass.php</t>
  </si>
  <si>
    <t>kg CO2/gallon</t>
  </si>
  <si>
    <t>Transportation</t>
  </si>
  <si>
    <t>kg CO2 per gallon</t>
  </si>
  <si>
    <t>kg CO2/serving</t>
  </si>
  <si>
    <t>kg CO2/ kg food</t>
  </si>
  <si>
    <t>http://www.greeneatz.com/foods-carbon-footprint.html</t>
  </si>
  <si>
    <t>Lamb</t>
  </si>
  <si>
    <t>Beef</t>
  </si>
  <si>
    <t>Cheese</t>
  </si>
  <si>
    <t>Pork</t>
  </si>
  <si>
    <t>Turkey</t>
  </si>
  <si>
    <t>Tuna</t>
  </si>
  <si>
    <t>oz/serving</t>
  </si>
  <si>
    <t>1 egg</t>
  </si>
  <si>
    <t>1 potato</t>
  </si>
  <si>
    <t>Eggs (n)</t>
  </si>
  <si>
    <t>Potato (n)</t>
  </si>
  <si>
    <t>Ounces to pound</t>
  </si>
  <si>
    <t>Calories/serving</t>
  </si>
  <si>
    <t>1/2 cup</t>
  </si>
  <si>
    <t>Servings/week</t>
  </si>
  <si>
    <t>Annual multiplier</t>
  </si>
  <si>
    <t>kg CO2/yr</t>
  </si>
  <si>
    <t>Flights</t>
  </si>
  <si>
    <t>kg CO2/passenger mi</t>
  </si>
  <si>
    <t>Kilometers to miles</t>
  </si>
  <si>
    <t>kg CO2 per mile</t>
  </si>
  <si>
    <t>mi/month</t>
  </si>
  <si>
    <t>Driving</t>
  </si>
  <si>
    <t>Hot water</t>
  </si>
  <si>
    <t>Length (min)</t>
  </si>
  <si>
    <t>Showers/mon</t>
  </si>
  <si>
    <t>N/A</t>
  </si>
  <si>
    <t>Electricity</t>
  </si>
  <si>
    <t>Kwh/month</t>
  </si>
  <si>
    <t>% mix</t>
  </si>
  <si>
    <t>Coal</t>
  </si>
  <si>
    <t>Natural gas</t>
  </si>
  <si>
    <t>Zero</t>
  </si>
  <si>
    <t>Kg CO2/kwH</t>
  </si>
  <si>
    <t>Average -&gt;</t>
  </si>
  <si>
    <t>https://theecoguide.org/have-you-tried-five-minute-shower-challenge</t>
  </si>
  <si>
    <t>Showering</t>
  </si>
  <si>
    <t>kg CO2 per shower minute</t>
  </si>
  <si>
    <t>Food total</t>
  </si>
  <si>
    <t>Transport total</t>
  </si>
  <si>
    <t>Monthly usage</t>
  </si>
  <si>
    <t>kg food/serving</t>
  </si>
  <si>
    <t>Daily calories</t>
  </si>
  <si>
    <t>Grand total</t>
  </si>
  <si>
    <t>&lt;kg CO2 per year</t>
  </si>
  <si>
    <t>% total calories</t>
  </si>
  <si>
    <t>Rice/grain</t>
  </si>
  <si>
    <t>Miles/month</t>
  </si>
  <si>
    <t>Trip</t>
  </si>
  <si>
    <t>SEA-SAN</t>
  </si>
  <si>
    <t>SEA-SJC</t>
  </si>
  <si>
    <t>SJC-SAN</t>
  </si>
  <si>
    <t>SEA-DTW</t>
  </si>
  <si>
    <t>DTW-SBN</t>
  </si>
  <si>
    <t>SBN-MSP</t>
  </si>
  <si>
    <t>SBN-ATL</t>
  </si>
  <si>
    <t>ATL-SAN</t>
  </si>
  <si>
    <t>SEA-SNA</t>
  </si>
  <si>
    <t>SNA-SJC</t>
  </si>
  <si>
    <t>City pair</t>
  </si>
  <si>
    <t>Distance</t>
  </si>
  <si>
    <t>SEA-BOS</t>
  </si>
  <si>
    <t>ORD-BOS</t>
  </si>
  <si>
    <t>reversed -&gt;</t>
  </si>
  <si>
    <t>SAN-DTW</t>
  </si>
  <si>
    <t>SAN-SEA</t>
  </si>
  <si>
    <t>SAN-SJC</t>
  </si>
  <si>
    <t>SJC-SEA</t>
  </si>
  <si>
    <t>BOS-SEA</t>
  </si>
  <si>
    <t>SNA-SEA</t>
  </si>
  <si>
    <t>SNA-ORD</t>
  </si>
  <si>
    <t>Airline</t>
  </si>
  <si>
    <t>Delta</t>
  </si>
  <si>
    <t>Southwest</t>
  </si>
  <si>
    <t>United</t>
  </si>
  <si>
    <t>MSP-SNA</t>
  </si>
  <si>
    <t>SNA-DTW</t>
  </si>
  <si>
    <t>Alaska</t>
  </si>
  <si>
    <t>SJC-SNA</t>
  </si>
  <si>
    <t>JFK-SJC</t>
  </si>
  <si>
    <t>SJC-JFK</t>
  </si>
  <si>
    <t>SEA-SFO</t>
  </si>
  <si>
    <t>SEA-LAX</t>
  </si>
  <si>
    <t>LAX-SEA</t>
  </si>
  <si>
    <t>Flying</t>
  </si>
  <si>
    <t>Hot Water</t>
  </si>
  <si>
    <t>Item</t>
  </si>
  <si>
    <t>Ton CO2/yr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</si>
</sst>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4" fillId="0" borderId="0" xfId="2"/>
    <xf numFmtId="0" fontId="3" fillId="0" borderId="0" xfId="0" applyFont="1" applyBorder="1"/>
    <xf numFmtId="0" fontId="0" fillId="0" borderId="0" xfId="0" applyFill="1" applyBorder="1"/>
    <xf numFmtId="0" fontId="3" fillId="0" borderId="0" xfId="0" applyFont="1"/>
    <xf numFmtId="0" fontId="3" fillId="0" borderId="0" xfId="0" applyFont="1" applyFill="1" applyBorder="1"/>
    <xf numFmtId="9" fontId="0" fillId="0" borderId="0" xfId="0" applyNumberFormat="1"/>
    <xf numFmtId="9" fontId="0" fillId="0" borderId="0" xfId="1" applyFont="1"/>
    <xf numFmtId="14" fontId="0" fillId="0" borderId="0" xfId="0" applyNumberFormat="1"/>
    <xf numFmtId="16" fontId="0" fillId="0" borderId="0" xfId="0" applyNumberFormat="1"/>
    <xf numFmtId="2" fontId="0" fillId="0" borderId="0" xfId="0" applyNumberFormat="1"/>
    <xf numFmtId="1" fontId="2" fillId="0" borderId="0" xfId="0" applyNumberFormat="1" applyFont="1"/>
    <xf numFmtId="1" fontId="3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theecoguide.org/have-you-tried-five-minute-shower-challenge" TargetMode="External"/><Relationship Id="rId2" Type="http://schemas.openxmlformats.org/officeDocument/2006/relationships/hyperlink" Target="http://www.greeneatz.com/foods-carbon-footprint.html" TargetMode="External"/><Relationship Id="rId1" Type="http://schemas.openxmlformats.org/officeDocument/2006/relationships/hyperlink" Target="https://www.eia.gov/environment/emissions/co2_vol_mass.php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topLeftCell="D3" workbookViewId="0">
      <selection activeCell="D3" sqref="D3:E8"/>
    </sheetView>
  </sheetViews>
  <sheetFormatPr defaultRowHeight="14.5" x14ac:dyDescent="0.35"/>
  <cols>
    <col min="5" max="5" width="10.36328125" bestFit="1" customWidth="1"/>
  </cols>
  <sheetData>
    <row r="2" spans="1:5" x14ac:dyDescent="0.35">
      <c r="A2" t="s">
        <v>4</v>
      </c>
      <c r="B2">
        <v>3.1</v>
      </c>
    </row>
    <row r="3" spans="1:5" x14ac:dyDescent="0.35">
      <c r="A3" t="s">
        <v>105</v>
      </c>
      <c r="B3">
        <v>11.7</v>
      </c>
      <c r="D3" t="s">
        <v>107</v>
      </c>
      <c r="E3" t="s">
        <v>108</v>
      </c>
    </row>
    <row r="4" spans="1:5" x14ac:dyDescent="0.35">
      <c r="A4" t="s">
        <v>43</v>
      </c>
      <c r="B4">
        <v>2.6</v>
      </c>
      <c r="D4" t="s">
        <v>4</v>
      </c>
      <c r="E4">
        <v>3.1</v>
      </c>
    </row>
    <row r="5" spans="1:5" x14ac:dyDescent="0.35">
      <c r="A5" t="s">
        <v>48</v>
      </c>
      <c r="B5">
        <v>2.5</v>
      </c>
      <c r="D5" t="s">
        <v>105</v>
      </c>
      <c r="E5">
        <v>11.7</v>
      </c>
    </row>
    <row r="6" spans="1:5" x14ac:dyDescent="0.35">
      <c r="A6" t="s">
        <v>106</v>
      </c>
      <c r="B6">
        <v>0.6</v>
      </c>
      <c r="D6" t="s">
        <v>43</v>
      </c>
      <c r="E6">
        <v>2.6</v>
      </c>
    </row>
    <row r="7" spans="1:5" x14ac:dyDescent="0.35">
      <c r="D7" t="s">
        <v>48</v>
      </c>
      <c r="E7">
        <v>2.5</v>
      </c>
    </row>
    <row r="8" spans="1:5" x14ac:dyDescent="0.35">
      <c r="D8" t="s">
        <v>106</v>
      </c>
      <c r="E8">
        <v>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opLeftCell="A10" workbookViewId="0">
      <selection activeCell="E10" sqref="E10"/>
    </sheetView>
  </sheetViews>
  <sheetFormatPr defaultRowHeight="14.5" x14ac:dyDescent="0.35"/>
  <cols>
    <col min="2" max="2" width="13.54296875" bestFit="1" customWidth="1"/>
    <col min="3" max="3" width="14.36328125" bestFit="1" customWidth="1"/>
    <col min="4" max="4" width="15.26953125" bestFit="1" customWidth="1"/>
    <col min="5" max="5" width="9" bestFit="1" customWidth="1"/>
    <col min="6" max="6" width="15" bestFit="1" customWidth="1"/>
  </cols>
  <sheetData>
    <row r="2" spans="2:9" x14ac:dyDescent="0.35">
      <c r="B2" s="5" t="s">
        <v>4</v>
      </c>
    </row>
    <row r="3" spans="2:9" x14ac:dyDescent="0.35">
      <c r="C3" t="s">
        <v>35</v>
      </c>
      <c r="D3" t="s">
        <v>36</v>
      </c>
      <c r="E3" t="s">
        <v>37</v>
      </c>
      <c r="H3" t="s">
        <v>63</v>
      </c>
      <c r="I3" t="s">
        <v>66</v>
      </c>
    </row>
    <row r="4" spans="2:9" x14ac:dyDescent="0.35">
      <c r="B4" t="s">
        <v>21</v>
      </c>
      <c r="C4">
        <v>0</v>
      </c>
      <c r="D4">
        <v>52</v>
      </c>
      <c r="E4">
        <f>D4*C4*INDEX(Constants!$J$4:$J$14, MATCH(Summary!B4, Constants!$F$4:$F$14, 0))</f>
        <v>0</v>
      </c>
      <c r="H4">
        <f>C4/7*INDEX(Constants!$K$4:$K$14, MATCH(Summary!B4, Constants!$F$4:$F$14, 0))</f>
        <v>0</v>
      </c>
      <c r="I4" s="8">
        <f>H4/$H$15</f>
        <v>0</v>
      </c>
    </row>
    <row r="5" spans="2:9" x14ac:dyDescent="0.35">
      <c r="B5" t="s">
        <v>22</v>
      </c>
      <c r="C5">
        <v>2</v>
      </c>
      <c r="D5">
        <v>52</v>
      </c>
      <c r="E5">
        <f>D5*C5*INDEX(Constants!$J$4:$J$14, MATCH(Summary!B5, Constants!$F$4:$F$14, 0))</f>
        <v>238.34314169307373</v>
      </c>
      <c r="H5">
        <f>C5/7*INDEX(Constants!$K$4:$K$14, MATCH(Summary!B5, Constants!$F$4:$F$14, 0))</f>
        <v>57.142857142857139</v>
      </c>
      <c r="I5" s="8">
        <f t="shared" ref="I5:I14" si="0">H5/$H$15</f>
        <v>2.4067388688327314E-2</v>
      </c>
    </row>
    <row r="6" spans="2:9" x14ac:dyDescent="0.35">
      <c r="B6" t="s">
        <v>23</v>
      </c>
      <c r="C6">
        <v>4</v>
      </c>
      <c r="D6">
        <v>52</v>
      </c>
      <c r="E6">
        <f>D6*C6*INDEX(Constants!$J$4:$J$14, MATCH(Summary!B6, Constants!$F$4:$F$14, 0))</f>
        <v>140.4</v>
      </c>
      <c r="H6">
        <f>C6/7*INDEX(Constants!$K$4:$K$14, MATCH(Summary!B6, Constants!$F$4:$F$14, 0))</f>
        <v>85.714285714285708</v>
      </c>
      <c r="I6" s="8">
        <f t="shared" si="0"/>
        <v>3.6101083032490974E-2</v>
      </c>
    </row>
    <row r="7" spans="2:9" x14ac:dyDescent="0.35">
      <c r="B7" t="s">
        <v>24</v>
      </c>
      <c r="C7">
        <v>2</v>
      </c>
      <c r="D7">
        <v>52</v>
      </c>
      <c r="E7">
        <f>D7*C7*INDEX(Constants!$J$4:$J$14, MATCH(Summary!B7, Constants!$F$4:$F$14, 0))</f>
        <v>106.81303757356268</v>
      </c>
      <c r="H7">
        <f>C7/7*INDEX(Constants!$K$4:$K$14, MATCH(Summary!B7, Constants!$F$4:$F$14, 0))</f>
        <v>57.142857142857139</v>
      </c>
      <c r="I7" s="8">
        <f t="shared" si="0"/>
        <v>2.4067388688327314E-2</v>
      </c>
    </row>
    <row r="8" spans="2:9" x14ac:dyDescent="0.35">
      <c r="B8" t="s">
        <v>25</v>
      </c>
      <c r="C8">
        <v>4</v>
      </c>
      <c r="D8">
        <v>52</v>
      </c>
      <c r="E8">
        <f>D8*C8*INDEX(Constants!$J$4:$J$14, MATCH(Summary!B8, Constants!$F$4:$F$14, 0))</f>
        <v>192.44001810774105</v>
      </c>
      <c r="H8">
        <f>C8/7*INDEX(Constants!$K$4:$K$14, MATCH(Summary!B8, Constants!$F$4:$F$14, 0))</f>
        <v>85.714285714285708</v>
      </c>
      <c r="I8" s="8">
        <f t="shared" si="0"/>
        <v>3.6101083032490974E-2</v>
      </c>
    </row>
    <row r="9" spans="2:9" x14ac:dyDescent="0.35">
      <c r="B9" t="s">
        <v>5</v>
      </c>
      <c r="C9">
        <v>25</v>
      </c>
      <c r="D9">
        <v>52</v>
      </c>
      <c r="E9">
        <f>D9*C9*INDEX(Constants!$J$4:$J$14, MATCH(Summary!B9, Constants!$F$4:$F$14, 0))</f>
        <v>761.37392485287467</v>
      </c>
      <c r="H9">
        <f>C9/7*INDEX(Constants!$K$4:$K$14, MATCH(Summary!B9, Constants!$F$4:$F$14, 0))</f>
        <v>714.28571428571433</v>
      </c>
      <c r="I9" s="8">
        <f t="shared" si="0"/>
        <v>0.30084235860409148</v>
      </c>
    </row>
    <row r="10" spans="2:9" x14ac:dyDescent="0.35">
      <c r="B10" t="s">
        <v>26</v>
      </c>
      <c r="C10">
        <v>2</v>
      </c>
      <c r="D10">
        <v>52</v>
      </c>
      <c r="E10">
        <f>D10*C10*INDEX(Constants!$J$4:$J$14, MATCH(Summary!B10, Constants!$F$4:$F$14, 0))</f>
        <v>53.847894975101852</v>
      </c>
      <c r="H10">
        <f>C10/7*INDEX(Constants!$K$4:$K$14, MATCH(Summary!B10, Constants!$F$4:$F$14, 0))</f>
        <v>20</v>
      </c>
      <c r="I10" s="8">
        <f t="shared" si="0"/>
        <v>8.4235860409145602E-3</v>
      </c>
    </row>
    <row r="11" spans="2:9" x14ac:dyDescent="0.35">
      <c r="B11" t="s">
        <v>30</v>
      </c>
      <c r="C11">
        <v>10</v>
      </c>
      <c r="D11">
        <v>52</v>
      </c>
      <c r="E11">
        <f>D11*C11*INDEX(Constants!$J$4:$J$14, MATCH(Summary!B11, Constants!$F$4:$F$14, 0))</f>
        <v>99.84</v>
      </c>
      <c r="H11">
        <f>C11/7*INDEX(Constants!$K$4:$K$14, MATCH(Summary!B11, Constants!$F$4:$F$14, 0))</f>
        <v>114.28571428571429</v>
      </c>
      <c r="I11" s="8">
        <f t="shared" si="0"/>
        <v>4.8134777376654635E-2</v>
      </c>
    </row>
    <row r="12" spans="2:9" x14ac:dyDescent="0.35">
      <c r="B12" t="s">
        <v>31</v>
      </c>
      <c r="C12">
        <v>1</v>
      </c>
      <c r="D12">
        <v>52</v>
      </c>
      <c r="E12">
        <f>D12*C12*INDEX(Constants!$J$4:$J$14, MATCH(Summary!B12, Constants!$F$4:$F$14, 0))</f>
        <v>30.159999999999997</v>
      </c>
      <c r="H12">
        <f>C12/7*INDEX(Constants!$K$4:$K$14, MATCH(Summary!B12, Constants!$F$4:$F$14, 0))</f>
        <v>25.714285714285712</v>
      </c>
      <c r="I12" s="8">
        <f t="shared" si="0"/>
        <v>1.0830324909747292E-2</v>
      </c>
    </row>
    <row r="13" spans="2:9" x14ac:dyDescent="0.35">
      <c r="B13" t="s">
        <v>67</v>
      </c>
      <c r="C13">
        <v>70</v>
      </c>
      <c r="D13">
        <v>52</v>
      </c>
      <c r="E13">
        <f>D13*C13*INDEX(Constants!$J$4:$J$14, MATCH(Summary!B13, Constants!$F$4:$F$14, 0))</f>
        <v>737.1</v>
      </c>
      <c r="H13">
        <f>C13/7*INDEX(Constants!$K$4:$K$14, MATCH(Summary!B13, Constants!$F$4:$F$14, 0))</f>
        <v>1000</v>
      </c>
      <c r="I13" s="8">
        <f t="shared" si="0"/>
        <v>0.42117930204572807</v>
      </c>
    </row>
    <row r="14" spans="2:9" x14ac:dyDescent="0.35">
      <c r="B14" t="s">
        <v>6</v>
      </c>
      <c r="C14">
        <v>30</v>
      </c>
      <c r="D14">
        <v>52</v>
      </c>
      <c r="E14">
        <f>D14*C14*INDEX(Constants!$J$4:$J$14, MATCH(Summary!B14, Constants!$F$4:$F$14, 0))</f>
        <v>706.20190131281117</v>
      </c>
      <c r="H14">
        <f>C14/7*INDEX(Constants!$K$4:$K$14, MATCH(Summary!B14, Constants!$F$4:$F$14, 0))</f>
        <v>214.28571428571428</v>
      </c>
      <c r="I14" s="8">
        <f t="shared" si="0"/>
        <v>9.0252707581227443E-2</v>
      </c>
    </row>
    <row r="15" spans="2:9" x14ac:dyDescent="0.35">
      <c r="B15" t="s">
        <v>59</v>
      </c>
      <c r="E15" s="12">
        <f>SUM(E4:E14)</f>
        <v>3066.519918515165</v>
      </c>
      <c r="H15">
        <f>SUM(H4:H14)</f>
        <v>2374.2857142857142</v>
      </c>
    </row>
    <row r="17" spans="2:6" x14ac:dyDescent="0.35">
      <c r="B17" s="5" t="s">
        <v>16</v>
      </c>
    </row>
    <row r="18" spans="2:6" x14ac:dyDescent="0.35">
      <c r="C18" t="s">
        <v>42</v>
      </c>
      <c r="D18" t="s">
        <v>36</v>
      </c>
      <c r="E18" t="s">
        <v>37</v>
      </c>
    </row>
    <row r="19" spans="2:6" x14ac:dyDescent="0.35">
      <c r="B19" t="s">
        <v>38</v>
      </c>
      <c r="C19" s="11">
        <f>Flights!K2</f>
        <v>7985.0666666666666</v>
      </c>
      <c r="D19">
        <v>12</v>
      </c>
      <c r="E19">
        <f>D19*C19*Constants!C5</f>
        <v>11702.731190857146</v>
      </c>
    </row>
    <row r="20" spans="2:6" x14ac:dyDescent="0.35">
      <c r="B20" t="s">
        <v>43</v>
      </c>
      <c r="C20">
        <f>Lyft!F2</f>
        <v>725.7</v>
      </c>
      <c r="D20">
        <v>12</v>
      </c>
      <c r="E20">
        <f>D20*C20*Constants!C9</f>
        <v>2580.5892000000003</v>
      </c>
    </row>
    <row r="21" spans="2:6" x14ac:dyDescent="0.35">
      <c r="B21" t="s">
        <v>60</v>
      </c>
      <c r="E21" s="12">
        <f>SUM(E19:E20)</f>
        <v>14283.320390857147</v>
      </c>
    </row>
    <row r="23" spans="2:6" x14ac:dyDescent="0.35">
      <c r="B23" s="5" t="s">
        <v>44</v>
      </c>
      <c r="D23" t="s">
        <v>36</v>
      </c>
    </row>
    <row r="24" spans="2:6" x14ac:dyDescent="0.35">
      <c r="B24" t="s">
        <v>45</v>
      </c>
      <c r="C24">
        <v>8</v>
      </c>
      <c r="D24" t="s">
        <v>47</v>
      </c>
    </row>
    <row r="25" spans="2:6" x14ac:dyDescent="0.35">
      <c r="B25" t="s">
        <v>46</v>
      </c>
      <c r="C25">
        <v>30</v>
      </c>
      <c r="D25">
        <v>12</v>
      </c>
      <c r="E25" s="12">
        <f>C24*C25*D25*Constants!C18</f>
        <v>576</v>
      </c>
    </row>
    <row r="27" spans="2:6" x14ac:dyDescent="0.35">
      <c r="B27" s="5" t="s">
        <v>48</v>
      </c>
      <c r="C27" t="s">
        <v>49</v>
      </c>
      <c r="D27" t="s">
        <v>36</v>
      </c>
    </row>
    <row r="28" spans="2:6" x14ac:dyDescent="0.35">
      <c r="B28" t="s">
        <v>61</v>
      </c>
      <c r="C28">
        <v>400</v>
      </c>
      <c r="D28">
        <v>12</v>
      </c>
      <c r="E28" s="12">
        <f>D28*C28*Constants!C15</f>
        <v>2448</v>
      </c>
    </row>
    <row r="30" spans="2:6" x14ac:dyDescent="0.35">
      <c r="B30" t="s">
        <v>64</v>
      </c>
      <c r="E30" s="13">
        <f>SUM(E28, E25, , E21, E15)</f>
        <v>20373.84030937231</v>
      </c>
      <c r="F30" t="s">
        <v>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workbookViewId="0">
      <selection activeCell="D1" sqref="D1"/>
    </sheetView>
  </sheetViews>
  <sheetFormatPr defaultRowHeight="14.5" x14ac:dyDescent="0.35"/>
  <cols>
    <col min="1" max="1" width="10.453125" bestFit="1" customWidth="1"/>
    <col min="2" max="2" width="10.453125" customWidth="1"/>
    <col min="3" max="3" width="9.453125" customWidth="1"/>
    <col min="5" max="5" width="10.81640625" bestFit="1" customWidth="1"/>
    <col min="6" max="6" width="10.1796875" bestFit="1" customWidth="1"/>
    <col min="7" max="7" width="13.54296875" bestFit="1" customWidth="1"/>
    <col min="8" max="8" width="11.6328125" bestFit="1" customWidth="1"/>
    <col min="10" max="10" width="11.6328125" bestFit="1" customWidth="1"/>
    <col min="11" max="11" width="10.453125" bestFit="1" customWidth="1"/>
  </cols>
  <sheetData>
    <row r="1" spans="1:11" x14ac:dyDescent="0.35">
      <c r="A1" t="s">
        <v>10</v>
      </c>
      <c r="B1" t="s">
        <v>92</v>
      </c>
      <c r="C1" t="s">
        <v>69</v>
      </c>
      <c r="D1" t="s">
        <v>11</v>
      </c>
      <c r="G1" t="s">
        <v>80</v>
      </c>
      <c r="H1" t="s">
        <v>81</v>
      </c>
      <c r="J1" t="s">
        <v>12</v>
      </c>
      <c r="K1">
        <f>SUM(D2:D100)</f>
        <v>59888</v>
      </c>
    </row>
    <row r="2" spans="1:11" x14ac:dyDescent="0.35">
      <c r="A2" s="9">
        <v>43545</v>
      </c>
      <c r="B2" s="9" t="s">
        <v>93</v>
      </c>
      <c r="C2" t="s">
        <v>85</v>
      </c>
      <c r="D2">
        <f>IFERROR(INDEX($H$2:$H$100, MATCH(C2, $G$2:$G$100, 0)), "-")</f>
        <v>1956</v>
      </c>
      <c r="G2" t="s">
        <v>70</v>
      </c>
      <c r="H2">
        <v>1050</v>
      </c>
      <c r="J2" t="s">
        <v>68</v>
      </c>
      <c r="K2" s="11">
        <f>K1/7.5</f>
        <v>7985.0666666666666</v>
      </c>
    </row>
    <row r="3" spans="1:11" x14ac:dyDescent="0.35">
      <c r="A3" s="9">
        <v>43542</v>
      </c>
      <c r="B3" s="9" t="s">
        <v>93</v>
      </c>
      <c r="C3" t="s">
        <v>70</v>
      </c>
      <c r="D3">
        <f t="shared" ref="D3:D65" si="0">IFERROR(INDEX($H$2:$H$100, MATCH(C3, $G$2:$G$100, 0)), "-")</f>
        <v>1050</v>
      </c>
      <c r="G3" t="s">
        <v>71</v>
      </c>
      <c r="H3">
        <v>696</v>
      </c>
    </row>
    <row r="4" spans="1:11" x14ac:dyDescent="0.35">
      <c r="A4" s="9">
        <v>43538</v>
      </c>
      <c r="B4" s="9" t="s">
        <v>93</v>
      </c>
      <c r="C4" t="s">
        <v>86</v>
      </c>
      <c r="D4">
        <f t="shared" si="0"/>
        <v>1050</v>
      </c>
      <c r="G4" t="s">
        <v>72</v>
      </c>
      <c r="H4">
        <v>417</v>
      </c>
    </row>
    <row r="5" spans="1:11" x14ac:dyDescent="0.35">
      <c r="A5" s="9">
        <v>43535</v>
      </c>
      <c r="B5" s="9" t="s">
        <v>93</v>
      </c>
      <c r="C5" t="s">
        <v>70</v>
      </c>
      <c r="D5">
        <f t="shared" si="0"/>
        <v>1050</v>
      </c>
      <c r="G5" t="s">
        <v>73</v>
      </c>
      <c r="H5">
        <v>1927</v>
      </c>
    </row>
    <row r="6" spans="1:11" x14ac:dyDescent="0.35">
      <c r="A6" s="9">
        <v>43531</v>
      </c>
      <c r="B6" s="9" t="s">
        <v>93</v>
      </c>
      <c r="C6" t="s">
        <v>86</v>
      </c>
      <c r="D6">
        <f t="shared" si="0"/>
        <v>1050</v>
      </c>
      <c r="G6" t="s">
        <v>74</v>
      </c>
      <c r="H6">
        <v>157</v>
      </c>
    </row>
    <row r="7" spans="1:11" x14ac:dyDescent="0.35">
      <c r="A7" s="10">
        <v>43524</v>
      </c>
      <c r="B7" s="10" t="s">
        <v>94</v>
      </c>
      <c r="C7" t="s">
        <v>87</v>
      </c>
      <c r="D7">
        <f t="shared" si="0"/>
        <v>417</v>
      </c>
      <c r="G7" t="s">
        <v>75</v>
      </c>
      <c r="H7">
        <v>566</v>
      </c>
    </row>
    <row r="8" spans="1:11" x14ac:dyDescent="0.35">
      <c r="A8" s="9">
        <v>43528</v>
      </c>
      <c r="B8" s="10" t="s">
        <v>94</v>
      </c>
      <c r="C8" t="s">
        <v>72</v>
      </c>
      <c r="D8">
        <f t="shared" si="0"/>
        <v>417</v>
      </c>
      <c r="G8" t="s">
        <v>76</v>
      </c>
      <c r="H8">
        <v>566</v>
      </c>
    </row>
    <row r="9" spans="1:11" x14ac:dyDescent="0.35">
      <c r="A9" s="9">
        <v>43521</v>
      </c>
      <c r="B9" s="9" t="s">
        <v>93</v>
      </c>
      <c r="C9" t="s">
        <v>70</v>
      </c>
      <c r="D9">
        <f t="shared" si="0"/>
        <v>1050</v>
      </c>
      <c r="G9" t="s">
        <v>77</v>
      </c>
      <c r="H9">
        <v>1892</v>
      </c>
    </row>
    <row r="10" spans="1:11" x14ac:dyDescent="0.35">
      <c r="A10" s="9">
        <v>43517</v>
      </c>
      <c r="B10" s="9" t="s">
        <v>93</v>
      </c>
      <c r="C10" t="s">
        <v>86</v>
      </c>
      <c r="D10">
        <f t="shared" si="0"/>
        <v>1050</v>
      </c>
      <c r="G10" t="s">
        <v>78</v>
      </c>
      <c r="H10">
        <v>978</v>
      </c>
    </row>
    <row r="11" spans="1:11" x14ac:dyDescent="0.35">
      <c r="A11" s="9">
        <v>43510</v>
      </c>
      <c r="B11" s="9" t="s">
        <v>93</v>
      </c>
      <c r="C11" t="s">
        <v>85</v>
      </c>
      <c r="D11">
        <f t="shared" si="0"/>
        <v>1956</v>
      </c>
      <c r="G11" t="s">
        <v>79</v>
      </c>
      <c r="H11">
        <v>342</v>
      </c>
    </row>
    <row r="12" spans="1:11" x14ac:dyDescent="0.35">
      <c r="A12" s="9">
        <v>43510</v>
      </c>
      <c r="B12" s="9" t="s">
        <v>93</v>
      </c>
      <c r="C12" t="s">
        <v>74</v>
      </c>
      <c r="D12">
        <f t="shared" si="0"/>
        <v>157</v>
      </c>
      <c r="G12" t="s">
        <v>82</v>
      </c>
      <c r="H12">
        <v>2496</v>
      </c>
    </row>
    <row r="13" spans="1:11" x14ac:dyDescent="0.35">
      <c r="A13" s="9">
        <v>43514</v>
      </c>
      <c r="B13" s="9" t="s">
        <v>93</v>
      </c>
      <c r="C13" t="s">
        <v>76</v>
      </c>
      <c r="D13">
        <f t="shared" si="0"/>
        <v>566</v>
      </c>
      <c r="G13" t="s">
        <v>83</v>
      </c>
      <c r="H13">
        <v>867</v>
      </c>
    </row>
    <row r="14" spans="1:11" x14ac:dyDescent="0.35">
      <c r="A14" s="9">
        <v>43514</v>
      </c>
      <c r="B14" s="9" t="s">
        <v>93</v>
      </c>
      <c r="C14" t="s">
        <v>77</v>
      </c>
      <c r="D14">
        <f t="shared" si="0"/>
        <v>1892</v>
      </c>
      <c r="G14" t="s">
        <v>85</v>
      </c>
      <c r="H14">
        <v>1956</v>
      </c>
    </row>
    <row r="15" spans="1:11" x14ac:dyDescent="0.35">
      <c r="A15" s="9">
        <v>43503</v>
      </c>
      <c r="B15" s="10" t="s">
        <v>94</v>
      </c>
      <c r="C15" t="s">
        <v>87</v>
      </c>
      <c r="D15">
        <f t="shared" si="0"/>
        <v>417</v>
      </c>
      <c r="G15" t="s">
        <v>91</v>
      </c>
      <c r="H15">
        <v>1726</v>
      </c>
    </row>
    <row r="16" spans="1:11" x14ac:dyDescent="0.35">
      <c r="A16" s="9">
        <v>43500</v>
      </c>
      <c r="B16" s="9" t="s">
        <v>93</v>
      </c>
      <c r="C16" t="s">
        <v>70</v>
      </c>
      <c r="D16">
        <f t="shared" si="0"/>
        <v>1050</v>
      </c>
      <c r="G16" t="s">
        <v>96</v>
      </c>
      <c r="H16">
        <v>1522</v>
      </c>
    </row>
    <row r="17" spans="1:8" x14ac:dyDescent="0.35">
      <c r="A17" s="9">
        <v>43507</v>
      </c>
      <c r="B17" s="10" t="s">
        <v>94</v>
      </c>
      <c r="C17" t="s">
        <v>72</v>
      </c>
      <c r="D17">
        <f t="shared" si="0"/>
        <v>417</v>
      </c>
      <c r="G17" t="s">
        <v>97</v>
      </c>
      <c r="H17">
        <v>1960</v>
      </c>
    </row>
    <row r="18" spans="1:8" x14ac:dyDescent="0.35">
      <c r="A18" s="9">
        <v>43486</v>
      </c>
      <c r="B18" s="9" t="s">
        <v>93</v>
      </c>
      <c r="C18" t="s">
        <v>70</v>
      </c>
      <c r="D18">
        <f t="shared" si="0"/>
        <v>1050</v>
      </c>
      <c r="G18" t="s">
        <v>101</v>
      </c>
      <c r="H18">
        <v>2569</v>
      </c>
    </row>
    <row r="19" spans="1:8" x14ac:dyDescent="0.35">
      <c r="A19" s="9">
        <v>43496</v>
      </c>
      <c r="B19" s="9" t="s">
        <v>93</v>
      </c>
      <c r="C19" t="s">
        <v>86</v>
      </c>
      <c r="D19">
        <f t="shared" si="0"/>
        <v>1050</v>
      </c>
      <c r="G19" t="s">
        <v>103</v>
      </c>
      <c r="H19">
        <v>954</v>
      </c>
    </row>
    <row r="20" spans="1:8" x14ac:dyDescent="0.35">
      <c r="A20" s="9">
        <v>43489</v>
      </c>
      <c r="B20" s="10" t="s">
        <v>94</v>
      </c>
      <c r="C20" t="s">
        <v>87</v>
      </c>
      <c r="D20">
        <f t="shared" si="0"/>
        <v>417</v>
      </c>
      <c r="G20" t="s">
        <v>102</v>
      </c>
      <c r="H20">
        <v>679</v>
      </c>
    </row>
    <row r="21" spans="1:8" ht="16.5" customHeight="1" x14ac:dyDescent="0.35">
      <c r="A21" s="9">
        <v>43493</v>
      </c>
      <c r="B21" s="10" t="s">
        <v>94</v>
      </c>
      <c r="C21" t="s">
        <v>72</v>
      </c>
      <c r="D21">
        <f t="shared" si="0"/>
        <v>417</v>
      </c>
    </row>
    <row r="22" spans="1:8" x14ac:dyDescent="0.35">
      <c r="A22" s="9">
        <v>43479</v>
      </c>
      <c r="B22" s="9" t="s">
        <v>93</v>
      </c>
      <c r="C22" t="s">
        <v>70</v>
      </c>
      <c r="D22">
        <f t="shared" si="0"/>
        <v>1050</v>
      </c>
    </row>
    <row r="23" spans="1:8" x14ac:dyDescent="0.35">
      <c r="A23" s="9">
        <v>43482</v>
      </c>
      <c r="B23" s="9" t="s">
        <v>93</v>
      </c>
      <c r="C23" t="s">
        <v>86</v>
      </c>
      <c r="D23">
        <f t="shared" si="0"/>
        <v>1050</v>
      </c>
    </row>
    <row r="24" spans="1:8" x14ac:dyDescent="0.35">
      <c r="A24" s="9">
        <v>43473</v>
      </c>
      <c r="B24" s="9" t="s">
        <v>93</v>
      </c>
      <c r="C24" t="s">
        <v>70</v>
      </c>
      <c r="D24">
        <f t="shared" si="0"/>
        <v>1050</v>
      </c>
    </row>
    <row r="25" spans="1:8" x14ac:dyDescent="0.35">
      <c r="A25" s="9">
        <v>43475</v>
      </c>
      <c r="B25" s="9" t="s">
        <v>93</v>
      </c>
      <c r="C25" t="s">
        <v>86</v>
      </c>
      <c r="D25">
        <f t="shared" si="0"/>
        <v>1050</v>
      </c>
      <c r="F25" t="s">
        <v>84</v>
      </c>
      <c r="G25" t="str">
        <f>RIGHT(G2, 3) &amp;"-"&amp;LEFT(G2, 3)</f>
        <v>SAN-SEA</v>
      </c>
      <c r="H25">
        <f>H2</f>
        <v>1050</v>
      </c>
    </row>
    <row r="26" spans="1:8" x14ac:dyDescent="0.35">
      <c r="A26" s="9">
        <v>43471</v>
      </c>
      <c r="B26" s="9" t="s">
        <v>93</v>
      </c>
      <c r="C26" t="s">
        <v>88</v>
      </c>
      <c r="D26">
        <f t="shared" si="0"/>
        <v>696</v>
      </c>
      <c r="G26" t="str">
        <f>RIGHT(G3, 3) &amp;"-"&amp;LEFT(G3, 3)</f>
        <v>SJC-SEA</v>
      </c>
      <c r="H26">
        <f>H3</f>
        <v>696</v>
      </c>
    </row>
    <row r="27" spans="1:8" x14ac:dyDescent="0.35">
      <c r="A27" s="9">
        <v>43469</v>
      </c>
      <c r="B27" s="9" t="s">
        <v>93</v>
      </c>
      <c r="C27" t="s">
        <v>71</v>
      </c>
      <c r="D27">
        <f t="shared" si="0"/>
        <v>696</v>
      </c>
      <c r="G27" t="str">
        <f>RIGHT(G4, 3) &amp;"-"&amp;LEFT(G4, 3)</f>
        <v>SAN-SJC</v>
      </c>
      <c r="H27">
        <f>H4</f>
        <v>417</v>
      </c>
    </row>
    <row r="28" spans="1:8" x14ac:dyDescent="0.35">
      <c r="A28" s="9">
        <v>43467</v>
      </c>
      <c r="B28" s="9" t="s">
        <v>93</v>
      </c>
      <c r="C28" t="s">
        <v>89</v>
      </c>
      <c r="D28">
        <f t="shared" si="0"/>
        <v>2496</v>
      </c>
      <c r="G28" t="str">
        <f>RIGHT(G5, 3) &amp;"-"&amp;LEFT(G5, 3)</f>
        <v>DTW-SEA</v>
      </c>
      <c r="H28">
        <f>H5</f>
        <v>1927</v>
      </c>
    </row>
    <row r="29" spans="1:8" x14ac:dyDescent="0.35">
      <c r="A29" s="9">
        <v>43827</v>
      </c>
      <c r="B29" s="9" t="s">
        <v>95</v>
      </c>
      <c r="C29" t="s">
        <v>83</v>
      </c>
      <c r="D29">
        <f t="shared" si="0"/>
        <v>867</v>
      </c>
      <c r="G29" t="str">
        <f>RIGHT(G6, 3) &amp;"-"&amp;LEFT(G6, 3)</f>
        <v>SBN-DTW</v>
      </c>
      <c r="H29">
        <f>H6</f>
        <v>157</v>
      </c>
    </row>
    <row r="30" spans="1:8" x14ac:dyDescent="0.35">
      <c r="A30" s="9">
        <v>43819</v>
      </c>
      <c r="B30" s="9" t="s">
        <v>95</v>
      </c>
      <c r="C30" t="s">
        <v>91</v>
      </c>
      <c r="D30">
        <f t="shared" si="0"/>
        <v>1726</v>
      </c>
      <c r="G30" t="str">
        <f>RIGHT(G7, 3) &amp;"-"&amp;LEFT(G7, 3)</f>
        <v>MSP-SBN</v>
      </c>
      <c r="H30">
        <f>H7</f>
        <v>566</v>
      </c>
    </row>
    <row r="31" spans="1:8" x14ac:dyDescent="0.35">
      <c r="A31" s="9">
        <v>43446</v>
      </c>
      <c r="B31" s="9" t="s">
        <v>93</v>
      </c>
      <c r="C31" t="s">
        <v>78</v>
      </c>
      <c r="D31">
        <f t="shared" si="0"/>
        <v>978</v>
      </c>
      <c r="G31" t="str">
        <f>RIGHT(G8, 3) &amp;"-"&amp;LEFT(G8, 3)</f>
        <v>ATL-SBN</v>
      </c>
      <c r="H31">
        <f>H8</f>
        <v>566</v>
      </c>
    </row>
    <row r="32" spans="1:8" x14ac:dyDescent="0.35">
      <c r="A32" s="9">
        <v>43447</v>
      </c>
      <c r="B32" s="9" t="s">
        <v>93</v>
      </c>
      <c r="C32" t="s">
        <v>90</v>
      </c>
      <c r="D32">
        <f t="shared" si="0"/>
        <v>978</v>
      </c>
      <c r="G32" t="str">
        <f>RIGHT(G9, 3) &amp;"-"&amp;LEFT(G9, 3)</f>
        <v>SAN-ATL</v>
      </c>
      <c r="H32">
        <f>H9</f>
        <v>1892</v>
      </c>
    </row>
    <row r="33" spans="1:8" x14ac:dyDescent="0.35">
      <c r="A33" s="9">
        <v>43443</v>
      </c>
      <c r="B33" s="9" t="s">
        <v>93</v>
      </c>
      <c r="C33" t="s">
        <v>78</v>
      </c>
      <c r="D33">
        <f t="shared" si="0"/>
        <v>978</v>
      </c>
      <c r="G33" t="str">
        <f>RIGHT(G10, 3) &amp;"-"&amp;LEFT(G10, 3)</f>
        <v>SNA-SEA</v>
      </c>
      <c r="H33">
        <f>H10</f>
        <v>978</v>
      </c>
    </row>
    <row r="34" spans="1:8" x14ac:dyDescent="0.35">
      <c r="A34" s="9">
        <v>43440</v>
      </c>
      <c r="B34" s="9" t="s">
        <v>93</v>
      </c>
      <c r="C34" t="s">
        <v>90</v>
      </c>
      <c r="D34">
        <f t="shared" si="0"/>
        <v>978</v>
      </c>
      <c r="G34" t="str">
        <f>RIGHT(G11, 3) &amp;"-"&amp;LEFT(G11, 3)</f>
        <v>SJC-SNA</v>
      </c>
      <c r="H34">
        <f>H11</f>
        <v>342</v>
      </c>
    </row>
    <row r="35" spans="1:8" x14ac:dyDescent="0.35">
      <c r="A35" s="9">
        <v>43429</v>
      </c>
      <c r="B35" s="9" t="s">
        <v>93</v>
      </c>
      <c r="C35" t="s">
        <v>75</v>
      </c>
      <c r="D35">
        <f t="shared" si="0"/>
        <v>566</v>
      </c>
      <c r="G35" t="str">
        <f>RIGHT(G12, 3) &amp;"-"&amp;LEFT(G12, 3)</f>
        <v>BOS-SEA</v>
      </c>
      <c r="H35">
        <f>H12</f>
        <v>2496</v>
      </c>
    </row>
    <row r="36" spans="1:8" x14ac:dyDescent="0.35">
      <c r="A36" s="9">
        <v>43429</v>
      </c>
      <c r="B36" s="9" t="s">
        <v>93</v>
      </c>
      <c r="C36" t="s">
        <v>96</v>
      </c>
      <c r="D36">
        <f t="shared" si="0"/>
        <v>1522</v>
      </c>
      <c r="G36" t="str">
        <f>RIGHT(G13, 3) &amp;"-"&amp;LEFT(G13, 3)</f>
        <v>BOS-ORD</v>
      </c>
      <c r="H36">
        <f>H13</f>
        <v>867</v>
      </c>
    </row>
    <row r="37" spans="1:8" x14ac:dyDescent="0.35">
      <c r="A37" s="9">
        <v>43425</v>
      </c>
      <c r="B37" s="9" t="s">
        <v>93</v>
      </c>
      <c r="C37" t="s">
        <v>74</v>
      </c>
      <c r="D37">
        <f t="shared" si="0"/>
        <v>157</v>
      </c>
      <c r="G37" t="str">
        <f>RIGHT(G14, 3) &amp;"-"&amp;LEFT(G14, 3)</f>
        <v>DTW-SAN</v>
      </c>
      <c r="H37">
        <f>H14</f>
        <v>1956</v>
      </c>
    </row>
    <row r="38" spans="1:8" x14ac:dyDescent="0.35">
      <c r="A38" s="9">
        <v>43425</v>
      </c>
      <c r="B38" s="9" t="s">
        <v>93</v>
      </c>
      <c r="C38" t="s">
        <v>97</v>
      </c>
      <c r="D38">
        <f t="shared" si="0"/>
        <v>1960</v>
      </c>
      <c r="G38" t="str">
        <f t="shared" ref="G38:G43" si="1">RIGHT(G15, 3) &amp;"-"&amp;LEFT(G15, 3)</f>
        <v>ORD-SNA</v>
      </c>
      <c r="H38">
        <f t="shared" ref="H38:H43" si="2">H15</f>
        <v>1726</v>
      </c>
    </row>
    <row r="39" spans="1:8" x14ac:dyDescent="0.35">
      <c r="A39" s="9">
        <v>43422</v>
      </c>
      <c r="B39" s="9" t="s">
        <v>98</v>
      </c>
      <c r="C39" t="s">
        <v>99</v>
      </c>
      <c r="D39">
        <f t="shared" si="0"/>
        <v>342</v>
      </c>
      <c r="G39" t="str">
        <f t="shared" si="1"/>
        <v>SNA-MSP</v>
      </c>
      <c r="H39">
        <f t="shared" si="2"/>
        <v>1522</v>
      </c>
    </row>
    <row r="40" spans="1:8" x14ac:dyDescent="0.35">
      <c r="A40" s="9">
        <v>43419</v>
      </c>
      <c r="B40" s="9" t="s">
        <v>98</v>
      </c>
      <c r="C40" t="s">
        <v>79</v>
      </c>
      <c r="D40">
        <f t="shared" si="0"/>
        <v>342</v>
      </c>
      <c r="G40" t="str">
        <f t="shared" si="1"/>
        <v>DTW-SNA</v>
      </c>
      <c r="H40">
        <f t="shared" si="2"/>
        <v>1960</v>
      </c>
    </row>
    <row r="41" spans="1:8" x14ac:dyDescent="0.35">
      <c r="A41" s="9">
        <v>43415</v>
      </c>
      <c r="B41" s="9" t="s">
        <v>93</v>
      </c>
      <c r="C41" t="s">
        <v>78</v>
      </c>
      <c r="D41">
        <f t="shared" si="0"/>
        <v>978</v>
      </c>
      <c r="G41" t="str">
        <f t="shared" si="1"/>
        <v>JFK-SJC</v>
      </c>
      <c r="H41">
        <f t="shared" si="2"/>
        <v>2569</v>
      </c>
    </row>
    <row r="42" spans="1:8" x14ac:dyDescent="0.35">
      <c r="A42" s="9">
        <v>43409</v>
      </c>
      <c r="B42" s="9" t="s">
        <v>93</v>
      </c>
      <c r="C42" t="s">
        <v>88</v>
      </c>
      <c r="D42">
        <f t="shared" si="0"/>
        <v>696</v>
      </c>
      <c r="G42" t="str">
        <f t="shared" si="1"/>
        <v>LAX-SEA</v>
      </c>
      <c r="H42">
        <f t="shared" si="2"/>
        <v>954</v>
      </c>
    </row>
    <row r="43" spans="1:8" x14ac:dyDescent="0.35">
      <c r="A43" s="9">
        <v>43402</v>
      </c>
      <c r="B43" s="9" t="s">
        <v>93</v>
      </c>
      <c r="C43" t="s">
        <v>71</v>
      </c>
      <c r="D43">
        <f t="shared" si="0"/>
        <v>696</v>
      </c>
      <c r="G43" t="str">
        <f t="shared" si="1"/>
        <v>SFO-SEA</v>
      </c>
      <c r="H43">
        <f t="shared" si="2"/>
        <v>679</v>
      </c>
    </row>
    <row r="44" spans="1:8" x14ac:dyDescent="0.35">
      <c r="A44" s="9">
        <v>43394</v>
      </c>
      <c r="B44" s="9" t="s">
        <v>93</v>
      </c>
      <c r="C44" t="s">
        <v>71</v>
      </c>
      <c r="D44">
        <f t="shared" si="0"/>
        <v>696</v>
      </c>
    </row>
    <row r="45" spans="1:8" x14ac:dyDescent="0.35">
      <c r="A45" s="9">
        <v>43398</v>
      </c>
      <c r="B45" s="9" t="s">
        <v>93</v>
      </c>
      <c r="C45" t="s">
        <v>88</v>
      </c>
      <c r="D45">
        <f t="shared" si="0"/>
        <v>696</v>
      </c>
    </row>
    <row r="46" spans="1:8" x14ac:dyDescent="0.35">
      <c r="A46" s="9">
        <v>43391</v>
      </c>
      <c r="B46" s="9" t="s">
        <v>93</v>
      </c>
      <c r="C46" t="s">
        <v>88</v>
      </c>
      <c r="D46">
        <f t="shared" si="0"/>
        <v>696</v>
      </c>
    </row>
    <row r="47" spans="1:8" x14ac:dyDescent="0.35">
      <c r="A47" s="9">
        <v>43388</v>
      </c>
      <c r="B47" s="9" t="s">
        <v>93</v>
      </c>
      <c r="C47" t="s">
        <v>71</v>
      </c>
      <c r="D47">
        <f t="shared" si="0"/>
        <v>696</v>
      </c>
    </row>
    <row r="48" spans="1:8" x14ac:dyDescent="0.35">
      <c r="A48" s="9">
        <v>43373</v>
      </c>
      <c r="B48" s="9" t="s">
        <v>93</v>
      </c>
      <c r="C48" t="s">
        <v>71</v>
      </c>
      <c r="D48">
        <f t="shared" si="0"/>
        <v>696</v>
      </c>
    </row>
    <row r="49" spans="1:4" x14ac:dyDescent="0.35">
      <c r="A49" s="9">
        <v>43384</v>
      </c>
      <c r="B49" s="9" t="s">
        <v>93</v>
      </c>
      <c r="C49" t="s">
        <v>88</v>
      </c>
      <c r="D49">
        <f t="shared" si="0"/>
        <v>696</v>
      </c>
    </row>
    <row r="50" spans="1:4" x14ac:dyDescent="0.35">
      <c r="A50" s="9">
        <v>43370</v>
      </c>
      <c r="B50" s="9" t="s">
        <v>93</v>
      </c>
      <c r="C50" t="s">
        <v>71</v>
      </c>
      <c r="D50">
        <f t="shared" si="0"/>
        <v>696</v>
      </c>
    </row>
    <row r="51" spans="1:4" x14ac:dyDescent="0.35">
      <c r="A51" s="9">
        <v>43366</v>
      </c>
      <c r="B51" s="9" t="s">
        <v>93</v>
      </c>
      <c r="C51" t="s">
        <v>71</v>
      </c>
      <c r="D51">
        <f t="shared" si="0"/>
        <v>696</v>
      </c>
    </row>
    <row r="52" spans="1:4" x14ac:dyDescent="0.35">
      <c r="A52" s="9">
        <v>43357</v>
      </c>
      <c r="B52" s="9" t="s">
        <v>93</v>
      </c>
      <c r="C52" t="s">
        <v>100</v>
      </c>
      <c r="D52">
        <f t="shared" si="0"/>
        <v>2569</v>
      </c>
    </row>
    <row r="53" spans="1:4" x14ac:dyDescent="0.35">
      <c r="A53" s="9">
        <v>43355</v>
      </c>
      <c r="B53" s="9" t="s">
        <v>93</v>
      </c>
      <c r="C53" t="s">
        <v>101</v>
      </c>
      <c r="D53">
        <f t="shared" si="0"/>
        <v>2569</v>
      </c>
    </row>
    <row r="54" spans="1:4" x14ac:dyDescent="0.35">
      <c r="A54" s="9">
        <v>43352</v>
      </c>
      <c r="B54" s="9" t="s">
        <v>93</v>
      </c>
      <c r="C54" t="s">
        <v>71</v>
      </c>
      <c r="D54">
        <f t="shared" si="0"/>
        <v>696</v>
      </c>
    </row>
    <row r="55" spans="1:4" x14ac:dyDescent="0.35">
      <c r="A55" s="9">
        <v>43363</v>
      </c>
      <c r="B55" s="9" t="s">
        <v>93</v>
      </c>
      <c r="C55" t="s">
        <v>88</v>
      </c>
      <c r="D55">
        <f t="shared" si="0"/>
        <v>696</v>
      </c>
    </row>
    <row r="56" spans="1:4" x14ac:dyDescent="0.35">
      <c r="A56" s="9">
        <v>43349</v>
      </c>
      <c r="B56" s="9" t="s">
        <v>93</v>
      </c>
      <c r="C56" t="s">
        <v>88</v>
      </c>
      <c r="D56">
        <f t="shared" si="0"/>
        <v>696</v>
      </c>
    </row>
    <row r="57" spans="1:4" x14ac:dyDescent="0.35">
      <c r="A57" s="9">
        <v>43346</v>
      </c>
      <c r="B57" s="9" t="s">
        <v>93</v>
      </c>
      <c r="C57" t="s">
        <v>71</v>
      </c>
      <c r="D57">
        <f t="shared" si="0"/>
        <v>696</v>
      </c>
    </row>
    <row r="58" spans="1:4" x14ac:dyDescent="0.35">
      <c r="A58" s="9">
        <v>43338</v>
      </c>
      <c r="B58" s="9" t="s">
        <v>93</v>
      </c>
      <c r="C58" t="s">
        <v>71</v>
      </c>
      <c r="D58">
        <f t="shared" si="0"/>
        <v>696</v>
      </c>
    </row>
    <row r="59" spans="1:4" x14ac:dyDescent="0.35">
      <c r="A59" s="9">
        <v>43342</v>
      </c>
      <c r="B59" s="9" t="s">
        <v>93</v>
      </c>
      <c r="C59" t="s">
        <v>88</v>
      </c>
      <c r="D59">
        <f t="shared" si="0"/>
        <v>696</v>
      </c>
    </row>
    <row r="60" spans="1:4" x14ac:dyDescent="0.35">
      <c r="A60" s="9">
        <v>43331</v>
      </c>
      <c r="B60" s="9" t="s">
        <v>93</v>
      </c>
      <c r="C60" t="s">
        <v>102</v>
      </c>
      <c r="D60">
        <f t="shared" si="0"/>
        <v>679</v>
      </c>
    </row>
    <row r="61" spans="1:4" x14ac:dyDescent="0.35">
      <c r="A61" s="9">
        <v>43335</v>
      </c>
      <c r="B61" s="9" t="s">
        <v>93</v>
      </c>
      <c r="C61" t="s">
        <v>88</v>
      </c>
      <c r="D61">
        <f t="shared" si="0"/>
        <v>696</v>
      </c>
    </row>
    <row r="62" spans="1:4" x14ac:dyDescent="0.35">
      <c r="A62" s="9">
        <v>43324</v>
      </c>
      <c r="B62" s="9" t="s">
        <v>93</v>
      </c>
      <c r="C62" t="s">
        <v>71</v>
      </c>
      <c r="D62">
        <f t="shared" si="0"/>
        <v>696</v>
      </c>
    </row>
    <row r="63" spans="1:4" x14ac:dyDescent="0.35">
      <c r="A63" s="9">
        <v>43328</v>
      </c>
      <c r="B63" s="9" t="s">
        <v>93</v>
      </c>
      <c r="C63" t="s">
        <v>88</v>
      </c>
      <c r="D63">
        <f t="shared" si="0"/>
        <v>696</v>
      </c>
    </row>
    <row r="64" spans="1:4" x14ac:dyDescent="0.35">
      <c r="A64" s="9">
        <v>43312</v>
      </c>
      <c r="B64" s="9" t="s">
        <v>93</v>
      </c>
      <c r="C64" t="s">
        <v>103</v>
      </c>
      <c r="D64">
        <f t="shared" si="0"/>
        <v>954</v>
      </c>
    </row>
    <row r="65" spans="1:4" x14ac:dyDescent="0.35">
      <c r="A65" s="9">
        <v>43322</v>
      </c>
      <c r="B65" s="9" t="s">
        <v>93</v>
      </c>
      <c r="C65" t="s">
        <v>104</v>
      </c>
      <c r="D65">
        <f t="shared" si="0"/>
        <v>954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2" sqref="F2"/>
    </sheetView>
  </sheetViews>
  <sheetFormatPr defaultRowHeight="14.5" x14ac:dyDescent="0.35"/>
  <cols>
    <col min="1" max="1" width="9.453125" bestFit="1" customWidth="1"/>
    <col min="2" max="2" width="11.81640625" bestFit="1" customWidth="1"/>
  </cols>
  <sheetData>
    <row r="1" spans="1:6" x14ac:dyDescent="0.35">
      <c r="A1" t="s">
        <v>0</v>
      </c>
      <c r="B1" t="s">
        <v>1</v>
      </c>
      <c r="E1" t="s">
        <v>2</v>
      </c>
      <c r="F1">
        <f>SUM(B2:B26)</f>
        <v>338.66</v>
      </c>
    </row>
    <row r="2" spans="1:6" x14ac:dyDescent="0.35">
      <c r="A2" s="9">
        <v>43545</v>
      </c>
      <c r="B2">
        <v>18.21</v>
      </c>
      <c r="F2">
        <f>F1/(14/30)</f>
        <v>725.7</v>
      </c>
    </row>
    <row r="3" spans="1:6" x14ac:dyDescent="0.35">
      <c r="A3" s="9">
        <v>43545</v>
      </c>
      <c r="B3">
        <v>15.69</v>
      </c>
    </row>
    <row r="4" spans="1:6" x14ac:dyDescent="0.35">
      <c r="A4" s="9">
        <v>43544</v>
      </c>
      <c r="B4">
        <v>14.52</v>
      </c>
    </row>
    <row r="5" spans="1:6" x14ac:dyDescent="0.35">
      <c r="A5" s="9">
        <v>43544</v>
      </c>
      <c r="B5">
        <v>14.3</v>
      </c>
    </row>
    <row r="6" spans="1:6" x14ac:dyDescent="0.35">
      <c r="A6" s="9">
        <v>43543</v>
      </c>
      <c r="B6">
        <v>13.38</v>
      </c>
    </row>
    <row r="7" spans="1:6" x14ac:dyDescent="0.35">
      <c r="A7" s="9">
        <v>43543</v>
      </c>
      <c r="B7">
        <v>6.52</v>
      </c>
    </row>
    <row r="8" spans="1:6" x14ac:dyDescent="0.35">
      <c r="A8" s="9">
        <v>43543</v>
      </c>
      <c r="B8">
        <v>16.829999999999998</v>
      </c>
    </row>
    <row r="9" spans="1:6" x14ac:dyDescent="0.35">
      <c r="A9" s="9">
        <v>43542</v>
      </c>
      <c r="B9">
        <v>16.71</v>
      </c>
    </row>
    <row r="10" spans="1:6" x14ac:dyDescent="0.35">
      <c r="A10" s="9">
        <v>43177</v>
      </c>
      <c r="B10">
        <v>16.61</v>
      </c>
    </row>
    <row r="11" spans="1:6" x14ac:dyDescent="0.35">
      <c r="A11" s="9">
        <v>43542</v>
      </c>
      <c r="B11">
        <v>15.8</v>
      </c>
    </row>
    <row r="12" spans="1:6" x14ac:dyDescent="0.35">
      <c r="A12" s="9">
        <v>43538</v>
      </c>
      <c r="B12">
        <v>17.23</v>
      </c>
    </row>
    <row r="13" spans="1:6" x14ac:dyDescent="0.35">
      <c r="A13" s="9">
        <v>41712</v>
      </c>
      <c r="B13">
        <v>16.82</v>
      </c>
    </row>
    <row r="14" spans="1:6" x14ac:dyDescent="0.35">
      <c r="A14" s="9">
        <v>43173</v>
      </c>
      <c r="B14">
        <v>16.75</v>
      </c>
    </row>
    <row r="15" spans="1:6" x14ac:dyDescent="0.35">
      <c r="A15" s="9">
        <v>43537</v>
      </c>
      <c r="B15">
        <v>13.38</v>
      </c>
    </row>
    <row r="16" spans="1:6" x14ac:dyDescent="0.35">
      <c r="A16" s="9">
        <v>43537</v>
      </c>
      <c r="B16">
        <v>3.22</v>
      </c>
    </row>
    <row r="17" spans="1:2" x14ac:dyDescent="0.35">
      <c r="A17" s="9">
        <v>43537</v>
      </c>
      <c r="B17">
        <v>14.36</v>
      </c>
    </row>
    <row r="18" spans="1:2" x14ac:dyDescent="0.35">
      <c r="A18" s="9">
        <v>43536</v>
      </c>
      <c r="B18">
        <v>14.41</v>
      </c>
    </row>
    <row r="19" spans="1:2" x14ac:dyDescent="0.35">
      <c r="A19" s="9">
        <v>43536</v>
      </c>
      <c r="B19">
        <v>3.29</v>
      </c>
    </row>
    <row r="20" spans="1:2" x14ac:dyDescent="0.35">
      <c r="A20" s="9">
        <v>43536</v>
      </c>
      <c r="B20">
        <v>15.9</v>
      </c>
    </row>
    <row r="21" spans="1:2" x14ac:dyDescent="0.35">
      <c r="A21" s="9">
        <v>43535</v>
      </c>
      <c r="B21">
        <v>16.68</v>
      </c>
    </row>
    <row r="22" spans="1:2" x14ac:dyDescent="0.35">
      <c r="A22" s="9">
        <v>43535</v>
      </c>
      <c r="B22">
        <v>15.97</v>
      </c>
    </row>
    <row r="23" spans="1:2" x14ac:dyDescent="0.35">
      <c r="A23" s="9">
        <v>43533</v>
      </c>
      <c r="B23">
        <v>4.16</v>
      </c>
    </row>
    <row r="24" spans="1:2" x14ac:dyDescent="0.35">
      <c r="A24" s="9">
        <v>43531</v>
      </c>
      <c r="B24">
        <v>17.13</v>
      </c>
    </row>
    <row r="25" spans="1:2" x14ac:dyDescent="0.35">
      <c r="A25" s="9">
        <v>43531</v>
      </c>
      <c r="B25">
        <v>17.489999999999998</v>
      </c>
    </row>
    <row r="26" spans="1:2" x14ac:dyDescent="0.35">
      <c r="A26" s="9">
        <v>43531</v>
      </c>
      <c r="B26">
        <v>3.3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8"/>
  <sheetViews>
    <sheetView topLeftCell="A3" workbookViewId="0">
      <selection activeCell="F13" sqref="F13"/>
    </sheetView>
  </sheetViews>
  <sheetFormatPr defaultRowHeight="14.5" x14ac:dyDescent="0.35"/>
  <cols>
    <col min="1" max="1" width="16.453125" bestFit="1" customWidth="1"/>
    <col min="2" max="2" width="23.54296875" customWidth="1"/>
    <col min="3" max="3" width="20.6328125" bestFit="1" customWidth="1"/>
    <col min="4" max="4" width="9.36328125" customWidth="1"/>
    <col min="5" max="5" width="9.81640625" bestFit="1" customWidth="1"/>
    <col min="7" max="7" width="14.08984375" bestFit="1" customWidth="1"/>
    <col min="8" max="8" width="9.453125" bestFit="1" customWidth="1"/>
    <col min="9" max="9" width="13.81640625" bestFit="1" customWidth="1"/>
    <col min="10" max="10" width="15.6328125" bestFit="1" customWidth="1"/>
    <col min="11" max="11" width="14.26953125" bestFit="1" customWidth="1"/>
  </cols>
  <sheetData>
    <row r="2" spans="2:12" x14ac:dyDescent="0.35">
      <c r="B2" s="3" t="s">
        <v>16</v>
      </c>
      <c r="C2" s="1"/>
      <c r="F2" s="5" t="s">
        <v>4</v>
      </c>
    </row>
    <row r="3" spans="2:12" x14ac:dyDescent="0.35">
      <c r="B3" s="1" t="s">
        <v>13</v>
      </c>
      <c r="C3" s="1">
        <v>0.03</v>
      </c>
      <c r="G3" t="s">
        <v>19</v>
      </c>
      <c r="H3" t="s">
        <v>27</v>
      </c>
      <c r="I3" t="s">
        <v>62</v>
      </c>
      <c r="J3" t="s">
        <v>18</v>
      </c>
      <c r="K3" t="s">
        <v>33</v>
      </c>
    </row>
    <row r="4" spans="2:12" x14ac:dyDescent="0.35">
      <c r="B4" s="1" t="s">
        <v>15</v>
      </c>
      <c r="C4" s="1">
        <v>9.57</v>
      </c>
      <c r="F4" t="s">
        <v>21</v>
      </c>
      <c r="G4">
        <v>39.200000000000003</v>
      </c>
      <c r="H4">
        <v>3</v>
      </c>
      <c r="I4">
        <f>H4/$C$24/$C$22</f>
        <v>8.488003621548211E-2</v>
      </c>
      <c r="J4">
        <f>G4*I4</f>
        <v>3.3272974196468992</v>
      </c>
      <c r="K4">
        <v>250</v>
      </c>
    </row>
    <row r="5" spans="2:12" x14ac:dyDescent="0.35">
      <c r="B5" s="1" t="s">
        <v>39</v>
      </c>
      <c r="C5" s="1">
        <f>C4*C3/C23*C25</f>
        <v>0.1221314285714286</v>
      </c>
      <c r="F5" t="s">
        <v>22</v>
      </c>
      <c r="G5">
        <v>27</v>
      </c>
      <c r="H5">
        <v>3</v>
      </c>
      <c r="I5">
        <f>H5/$C$24/$C$22</f>
        <v>8.488003621548211E-2</v>
      </c>
      <c r="J5">
        <f t="shared" ref="J5:J14" si="0">G5*I5</f>
        <v>2.2917609778180168</v>
      </c>
      <c r="K5">
        <v>200</v>
      </c>
    </row>
    <row r="6" spans="2:12" x14ac:dyDescent="0.35">
      <c r="B6" s="1"/>
      <c r="C6" s="1"/>
      <c r="F6" t="s">
        <v>23</v>
      </c>
      <c r="G6">
        <v>13.5</v>
      </c>
      <c r="I6">
        <v>0.05</v>
      </c>
      <c r="J6">
        <f t="shared" si="0"/>
        <v>0.67500000000000004</v>
      </c>
      <c r="K6">
        <v>150</v>
      </c>
    </row>
    <row r="7" spans="2:12" x14ac:dyDescent="0.35">
      <c r="B7" s="1" t="s">
        <v>3</v>
      </c>
      <c r="C7" s="1">
        <v>30</v>
      </c>
      <c r="F7" t="s">
        <v>24</v>
      </c>
      <c r="G7">
        <v>12.1</v>
      </c>
      <c r="H7">
        <v>3</v>
      </c>
      <c r="I7">
        <f>H7/$C$24/$C$22</f>
        <v>8.488003621548211E-2</v>
      </c>
      <c r="J7">
        <f t="shared" si="0"/>
        <v>1.0270484382073335</v>
      </c>
      <c r="K7">
        <v>200</v>
      </c>
    </row>
    <row r="8" spans="2:12" x14ac:dyDescent="0.35">
      <c r="B8" s="1" t="s">
        <v>17</v>
      </c>
      <c r="C8" s="1">
        <v>8.89</v>
      </c>
      <c r="F8" t="s">
        <v>25</v>
      </c>
      <c r="G8">
        <v>10.9</v>
      </c>
      <c r="H8">
        <v>3</v>
      </c>
      <c r="I8">
        <f>H8/$C$24/$C$22</f>
        <v>8.488003621548211E-2</v>
      </c>
      <c r="J8">
        <f t="shared" si="0"/>
        <v>0.92519239474875503</v>
      </c>
      <c r="K8">
        <v>150</v>
      </c>
    </row>
    <row r="9" spans="2:12" x14ac:dyDescent="0.35">
      <c r="B9" s="4" t="s">
        <v>41</v>
      </c>
      <c r="C9" s="1">
        <f>C8/C7</f>
        <v>0.29633333333333334</v>
      </c>
      <c r="F9" t="s">
        <v>5</v>
      </c>
      <c r="G9">
        <v>6.9</v>
      </c>
      <c r="H9">
        <v>3</v>
      </c>
      <c r="I9">
        <f>H9/$C$24/$C$22</f>
        <v>8.488003621548211E-2</v>
      </c>
      <c r="J9">
        <f t="shared" si="0"/>
        <v>0.58567224988682665</v>
      </c>
      <c r="K9">
        <v>200</v>
      </c>
    </row>
    <row r="10" spans="2:12" x14ac:dyDescent="0.35">
      <c r="B10" s="1"/>
      <c r="C10" s="1"/>
      <c r="F10" t="s">
        <v>26</v>
      </c>
      <c r="G10">
        <v>6.1</v>
      </c>
      <c r="H10">
        <v>3</v>
      </c>
      <c r="I10">
        <f>H10/$C$24/$C$22</f>
        <v>8.488003621548211E-2</v>
      </c>
      <c r="J10">
        <f t="shared" si="0"/>
        <v>0.51776822091444086</v>
      </c>
      <c r="K10">
        <v>70</v>
      </c>
    </row>
    <row r="11" spans="2:12" x14ac:dyDescent="0.35">
      <c r="B11" s="6" t="s">
        <v>48</v>
      </c>
      <c r="C11" t="s">
        <v>54</v>
      </c>
      <c r="D11" t="s">
        <v>50</v>
      </c>
      <c r="F11" t="s">
        <v>30</v>
      </c>
      <c r="G11">
        <v>4.8</v>
      </c>
      <c r="I11">
        <v>0.04</v>
      </c>
      <c r="J11">
        <f t="shared" si="0"/>
        <v>0.192</v>
      </c>
      <c r="K11">
        <v>80</v>
      </c>
      <c r="L11" t="s">
        <v>28</v>
      </c>
    </row>
    <row r="12" spans="2:12" x14ac:dyDescent="0.35">
      <c r="B12" s="4" t="s">
        <v>51</v>
      </c>
      <c r="C12">
        <v>1.1000000000000001</v>
      </c>
      <c r="D12" s="7">
        <v>0.3</v>
      </c>
      <c r="F12" t="s">
        <v>31</v>
      </c>
      <c r="G12">
        <v>2.9</v>
      </c>
      <c r="I12">
        <v>0.2</v>
      </c>
      <c r="J12">
        <f t="shared" si="0"/>
        <v>0.57999999999999996</v>
      </c>
      <c r="K12">
        <v>180</v>
      </c>
      <c r="L12" t="s">
        <v>29</v>
      </c>
    </row>
    <row r="13" spans="2:12" x14ac:dyDescent="0.35">
      <c r="B13" s="4" t="s">
        <v>52</v>
      </c>
      <c r="C13">
        <v>0.6</v>
      </c>
      <c r="D13" s="7">
        <v>0.3</v>
      </c>
      <c r="F13" t="s">
        <v>67</v>
      </c>
      <c r="G13">
        <v>2.7</v>
      </c>
      <c r="I13">
        <v>7.4999999999999997E-2</v>
      </c>
      <c r="J13">
        <f t="shared" si="0"/>
        <v>0.20250000000000001</v>
      </c>
      <c r="K13">
        <v>100</v>
      </c>
      <c r="L13" t="s">
        <v>34</v>
      </c>
    </row>
    <row r="14" spans="2:12" x14ac:dyDescent="0.35">
      <c r="B14" s="4" t="s">
        <v>53</v>
      </c>
      <c r="C14">
        <v>0</v>
      </c>
      <c r="D14" s="7">
        <v>0.4</v>
      </c>
      <c r="F14" t="s">
        <v>6</v>
      </c>
      <c r="G14">
        <v>2</v>
      </c>
      <c r="H14">
        <v>8</v>
      </c>
      <c r="I14">
        <f>H14/$C$24/$C$22</f>
        <v>0.22634676324128564</v>
      </c>
      <c r="J14">
        <f t="shared" si="0"/>
        <v>0.45269352648257127</v>
      </c>
      <c r="K14">
        <v>50</v>
      </c>
    </row>
    <row r="15" spans="2:12" x14ac:dyDescent="0.35">
      <c r="B15" s="4" t="s">
        <v>55</v>
      </c>
      <c r="C15">
        <f>SUMPRODUCT(C12:C14, D12:D14)</f>
        <v>0.51</v>
      </c>
    </row>
    <row r="17" spans="2:3" x14ac:dyDescent="0.35">
      <c r="B17" s="5" t="s">
        <v>57</v>
      </c>
    </row>
    <row r="18" spans="2:3" x14ac:dyDescent="0.35">
      <c r="B18" t="s">
        <v>58</v>
      </c>
      <c r="C18">
        <v>0.2</v>
      </c>
    </row>
    <row r="21" spans="2:3" x14ac:dyDescent="0.35">
      <c r="B21" t="s">
        <v>9</v>
      </c>
    </row>
    <row r="22" spans="2:3" x14ac:dyDescent="0.35">
      <c r="B22" t="s">
        <v>7</v>
      </c>
      <c r="C22">
        <v>2.2090000000000001</v>
      </c>
    </row>
    <row r="23" spans="2:3" x14ac:dyDescent="0.35">
      <c r="B23" t="s">
        <v>8</v>
      </c>
      <c r="C23">
        <v>3.78</v>
      </c>
    </row>
    <row r="24" spans="2:3" x14ac:dyDescent="0.35">
      <c r="B24" t="s">
        <v>32</v>
      </c>
      <c r="C24">
        <v>16</v>
      </c>
    </row>
    <row r="25" spans="2:3" x14ac:dyDescent="0.35">
      <c r="B25" t="s">
        <v>40</v>
      </c>
      <c r="C25">
        <v>1.6080000000000001</v>
      </c>
    </row>
    <row r="26" spans="2:3" x14ac:dyDescent="0.35">
      <c r="B26" s="2" t="s">
        <v>14</v>
      </c>
    </row>
    <row r="27" spans="2:3" x14ac:dyDescent="0.35">
      <c r="B27" s="2" t="s">
        <v>20</v>
      </c>
    </row>
    <row r="28" spans="2:3" x14ac:dyDescent="0.35">
      <c r="B28" s="2" t="s">
        <v>56</v>
      </c>
    </row>
  </sheetData>
  <hyperlinks>
    <hyperlink ref="B26" r:id="rId1"/>
    <hyperlink ref="B27" r:id="rId2"/>
    <hyperlink ref="B28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Summary</vt:lpstr>
      <vt:lpstr>Flights</vt:lpstr>
      <vt:lpstr>Lyft</vt:lpstr>
      <vt:lpstr>Constants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2019-03-23T03:39:26Z</dcterms:modified>
</cp:coreProperties>
</file>