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im\Desktop\"/>
    </mc:Choice>
  </mc:AlternateContent>
  <bookViews>
    <workbookView xWindow="0" yWindow="38" windowWidth="15960" windowHeight="18083"/>
  </bookViews>
  <sheets>
    <sheet name="MainTable" sheetId="1" r:id="rId1"/>
    <sheet name="SampleResults" sheetId="2" r:id="rId2"/>
    <sheet name="Distributions" sheetId="3" r:id="rId3"/>
    <sheet name="Units" sheetId="4" r:id="rId4"/>
    <sheet name="Notes" sheetId="5" r:id="rId5"/>
  </sheets>
  <calcPr calcId="152511"/>
</workbook>
</file>

<file path=xl/calcChain.xml><?xml version="1.0" encoding="utf-8"?>
<calcChain xmlns="http://schemas.openxmlformats.org/spreadsheetml/2006/main">
  <c r="D46" i="1" l="1"/>
  <c r="D48" i="1" s="1"/>
  <c r="M40" i="1"/>
  <c r="AA38" i="1"/>
  <c r="Z38" i="1"/>
  <c r="Y38" i="1"/>
  <c r="X38" i="1"/>
  <c r="W38" i="1"/>
  <c r="V38" i="1"/>
  <c r="U38" i="1"/>
  <c r="T38" i="1"/>
  <c r="S38" i="1"/>
  <c r="R38" i="1"/>
  <c r="Q38" i="1"/>
  <c r="P38" i="1"/>
  <c r="O38" i="1"/>
  <c r="N38" i="1"/>
  <c r="M38" i="1"/>
  <c r="L38" i="1"/>
  <c r="K38" i="1"/>
  <c r="J38" i="1"/>
  <c r="I38" i="1"/>
  <c r="H38" i="1"/>
  <c r="G38" i="1"/>
  <c r="F38" i="1"/>
  <c r="E38" i="1"/>
  <c r="D38" i="1"/>
  <c r="AA25" i="1"/>
  <c r="AA36" i="1" s="1"/>
  <c r="Z25" i="1"/>
  <c r="Z36" i="1" s="1"/>
  <c r="Y25" i="1"/>
  <c r="Y36" i="1" s="1"/>
  <c r="X25" i="1"/>
  <c r="X36" i="1" s="1"/>
  <c r="W25" i="1"/>
  <c r="W36" i="1" s="1"/>
  <c r="V25" i="1"/>
  <c r="V36" i="1" s="1"/>
  <c r="U25" i="1"/>
  <c r="U36" i="1" s="1"/>
  <c r="T25" i="1"/>
  <c r="T36" i="1" s="1"/>
  <c r="S25" i="1"/>
  <c r="S36" i="1" s="1"/>
  <c r="R25" i="1"/>
  <c r="R36" i="1" s="1"/>
  <c r="Q25" i="1"/>
  <c r="Q36" i="1" s="1"/>
  <c r="P25" i="1"/>
  <c r="P36" i="1" s="1"/>
  <c r="O25" i="1"/>
  <c r="O36" i="1" s="1"/>
  <c r="N25" i="1"/>
  <c r="N36" i="1" s="1"/>
  <c r="M25" i="1"/>
  <c r="M36" i="1" s="1"/>
  <c r="L25" i="1"/>
  <c r="L36" i="1" s="1"/>
  <c r="K25" i="1"/>
  <c r="K36" i="1" s="1"/>
  <c r="J25" i="1"/>
  <c r="J36" i="1" s="1"/>
  <c r="I25" i="1"/>
  <c r="I36" i="1" s="1"/>
  <c r="H25" i="1"/>
  <c r="H36" i="1" s="1"/>
  <c r="G25" i="1"/>
  <c r="G36" i="1" s="1"/>
  <c r="F25" i="1"/>
  <c r="F36" i="1" s="1"/>
  <c r="E25" i="1"/>
  <c r="E36" i="1" s="1"/>
  <c r="D25" i="1"/>
  <c r="D36" i="1" s="1"/>
  <c r="AA20" i="1"/>
  <c r="Z20" i="1"/>
  <c r="Y20" i="1"/>
  <c r="X20" i="1"/>
  <c r="W20" i="1"/>
  <c r="V20" i="1"/>
  <c r="U20" i="1"/>
  <c r="T20" i="1"/>
  <c r="S20" i="1"/>
  <c r="R20" i="1"/>
  <c r="Q20" i="1"/>
  <c r="P20" i="1"/>
  <c r="O20" i="1"/>
  <c r="N20" i="1"/>
  <c r="M20" i="1"/>
  <c r="L20" i="1"/>
  <c r="K20" i="1"/>
  <c r="J20" i="1"/>
  <c r="I20" i="1"/>
  <c r="H20" i="1"/>
  <c r="G20" i="1"/>
  <c r="F20" i="1"/>
  <c r="E20" i="1"/>
  <c r="D20" i="1"/>
  <c r="AA19" i="1"/>
  <c r="Z19" i="1"/>
  <c r="Y19" i="1"/>
  <c r="X19" i="1"/>
  <c r="W19" i="1"/>
  <c r="V19" i="1"/>
  <c r="U19" i="1"/>
  <c r="T19" i="1"/>
  <c r="S19" i="1"/>
  <c r="R19" i="1"/>
  <c r="Q19" i="1"/>
  <c r="P19" i="1"/>
  <c r="O19" i="1"/>
  <c r="N19" i="1"/>
  <c r="M19" i="1"/>
  <c r="L19" i="1"/>
  <c r="K19" i="1"/>
  <c r="J19" i="1"/>
  <c r="I19" i="1"/>
  <c r="H19" i="1"/>
  <c r="G19" i="1"/>
  <c r="F19" i="1"/>
  <c r="E19" i="1"/>
  <c r="D19" i="1"/>
  <c r="AA8" i="1"/>
  <c r="Z8" i="1"/>
  <c r="Y8" i="1"/>
  <c r="X8" i="1"/>
  <c r="W8" i="1"/>
  <c r="V8" i="1"/>
  <c r="U8" i="1"/>
  <c r="T8" i="1"/>
  <c r="S8" i="1"/>
  <c r="R8" i="1"/>
  <c r="Q8" i="1"/>
  <c r="P8" i="1"/>
  <c r="O8" i="1"/>
  <c r="N8" i="1"/>
  <c r="M8" i="1"/>
  <c r="L8" i="1"/>
  <c r="K8" i="1"/>
  <c r="J8" i="1"/>
  <c r="I8" i="1"/>
  <c r="H8" i="1"/>
  <c r="G8" i="1"/>
  <c r="F8" i="1"/>
  <c r="E8" i="1"/>
  <c r="D5" i="1"/>
  <c r="D4" i="1"/>
  <c r="D3" i="1"/>
  <c r="AA2" i="1"/>
  <c r="Z2" i="1"/>
  <c r="Y2" i="1"/>
  <c r="X2" i="1"/>
  <c r="W2" i="1"/>
  <c r="V2" i="1"/>
  <c r="U2" i="1"/>
  <c r="T2" i="1"/>
  <c r="S2" i="1"/>
  <c r="R2" i="1"/>
  <c r="Q2" i="1"/>
  <c r="P2" i="1"/>
  <c r="O2" i="1"/>
  <c r="N2" i="1"/>
  <c r="M2" i="1"/>
  <c r="L2" i="1"/>
  <c r="K2" i="1"/>
  <c r="J2" i="1"/>
  <c r="I2" i="1"/>
  <c r="H2" i="1"/>
  <c r="G2" i="1"/>
  <c r="F2" i="1"/>
  <c r="E2" i="1"/>
  <c r="D2" i="1"/>
  <c r="D1" i="1"/>
  <c r="E1" i="1" s="1"/>
  <c r="F1" i="1" s="1"/>
  <c r="G1" i="1" s="1"/>
  <c r="H1" i="1" s="1"/>
  <c r="I1" i="1" s="1"/>
  <c r="J1" i="1" s="1"/>
  <c r="K1" i="1" s="1"/>
  <c r="L1" i="1" s="1"/>
  <c r="M1" i="1" s="1"/>
  <c r="N1" i="1" s="1"/>
  <c r="O1" i="1" s="1"/>
  <c r="P1" i="1" s="1"/>
  <c r="Q1" i="1" s="1"/>
  <c r="R1" i="1" s="1"/>
  <c r="S1" i="1" s="1"/>
  <c r="T1" i="1" s="1"/>
  <c r="U1" i="1" s="1"/>
  <c r="V1" i="1" s="1"/>
  <c r="W1" i="1" s="1"/>
  <c r="X1" i="1" s="1"/>
  <c r="Y1" i="1" s="1"/>
  <c r="Z1" i="1" s="1"/>
  <c r="AA1" i="1" s="1"/>
  <c r="D8" i="1" l="1"/>
  <c r="D24" i="1"/>
  <c r="E3" i="1"/>
  <c r="D29" i="1"/>
  <c r="D30" i="1" s="1"/>
  <c r="E4" i="1"/>
  <c r="E46" i="1"/>
  <c r="E48" i="1" s="1"/>
  <c r="E5" i="1"/>
  <c r="B13" i="1"/>
  <c r="F26" i="1"/>
  <c r="J26" i="1"/>
  <c r="N26" i="1"/>
  <c r="R26" i="1"/>
  <c r="V26" i="1"/>
  <c r="Z26" i="1"/>
  <c r="F27" i="1"/>
  <c r="J27" i="1"/>
  <c r="N27" i="1"/>
  <c r="R27" i="1"/>
  <c r="V27" i="1"/>
  <c r="Z27" i="1"/>
  <c r="F28" i="1"/>
  <c r="F40" i="1" s="1"/>
  <c r="J28" i="1"/>
  <c r="N28" i="1"/>
  <c r="N40" i="1" s="1"/>
  <c r="R28" i="1"/>
  <c r="R40" i="1" s="1"/>
  <c r="V28" i="1"/>
  <c r="V40" i="1" s="1"/>
  <c r="Z28" i="1"/>
  <c r="Z40" i="1" s="1"/>
  <c r="F33" i="1"/>
  <c r="J33" i="1"/>
  <c r="N33" i="1"/>
  <c r="R33" i="1"/>
  <c r="V33" i="1"/>
  <c r="Z33" i="1"/>
  <c r="D26" i="1"/>
  <c r="H26" i="1"/>
  <c r="L26" i="1"/>
  <c r="P26" i="1"/>
  <c r="T26" i="1"/>
  <c r="X26" i="1"/>
  <c r="D27" i="1"/>
  <c r="H27" i="1"/>
  <c r="L27" i="1"/>
  <c r="P27" i="1"/>
  <c r="T27" i="1"/>
  <c r="X27" i="1"/>
  <c r="D28" i="1"/>
  <c r="D40" i="1" s="1"/>
  <c r="H28" i="1"/>
  <c r="H40" i="1" s="1"/>
  <c r="L28" i="1"/>
  <c r="L40" i="1" s="1"/>
  <c r="P28" i="1"/>
  <c r="P40" i="1" s="1"/>
  <c r="T28" i="1"/>
  <c r="T40" i="1" s="1"/>
  <c r="X28" i="1"/>
  <c r="X40" i="1" s="1"/>
  <c r="D33" i="1"/>
  <c r="H33" i="1"/>
  <c r="L33" i="1"/>
  <c r="P33" i="1"/>
  <c r="T33" i="1"/>
  <c r="X33" i="1"/>
  <c r="E26" i="1"/>
  <c r="E31" i="1" s="1"/>
  <c r="G26" i="1"/>
  <c r="G31" i="1" s="1"/>
  <c r="I26" i="1"/>
  <c r="I31" i="1" s="1"/>
  <c r="K26" i="1"/>
  <c r="K31" i="1" s="1"/>
  <c r="M26" i="1"/>
  <c r="M31" i="1" s="1"/>
  <c r="O26" i="1"/>
  <c r="O31" i="1" s="1"/>
  <c r="Q26" i="1"/>
  <c r="Q31" i="1" s="1"/>
  <c r="S26" i="1"/>
  <c r="S31" i="1" s="1"/>
  <c r="U26" i="1"/>
  <c r="U31" i="1" s="1"/>
  <c r="W26" i="1"/>
  <c r="W31" i="1" s="1"/>
  <c r="Y26" i="1"/>
  <c r="Y31" i="1" s="1"/>
  <c r="AA26" i="1"/>
  <c r="AA31" i="1" s="1"/>
  <c r="E27" i="1"/>
  <c r="G27" i="1"/>
  <c r="I27" i="1"/>
  <c r="K27" i="1"/>
  <c r="M27" i="1"/>
  <c r="O27" i="1"/>
  <c r="Q27" i="1"/>
  <c r="S27" i="1"/>
  <c r="U27" i="1"/>
  <c r="W27" i="1"/>
  <c r="Y27" i="1"/>
  <c r="AA27" i="1"/>
  <c r="E28" i="1"/>
  <c r="G28" i="1"/>
  <c r="G40" i="1" s="1"/>
  <c r="I28" i="1"/>
  <c r="I40" i="1" s="1"/>
  <c r="K28" i="1"/>
  <c r="K40" i="1" s="1"/>
  <c r="M28" i="1"/>
  <c r="O28" i="1"/>
  <c r="O40" i="1" s="1"/>
  <c r="Q28" i="1"/>
  <c r="Q40" i="1" s="1"/>
  <c r="S28" i="1"/>
  <c r="S40" i="1" s="1"/>
  <c r="U28" i="1"/>
  <c r="U40" i="1" s="1"/>
  <c r="W28" i="1"/>
  <c r="W40" i="1" s="1"/>
  <c r="Y28" i="1"/>
  <c r="Y40" i="1" s="1"/>
  <c r="AA28" i="1"/>
  <c r="AA40" i="1" s="1"/>
  <c r="E33" i="1"/>
  <c r="G33" i="1"/>
  <c r="I33" i="1"/>
  <c r="K33" i="1"/>
  <c r="M33" i="1"/>
  <c r="O33" i="1"/>
  <c r="Q33" i="1"/>
  <c r="S33" i="1"/>
  <c r="U33" i="1"/>
  <c r="W33" i="1"/>
  <c r="Y33" i="1"/>
  <c r="AA33" i="1"/>
  <c r="E40" i="1" l="1"/>
  <c r="J39" i="1"/>
  <c r="J41" i="1" s="1"/>
  <c r="J9" i="1"/>
  <c r="Z42" i="1"/>
  <c r="Z35" i="1"/>
  <c r="Z34" i="1"/>
  <c r="Z32" i="1"/>
  <c r="Z31" i="1"/>
  <c r="R42" i="1"/>
  <c r="R35" i="1"/>
  <c r="R34" i="1"/>
  <c r="R32" i="1"/>
  <c r="R31" i="1"/>
  <c r="J42" i="1"/>
  <c r="J35" i="1"/>
  <c r="J34" i="1"/>
  <c r="J32" i="1"/>
  <c r="J31" i="1"/>
  <c r="F46" i="1"/>
  <c r="F48" i="1" s="1"/>
  <c r="F5" i="1"/>
  <c r="E29" i="1"/>
  <c r="E30" i="1" s="1"/>
  <c r="F4" i="1"/>
  <c r="E24" i="1"/>
  <c r="E16" i="1"/>
  <c r="E10" i="1" s="1"/>
  <c r="F3" i="1"/>
  <c r="AA39" i="1"/>
  <c r="AA41" i="1" s="1"/>
  <c r="AA9" i="1"/>
  <c r="W39" i="1"/>
  <c r="W41" i="1" s="1"/>
  <c r="W9" i="1"/>
  <c r="S39" i="1"/>
  <c r="S41" i="1" s="1"/>
  <c r="S9" i="1"/>
  <c r="O39" i="1"/>
  <c r="O41" i="1" s="1"/>
  <c r="O9" i="1"/>
  <c r="K39" i="1"/>
  <c r="K41" i="1" s="1"/>
  <c r="K9" i="1"/>
  <c r="G39" i="1"/>
  <c r="G41" i="1" s="1"/>
  <c r="G9" i="1"/>
  <c r="AA42" i="1"/>
  <c r="AA34" i="1"/>
  <c r="AA32" i="1"/>
  <c r="W42" i="1"/>
  <c r="W34" i="1"/>
  <c r="W32" i="1"/>
  <c r="S42" i="1"/>
  <c r="S34" i="1"/>
  <c r="S32" i="1"/>
  <c r="O42" i="1"/>
  <c r="O34" i="1"/>
  <c r="O32" i="1"/>
  <c r="K42" i="1"/>
  <c r="K34" i="1"/>
  <c r="K32" i="1"/>
  <c r="G42" i="1"/>
  <c r="G34" i="1"/>
  <c r="G32" i="1"/>
  <c r="T39" i="1"/>
  <c r="T41" i="1" s="1"/>
  <c r="T9" i="1"/>
  <c r="L39" i="1"/>
  <c r="L41" i="1" s="1"/>
  <c r="L9" i="1"/>
  <c r="D39" i="1"/>
  <c r="D41" i="1" s="1"/>
  <c r="D9" i="1"/>
  <c r="D11" i="1" s="1"/>
  <c r="T42" i="1"/>
  <c r="T35" i="1"/>
  <c r="T34" i="1"/>
  <c r="T32" i="1"/>
  <c r="T31" i="1"/>
  <c r="L42" i="1"/>
  <c r="L35" i="1"/>
  <c r="L34" i="1"/>
  <c r="L32" i="1"/>
  <c r="L31" i="1"/>
  <c r="D42" i="1"/>
  <c r="D35" i="1"/>
  <c r="D34" i="1"/>
  <c r="D32" i="1"/>
  <c r="D31" i="1"/>
  <c r="D13" i="1"/>
  <c r="J40" i="1"/>
  <c r="Z39" i="1"/>
  <c r="Z41" i="1" s="1"/>
  <c r="Z9" i="1"/>
  <c r="R39" i="1"/>
  <c r="R41" i="1" s="1"/>
  <c r="R9" i="1"/>
  <c r="Y9" i="1"/>
  <c r="Y39" i="1"/>
  <c r="Y41" i="1" s="1"/>
  <c r="U39" i="1"/>
  <c r="U41" i="1" s="1"/>
  <c r="U9" i="1"/>
  <c r="Q9" i="1"/>
  <c r="Q39" i="1"/>
  <c r="Q41" i="1" s="1"/>
  <c r="M39" i="1"/>
  <c r="M41" i="1" s="1"/>
  <c r="M9" i="1"/>
  <c r="I9" i="1"/>
  <c r="I39" i="1"/>
  <c r="I41" i="1" s="1"/>
  <c r="E39" i="1"/>
  <c r="E41" i="1" s="1"/>
  <c r="E9" i="1"/>
  <c r="E11" i="1" s="1"/>
  <c r="Y42" i="1"/>
  <c r="Y34" i="1"/>
  <c r="Y32" i="1"/>
  <c r="U42" i="1"/>
  <c r="U34" i="1"/>
  <c r="U32" i="1"/>
  <c r="Q42" i="1"/>
  <c r="Q34" i="1"/>
  <c r="Q32" i="1"/>
  <c r="M42" i="1"/>
  <c r="M34" i="1"/>
  <c r="M32" i="1"/>
  <c r="I42" i="1"/>
  <c r="I34" i="1"/>
  <c r="I32" i="1"/>
  <c r="E42" i="1"/>
  <c r="E34" i="1"/>
  <c r="E32" i="1"/>
  <c r="E13" i="1"/>
  <c r="X39" i="1"/>
  <c r="X41" i="1" s="1"/>
  <c r="X9" i="1"/>
  <c r="P39" i="1"/>
  <c r="P41" i="1" s="1"/>
  <c r="P9" i="1"/>
  <c r="H39" i="1"/>
  <c r="H41" i="1" s="1"/>
  <c r="H9" i="1"/>
  <c r="X42" i="1"/>
  <c r="X35" i="1"/>
  <c r="X34" i="1"/>
  <c r="X32" i="1"/>
  <c r="X31" i="1"/>
  <c r="P42" i="1"/>
  <c r="P35" i="1"/>
  <c r="P34" i="1"/>
  <c r="P32" i="1"/>
  <c r="P31" i="1"/>
  <c r="H42" i="1"/>
  <c r="H35" i="1"/>
  <c r="H34" i="1"/>
  <c r="H32" i="1"/>
  <c r="H31" i="1"/>
  <c r="V39" i="1"/>
  <c r="V41" i="1" s="1"/>
  <c r="V9" i="1"/>
  <c r="N39" i="1"/>
  <c r="N41" i="1" s="1"/>
  <c r="N9" i="1"/>
  <c r="F39" i="1"/>
  <c r="F41" i="1" s="1"/>
  <c r="F9" i="1"/>
  <c r="V42" i="1"/>
  <c r="V35" i="1"/>
  <c r="V34" i="1"/>
  <c r="V32" i="1"/>
  <c r="V31" i="1"/>
  <c r="N42" i="1"/>
  <c r="N35" i="1"/>
  <c r="N34" i="1"/>
  <c r="N32" i="1"/>
  <c r="N31" i="1"/>
  <c r="F42" i="1"/>
  <c r="F13" i="1"/>
  <c r="F35" i="1"/>
  <c r="F34" i="1"/>
  <c r="F32" i="1"/>
  <c r="F31" i="1"/>
  <c r="AA35" i="1"/>
  <c r="Y35" i="1"/>
  <c r="W35" i="1"/>
  <c r="U35" i="1"/>
  <c r="S35" i="1"/>
  <c r="Q35" i="1"/>
  <c r="O35" i="1"/>
  <c r="M35" i="1"/>
  <c r="K35" i="1"/>
  <c r="I35" i="1"/>
  <c r="G35" i="1"/>
  <c r="E35" i="1"/>
  <c r="D16" i="1"/>
  <c r="D10" i="1" s="1"/>
  <c r="E43" i="1" l="1"/>
  <c r="E49" i="1" s="1"/>
  <c r="E50" i="1" s="1"/>
  <c r="E51" i="1" s="1"/>
  <c r="F18" i="1"/>
  <c r="F12" i="1"/>
  <c r="N18" i="1"/>
  <c r="N12" i="1"/>
  <c r="V18" i="1"/>
  <c r="V12" i="1"/>
  <c r="H18" i="1"/>
  <c r="H12" i="1"/>
  <c r="P18" i="1"/>
  <c r="P12" i="1"/>
  <c r="X18" i="1"/>
  <c r="X12" i="1"/>
  <c r="E12" i="1"/>
  <c r="E18" i="1"/>
  <c r="I18" i="1"/>
  <c r="I12" i="1"/>
  <c r="M18" i="1"/>
  <c r="M12" i="1"/>
  <c r="Q18" i="1"/>
  <c r="Q12" i="1"/>
  <c r="U18" i="1"/>
  <c r="U12" i="1"/>
  <c r="Y18" i="1"/>
  <c r="Y12" i="1"/>
  <c r="D43" i="1"/>
  <c r="G4" i="1"/>
  <c r="F29" i="1"/>
  <c r="F30" i="1" s="1"/>
  <c r="F11" i="1" s="1"/>
  <c r="G46" i="1"/>
  <c r="G48" i="1" s="1"/>
  <c r="G5" i="1"/>
  <c r="J18" i="1"/>
  <c r="J12" i="1"/>
  <c r="R18" i="1"/>
  <c r="R12" i="1"/>
  <c r="Z18" i="1"/>
  <c r="Z12" i="1"/>
  <c r="D18" i="1"/>
  <c r="D12" i="1"/>
  <c r="L18" i="1"/>
  <c r="L12" i="1"/>
  <c r="T18" i="1"/>
  <c r="T12" i="1"/>
  <c r="G18" i="1"/>
  <c r="G12" i="1"/>
  <c r="K18" i="1"/>
  <c r="K12" i="1"/>
  <c r="O18" i="1"/>
  <c r="O12" i="1"/>
  <c r="S18" i="1"/>
  <c r="S12" i="1"/>
  <c r="W18" i="1"/>
  <c r="W12" i="1"/>
  <c r="AA18" i="1"/>
  <c r="AA12" i="1"/>
  <c r="F16" i="1"/>
  <c r="F43" i="1" s="1"/>
  <c r="G3" i="1"/>
  <c r="F24" i="1"/>
  <c r="E44" i="1" l="1"/>
  <c r="E45" i="1" s="1"/>
  <c r="E15" i="1" s="1"/>
  <c r="F49" i="1"/>
  <c r="F50" i="1" s="1"/>
  <c r="F51" i="1" s="1"/>
  <c r="F44" i="1"/>
  <c r="F45" i="1" s="1"/>
  <c r="F15" i="1" s="1"/>
  <c r="B12" i="1"/>
  <c r="H46" i="1"/>
  <c r="H48" i="1" s="1"/>
  <c r="H5" i="1"/>
  <c r="G13" i="1"/>
  <c r="D44" i="1"/>
  <c r="D45" i="1" s="1"/>
  <c r="D15" i="1" s="1"/>
  <c r="D49" i="1"/>
  <c r="D50" i="1" s="1"/>
  <c r="D51" i="1" s="1"/>
  <c r="E53" i="1"/>
  <c r="E14" i="1"/>
  <c r="F10" i="1"/>
  <c r="G24" i="1"/>
  <c r="G16" i="1"/>
  <c r="H3" i="1"/>
  <c r="B19" i="1"/>
  <c r="B20" i="1"/>
  <c r="G29" i="1"/>
  <c r="G30" i="1" s="1"/>
  <c r="G11" i="1" s="1"/>
  <c r="H4" i="1"/>
  <c r="G43" i="1" l="1"/>
  <c r="G49" i="1" s="1"/>
  <c r="G50" i="1" s="1"/>
  <c r="G51" i="1" s="1"/>
  <c r="H29" i="1"/>
  <c r="H30" i="1" s="1"/>
  <c r="H11" i="1" s="1"/>
  <c r="I4" i="1"/>
  <c r="D53" i="1"/>
  <c r="D14" i="1"/>
  <c r="F53" i="1"/>
  <c r="F14" i="1"/>
  <c r="H24" i="1"/>
  <c r="H16" i="1"/>
  <c r="I3" i="1"/>
  <c r="H10" i="1"/>
  <c r="G10" i="1"/>
  <c r="I46" i="1"/>
  <c r="I48" i="1" s="1"/>
  <c r="I5" i="1"/>
  <c r="H13" i="1"/>
  <c r="G44" i="1" l="1"/>
  <c r="G45" i="1" s="1"/>
  <c r="G15" i="1" s="1"/>
  <c r="H43" i="1"/>
  <c r="H44" i="1" s="1"/>
  <c r="H45" i="1" s="1"/>
  <c r="H15" i="1" s="1"/>
  <c r="G53" i="1"/>
  <c r="G14" i="1"/>
  <c r="J46" i="1"/>
  <c r="J48" i="1" s="1"/>
  <c r="J5" i="1"/>
  <c r="I13" i="1"/>
  <c r="I24" i="1"/>
  <c r="I16" i="1"/>
  <c r="I43" i="1" s="1"/>
  <c r="J3" i="1"/>
  <c r="I29" i="1"/>
  <c r="I30" i="1" s="1"/>
  <c r="I11" i="1" s="1"/>
  <c r="J4" i="1"/>
  <c r="H49" i="1" l="1"/>
  <c r="H50" i="1" s="1"/>
  <c r="H51" i="1" s="1"/>
  <c r="H53" i="1" s="1"/>
  <c r="I49" i="1"/>
  <c r="I50" i="1" s="1"/>
  <c r="I51" i="1" s="1"/>
  <c r="I44" i="1"/>
  <c r="I45" i="1" s="1"/>
  <c r="I15" i="1" s="1"/>
  <c r="K4" i="1"/>
  <c r="J29" i="1"/>
  <c r="J30" i="1" s="1"/>
  <c r="J11" i="1" s="1"/>
  <c r="J16" i="1"/>
  <c r="J10" i="1" s="1"/>
  <c r="K3" i="1"/>
  <c r="J24" i="1"/>
  <c r="I10" i="1"/>
  <c r="K46" i="1"/>
  <c r="K48" i="1" s="1"/>
  <c r="K5" i="1"/>
  <c r="J13" i="1"/>
  <c r="H14" i="1" l="1"/>
  <c r="J43" i="1"/>
  <c r="J49" i="1" s="1"/>
  <c r="J50" i="1" s="1"/>
  <c r="J51" i="1" s="1"/>
  <c r="K24" i="1"/>
  <c r="K16" i="1"/>
  <c r="L3" i="1"/>
  <c r="K29" i="1"/>
  <c r="K30" i="1" s="1"/>
  <c r="K11" i="1" s="1"/>
  <c r="L4" i="1"/>
  <c r="I53" i="1"/>
  <c r="I14" i="1"/>
  <c r="L46" i="1"/>
  <c r="L48" i="1" s="1"/>
  <c r="L5" i="1"/>
  <c r="K13" i="1"/>
  <c r="J44" i="1" l="1"/>
  <c r="J45" i="1" s="1"/>
  <c r="J15" i="1" s="1"/>
  <c r="K43" i="1"/>
  <c r="K49" i="1" s="1"/>
  <c r="K50" i="1" s="1"/>
  <c r="K51" i="1" s="1"/>
  <c r="J14" i="1"/>
  <c r="J53" i="1"/>
  <c r="M46" i="1"/>
  <c r="M48" i="1" s="1"/>
  <c r="M5" i="1"/>
  <c r="L13" i="1"/>
  <c r="L29" i="1"/>
  <c r="L30" i="1" s="1"/>
  <c r="L11" i="1" s="1"/>
  <c r="M4" i="1"/>
  <c r="L24" i="1"/>
  <c r="L16" i="1"/>
  <c r="L43" i="1" s="1"/>
  <c r="M3" i="1"/>
  <c r="L10" i="1"/>
  <c r="K10" i="1"/>
  <c r="K44" i="1" l="1"/>
  <c r="K45" i="1" s="1"/>
  <c r="K15" i="1" s="1"/>
  <c r="K53" i="1"/>
  <c r="K14" i="1"/>
  <c r="M24" i="1"/>
  <c r="M16" i="1"/>
  <c r="M43" i="1" s="1"/>
  <c r="N3" i="1"/>
  <c r="M29" i="1"/>
  <c r="M30" i="1" s="1"/>
  <c r="M11" i="1" s="1"/>
  <c r="N4" i="1"/>
  <c r="L44" i="1"/>
  <c r="L45" i="1" s="1"/>
  <c r="L15" i="1" s="1"/>
  <c r="L49" i="1"/>
  <c r="L50" i="1" s="1"/>
  <c r="L51" i="1" s="1"/>
  <c r="N46" i="1"/>
  <c r="N48" i="1" s="1"/>
  <c r="N5" i="1"/>
  <c r="M13" i="1"/>
  <c r="M10" i="1" l="1"/>
  <c r="L53" i="1"/>
  <c r="L14" i="1"/>
  <c r="O46" i="1"/>
  <c r="O48" i="1" s="1"/>
  <c r="O5" i="1"/>
  <c r="N13" i="1"/>
  <c r="O4" i="1"/>
  <c r="N29" i="1"/>
  <c r="N30" i="1" s="1"/>
  <c r="N11" i="1" s="1"/>
  <c r="N16" i="1"/>
  <c r="O3" i="1"/>
  <c r="N24" i="1"/>
  <c r="M49" i="1"/>
  <c r="M50" i="1" s="1"/>
  <c r="M51" i="1" s="1"/>
  <c r="M44" i="1"/>
  <c r="M45" i="1" s="1"/>
  <c r="M15" i="1" s="1"/>
  <c r="N43" i="1" l="1"/>
  <c r="N49" i="1" s="1"/>
  <c r="N50" i="1" s="1"/>
  <c r="M14" i="1"/>
  <c r="M53" i="1"/>
  <c r="N10" i="1"/>
  <c r="O24" i="1"/>
  <c r="O16" i="1"/>
  <c r="P3" i="1"/>
  <c r="O29" i="1"/>
  <c r="O30" i="1" s="1"/>
  <c r="O11" i="1" s="1"/>
  <c r="P4" i="1"/>
  <c r="P46" i="1"/>
  <c r="P48" i="1" s="1"/>
  <c r="P5" i="1"/>
  <c r="O13" i="1"/>
  <c r="N51" i="1" l="1"/>
  <c r="N53" i="1" s="1"/>
  <c r="N44" i="1"/>
  <c r="N45" i="1" s="1"/>
  <c r="N15" i="1" s="1"/>
  <c r="O43" i="1"/>
  <c r="O49" i="1" s="1"/>
  <c r="O50" i="1" s="1"/>
  <c r="O51" i="1" s="1"/>
  <c r="Q46" i="1"/>
  <c r="Q48" i="1" s="1"/>
  <c r="Q5" i="1"/>
  <c r="P13" i="1"/>
  <c r="P29" i="1"/>
  <c r="P30" i="1" s="1"/>
  <c r="P11" i="1" s="1"/>
  <c r="Q4" i="1"/>
  <c r="P24" i="1"/>
  <c r="P16" i="1"/>
  <c r="P43" i="1" s="1"/>
  <c r="Q3" i="1"/>
  <c r="P10" i="1"/>
  <c r="O10" i="1"/>
  <c r="N14" i="1" l="1"/>
  <c r="O44" i="1"/>
  <c r="O45" i="1" s="1"/>
  <c r="O15" i="1" s="1"/>
  <c r="O53" i="1"/>
  <c r="O14" i="1"/>
  <c r="Q24" i="1"/>
  <c r="Q16" i="1"/>
  <c r="R3" i="1"/>
  <c r="Q29" i="1"/>
  <c r="Q30" i="1" s="1"/>
  <c r="Q11" i="1" s="1"/>
  <c r="R4" i="1"/>
  <c r="P44" i="1"/>
  <c r="P45" i="1" s="1"/>
  <c r="P15" i="1" s="1"/>
  <c r="P49" i="1"/>
  <c r="P50" i="1" s="1"/>
  <c r="P51" i="1" s="1"/>
  <c r="R46" i="1"/>
  <c r="R48" i="1" s="1"/>
  <c r="R5" i="1"/>
  <c r="Q13" i="1"/>
  <c r="Q43" i="1" l="1"/>
  <c r="Q44" i="1" s="1"/>
  <c r="Q45" i="1" s="1"/>
  <c r="Q15" i="1" s="1"/>
  <c r="Q10" i="1"/>
  <c r="P53" i="1"/>
  <c r="P14" i="1"/>
  <c r="S46" i="1"/>
  <c r="S48" i="1" s="1"/>
  <c r="S5" i="1"/>
  <c r="R13" i="1"/>
  <c r="S4" i="1"/>
  <c r="R29" i="1"/>
  <c r="R30" i="1" s="1"/>
  <c r="R11" i="1" s="1"/>
  <c r="R16" i="1"/>
  <c r="S3" i="1"/>
  <c r="R24" i="1"/>
  <c r="Q49" i="1"/>
  <c r="Q50" i="1" s="1"/>
  <c r="Q51" i="1" s="1"/>
  <c r="R43" i="1" l="1"/>
  <c r="R49" i="1" s="1"/>
  <c r="R50" i="1" s="1"/>
  <c r="R51" i="1" s="1"/>
  <c r="Q14" i="1"/>
  <c r="Q53" i="1"/>
  <c r="R10" i="1"/>
  <c r="S24" i="1"/>
  <c r="S16" i="1"/>
  <c r="T3" i="1"/>
  <c r="S29" i="1"/>
  <c r="S30" i="1" s="1"/>
  <c r="S11" i="1" s="1"/>
  <c r="T4" i="1"/>
  <c r="T46" i="1"/>
  <c r="T48" i="1" s="1"/>
  <c r="T5" i="1"/>
  <c r="S13" i="1"/>
  <c r="R44" i="1" l="1"/>
  <c r="R45" i="1" s="1"/>
  <c r="R15" i="1" s="1"/>
  <c r="S43" i="1"/>
  <c r="S49" i="1" s="1"/>
  <c r="S50" i="1" s="1"/>
  <c r="S51" i="1" s="1"/>
  <c r="R53" i="1"/>
  <c r="R14" i="1"/>
  <c r="U46" i="1"/>
  <c r="U48" i="1" s="1"/>
  <c r="U5" i="1"/>
  <c r="T13" i="1"/>
  <c r="T29" i="1"/>
  <c r="T30" i="1" s="1"/>
  <c r="T11" i="1" s="1"/>
  <c r="U4" i="1"/>
  <c r="T24" i="1"/>
  <c r="T16" i="1"/>
  <c r="T43" i="1" s="1"/>
  <c r="U3" i="1"/>
  <c r="T10" i="1"/>
  <c r="S10" i="1"/>
  <c r="S44" i="1" l="1"/>
  <c r="S45" i="1" s="1"/>
  <c r="S15" i="1" s="1"/>
  <c r="S53" i="1"/>
  <c r="S14" i="1"/>
  <c r="U24" i="1"/>
  <c r="U16" i="1"/>
  <c r="U10" i="1" s="1"/>
  <c r="V3" i="1"/>
  <c r="U29" i="1"/>
  <c r="U30" i="1" s="1"/>
  <c r="U11" i="1" s="1"/>
  <c r="V4" i="1"/>
  <c r="T44" i="1"/>
  <c r="T45" i="1" s="1"/>
  <c r="T15" i="1" s="1"/>
  <c r="T49" i="1"/>
  <c r="T50" i="1" s="1"/>
  <c r="T51" i="1" s="1"/>
  <c r="V46" i="1"/>
  <c r="V48" i="1" s="1"/>
  <c r="V5" i="1"/>
  <c r="U13" i="1"/>
  <c r="U43" i="1" l="1"/>
  <c r="U49" i="1" s="1"/>
  <c r="U50" i="1" s="1"/>
  <c r="U51" i="1" s="1"/>
  <c r="T53" i="1"/>
  <c r="T14" i="1"/>
  <c r="W46" i="1"/>
  <c r="W48" i="1" s="1"/>
  <c r="W5" i="1"/>
  <c r="V13" i="1"/>
  <c r="W4" i="1"/>
  <c r="V29" i="1"/>
  <c r="V30" i="1" s="1"/>
  <c r="V11" i="1" s="1"/>
  <c r="V16" i="1"/>
  <c r="W3" i="1"/>
  <c r="V24" i="1"/>
  <c r="U44" i="1" l="1"/>
  <c r="U45" i="1" s="1"/>
  <c r="U15" i="1" s="1"/>
  <c r="V43" i="1"/>
  <c r="V49" i="1" s="1"/>
  <c r="V50" i="1" s="1"/>
  <c r="U14" i="1"/>
  <c r="U53" i="1"/>
  <c r="V10" i="1"/>
  <c r="W24" i="1"/>
  <c r="W16" i="1"/>
  <c r="X3" i="1"/>
  <c r="W29" i="1"/>
  <c r="W30" i="1" s="1"/>
  <c r="W11" i="1" s="1"/>
  <c r="X4" i="1"/>
  <c r="X46" i="1"/>
  <c r="X48" i="1" s="1"/>
  <c r="X5" i="1"/>
  <c r="W13" i="1"/>
  <c r="V51" i="1" l="1"/>
  <c r="V14" i="1" s="1"/>
  <c r="V44" i="1"/>
  <c r="V45" i="1" s="1"/>
  <c r="V15" i="1" s="1"/>
  <c r="W43" i="1"/>
  <c r="W49" i="1" s="1"/>
  <c r="W50" i="1" s="1"/>
  <c r="W51" i="1" s="1"/>
  <c r="Y46" i="1"/>
  <c r="Y48" i="1" s="1"/>
  <c r="Y5" i="1"/>
  <c r="X13" i="1"/>
  <c r="X29" i="1"/>
  <c r="X30" i="1" s="1"/>
  <c r="X11" i="1" s="1"/>
  <c r="Y4" i="1"/>
  <c r="X24" i="1"/>
  <c r="X16" i="1"/>
  <c r="X43" i="1" s="1"/>
  <c r="Y3" i="1"/>
  <c r="W10" i="1"/>
  <c r="X10" i="1" l="1"/>
  <c r="V53" i="1"/>
  <c r="W44" i="1"/>
  <c r="W45" i="1" s="1"/>
  <c r="W15" i="1" s="1"/>
  <c r="W53" i="1"/>
  <c r="W14" i="1"/>
  <c r="Y24" i="1"/>
  <c r="Y16" i="1"/>
  <c r="Z3" i="1"/>
  <c r="Y29" i="1"/>
  <c r="Y30" i="1" s="1"/>
  <c r="Y11" i="1" s="1"/>
  <c r="Z4" i="1"/>
  <c r="X44" i="1"/>
  <c r="X45" i="1" s="1"/>
  <c r="X15" i="1" s="1"/>
  <c r="X49" i="1"/>
  <c r="X50" i="1" s="1"/>
  <c r="X51" i="1" s="1"/>
  <c r="Z46" i="1"/>
  <c r="Z48" i="1" s="1"/>
  <c r="Z5" i="1"/>
  <c r="Y13" i="1"/>
  <c r="Y43" i="1" l="1"/>
  <c r="Y44" i="1" s="1"/>
  <c r="Y45" i="1" s="1"/>
  <c r="Y15" i="1" s="1"/>
  <c r="Y10" i="1"/>
  <c r="X53" i="1"/>
  <c r="X14" i="1"/>
  <c r="AA46" i="1"/>
  <c r="AA48" i="1" s="1"/>
  <c r="AA5" i="1"/>
  <c r="AA13" i="1" s="1"/>
  <c r="Z13" i="1"/>
  <c r="AA4" i="1"/>
  <c r="AA29" i="1" s="1"/>
  <c r="AA30" i="1" s="1"/>
  <c r="AA11" i="1" s="1"/>
  <c r="Z29" i="1"/>
  <c r="Z30" i="1" s="1"/>
  <c r="Z11" i="1" s="1"/>
  <c r="Z16" i="1"/>
  <c r="AA3" i="1"/>
  <c r="Z24" i="1"/>
  <c r="Y49" i="1"/>
  <c r="Y50" i="1" s="1"/>
  <c r="Y51" i="1" s="1"/>
  <c r="Z43" i="1" l="1"/>
  <c r="Z49" i="1" s="1"/>
  <c r="Z50" i="1" s="1"/>
  <c r="Y14" i="1"/>
  <c r="Y53" i="1"/>
  <c r="Z10" i="1"/>
  <c r="AA24" i="1"/>
  <c r="AA16" i="1"/>
  <c r="AA43" i="1" s="1"/>
  <c r="B11" i="1"/>
  <c r="Z51" i="1" l="1"/>
  <c r="Z14" i="1" s="1"/>
  <c r="Z44" i="1"/>
  <c r="Z45" i="1" s="1"/>
  <c r="Z15" i="1" s="1"/>
  <c r="AA49" i="1"/>
  <c r="AA50" i="1" s="1"/>
  <c r="AA51" i="1" s="1"/>
  <c r="AA44" i="1"/>
  <c r="AA45" i="1" s="1"/>
  <c r="AA15" i="1" s="1"/>
  <c r="Z53" i="1"/>
  <c r="AA10" i="1"/>
  <c r="AA53" i="1" l="1"/>
  <c r="AA14" i="1"/>
</calcChain>
</file>

<file path=xl/sharedStrings.xml><?xml version="1.0" encoding="utf-8"?>
<sst xmlns="http://schemas.openxmlformats.org/spreadsheetml/2006/main" count="108" uniqueCount="107">
  <si>
    <r>
      <rPr>
        <sz val="11"/>
        <color indexed="8"/>
        <rFont val="Arial"/>
        <family val="2"/>
      </rPr>
      <t xml:space="preserve"> </t>
    </r>
    <r>
      <rPr>
        <b/>
        <sz val="11"/>
        <color indexed="8"/>
        <rFont val="Arial"/>
        <family val="2"/>
      </rPr>
      <t xml:space="preserve">Test Name  </t>
    </r>
    <r>
      <rPr>
        <sz val="11"/>
        <color indexed="8"/>
        <rFont val="Arial"/>
        <family val="2"/>
      </rPr>
      <t>(TopRow, 1st Column in SampleResults)</t>
    </r>
  </si>
  <si>
    <r>
      <rPr>
        <sz val="11"/>
        <color indexed="8"/>
        <rFont val="Arial"/>
        <family val="2"/>
      </rPr>
      <t xml:space="preserve"> </t>
    </r>
    <r>
      <rPr>
        <b/>
        <sz val="11"/>
        <color indexed="8"/>
        <rFont val="Arial"/>
        <family val="2"/>
      </rPr>
      <t xml:space="preserve">Analyte       </t>
    </r>
    <r>
      <rPr>
        <sz val="11"/>
        <color indexed="8"/>
        <rFont val="Arial"/>
        <family val="2"/>
      </rPr>
      <t>(Top Row in SampleResults Sheet)</t>
    </r>
  </si>
  <si>
    <t xml:space="preserve"> Select Report Type (Spike, Ref…)  :</t>
  </si>
  <si>
    <t>Low Spike</t>
  </si>
  <si>
    <t xml:space="preserve"> Select Units (ppm, µg/kg, g/L…)     :</t>
  </si>
  <si>
    <t>µg/kg</t>
  </si>
  <si>
    <t xml:space="preserve"> Select # of Significant Figures        :</t>
  </si>
  <si>
    <t xml:space="preserve"> Enter Expected  Analyte Concentration For Analytes   :</t>
  </si>
  <si>
    <t xml:space="preserve"> MDL - Optional (From Mean of Previous Low Spikes)  :</t>
  </si>
  <si>
    <t xml:space="preserve"> Total Number of Results for Analyte</t>
  </si>
  <si>
    <t xml:space="preserve"> RSD% (CV)</t>
  </si>
  <si>
    <t xml:space="preserve"> bias as %age (100 - Recovery)</t>
  </si>
  <si>
    <t xml:space="preserve"> MDL = (MDL Factor x SD)</t>
  </si>
  <si>
    <t xml:space="preserve"> PQL (Practical Quantitation limit)</t>
  </si>
  <si>
    <t xml:space="preserve"> % Recovery</t>
  </si>
  <si>
    <t>Is Result is an Outlier (&gt;0)?</t>
  </si>
  <si>
    <t>Result Corrected for Recovery</t>
  </si>
  <si>
    <t>Number of Results included in Calculations</t>
  </si>
  <si>
    <t>Raw Mean of Samples (Ymv)</t>
  </si>
  <si>
    <t>Raw ST DEV σ of Results</t>
  </si>
  <si>
    <t>MDL  Factor (n-1 Degrees Freedom)</t>
  </si>
  <si>
    <t>Units  - 1 Part in This Value</t>
  </si>
  <si>
    <t xml:space="preserve">Predicted Horwitz "Expected Value" as RSD% </t>
  </si>
  <si>
    <t>Ymax - Ymv</t>
  </si>
  <si>
    <t>Ymv - Ymin</t>
  </si>
  <si>
    <t>Sig Value: 1-sided</t>
  </si>
  <si>
    <t>G (min)</t>
  </si>
  <si>
    <t>G (max)</t>
  </si>
  <si>
    <t>G Critical</t>
  </si>
  <si>
    <t>Number of Excluded Results</t>
  </si>
  <si>
    <t>Raw uncertainty at 95Conf - u</t>
  </si>
  <si>
    <t>Raw MDL = (MDL Factor x SD)</t>
  </si>
  <si>
    <t>Bias</t>
  </si>
  <si>
    <t>Raw bias (Mean - Spike)</t>
  </si>
  <si>
    <t>MDL Corrected</t>
  </si>
  <si>
    <t>PLQ Corrected</t>
  </si>
  <si>
    <t>PQL rounded</t>
  </si>
  <si>
    <t>Spike Level to correct Sig. Figs</t>
  </si>
  <si>
    <t>Now Calculate correct rounding for MDL:-</t>
  </si>
  <si>
    <t>Get int/log factor for Corrected Spike</t>
  </si>
  <si>
    <t>Get int/log factor for Corrected MDL</t>
  </si>
  <si>
    <t>Calculate rounding integer for MDL</t>
  </si>
  <si>
    <t>Round Corrected MDL to create correct rounding</t>
  </si>
  <si>
    <t>ICP-MS</t>
  </si>
  <si>
    <t>Al</t>
  </si>
  <si>
    <t>As</t>
  </si>
  <si>
    <t>B</t>
  </si>
  <si>
    <t>Ba</t>
  </si>
  <si>
    <t>Be</t>
  </si>
  <si>
    <t>Cd</t>
  </si>
  <si>
    <t>Co</t>
  </si>
  <si>
    <t>Cr</t>
  </si>
  <si>
    <t>Cu</t>
  </si>
  <si>
    <t>Fe</t>
  </si>
  <si>
    <t>Hg</t>
  </si>
  <si>
    <t>Mn</t>
  </si>
  <si>
    <t>Mo</t>
  </si>
  <si>
    <t>Ni</t>
  </si>
  <si>
    <t>Pb</t>
  </si>
  <si>
    <t>Sb</t>
  </si>
  <si>
    <t>Se</t>
  </si>
  <si>
    <t>Sn</t>
  </si>
  <si>
    <t>Sr</t>
  </si>
  <si>
    <t>Ti</t>
  </si>
  <si>
    <t>V</t>
  </si>
  <si>
    <t>Zn</t>
  </si>
  <si>
    <t>Rh</t>
  </si>
  <si>
    <t>Na</t>
  </si>
  <si>
    <t>S1</t>
  </si>
  <si>
    <t>S2</t>
  </si>
  <si>
    <t>S3</t>
  </si>
  <si>
    <t>S4</t>
  </si>
  <si>
    <t>S5 Duplicate S3</t>
  </si>
  <si>
    <t>S6</t>
  </si>
  <si>
    <t>S7</t>
  </si>
  <si>
    <t>S8</t>
  </si>
  <si>
    <t>S9</t>
  </si>
  <si>
    <t>Student’s t-test</t>
  </si>
  <si>
    <t>Grubbs’ test</t>
  </si>
  <si>
    <t>Limit</t>
  </si>
  <si>
    <t>𝜶 0.05 1-sided</t>
  </si>
  <si>
    <t>Unit</t>
  </si>
  <si>
    <t>NumericValue</t>
  </si>
  <si>
    <t>ppm</t>
  </si>
  <si>
    <t>ppb</t>
  </si>
  <si>
    <t>ppt</t>
  </si>
  <si>
    <t>mg/kg</t>
  </si>
  <si>
    <t>ng/kg</t>
  </si>
  <si>
    <t>mg/L</t>
  </si>
  <si>
    <t>µg/L</t>
  </si>
  <si>
    <t>ng/L</t>
  </si>
  <si>
    <t>pg/L</t>
  </si>
  <si>
    <t>g/L</t>
  </si>
  <si>
    <t>percent</t>
  </si>
  <si>
    <t>drops/floz</t>
  </si>
  <si>
    <t>This spreadsheet may be useful to assist Laboratory Analysts and Assessors ensure compliance with ISO/ IEC 17025:2017. The revised standard requires Measurement Uncertainty (MU) of chemical test results to be available. It is designed to help produce necessary information by using sample blanks, spikes, and comparisons with reference materials. Sample "Low Spikes" could be used to determine Recoveries and Method Detection Limits. Spikes establish MUs at different concentrations with different matrices. It may be helpful when developing new methods or for "novel" analytes and matrices.</t>
  </si>
  <si>
    <r>
      <rPr>
        <sz val="10"/>
        <color indexed="8"/>
        <rFont val="Arial"/>
        <family val="2"/>
      </rPr>
      <t>Created with Apple "Numbers" Version 13, and Microsoft "Excel" 2013, spreadsheet programs - Using only "Cell Functions".  No "Code", Macros, or Hyperlinks are used -</t>
    </r>
    <r>
      <rPr>
        <sz val="10"/>
        <color indexed="51"/>
        <rFont val="Arial"/>
        <family val="2"/>
      </rPr>
      <t xml:space="preserve"> </t>
    </r>
    <r>
      <rPr>
        <b/>
        <sz val="10"/>
        <color indexed="34"/>
        <rFont val="Arial"/>
        <family val="2"/>
      </rPr>
      <t>It should be “Safe” to distribute…</t>
    </r>
  </si>
  <si>
    <r>
      <rPr>
        <sz val="10"/>
        <color indexed="8"/>
        <rFont val="Arial"/>
        <family val="2"/>
      </rPr>
      <t xml:space="preserve">The spreadsheet uses some </t>
    </r>
    <r>
      <rPr>
        <b/>
        <sz val="10"/>
        <color indexed="8"/>
        <rFont val="Arial"/>
        <family val="2"/>
      </rPr>
      <t>conventions</t>
    </r>
    <r>
      <rPr>
        <sz val="10"/>
        <color indexed="8"/>
        <rFont val="Arial"/>
        <family val="2"/>
      </rPr>
      <t xml:space="preserve">: In [MainTable] cells where the user is expected to input data have </t>
    </r>
    <r>
      <rPr>
        <sz val="10"/>
        <color indexed="52"/>
        <rFont val="Arial"/>
        <family val="2"/>
      </rPr>
      <t>blue text : labels</t>
    </r>
    <r>
      <rPr>
        <sz val="10"/>
        <color indexed="8"/>
        <rFont val="Arial"/>
        <family val="2"/>
      </rPr>
      <t xml:space="preserve">, </t>
    </r>
    <r>
      <rPr>
        <b/>
        <sz val="10"/>
        <color indexed="53"/>
        <rFont val="Arial"/>
        <family val="2"/>
      </rPr>
      <t xml:space="preserve">bold blue </t>
    </r>
    <r>
      <rPr>
        <sz val="10"/>
        <color indexed="8"/>
        <rFont val="Arial"/>
        <family val="2"/>
      </rPr>
      <t>indicates that a selection is made from a list</t>
    </r>
    <r>
      <rPr>
        <b/>
        <sz val="10"/>
        <color indexed="8"/>
        <rFont val="Arial"/>
        <family val="2"/>
      </rPr>
      <t xml:space="preserve">. </t>
    </r>
    <r>
      <rPr>
        <sz val="10"/>
        <color indexed="8"/>
        <rFont val="Arial"/>
        <family val="2"/>
      </rPr>
      <t xml:space="preserve"> Default look-ups are </t>
    </r>
    <r>
      <rPr>
        <b/>
        <sz val="10"/>
        <color indexed="54"/>
        <rFont val="Arial"/>
        <family val="2"/>
      </rPr>
      <t>grey</t>
    </r>
    <r>
      <rPr>
        <sz val="10"/>
        <color indexed="8"/>
        <rFont val="Arial"/>
        <family val="2"/>
      </rPr>
      <t>. Checks have [</t>
    </r>
    <r>
      <rPr>
        <b/>
        <sz val="10"/>
        <color indexed="55"/>
        <rFont val="Arial"/>
        <family val="2"/>
      </rPr>
      <t>pale backgrounds</t>
    </r>
    <r>
      <rPr>
        <sz val="10"/>
        <color indexed="8"/>
        <rFont val="Arial"/>
        <family val="2"/>
      </rPr>
      <t xml:space="preserve">]; Warnings have </t>
    </r>
    <r>
      <rPr>
        <sz val="10"/>
        <color indexed="8"/>
        <rFont val="Arial"/>
        <family val="2"/>
      </rPr>
      <t>[</t>
    </r>
    <r>
      <rPr>
        <b/>
        <sz val="10"/>
        <color indexed="56"/>
        <rFont val="Arial"/>
        <family val="2"/>
      </rPr>
      <t>darker backgrounds</t>
    </r>
    <r>
      <rPr>
        <sz val="10"/>
        <color indexed="8"/>
        <rFont val="Arial"/>
        <family val="2"/>
      </rPr>
      <t xml:space="preserve">]; </t>
    </r>
    <r>
      <rPr>
        <sz val="10"/>
        <color indexed="8"/>
        <rFont val="Arial"/>
        <family val="2"/>
      </rPr>
      <t>and failure/out-of-range warnings have [</t>
    </r>
    <r>
      <rPr>
        <b/>
        <sz val="10"/>
        <color indexed="38"/>
        <rFont val="Arial"/>
        <family val="2"/>
      </rPr>
      <t>red backgrounds</t>
    </r>
    <r>
      <rPr>
        <sz val="10"/>
        <color indexed="8"/>
        <rFont val="Arial"/>
        <family val="2"/>
      </rPr>
      <t>]; Replaced MDLs or Significances have [</t>
    </r>
    <r>
      <rPr>
        <sz val="10"/>
        <color indexed="57"/>
        <rFont val="Arial"/>
        <family val="2"/>
      </rPr>
      <t>blue backgrounds</t>
    </r>
    <r>
      <rPr>
        <sz val="10"/>
        <color indexed="8"/>
        <rFont val="Arial"/>
        <family val="2"/>
      </rPr>
      <t xml:space="preserve">] </t>
    </r>
    <r>
      <rPr>
        <b/>
        <sz val="10"/>
        <color indexed="34"/>
        <rFont val="Arial"/>
        <family val="2"/>
      </rPr>
      <t>Important</t>
    </r>
    <r>
      <rPr>
        <sz val="10"/>
        <color indexed="34"/>
        <rFont val="Arial"/>
        <family val="2"/>
      </rPr>
      <t xml:space="preserve"> data is purple.</t>
    </r>
  </si>
  <si>
    <r>
      <rPr>
        <b/>
        <sz val="10"/>
        <color indexed="8"/>
        <rFont val="Arial"/>
        <family val="2"/>
      </rPr>
      <t>Getting Started</t>
    </r>
    <r>
      <rPr>
        <sz val="10"/>
        <color indexed="8"/>
        <rFont val="Arial"/>
        <family val="2"/>
      </rPr>
      <t xml:space="preserve">: The sheets are [MainTable], [SampleResults], [Distributions], [Units], and </t>
    </r>
    <r>
      <rPr>
        <b/>
        <sz val="10"/>
        <color indexed="8"/>
        <rFont val="Arial"/>
        <family val="2"/>
      </rPr>
      <t>[Notes</t>
    </r>
    <r>
      <rPr>
        <sz val="10"/>
        <color indexed="8"/>
        <rFont val="Arial"/>
        <family val="2"/>
      </rPr>
      <t xml:space="preserve">]. The last three are "look-ups" or information. </t>
    </r>
    <r>
      <rPr>
        <b/>
        <sz val="10"/>
        <color indexed="8"/>
        <rFont val="Arial"/>
        <family val="2"/>
      </rPr>
      <t>Data should be added or changed as outlined below…</t>
    </r>
  </si>
  <si>
    <r>
      <rPr>
        <sz val="11"/>
        <color indexed="8"/>
        <rFont val="Helvetica Neue"/>
      </rPr>
      <t>[</t>
    </r>
    <r>
      <rPr>
        <b/>
        <sz val="10"/>
        <color indexed="8"/>
        <rFont val="Arial"/>
        <family val="2"/>
      </rPr>
      <t>MainTable]</t>
    </r>
    <r>
      <rPr>
        <sz val="10"/>
        <color indexed="8"/>
        <rFont val="Arial"/>
        <family val="2"/>
      </rPr>
      <t xml:space="preserve">: Used to set the parameters of the Test:-
</t>
    </r>
    <r>
      <rPr>
        <sz val="10"/>
        <color indexed="8"/>
        <rFont val="Arial"/>
        <family val="2"/>
      </rPr>
      <t xml:space="preserve">The Test Name that was used to create the results is a "look-up" from the [SamplesResults] sheet.
</t>
    </r>
    <r>
      <rPr>
        <sz val="10"/>
        <color indexed="8"/>
        <rFont val="Arial"/>
        <family val="2"/>
      </rPr>
      <t xml:space="preserve">The Analyte Name is a "look-up" from the [SamplesResults] sheet.
</t>
    </r>
    <r>
      <rPr>
        <sz val="10"/>
        <color indexed="8"/>
        <rFont val="Arial"/>
        <family val="2"/>
      </rPr>
      <t>Select</t>
    </r>
    <r>
      <rPr>
        <sz val="10"/>
        <color indexed="13"/>
        <rFont val="Arial"/>
        <family val="2"/>
      </rPr>
      <t xml:space="preserve"> Report Type</t>
    </r>
    <r>
      <rPr>
        <sz val="10"/>
        <color indexed="8"/>
        <rFont val="Arial"/>
        <family val="2"/>
      </rPr>
      <t xml:space="preserve"> from the drop-down - This will produce different a different [Report] for each type.
</t>
    </r>
    <r>
      <rPr>
        <sz val="10"/>
        <color indexed="8"/>
        <rFont val="Arial"/>
        <family val="2"/>
      </rPr>
      <t xml:space="preserve">Select </t>
    </r>
    <r>
      <rPr>
        <sz val="10"/>
        <color indexed="13"/>
        <rFont val="Arial"/>
        <family val="2"/>
      </rPr>
      <t xml:space="preserve">Units </t>
    </r>
    <r>
      <rPr>
        <sz val="10"/>
        <color indexed="8"/>
        <rFont val="Arial"/>
        <family val="2"/>
      </rPr>
      <t xml:space="preserve">from the drop-down - This will change the Horwitz Ratio (larger concentrations should give higher precision).
</t>
    </r>
    <r>
      <rPr>
        <sz val="10"/>
        <color indexed="8"/>
        <rFont val="Arial"/>
        <family val="2"/>
      </rPr>
      <t>Enter '</t>
    </r>
    <r>
      <rPr>
        <sz val="10"/>
        <color indexed="52"/>
        <rFont val="Arial"/>
        <family val="2"/>
      </rPr>
      <t>Spike Value</t>
    </r>
    <r>
      <rPr>
        <sz val="10"/>
        <color indexed="8"/>
        <rFont val="Arial"/>
        <family val="2"/>
      </rPr>
      <t xml:space="preserve">' for each column (Values between 0.00001 and 10,000,000).
</t>
    </r>
    <r>
      <rPr>
        <sz val="10"/>
        <color indexed="8"/>
        <rFont val="Arial"/>
        <family val="2"/>
      </rPr>
      <t xml:space="preserve">MDL (From Mean of Previous Low Spikes) - If a value is entered, it will be used instead of the Results calculation.
</t>
    </r>
    <r>
      <rPr>
        <sz val="10"/>
        <color indexed="8"/>
        <rFont val="Arial"/>
        <family val="2"/>
      </rPr>
      <t xml:space="preserve">Select </t>
    </r>
    <r>
      <rPr>
        <sz val="10"/>
        <color indexed="13"/>
        <rFont val="Arial"/>
        <family val="2"/>
      </rPr>
      <t>Number of Significant figures</t>
    </r>
    <r>
      <rPr>
        <sz val="10"/>
        <color indexed="8"/>
        <rFont val="Arial"/>
        <family val="2"/>
      </rPr>
      <t xml:space="preserve"> - Usually </t>
    </r>
    <r>
      <rPr>
        <b/>
        <sz val="10"/>
        <color indexed="13"/>
        <rFont val="Arial"/>
        <family val="2"/>
      </rPr>
      <t>2</t>
    </r>
    <r>
      <rPr>
        <sz val="10"/>
        <color indexed="8"/>
        <rFont val="Arial"/>
        <family val="2"/>
      </rPr>
      <t xml:space="preserve"> - 1 may be useful if near Quantitation limits, 3 for special precision.
</t>
    </r>
    <r>
      <rPr>
        <sz val="10"/>
        <color indexed="8"/>
        <rFont val="Arial"/>
        <family val="2"/>
      </rPr>
      <t xml:space="preserve">Horwitz and Outlier fields with coloured backgrounds are not editable, but require consideration - Outliers or errors may well be the cause…
</t>
    </r>
    <r>
      <rPr>
        <b/>
        <sz val="10"/>
        <color indexed="8"/>
        <rFont val="Arial"/>
        <family val="2"/>
      </rPr>
      <t xml:space="preserve">Now go to the [SampleResults] Sheet to check/update outliers as below…
</t>
    </r>
    <r>
      <rPr>
        <b/>
        <sz val="10"/>
        <color indexed="8"/>
        <rFont val="Arial"/>
        <family val="2"/>
      </rPr>
      <t xml:space="preserve">
</t>
    </r>
    <r>
      <rPr>
        <b/>
        <sz val="10"/>
        <color indexed="8"/>
        <rFont val="Arial"/>
        <family val="2"/>
      </rPr>
      <t>[SampleResults]</t>
    </r>
    <r>
      <rPr>
        <sz val="10"/>
        <color indexed="8"/>
        <rFont val="Arial"/>
        <family val="2"/>
      </rPr>
      <t xml:space="preserve">: Used to add SampleID and Results. There are a number of columns:-.
</t>
    </r>
    <r>
      <rPr>
        <sz val="10"/>
        <color indexed="8"/>
        <rFont val="Arial"/>
        <family val="2"/>
      </rPr>
      <t xml:space="preserve">The First Column is used to Add/Edit </t>
    </r>
    <r>
      <rPr>
        <b/>
        <sz val="10"/>
        <color indexed="8"/>
        <rFont val="Arial"/>
        <family val="2"/>
      </rPr>
      <t>SampleID</t>
    </r>
    <r>
      <rPr>
        <sz val="10"/>
        <color indexed="8"/>
        <rFont val="Arial"/>
        <family val="2"/>
      </rPr>
      <t xml:space="preserve"> (or Paste from another application). </t>
    </r>
    <r>
      <rPr>
        <b/>
        <i/>
        <sz val="10"/>
        <color indexed="8"/>
        <rFont val="Arial"/>
        <family val="2"/>
      </rPr>
      <t>The 1st Top (Header) row must contain the Test Name.</t>
    </r>
    <r>
      <rPr>
        <sz val="10"/>
        <color indexed="8"/>
        <rFont val="Arial"/>
        <family val="2"/>
      </rPr>
      <t xml:space="preserve">
</t>
    </r>
    <r>
      <rPr>
        <b/>
        <i/>
        <sz val="10"/>
        <color indexed="8"/>
        <rFont val="Arial"/>
        <family val="2"/>
      </rPr>
      <t xml:space="preserve">Other Header rows must contain the Analyte Name. </t>
    </r>
    <r>
      <rPr>
        <sz val="10"/>
        <color indexed="8"/>
        <rFont val="Arial"/>
        <family val="2"/>
      </rPr>
      <t xml:space="preserve">The other columns are for </t>
    </r>
    <r>
      <rPr>
        <b/>
        <i/>
        <sz val="10"/>
        <color indexed="8"/>
        <rFont val="Arial"/>
        <family val="2"/>
      </rPr>
      <t>plain</t>
    </r>
    <r>
      <rPr>
        <i/>
        <sz val="10"/>
        <color indexed="8"/>
        <rFont val="Arial"/>
        <family val="2"/>
      </rPr>
      <t xml:space="preserve"> </t>
    </r>
    <r>
      <rPr>
        <b/>
        <i/>
        <sz val="10"/>
        <color indexed="8"/>
        <rFont val="Arial"/>
        <family val="2"/>
      </rPr>
      <t>numerical</t>
    </r>
    <r>
      <rPr>
        <sz val="10"/>
        <color indexed="8"/>
        <rFont val="Arial"/>
        <family val="2"/>
      </rPr>
      <t xml:space="preserve"> </t>
    </r>
    <r>
      <rPr>
        <b/>
        <sz val="10"/>
        <color indexed="8"/>
        <rFont val="Arial"/>
        <family val="2"/>
      </rPr>
      <t>Results</t>
    </r>
    <r>
      <rPr>
        <sz val="10"/>
        <color indexed="8"/>
        <rFont val="Arial"/>
        <family val="2"/>
      </rPr>
      <t xml:space="preserve"> (or Paste from another application).</t>
    </r>
    <r>
      <rPr>
        <b/>
        <sz val="10"/>
        <color indexed="8"/>
        <rFont val="Arial"/>
        <family val="2"/>
      </rPr>
      <t xml:space="preserve">
</t>
    </r>
    <r>
      <rPr>
        <sz val="10"/>
        <color indexed="8"/>
        <rFont val="Arial"/>
        <family val="2"/>
      </rPr>
      <t xml:space="preserve">Possible result </t>
    </r>
    <r>
      <rPr>
        <b/>
        <sz val="10"/>
        <color indexed="8"/>
        <rFont val="Arial"/>
        <family val="2"/>
      </rPr>
      <t>Outliers</t>
    </r>
    <r>
      <rPr>
        <sz val="10"/>
        <color indexed="8"/>
        <rFont val="Arial"/>
        <family val="2"/>
      </rPr>
      <t xml:space="preserve"> can be indicated by adding text e.g. Changing 77 to  ?77  or  77!  Adding text to Outliers will cause it to be ignored by the Horwitz and Grubbs calculations. If pasted results are not plain numbers, cell formatting will be lost.
</t>
    </r>
    <r>
      <rPr>
        <sz val="10"/>
        <color indexed="8"/>
        <rFont val="Arial"/>
        <family val="2"/>
      </rPr>
      <t xml:space="preserve">The sheet can have many rows, but normally 3-11 are used (5, or more recommended).
</t>
    </r>
    <r>
      <rPr>
        <sz val="10"/>
        <color indexed="8"/>
        <rFont val="Arial"/>
        <family val="2"/>
      </rPr>
      <t xml:space="preserve">
</t>
    </r>
    <r>
      <rPr>
        <b/>
        <sz val="10"/>
        <color indexed="8"/>
        <rFont val="Arial"/>
        <family val="2"/>
      </rPr>
      <t>[Distributions]</t>
    </r>
    <r>
      <rPr>
        <sz val="10"/>
        <color indexed="8"/>
        <rFont val="Arial"/>
        <family val="2"/>
      </rPr>
      <t xml:space="preserve">: Used to calculate Method Detection Limit (t-test) and Grubbs’ critical value for 0.05 (95%) level for 1-tail.
</t>
    </r>
    <r>
      <rPr>
        <sz val="10"/>
        <color indexed="8"/>
        <rFont val="Arial"/>
        <family val="2"/>
      </rPr>
      <t xml:space="preserve">This is not editable. It is recommended that the user consults the NIST and RSC papers, referenced in the text at the bottom of the sheet, for further background information.
</t>
    </r>
    <r>
      <rPr>
        <sz val="10"/>
        <color indexed="8"/>
        <rFont val="Arial"/>
        <family val="2"/>
      </rPr>
      <t xml:space="preserve">
</t>
    </r>
    <r>
      <rPr>
        <b/>
        <sz val="10"/>
        <color indexed="8"/>
        <rFont val="Arial"/>
        <family val="2"/>
      </rPr>
      <t>[Units]</t>
    </r>
    <r>
      <rPr>
        <sz val="10"/>
        <color indexed="8"/>
        <rFont val="Arial"/>
        <family val="2"/>
      </rPr>
      <t xml:space="preserve">: Used to calculate scale of Horwitz values, and in </t>
    </r>
    <r>
      <rPr>
        <b/>
        <sz val="10"/>
        <color indexed="8"/>
        <rFont val="Arial"/>
        <family val="2"/>
      </rPr>
      <t>[Report]</t>
    </r>
    <r>
      <rPr>
        <sz val="10"/>
        <color indexed="8"/>
        <rFont val="Arial"/>
        <family val="2"/>
      </rPr>
      <t xml:space="preserve"> and </t>
    </r>
    <r>
      <rPr>
        <b/>
        <sz val="10"/>
        <color indexed="8"/>
        <rFont val="Arial"/>
        <family val="2"/>
      </rPr>
      <t>[Calculations - Main Table]</t>
    </r>
    <r>
      <rPr>
        <sz val="10"/>
        <color indexed="8"/>
        <rFont val="Arial"/>
        <family val="2"/>
      </rPr>
      <t xml:space="preserve">:-
</t>
    </r>
    <r>
      <rPr>
        <sz val="10"/>
        <color indexed="8"/>
        <rFont val="Arial"/>
        <family val="2"/>
      </rPr>
      <t>It is normally Locked, but any changes must be reflected in</t>
    </r>
    <r>
      <rPr>
        <b/>
        <sz val="10"/>
        <color indexed="8"/>
        <rFont val="Arial"/>
        <family val="2"/>
      </rPr>
      <t xml:space="preserve"> [MU Calculations]</t>
    </r>
    <r>
      <rPr>
        <sz val="10"/>
        <color indexed="8"/>
        <rFont val="Arial"/>
        <family val="2"/>
      </rPr>
      <t xml:space="preserve"> "</t>
    </r>
    <r>
      <rPr>
        <b/>
        <sz val="10"/>
        <color indexed="13"/>
        <rFont val="Arial"/>
        <family val="2"/>
      </rPr>
      <t>Units</t>
    </r>
    <r>
      <rPr>
        <sz val="10"/>
        <color indexed="8"/>
        <rFont val="Arial"/>
        <family val="2"/>
      </rPr>
      <t>" drop-down.</t>
    </r>
  </si>
  <si>
    <r>
      <rPr>
        <b/>
        <sz val="10"/>
        <color indexed="8"/>
        <rFont val="Arial"/>
        <family val="2"/>
      </rPr>
      <t xml:space="preserve">For further information, please consult these References:-
</t>
    </r>
    <r>
      <rPr>
        <sz val="10"/>
        <color indexed="8"/>
        <rFont val="Arial"/>
        <family val="2"/>
      </rPr>
      <t xml:space="preserve">Planning and Reporting Method Validation Studies; Supplement to EURACHEM Guide on the Fitness for Purpose of Analytical Methods, First edition 2019 
</t>
    </r>
    <r>
      <rPr>
        <sz val="10"/>
        <color indexed="8"/>
        <rFont val="Arial"/>
        <family val="2"/>
      </rPr>
      <t>Blanks in Method Validation, Supplement to EURACHEM Guide The Fitness for Purpose of Analytical Methods, First Edition 2019</t>
    </r>
  </si>
  <si>
    <r>
      <rPr>
        <sz val="10"/>
        <color indexed="8"/>
        <rFont val="Arial"/>
        <family val="2"/>
      </rPr>
      <t xml:space="preserve">The </t>
    </r>
    <r>
      <rPr>
        <b/>
        <sz val="10"/>
        <color indexed="8"/>
        <rFont val="Arial"/>
        <family val="2"/>
      </rPr>
      <t>password</t>
    </r>
    <r>
      <rPr>
        <sz val="10"/>
        <color indexed="8"/>
        <rFont val="Arial"/>
        <family val="2"/>
      </rPr>
      <t xml:space="preserve"> to unlock individual MS Excel sheets and cells is "timstrutt" (no "quotes"). Apple Sheets use Locked "Shapes".</t>
    </r>
  </si>
  <si>
    <r>
      <rPr>
        <sz val="10"/>
        <color indexed="8"/>
        <rFont val="Arial"/>
        <family val="2"/>
      </rPr>
      <t>The</t>
    </r>
    <r>
      <rPr>
        <b/>
        <sz val="10"/>
        <color indexed="8"/>
        <rFont val="Arial"/>
        <family val="2"/>
      </rPr>
      <t xml:space="preserve"> [MainTable] </t>
    </r>
    <r>
      <rPr>
        <sz val="10"/>
        <color indexed="8"/>
        <rFont val="Arial"/>
        <family val="2"/>
      </rPr>
      <t xml:space="preserve">uses "hidden" rows with a  </t>
    </r>
    <r>
      <rPr>
        <i/>
        <sz val="10"/>
        <color indexed="36"/>
        <rFont val="Arial"/>
        <family val="2"/>
      </rPr>
      <t>red font</t>
    </r>
    <r>
      <rPr>
        <sz val="10"/>
        <color indexed="8"/>
        <rFont val="Arial"/>
        <family val="2"/>
      </rPr>
      <t xml:space="preserve"> - </t>
    </r>
    <r>
      <rPr>
        <sz val="10"/>
        <color indexed="38"/>
        <rFont val="Arial"/>
        <family val="2"/>
      </rPr>
      <t>Changing or deleting them will cause breakages...</t>
    </r>
  </si>
  <si>
    <r>
      <rPr>
        <b/>
        <sz val="10"/>
        <color indexed="38"/>
        <rFont val="Arial"/>
        <family val="2"/>
      </rPr>
      <t>Warning</t>
    </r>
    <r>
      <rPr>
        <sz val="10"/>
        <color indexed="8"/>
        <rFont val="Arial"/>
        <family val="2"/>
      </rPr>
      <t>: The calculations are based upon standard literature methods, but some approximations have been used. See the references for background information.</t>
    </r>
  </si>
  <si>
    <t>This spread-sheet is "Public Domain". Anyone is free to copy, modify, publish, use, or distribute it for any purpose, commercial or non-commercial, and by any means. The author is retired; carries out "Pro Bono" work only; and does not accept any responsibility for any loss caused by the use of, or failure to use, this spreadsheet.   Please do not remove my name, copyright &amp; version information.</t>
  </si>
  <si>
    <t xml:space="preserve">Version: 2023-06-010   -   ©Tim Strutt. </t>
  </si>
  <si>
    <r>
      <rPr>
        <b/>
        <sz val="11"/>
        <color indexed="8"/>
        <rFont val="Arial"/>
        <family val="2"/>
      </rPr>
      <t xml:space="preserve"> </t>
    </r>
    <r>
      <rPr>
        <b/>
        <sz val="11"/>
        <color indexed="34"/>
        <rFont val="Arial"/>
        <family val="2"/>
      </rPr>
      <t>Corrected for Recovery with Uncertainty</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</si>
</sst>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000"/>
    <numFmt numFmtId="166" formatCode="0.0000"/>
    <numFmt numFmtId="167" formatCode="0.0000000"/>
  </numFmts>
  <fonts count="42">
    <font>
      <sz val="11"/>
      <color indexed="8"/>
      <name val="Helvetica Neue"/>
    </font>
    <font>
      <sz val="11"/>
      <color indexed="9"/>
      <name val="Arial"/>
      <family val="2"/>
    </font>
    <font>
      <sz val="11"/>
      <color indexed="8"/>
      <name val="Arial"/>
      <family val="2"/>
    </font>
    <font>
      <b/>
      <sz val="11"/>
      <color indexed="8"/>
      <name val="Arial"/>
      <family val="2"/>
    </font>
    <font>
      <b/>
      <sz val="11"/>
      <color indexed="8"/>
      <name val="Helvetica Neue"/>
    </font>
    <font>
      <b/>
      <sz val="11"/>
      <color indexed="12"/>
      <name val="Arial"/>
      <family val="2"/>
    </font>
    <font>
      <b/>
      <sz val="11"/>
      <color indexed="13"/>
      <name val="Arial"/>
      <family val="2"/>
    </font>
    <font>
      <sz val="11"/>
      <color indexed="12"/>
      <name val="Arial"/>
      <family val="2"/>
    </font>
    <font>
      <sz val="11"/>
      <color indexed="13"/>
      <name val="Arial"/>
      <family val="2"/>
    </font>
    <font>
      <sz val="11"/>
      <color indexed="30"/>
      <name val="Arial"/>
      <family val="2"/>
    </font>
    <font>
      <sz val="11"/>
      <color indexed="33"/>
      <name val="Arial"/>
      <family val="2"/>
    </font>
    <font>
      <b/>
      <sz val="11"/>
      <color indexed="34"/>
      <name val="Arial"/>
      <family val="2"/>
    </font>
    <font>
      <sz val="11"/>
      <color indexed="34"/>
      <name val="Arial"/>
      <family val="2"/>
    </font>
    <font>
      <i/>
      <sz val="11"/>
      <color indexed="36"/>
      <name val="Arial"/>
      <family val="2"/>
    </font>
    <font>
      <i/>
      <sz val="11"/>
      <color indexed="36"/>
      <name val="Helvetica Neue"/>
    </font>
    <font>
      <i/>
      <sz val="11"/>
      <color indexed="38"/>
      <name val="Arial"/>
      <family val="2"/>
    </font>
    <font>
      <i/>
      <sz val="11"/>
      <color indexed="34"/>
      <name val="Arial"/>
      <family val="2"/>
    </font>
    <font>
      <i/>
      <sz val="11"/>
      <color indexed="39"/>
      <name val="Arial"/>
      <family val="2"/>
    </font>
    <font>
      <i/>
      <sz val="11"/>
      <color indexed="38"/>
      <name val="Helvetica Neue"/>
    </font>
    <font>
      <b/>
      <i/>
      <sz val="11"/>
      <color indexed="36"/>
      <name val="Arial"/>
      <family val="2"/>
    </font>
    <font>
      <b/>
      <sz val="10"/>
      <color indexed="8"/>
      <name val="Arial"/>
      <family val="2"/>
    </font>
    <font>
      <sz val="10"/>
      <color indexed="8"/>
      <name val="Arial"/>
      <family val="2"/>
    </font>
    <font>
      <sz val="10"/>
      <color indexed="48"/>
      <name val="Arial"/>
      <family val="2"/>
    </font>
    <font>
      <i/>
      <sz val="10"/>
      <color indexed="8"/>
      <name val="Arial"/>
      <family val="2"/>
    </font>
    <font>
      <sz val="12"/>
      <color indexed="8"/>
      <name val="Arial"/>
      <family val="2"/>
    </font>
    <font>
      <sz val="10"/>
      <color indexed="51"/>
      <name val="Arial"/>
      <family val="2"/>
    </font>
    <font>
      <b/>
      <sz val="10"/>
      <color indexed="34"/>
      <name val="Arial"/>
      <family val="2"/>
    </font>
    <font>
      <sz val="10"/>
      <color indexed="52"/>
      <name val="Arial"/>
      <family val="2"/>
    </font>
    <font>
      <b/>
      <sz val="10"/>
      <color indexed="53"/>
      <name val="Arial"/>
      <family val="2"/>
    </font>
    <font>
      <b/>
      <sz val="10"/>
      <color indexed="54"/>
      <name val="Arial"/>
      <family val="2"/>
    </font>
    <font>
      <b/>
      <sz val="10"/>
      <color indexed="55"/>
      <name val="Arial"/>
      <family val="2"/>
    </font>
    <font>
      <b/>
      <sz val="10"/>
      <color indexed="56"/>
      <name val="Arial"/>
      <family val="2"/>
    </font>
    <font>
      <b/>
      <sz val="10"/>
      <color indexed="38"/>
      <name val="Arial"/>
      <family val="2"/>
    </font>
    <font>
      <sz val="10"/>
      <color indexed="57"/>
      <name val="Arial"/>
      <family val="2"/>
    </font>
    <font>
      <sz val="10"/>
      <color indexed="34"/>
      <name val="Arial"/>
      <family val="2"/>
    </font>
    <font>
      <sz val="10"/>
      <color indexed="13"/>
      <name val="Arial"/>
      <family val="2"/>
    </font>
    <font>
      <b/>
      <sz val="10"/>
      <color indexed="13"/>
      <name val="Arial"/>
      <family val="2"/>
    </font>
    <font>
      <b/>
      <i/>
      <sz val="10"/>
      <color indexed="8"/>
      <name val="Arial"/>
      <family val="2"/>
    </font>
    <font>
      <i/>
      <sz val="10"/>
      <color indexed="36"/>
      <name val="Arial"/>
      <family val="2"/>
    </font>
    <font>
      <sz val="10"/>
      <color indexed="38"/>
      <name val="Arial"/>
      <family val="2"/>
    </font>
    <font>
      <sz val="11"/>
      <color indexed="8"/>
      <name val="Arial"/>
      <family val="2"/>
    </font>
    <font>
      <sz val="11"/>
      <color indexed="24"/>
      <name val="Arial"/>
      <family val="2"/>
    </font>
  </fonts>
  <fills count="9">
    <fill>
      <patternFill patternType="none"/>
    </fill>
    <fill>
      <patternFill patternType="gray125"/>
    </fill>
    <fill>
      <patternFill patternType="solid">
        <fgColor indexed="11"/>
        <bgColor auto="1"/>
      </patternFill>
    </fill>
    <fill>
      <patternFill patternType="solid">
        <fgColor indexed="15"/>
        <bgColor auto="1"/>
      </patternFill>
    </fill>
    <fill>
      <patternFill patternType="solid">
        <fgColor indexed="23"/>
        <bgColor auto="1"/>
      </patternFill>
    </fill>
    <fill>
      <patternFill patternType="solid">
        <fgColor indexed="45"/>
        <bgColor auto="1"/>
      </patternFill>
    </fill>
    <fill>
      <patternFill patternType="solid">
        <fgColor indexed="46"/>
        <bgColor auto="1"/>
      </patternFill>
    </fill>
    <fill>
      <patternFill patternType="solid">
        <fgColor indexed="27"/>
        <bgColor auto="1"/>
      </patternFill>
    </fill>
    <fill>
      <patternFill patternType="solid">
        <fgColor indexed="49"/>
        <bgColor auto="1"/>
      </patternFill>
    </fill>
  </fills>
  <borders count="72">
    <border>
      <left/>
      <right/>
      <top/>
      <bottom/>
      <diagonal/>
    </border>
    <border>
      <left style="thin">
        <color indexed="8"/>
      </left>
      <right style="thin">
        <color indexed="8"/>
      </right>
      <top style="thin">
        <color indexed="8"/>
      </top>
      <bottom style="thin">
        <color indexed="10"/>
      </bottom>
      <diagonal/>
    </border>
    <border>
      <left style="thin">
        <color indexed="8"/>
      </left>
      <right style="thin">
        <color indexed="8"/>
      </right>
      <top style="thin">
        <color indexed="10"/>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14"/>
      </bottom>
      <diagonal/>
    </border>
    <border>
      <left style="thin">
        <color indexed="8"/>
      </left>
      <right style="thin">
        <color indexed="8"/>
      </right>
      <top/>
      <bottom/>
      <diagonal/>
    </border>
    <border>
      <left style="thin">
        <color indexed="8"/>
      </left>
      <right style="thin">
        <color indexed="8"/>
      </right>
      <top style="thin">
        <color indexed="14"/>
      </top>
      <bottom style="thin">
        <color indexed="14"/>
      </bottom>
      <diagonal/>
    </border>
    <border>
      <left style="thin">
        <color indexed="8"/>
      </left>
      <right style="thin">
        <color indexed="8"/>
      </right>
      <top/>
      <bottom style="thin">
        <color indexed="14"/>
      </bottom>
      <diagonal/>
    </border>
    <border>
      <left style="thin">
        <color indexed="8"/>
      </left>
      <right style="thin">
        <color indexed="8"/>
      </right>
      <top/>
      <bottom style="thin">
        <color indexed="8"/>
      </bottom>
      <diagonal/>
    </border>
    <border>
      <left style="thin">
        <color indexed="8"/>
      </left>
      <right style="thin">
        <color indexed="8"/>
      </right>
      <top style="thin">
        <color indexed="14"/>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37"/>
      </left>
      <right/>
      <top style="thin">
        <color indexed="8"/>
      </top>
      <bottom style="thin">
        <color indexed="8"/>
      </bottom>
      <diagonal/>
    </border>
    <border>
      <left/>
      <right style="thin">
        <color indexed="37"/>
      </right>
      <top style="thin">
        <color indexed="8"/>
      </top>
      <bottom style="thin">
        <color indexed="8"/>
      </bottom>
      <diagonal/>
    </border>
    <border>
      <left style="thin">
        <color indexed="37"/>
      </left>
      <right style="thin">
        <color indexed="37"/>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thin">
        <color indexed="40"/>
      </right>
      <top style="thin">
        <color indexed="8"/>
      </top>
      <bottom style="thin">
        <color indexed="8"/>
      </bottom>
      <diagonal/>
    </border>
    <border>
      <left style="thin">
        <color indexed="8"/>
      </left>
      <right/>
      <top style="thin">
        <color indexed="8"/>
      </top>
      <bottom style="thin">
        <color indexed="8"/>
      </bottom>
      <diagonal/>
    </border>
    <border>
      <left style="thin">
        <color indexed="8"/>
      </left>
      <right style="thin">
        <color indexed="43"/>
      </right>
      <top style="thin">
        <color indexed="8"/>
      </top>
      <bottom style="thin">
        <color indexed="8"/>
      </bottom>
      <diagonal/>
    </border>
    <border>
      <left style="thin">
        <color indexed="43"/>
      </left>
      <right style="thin">
        <color indexed="43"/>
      </right>
      <top style="thin">
        <color indexed="8"/>
      </top>
      <bottom style="thin">
        <color indexed="8"/>
      </bottom>
      <diagonal/>
    </border>
    <border>
      <left style="thin">
        <color indexed="8"/>
      </left>
      <right style="medium">
        <color indexed="8"/>
      </right>
      <top style="thin">
        <color indexed="8"/>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40"/>
      </top>
      <bottom/>
      <diagonal/>
    </border>
    <border>
      <left style="thin">
        <color indexed="47"/>
      </left>
      <right style="thin">
        <color indexed="35"/>
      </right>
      <top style="thin">
        <color indexed="8"/>
      </top>
      <bottom style="thin">
        <color indexed="47"/>
      </bottom>
      <diagonal/>
    </border>
    <border>
      <left style="thin">
        <color indexed="35"/>
      </left>
      <right style="medium">
        <color indexed="8"/>
      </right>
      <top style="thin">
        <color indexed="8"/>
      </top>
      <bottom style="thin">
        <color indexed="47"/>
      </bottom>
      <diagonal/>
    </border>
    <border>
      <left style="medium">
        <color indexed="8"/>
      </left>
      <right style="thin">
        <color indexed="8"/>
      </right>
      <top style="thin">
        <color indexed="8"/>
      </top>
      <bottom style="thin">
        <color indexed="47"/>
      </bottom>
      <diagonal/>
    </border>
    <border>
      <left style="thin">
        <color indexed="47"/>
      </left>
      <right style="thin">
        <color indexed="35"/>
      </right>
      <top style="thin">
        <color indexed="47"/>
      </top>
      <bottom style="thin">
        <color indexed="37"/>
      </bottom>
      <diagonal/>
    </border>
    <border>
      <left style="thin">
        <color indexed="35"/>
      </left>
      <right style="medium">
        <color indexed="47"/>
      </right>
      <top style="thin">
        <color indexed="47"/>
      </top>
      <bottom style="thin">
        <color indexed="37"/>
      </bottom>
      <diagonal/>
    </border>
    <border>
      <left style="medium">
        <color indexed="47"/>
      </left>
      <right style="thin">
        <color indexed="8"/>
      </right>
      <top style="thin">
        <color indexed="47"/>
      </top>
      <bottom style="thin">
        <color indexed="37"/>
      </bottom>
      <diagonal/>
    </border>
    <border>
      <left style="thin">
        <color indexed="47"/>
      </left>
      <right style="thin">
        <color indexed="35"/>
      </right>
      <top style="thin">
        <color indexed="37"/>
      </top>
      <bottom style="thin">
        <color indexed="37"/>
      </bottom>
      <diagonal/>
    </border>
    <border>
      <left style="thin">
        <color indexed="35"/>
      </left>
      <right style="medium">
        <color indexed="47"/>
      </right>
      <top style="thin">
        <color indexed="37"/>
      </top>
      <bottom style="thin">
        <color indexed="37"/>
      </bottom>
      <diagonal/>
    </border>
    <border>
      <left style="medium">
        <color indexed="47"/>
      </left>
      <right style="thin">
        <color indexed="8"/>
      </right>
      <top style="thin">
        <color indexed="37"/>
      </top>
      <bottom style="thin">
        <color indexed="37"/>
      </bottom>
      <diagonal/>
    </border>
    <border>
      <left style="thin">
        <color indexed="47"/>
      </left>
      <right style="thin">
        <color indexed="35"/>
      </right>
      <top style="thin">
        <color indexed="37"/>
      </top>
      <bottom style="medium">
        <color indexed="8"/>
      </bottom>
      <diagonal/>
    </border>
    <border>
      <left style="thin">
        <color indexed="35"/>
      </left>
      <right style="medium">
        <color indexed="47"/>
      </right>
      <top style="thin">
        <color indexed="37"/>
      </top>
      <bottom style="medium">
        <color indexed="8"/>
      </bottom>
      <diagonal/>
    </border>
    <border>
      <left style="medium">
        <color indexed="47"/>
      </left>
      <right style="thin">
        <color indexed="8"/>
      </right>
      <top style="thin">
        <color indexed="37"/>
      </top>
      <bottom style="medium">
        <color indexed="8"/>
      </bottom>
      <diagonal/>
    </border>
    <border>
      <left style="thin">
        <color indexed="40"/>
      </left>
      <right/>
      <top style="medium">
        <color indexed="8"/>
      </top>
      <bottom/>
      <diagonal/>
    </border>
    <border>
      <left/>
      <right/>
      <top style="medium">
        <color indexed="8"/>
      </top>
      <bottom/>
      <diagonal/>
    </border>
    <border>
      <left/>
      <right style="thin">
        <color indexed="40"/>
      </right>
      <top style="medium">
        <color indexed="8"/>
      </top>
      <bottom/>
      <diagonal/>
    </border>
    <border>
      <left style="thin">
        <color indexed="40"/>
      </left>
      <right style="thin">
        <color indexed="40"/>
      </right>
      <top/>
      <bottom/>
      <diagonal/>
    </border>
    <border>
      <left style="thin">
        <color indexed="40"/>
      </left>
      <right/>
      <top/>
      <bottom style="thin">
        <color indexed="40"/>
      </bottom>
      <diagonal/>
    </border>
    <border>
      <left/>
      <right/>
      <top/>
      <bottom style="thin">
        <color indexed="40"/>
      </bottom>
      <diagonal/>
    </border>
    <border>
      <left/>
      <right style="thin">
        <color indexed="40"/>
      </right>
      <top/>
      <bottom style="thin">
        <color indexed="40"/>
      </bottom>
      <diagonal/>
    </border>
    <border>
      <left style="thin">
        <color indexed="40"/>
      </left>
      <right style="thin">
        <color indexed="40"/>
      </right>
      <top/>
      <bottom style="thin">
        <color indexed="40"/>
      </bottom>
      <diagonal/>
    </border>
    <border>
      <left style="thin">
        <color indexed="8"/>
      </left>
      <right style="thin">
        <color indexed="8"/>
      </right>
      <top style="thin">
        <color indexed="8"/>
      </top>
      <bottom style="thin">
        <color indexed="35"/>
      </bottom>
      <diagonal/>
    </border>
    <border>
      <left style="thin">
        <color indexed="8"/>
      </left>
      <right style="thin">
        <color indexed="8"/>
      </right>
      <top style="thin">
        <color indexed="35"/>
      </top>
      <bottom style="thin">
        <color indexed="35"/>
      </bottom>
      <diagonal/>
    </border>
    <border>
      <left style="thin">
        <color indexed="8"/>
      </left>
      <right style="thin">
        <color indexed="8"/>
      </right>
      <top style="thin">
        <color indexed="14"/>
      </top>
      <bottom style="thin">
        <color indexed="35"/>
      </bottom>
      <diagonal/>
    </border>
    <border>
      <left style="thin">
        <color indexed="8"/>
      </left>
      <right style="thin">
        <color indexed="8"/>
      </right>
      <top style="thin">
        <color indexed="35"/>
      </top>
      <bottom style="thin">
        <color indexed="33"/>
      </bottom>
      <diagonal/>
    </border>
    <border>
      <left style="thin">
        <color indexed="8"/>
      </left>
      <right style="thin">
        <color indexed="8"/>
      </right>
      <top style="thin">
        <color indexed="33"/>
      </top>
      <bottom style="thin">
        <color indexed="33"/>
      </bottom>
      <diagonal/>
    </border>
    <border>
      <left style="thin">
        <color indexed="8"/>
      </left>
      <right style="thin">
        <color indexed="8"/>
      </right>
      <top style="thin">
        <color indexed="35"/>
      </top>
      <bottom style="thin">
        <color indexed="14"/>
      </bottom>
      <diagonal/>
    </border>
    <border>
      <left style="thin">
        <color indexed="8"/>
      </left>
      <right style="thin">
        <color indexed="8"/>
      </right>
      <top style="thin">
        <color indexed="33"/>
      </top>
      <bottom style="thin">
        <color indexed="8"/>
      </bottom>
      <diagonal/>
    </border>
    <border>
      <left style="thin">
        <color indexed="8"/>
      </left>
      <right style="thin">
        <color indexed="8"/>
      </right>
      <top style="thin">
        <color indexed="35"/>
      </top>
      <bottom style="thin">
        <color indexed="8"/>
      </bottom>
      <diagonal/>
    </border>
    <border>
      <left style="thin">
        <color indexed="40"/>
      </left>
      <right/>
      <top style="thin">
        <color indexed="8"/>
      </top>
      <bottom/>
      <diagonal/>
    </border>
    <border>
      <left/>
      <right style="thin">
        <color indexed="40"/>
      </right>
      <top style="thin">
        <color indexed="8"/>
      </top>
      <bottom/>
      <diagonal/>
    </border>
    <border>
      <left style="thin">
        <color indexed="40"/>
      </left>
      <right/>
      <top/>
      <bottom/>
      <diagonal/>
    </border>
    <border>
      <left/>
      <right style="thin">
        <color indexed="40"/>
      </right>
      <top/>
      <bottom/>
      <diagonal/>
    </border>
    <border>
      <left style="thin">
        <color indexed="40"/>
      </left>
      <right style="thin">
        <color indexed="40"/>
      </right>
      <top style="thin">
        <color indexed="8"/>
      </top>
      <bottom/>
      <diagonal/>
    </border>
    <border>
      <left style="thin">
        <color indexed="40"/>
      </left>
      <right style="thin">
        <color indexed="40"/>
      </right>
      <top style="thin">
        <color indexed="40"/>
      </top>
      <bottom/>
      <diagonal/>
    </border>
    <border>
      <left style="thin">
        <color indexed="40"/>
      </left>
      <right style="thin">
        <color indexed="40"/>
      </right>
      <top/>
      <bottom style="thin">
        <color indexed="8"/>
      </bottom>
      <diagonal/>
    </border>
    <border>
      <left style="thin">
        <color indexed="40"/>
      </left>
      <right style="thin">
        <color indexed="40"/>
      </right>
      <top style="thin">
        <color indexed="8"/>
      </top>
      <bottom style="thin">
        <color indexed="8"/>
      </bottom>
      <diagonal/>
    </border>
    <border>
      <left/>
      <right/>
      <top/>
      <bottom style="thin">
        <color indexed="64"/>
      </bottom>
      <diagonal/>
    </border>
    <border>
      <left style="thin">
        <color indexed="8"/>
      </left>
      <right style="thin">
        <color indexed="8"/>
      </right>
      <top/>
      <bottom style="thin">
        <color indexed="64"/>
      </bottom>
      <diagonal/>
    </border>
    <border>
      <left/>
      <right style="thin">
        <color indexed="8"/>
      </right>
      <top/>
      <bottom/>
      <diagonal/>
    </border>
    <border>
      <left/>
      <right style="thin">
        <color indexed="8"/>
      </right>
      <top/>
      <bottom style="thin">
        <color indexed="64"/>
      </bottom>
      <diagonal/>
    </border>
    <border>
      <left style="thin">
        <color indexed="43"/>
      </left>
      <right style="thin">
        <color indexed="64"/>
      </right>
      <top style="thin">
        <color indexed="8"/>
      </top>
      <bottom style="thin">
        <color indexed="8"/>
      </bottom>
      <diagonal/>
    </border>
    <border>
      <left style="thin">
        <color indexed="8"/>
      </left>
      <right style="thin">
        <color indexed="64"/>
      </right>
      <top/>
      <bottom/>
      <diagonal/>
    </border>
    <border>
      <left style="thin">
        <color indexed="8"/>
      </left>
      <right style="thin">
        <color indexed="64"/>
      </right>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s>
  <cellStyleXfs count="1">
    <xf numFmtId="0" fontId="0" fillId="0" borderId="0" applyNumberFormat="0" applyFill="0" applyBorder="0" applyProtection="0"/>
  </cellStyleXfs>
  <cellXfs count="180">
    <xf numFmtId="0" fontId="0" fillId="0" borderId="0" xfId="0" applyFont="1" applyAlignment="1"/>
    <xf numFmtId="0" fontId="0" fillId="0" borderId="0" xfId="0" applyNumberFormat="1" applyFont="1" applyAlignment="1"/>
    <xf numFmtId="49" fontId="5" fillId="0" borderId="1" xfId="0" applyNumberFormat="1" applyFont="1" applyBorder="1" applyAlignment="1">
      <alignment horizontal="right"/>
    </xf>
    <xf numFmtId="49" fontId="5" fillId="0" borderId="2" xfId="0" applyNumberFormat="1" applyFont="1" applyBorder="1" applyAlignment="1">
      <alignment horizontal="right"/>
    </xf>
    <xf numFmtId="49" fontId="7" fillId="0" borderId="4" xfId="0" applyNumberFormat="1" applyFont="1" applyBorder="1" applyAlignment="1">
      <alignment horizontal="right"/>
    </xf>
    <xf numFmtId="49" fontId="7" fillId="0" borderId="3" xfId="0" applyNumberFormat="1" applyFont="1" applyBorder="1" applyAlignment="1">
      <alignment horizontal="right"/>
    </xf>
    <xf numFmtId="49" fontId="1" fillId="0" borderId="5" xfId="0" applyNumberFormat="1" applyFont="1" applyBorder="1" applyAlignment="1">
      <alignment horizontal="left" vertical="center" wrapText="1"/>
    </xf>
    <xf numFmtId="49" fontId="7" fillId="3" borderId="6" xfId="0" applyNumberFormat="1" applyFont="1" applyFill="1" applyBorder="1" applyAlignment="1">
      <alignment horizontal="right" vertical="center"/>
    </xf>
    <xf numFmtId="49" fontId="7" fillId="3" borderId="7" xfId="0" applyNumberFormat="1" applyFont="1" applyFill="1" applyBorder="1" applyAlignment="1">
      <alignment horizontal="right" vertical="center"/>
    </xf>
    <xf numFmtId="49" fontId="1" fillId="0" borderId="8" xfId="0" applyNumberFormat="1" applyFont="1" applyBorder="1" applyAlignment="1">
      <alignment horizontal="left" vertical="center" wrapText="1"/>
    </xf>
    <xf numFmtId="0" fontId="7" fillId="3" borderId="9" xfId="0" applyNumberFormat="1" applyFont="1" applyFill="1" applyBorder="1" applyAlignment="1">
      <alignment vertical="center"/>
    </xf>
    <xf numFmtId="49" fontId="2" fillId="3" borderId="10" xfId="0" applyNumberFormat="1" applyFont="1" applyFill="1" applyBorder="1" applyAlignment="1">
      <alignment horizontal="right" vertical="center"/>
    </xf>
    <xf numFmtId="0" fontId="2" fillId="3" borderId="10" xfId="0" applyNumberFormat="1" applyFont="1" applyFill="1" applyBorder="1" applyAlignment="1">
      <alignment horizontal="right" vertical="center"/>
    </xf>
    <xf numFmtId="164" fontId="2" fillId="3" borderId="11" xfId="0" applyNumberFormat="1" applyFont="1" applyFill="1" applyBorder="1" applyAlignment="1">
      <alignment vertical="center"/>
    </xf>
    <xf numFmtId="164" fontId="2" fillId="3" borderId="12" xfId="0" applyNumberFormat="1" applyFont="1" applyFill="1" applyBorder="1" applyAlignment="1">
      <alignment vertical="center"/>
    </xf>
    <xf numFmtId="2" fontId="9" fillId="3" borderId="3" xfId="0" applyNumberFormat="1" applyFont="1" applyFill="1" applyBorder="1" applyAlignment="1">
      <alignment vertical="center"/>
    </xf>
    <xf numFmtId="0" fontId="10" fillId="3" borderId="8" xfId="0" applyNumberFormat="1" applyFont="1" applyFill="1" applyBorder="1" applyAlignment="1">
      <alignment vertical="center"/>
    </xf>
    <xf numFmtId="49" fontId="11" fillId="3" borderId="10" xfId="0" applyNumberFormat="1" applyFont="1" applyFill="1" applyBorder="1" applyAlignment="1">
      <alignment horizontal="right" vertical="center"/>
    </xf>
    <xf numFmtId="49" fontId="12" fillId="3" borderId="11" xfId="0" applyNumberFormat="1" applyFont="1" applyFill="1" applyBorder="1" applyAlignment="1">
      <alignment horizontal="right" vertical="center"/>
    </xf>
    <xf numFmtId="9" fontId="11" fillId="3" borderId="12" xfId="0" applyNumberFormat="1" applyFont="1" applyFill="1" applyBorder="1" applyAlignment="1">
      <alignment horizontal="right" vertical="center"/>
    </xf>
    <xf numFmtId="49" fontId="12" fillId="3" borderId="13" xfId="0" applyNumberFormat="1" applyFont="1" applyFill="1" applyBorder="1" applyAlignment="1">
      <alignment horizontal="right" vertical="center"/>
    </xf>
    <xf numFmtId="49" fontId="13" fillId="3" borderId="14" xfId="0" applyNumberFormat="1" applyFont="1" applyFill="1" applyBorder="1" applyAlignment="1">
      <alignment horizontal="left" vertical="center"/>
    </xf>
    <xf numFmtId="0" fontId="14" fillId="3" borderId="16" xfId="0" applyNumberFormat="1" applyFont="1" applyFill="1" applyBorder="1" applyAlignment="1">
      <alignment horizontal="right" vertical="center"/>
    </xf>
    <xf numFmtId="0" fontId="15" fillId="3" borderId="16" xfId="0" applyNumberFormat="1" applyFont="1" applyFill="1" applyBorder="1" applyAlignment="1">
      <alignment vertical="center"/>
    </xf>
    <xf numFmtId="49" fontId="16" fillId="3" borderId="13" xfId="0" applyNumberFormat="1" applyFont="1" applyFill="1" applyBorder="1" applyAlignment="1">
      <alignment horizontal="right" vertical="center"/>
    </xf>
    <xf numFmtId="49" fontId="17" fillId="3" borderId="13" xfId="0" applyNumberFormat="1" applyFont="1" applyFill="1" applyBorder="1" applyAlignment="1">
      <alignment horizontal="right" vertical="center"/>
    </xf>
    <xf numFmtId="165" fontId="18" fillId="3" borderId="16" xfId="0" applyNumberFormat="1" applyFont="1" applyFill="1" applyBorder="1" applyAlignment="1">
      <alignment horizontal="right" vertical="center"/>
    </xf>
    <xf numFmtId="166" fontId="15" fillId="3" borderId="16" xfId="0" applyNumberFormat="1" applyFont="1" applyFill="1" applyBorder="1" applyAlignment="1">
      <alignment horizontal="right" vertical="center"/>
    </xf>
    <xf numFmtId="167" fontId="15" fillId="3" borderId="16" xfId="0" applyNumberFormat="1" applyFont="1" applyFill="1" applyBorder="1" applyAlignment="1">
      <alignment horizontal="right" vertical="center"/>
    </xf>
    <xf numFmtId="11" fontId="15" fillId="3" borderId="16" xfId="0" applyNumberFormat="1" applyFont="1" applyFill="1" applyBorder="1" applyAlignment="1">
      <alignment vertical="center"/>
    </xf>
    <xf numFmtId="4" fontId="15" fillId="3" borderId="16" xfId="0" applyNumberFormat="1" applyFont="1" applyFill="1" applyBorder="1" applyAlignment="1">
      <alignment vertical="center"/>
    </xf>
    <xf numFmtId="167" fontId="13" fillId="3" borderId="16" xfId="0" applyNumberFormat="1" applyFont="1" applyFill="1" applyBorder="1" applyAlignment="1">
      <alignment horizontal="right" vertical="center" wrapText="1"/>
    </xf>
    <xf numFmtId="167" fontId="18" fillId="3" borderId="16" xfId="0" applyNumberFormat="1" applyFont="1" applyFill="1" applyBorder="1" applyAlignment="1">
      <alignment vertical="center"/>
    </xf>
    <xf numFmtId="167" fontId="14" fillId="3" borderId="16" xfId="0" applyNumberFormat="1" applyFont="1" applyFill="1" applyBorder="1" applyAlignment="1">
      <alignment vertical="center"/>
    </xf>
    <xf numFmtId="167" fontId="14" fillId="3" borderId="16" xfId="0" applyNumberFormat="1" applyFont="1" applyFill="1" applyBorder="1" applyAlignment="1">
      <alignment horizontal="right" vertical="center"/>
    </xf>
    <xf numFmtId="0" fontId="0" fillId="0" borderId="13" xfId="0" applyFont="1" applyBorder="1" applyAlignment="1"/>
    <xf numFmtId="0" fontId="0" fillId="0" borderId="19" xfId="0" applyFont="1" applyBorder="1" applyAlignment="1"/>
    <xf numFmtId="49" fontId="13" fillId="0" borderId="20" xfId="0" applyNumberFormat="1" applyFont="1" applyBorder="1" applyAlignment="1">
      <alignment horizontal="left" vertical="center"/>
    </xf>
    <xf numFmtId="167" fontId="13" fillId="3" borderId="16" xfId="0" applyNumberFormat="1" applyFont="1" applyFill="1" applyBorder="1" applyAlignment="1">
      <alignment vertical="center"/>
    </xf>
    <xf numFmtId="49" fontId="19" fillId="3" borderId="14" xfId="0" applyNumberFormat="1" applyFont="1" applyFill="1" applyBorder="1" applyAlignment="1">
      <alignment horizontal="left" vertical="center"/>
    </xf>
    <xf numFmtId="167" fontId="13" fillId="3" borderId="16" xfId="0" applyNumberFormat="1" applyFont="1" applyFill="1" applyBorder="1" applyAlignment="1">
      <alignment horizontal="right" vertical="center"/>
    </xf>
    <xf numFmtId="49" fontId="13" fillId="0" borderId="14" xfId="0" applyNumberFormat="1" applyFont="1" applyBorder="1" applyAlignment="1">
      <alignment horizontal="left" vertical="center"/>
    </xf>
    <xf numFmtId="0" fontId="13" fillId="0" borderId="16" xfId="0" applyNumberFormat="1" applyFont="1" applyBorder="1" applyAlignment="1">
      <alignment horizontal="right" vertical="center"/>
    </xf>
    <xf numFmtId="167" fontId="13" fillId="0" borderId="16" xfId="0" applyNumberFormat="1" applyFont="1" applyBorder="1" applyAlignment="1">
      <alignment horizontal="right" vertical="center"/>
    </xf>
    <xf numFmtId="49" fontId="13" fillId="0" borderId="16" xfId="0" applyNumberFormat="1" applyFont="1" applyBorder="1" applyAlignment="1">
      <alignment horizontal="right" vertical="center"/>
    </xf>
    <xf numFmtId="49" fontId="19" fillId="0" borderId="14" xfId="0" applyNumberFormat="1" applyFont="1" applyBorder="1" applyAlignment="1">
      <alignment horizontal="left" vertical="center"/>
    </xf>
    <xf numFmtId="49" fontId="19" fillId="0" borderId="16" xfId="0" applyNumberFormat="1" applyFont="1" applyBorder="1" applyAlignment="1">
      <alignment horizontal="right" vertical="center"/>
    </xf>
    <xf numFmtId="0" fontId="13" fillId="0" borderId="16" xfId="0" applyFont="1" applyBorder="1" applyAlignment="1">
      <alignment horizontal="right" vertical="center"/>
    </xf>
    <xf numFmtId="1" fontId="13" fillId="0" borderId="16" xfId="0" applyNumberFormat="1" applyFont="1" applyBorder="1" applyAlignment="1">
      <alignment horizontal="right" vertical="center"/>
    </xf>
    <xf numFmtId="0" fontId="0" fillId="0" borderId="0" xfId="0" applyNumberFormat="1" applyFont="1" applyAlignment="1"/>
    <xf numFmtId="49" fontId="20" fillId="5" borderId="24" xfId="0" applyNumberFormat="1" applyFont="1" applyFill="1" applyBorder="1" applyAlignment="1">
      <alignment horizontal="center" vertical="center"/>
    </xf>
    <xf numFmtId="0" fontId="4" fillId="6" borderId="25" xfId="0" applyFont="1" applyFill="1" applyBorder="1" applyAlignment="1"/>
    <xf numFmtId="49" fontId="20" fillId="7" borderId="26" xfId="0" applyNumberFormat="1" applyFont="1" applyFill="1" applyBorder="1" applyAlignment="1">
      <alignment horizontal="center" vertical="center"/>
    </xf>
    <xf numFmtId="9" fontId="20" fillId="7" borderId="27" xfId="0" applyNumberFormat="1" applyFont="1" applyFill="1" applyBorder="1" applyAlignment="1">
      <alignment horizontal="center" vertical="center"/>
    </xf>
    <xf numFmtId="49" fontId="20" fillId="7" borderId="28" xfId="0" applyNumberFormat="1" applyFont="1" applyFill="1" applyBorder="1" applyAlignment="1">
      <alignment horizontal="center" vertical="center"/>
    </xf>
    <xf numFmtId="0" fontId="4" fillId="6" borderId="11" xfId="0" applyFont="1" applyFill="1" applyBorder="1" applyAlignment="1"/>
    <xf numFmtId="0" fontId="21" fillId="7" borderId="29" xfId="0" applyNumberFormat="1" applyFont="1" applyFill="1" applyBorder="1" applyAlignment="1">
      <alignment horizontal="left"/>
    </xf>
    <xf numFmtId="0" fontId="21" fillId="7" borderId="30" xfId="0" applyNumberFormat="1" applyFont="1" applyFill="1" applyBorder="1" applyAlignment="1">
      <alignment horizontal="left" vertical="center"/>
    </xf>
    <xf numFmtId="0" fontId="22" fillId="7" borderId="31" xfId="0" applyFont="1" applyFill="1" applyBorder="1" applyAlignment="1">
      <alignment horizontal="left" vertical="center"/>
    </xf>
    <xf numFmtId="0" fontId="0" fillId="3" borderId="11" xfId="0" applyFont="1" applyFill="1" applyBorder="1" applyAlignment="1"/>
    <xf numFmtId="0" fontId="21" fillId="3" borderId="32" xfId="0" applyNumberFormat="1" applyFont="1" applyFill="1" applyBorder="1" applyAlignment="1">
      <alignment horizontal="left"/>
    </xf>
    <xf numFmtId="0" fontId="21" fillId="3" borderId="33" xfId="0" applyNumberFormat="1" applyFont="1" applyFill="1" applyBorder="1" applyAlignment="1">
      <alignment horizontal="left" vertical="center"/>
    </xf>
    <xf numFmtId="0" fontId="22" fillId="3" borderId="34" xfId="0" applyFont="1" applyFill="1" applyBorder="1" applyAlignment="1">
      <alignment horizontal="left" vertical="center"/>
    </xf>
    <xf numFmtId="0" fontId="21" fillId="7" borderId="32" xfId="0" applyNumberFormat="1" applyFont="1" applyFill="1" applyBorder="1" applyAlignment="1">
      <alignment horizontal="left"/>
    </xf>
    <xf numFmtId="0" fontId="21" fillId="7" borderId="33" xfId="0" applyNumberFormat="1" applyFont="1" applyFill="1" applyBorder="1" applyAlignment="1">
      <alignment horizontal="left" vertical="center"/>
    </xf>
    <xf numFmtId="0" fontId="22" fillId="7" borderId="34" xfId="0" applyNumberFormat="1" applyFont="1" applyFill="1" applyBorder="1" applyAlignment="1">
      <alignment horizontal="left" vertical="center"/>
    </xf>
    <xf numFmtId="0" fontId="22" fillId="3" borderId="34" xfId="0" applyNumberFormat="1" applyFont="1" applyFill="1" applyBorder="1" applyAlignment="1">
      <alignment horizontal="left" vertical="center"/>
    </xf>
    <xf numFmtId="0" fontId="21" fillId="3" borderId="35" xfId="0" applyNumberFormat="1" applyFont="1" applyFill="1" applyBorder="1" applyAlignment="1">
      <alignment horizontal="left" vertical="center"/>
    </xf>
    <xf numFmtId="0" fontId="21" fillId="3" borderId="36" xfId="0" applyNumberFormat="1" applyFont="1" applyFill="1" applyBorder="1" applyAlignment="1">
      <alignment horizontal="left" vertical="center"/>
    </xf>
    <xf numFmtId="0" fontId="22" fillId="3" borderId="37" xfId="0" applyNumberFormat="1" applyFont="1" applyFill="1" applyBorder="1" applyAlignment="1">
      <alignment horizontal="left" vertical="center"/>
    </xf>
    <xf numFmtId="0" fontId="21" fillId="3" borderId="38" xfId="0" applyFont="1" applyFill="1" applyBorder="1" applyAlignment="1">
      <alignment horizontal="left"/>
    </xf>
    <xf numFmtId="0" fontId="21" fillId="3" borderId="39" xfId="0" applyFont="1" applyFill="1" applyBorder="1" applyAlignment="1">
      <alignment horizontal="left"/>
    </xf>
    <xf numFmtId="0" fontId="22" fillId="3" borderId="40" xfId="0" applyFont="1" applyFill="1" applyBorder="1" applyAlignment="1">
      <alignment horizontal="left"/>
    </xf>
    <xf numFmtId="0" fontId="0" fillId="3" borderId="41" xfId="0" applyFont="1" applyFill="1" applyBorder="1" applyAlignment="1"/>
    <xf numFmtId="0" fontId="21" fillId="3" borderId="42" xfId="0" applyFont="1" applyFill="1" applyBorder="1" applyAlignment="1">
      <alignment horizontal="left"/>
    </xf>
    <xf numFmtId="0" fontId="21" fillId="3" borderId="43" xfId="0" applyFont="1" applyFill="1" applyBorder="1" applyAlignment="1">
      <alignment horizontal="left" vertical="center"/>
    </xf>
    <xf numFmtId="0" fontId="22" fillId="3" borderId="44" xfId="0" applyFont="1" applyFill="1" applyBorder="1" applyAlignment="1">
      <alignment horizontal="left" vertical="center"/>
    </xf>
    <xf numFmtId="0" fontId="0" fillId="3" borderId="45" xfId="0" applyFont="1" applyFill="1" applyBorder="1" applyAlignment="1"/>
    <xf numFmtId="0" fontId="0" fillId="0" borderId="0" xfId="0" applyNumberFormat="1" applyFont="1" applyAlignment="1"/>
    <xf numFmtId="49" fontId="3" fillId="6" borderId="13" xfId="0" applyNumberFormat="1" applyFont="1" applyFill="1" applyBorder="1" applyAlignment="1">
      <alignment horizontal="left" vertical="center"/>
    </xf>
    <xf numFmtId="49" fontId="3" fillId="6" borderId="13" xfId="0" applyNumberFormat="1" applyFont="1" applyFill="1" applyBorder="1" applyAlignment="1">
      <alignment horizontal="center" vertical="center"/>
    </xf>
    <xf numFmtId="49" fontId="3" fillId="7" borderId="46" xfId="0" applyNumberFormat="1" applyFont="1" applyFill="1" applyBorder="1" applyAlignment="1">
      <alignment horizontal="left"/>
    </xf>
    <xf numFmtId="3" fontId="2" fillId="3" borderId="4" xfId="0" applyNumberFormat="1" applyFont="1" applyFill="1" applyBorder="1" applyAlignment="1">
      <alignment horizontal="right"/>
    </xf>
    <xf numFmtId="49" fontId="3" fillId="7" borderId="47" xfId="0" applyNumberFormat="1" applyFont="1" applyFill="1" applyBorder="1" applyAlignment="1">
      <alignment horizontal="left"/>
    </xf>
    <xf numFmtId="3" fontId="2" fillId="3" borderId="48" xfId="0" applyNumberFormat="1" applyFont="1" applyFill="1" applyBorder="1" applyAlignment="1">
      <alignment horizontal="right"/>
    </xf>
    <xf numFmtId="3" fontId="2" fillId="3" borderId="47" xfId="0" applyNumberFormat="1" applyFont="1" applyFill="1" applyBorder="1" applyAlignment="1">
      <alignment horizontal="right"/>
    </xf>
    <xf numFmtId="49" fontId="3" fillId="7" borderId="49" xfId="0" applyNumberFormat="1" applyFont="1" applyFill="1" applyBorder="1" applyAlignment="1">
      <alignment horizontal="left"/>
    </xf>
    <xf numFmtId="49" fontId="3" fillId="7" borderId="50" xfId="0" applyNumberFormat="1" applyFont="1" applyFill="1" applyBorder="1" applyAlignment="1">
      <alignment horizontal="left"/>
    </xf>
    <xf numFmtId="3" fontId="2" fillId="3" borderId="51" xfId="0" applyNumberFormat="1" applyFont="1" applyFill="1" applyBorder="1" applyAlignment="1">
      <alignment horizontal="right"/>
    </xf>
    <xf numFmtId="3" fontId="24" fillId="3" borderId="48" xfId="0" applyNumberFormat="1" applyFont="1" applyFill="1" applyBorder="1" applyAlignment="1">
      <alignment horizontal="right"/>
    </xf>
    <xf numFmtId="49" fontId="3" fillId="7" borderId="52" xfId="0" applyNumberFormat="1" applyFont="1" applyFill="1" applyBorder="1" applyAlignment="1">
      <alignment horizontal="left"/>
    </xf>
    <xf numFmtId="0" fontId="0" fillId="3" borderId="53" xfId="0" applyFont="1" applyFill="1" applyBorder="1" applyAlignment="1"/>
    <xf numFmtId="0" fontId="4" fillId="3" borderId="54" xfId="0" applyFont="1" applyFill="1" applyBorder="1" applyAlignment="1"/>
    <xf numFmtId="0" fontId="0" fillId="3" borderId="55" xfId="0" applyFont="1" applyFill="1" applyBorder="1" applyAlignment="1"/>
    <xf numFmtId="0" fontId="4" fillId="3" borderId="56" xfId="0" applyFont="1" applyFill="1" applyBorder="1" applyAlignment="1"/>
    <xf numFmtId="0" fontId="0" fillId="3" borderId="57" xfId="0" applyFont="1" applyFill="1" applyBorder="1" applyAlignment="1"/>
    <xf numFmtId="0" fontId="4" fillId="8" borderId="56" xfId="0" applyFont="1" applyFill="1" applyBorder="1" applyAlignment="1"/>
    <xf numFmtId="0" fontId="4" fillId="3" borderId="42" xfId="0" applyFont="1" applyFill="1" applyBorder="1" applyAlignment="1"/>
    <xf numFmtId="0" fontId="4" fillId="3" borderId="44" xfId="0" applyFont="1" applyFill="1" applyBorder="1" applyAlignment="1"/>
    <xf numFmtId="0" fontId="0" fillId="0" borderId="0" xfId="0" applyNumberFormat="1" applyFont="1" applyAlignment="1"/>
    <xf numFmtId="49" fontId="21" fillId="3" borderId="58" xfId="0" applyNumberFormat="1" applyFont="1" applyFill="1" applyBorder="1" applyAlignment="1">
      <alignment horizontal="left" vertical="center" wrapText="1"/>
    </xf>
    <xf numFmtId="0" fontId="0" fillId="3" borderId="59" xfId="0" applyFont="1" applyFill="1" applyBorder="1" applyAlignment="1"/>
    <xf numFmtId="49" fontId="21" fillId="3" borderId="41" xfId="0" applyNumberFormat="1" applyFont="1" applyFill="1" applyBorder="1" applyAlignment="1">
      <alignment horizontal="left" vertical="center" wrapText="1"/>
    </xf>
    <xf numFmtId="49" fontId="21" fillId="3" borderId="60" xfId="0" applyNumberFormat="1" applyFont="1" applyFill="1" applyBorder="1" applyAlignment="1">
      <alignment horizontal="left" vertical="center" wrapText="1"/>
    </xf>
    <xf numFmtId="49" fontId="21" fillId="3" borderId="61" xfId="0" applyNumberFormat="1" applyFont="1" applyFill="1" applyBorder="1" applyAlignment="1">
      <alignment horizontal="left" vertical="center" wrapText="1"/>
    </xf>
    <xf numFmtId="49" fontId="20" fillId="3" borderId="60" xfId="0" applyNumberFormat="1" applyFont="1" applyFill="1" applyBorder="1" applyAlignment="1">
      <alignment horizontal="left" vertical="center" wrapText="1"/>
    </xf>
    <xf numFmtId="49" fontId="26" fillId="3" borderId="41" xfId="0" applyNumberFormat="1" applyFont="1" applyFill="1" applyBorder="1" applyAlignment="1">
      <alignment horizontal="right" vertical="center" wrapText="1"/>
    </xf>
    <xf numFmtId="0" fontId="4" fillId="3" borderId="60" xfId="0" applyFont="1" applyFill="1" applyBorder="1" applyAlignment="1"/>
    <xf numFmtId="0" fontId="4" fillId="3" borderId="45" xfId="0" applyFont="1" applyFill="1" applyBorder="1" applyAlignment="1"/>
    <xf numFmtId="2" fontId="41" fillId="2" borderId="12" xfId="0" applyNumberFormat="1" applyFont="1" applyFill="1" applyBorder="1" applyAlignment="1">
      <alignment vertical="center"/>
    </xf>
    <xf numFmtId="49" fontId="2" fillId="0" borderId="10" xfId="0" applyNumberFormat="1" applyFont="1" applyBorder="1" applyAlignment="1" applyProtection="1">
      <alignment horizontal="left" vertical="center"/>
      <protection locked="0"/>
    </xf>
    <xf numFmtId="49" fontId="2" fillId="0" borderId="11" xfId="0" applyNumberFormat="1" applyFont="1" applyBorder="1" applyAlignment="1" applyProtection="1">
      <alignment horizontal="left" vertical="center"/>
      <protection locked="0"/>
    </xf>
    <xf numFmtId="49" fontId="12" fillId="3" borderId="13" xfId="0" applyNumberFormat="1" applyFont="1" applyFill="1" applyBorder="1" applyAlignment="1">
      <alignment horizontal="left" vertical="center"/>
    </xf>
    <xf numFmtId="49" fontId="16" fillId="3" borderId="13" xfId="0" applyNumberFormat="1" applyFont="1" applyFill="1" applyBorder="1" applyAlignment="1">
      <alignment horizontal="left" vertical="center"/>
    </xf>
    <xf numFmtId="49" fontId="11" fillId="3" borderId="13" xfId="0" applyNumberFormat="1" applyFont="1" applyFill="1" applyBorder="1" applyAlignment="1">
      <alignment horizontal="left" vertical="center"/>
    </xf>
    <xf numFmtId="49" fontId="17" fillId="3" borderId="13" xfId="0" applyNumberFormat="1" applyFont="1" applyFill="1" applyBorder="1" applyAlignment="1">
      <alignment horizontal="left" vertical="center"/>
    </xf>
    <xf numFmtId="49" fontId="2" fillId="0" borderId="3" xfId="0" applyNumberFormat="1" applyFont="1" applyBorder="1" applyAlignment="1">
      <alignment horizontal="left" vertical="center"/>
    </xf>
    <xf numFmtId="49" fontId="20" fillId="5" borderId="13" xfId="0" applyNumberFormat="1" applyFont="1" applyFill="1" applyBorder="1" applyAlignment="1">
      <alignment horizontal="center" vertical="center"/>
    </xf>
    <xf numFmtId="49" fontId="20" fillId="5" borderId="23" xfId="0" applyNumberFormat="1" applyFont="1" applyFill="1" applyBorder="1" applyAlignment="1">
      <alignment horizontal="center" vertical="center"/>
    </xf>
    <xf numFmtId="49" fontId="2" fillId="0" borderId="63" xfId="0" applyNumberFormat="1" applyFont="1" applyBorder="1" applyAlignment="1" applyProtection="1">
      <alignment horizontal="left" vertical="center"/>
      <protection locked="0"/>
    </xf>
    <xf numFmtId="0" fontId="2" fillId="0" borderId="11" xfId="0" applyNumberFormat="1" applyFont="1" applyBorder="1" applyAlignment="1" applyProtection="1">
      <alignment horizontal="right" vertical="top"/>
      <protection locked="0"/>
    </xf>
    <xf numFmtId="0" fontId="40" fillId="0" borderId="11" xfId="0" applyNumberFormat="1" applyFont="1" applyBorder="1" applyAlignment="1" applyProtection="1">
      <alignment horizontal="right" vertical="top"/>
      <protection locked="0"/>
    </xf>
    <xf numFmtId="0" fontId="40" fillId="0" borderId="63" xfId="0" applyNumberFormat="1" applyFont="1" applyBorder="1" applyAlignment="1" applyProtection="1">
      <alignment horizontal="right" vertical="top"/>
      <protection locked="0"/>
    </xf>
    <xf numFmtId="0" fontId="2" fillId="0" borderId="63" xfId="0" applyNumberFormat="1" applyFont="1" applyBorder="1" applyAlignment="1" applyProtection="1">
      <alignment horizontal="right" vertical="top"/>
      <protection locked="0"/>
    </xf>
    <xf numFmtId="49" fontId="2" fillId="0" borderId="21" xfId="0" applyNumberFormat="1" applyFont="1" applyBorder="1" applyAlignment="1" applyProtection="1">
      <alignment horizontal="left" vertical="center"/>
      <protection locked="0"/>
    </xf>
    <xf numFmtId="49" fontId="2" fillId="0" borderId="22" xfId="0" applyNumberFormat="1" applyFont="1" applyBorder="1" applyAlignment="1" applyProtection="1">
      <alignment horizontal="right" vertical="center"/>
      <protection locked="0"/>
    </xf>
    <xf numFmtId="49" fontId="2" fillId="0" borderId="22" xfId="0" applyNumberFormat="1" applyFont="1" applyBorder="1" applyAlignment="1" applyProtection="1">
      <alignment horizontal="left" vertical="center" readingOrder="1"/>
      <protection locked="0"/>
    </xf>
    <xf numFmtId="49" fontId="2" fillId="0" borderId="22" xfId="0" applyNumberFormat="1" applyFont="1" applyBorder="1" applyAlignment="1" applyProtection="1">
      <alignment horizontal="left" vertical="center"/>
      <protection locked="0"/>
    </xf>
    <xf numFmtId="0" fontId="0" fillId="0" borderId="0" xfId="0" applyNumberFormat="1" applyFont="1" applyAlignment="1" applyProtection="1">
      <protection locked="0"/>
    </xf>
    <xf numFmtId="0" fontId="0" fillId="0" borderId="62" xfId="0" applyNumberFormat="1" applyFont="1" applyBorder="1" applyAlignment="1" applyProtection="1">
      <protection locked="0"/>
    </xf>
    <xf numFmtId="49" fontId="0" fillId="0" borderId="0" xfId="0" applyNumberFormat="1" applyFont="1" applyAlignment="1" applyProtection="1">
      <protection locked="0"/>
    </xf>
    <xf numFmtId="0" fontId="0" fillId="0" borderId="0" xfId="0" applyNumberFormat="1" applyFont="1" applyAlignment="1" applyProtection="1">
      <alignment horizontal="right"/>
      <protection locked="0"/>
    </xf>
    <xf numFmtId="0" fontId="2" fillId="0" borderId="64" xfId="0" applyNumberFormat="1" applyFont="1" applyBorder="1" applyAlignment="1" applyProtection="1">
      <alignment horizontal="right" vertical="top"/>
      <protection locked="0"/>
    </xf>
    <xf numFmtId="0" fontId="2" fillId="0" borderId="65" xfId="0" applyNumberFormat="1" applyFont="1" applyBorder="1" applyAlignment="1" applyProtection="1">
      <alignment horizontal="right" vertical="top"/>
      <protection locked="0"/>
    </xf>
    <xf numFmtId="49" fontId="2" fillId="0" borderId="66" xfId="0" applyNumberFormat="1" applyFont="1" applyBorder="1" applyAlignment="1" applyProtection="1">
      <alignment horizontal="left" vertical="center"/>
      <protection locked="0"/>
    </xf>
    <xf numFmtId="0" fontId="2" fillId="0" borderId="67" xfId="0" applyNumberFormat="1" applyFont="1" applyBorder="1" applyAlignment="1" applyProtection="1">
      <alignment horizontal="right" vertical="top"/>
      <protection locked="0"/>
    </xf>
    <xf numFmtId="0" fontId="2" fillId="0" borderId="68" xfId="0" applyNumberFormat="1" applyFont="1" applyBorder="1" applyAlignment="1" applyProtection="1">
      <alignment horizontal="right" vertical="top"/>
      <protection locked="0"/>
    </xf>
    <xf numFmtId="0" fontId="0" fillId="0" borderId="69" xfId="0" applyNumberFormat="1" applyFont="1" applyBorder="1" applyAlignment="1" applyProtection="1">
      <protection locked="0"/>
    </xf>
    <xf numFmtId="0" fontId="0" fillId="0" borderId="70" xfId="0" applyNumberFormat="1" applyFont="1" applyBorder="1" applyAlignment="1" applyProtection="1">
      <protection locked="0"/>
    </xf>
    <xf numFmtId="0" fontId="0" fillId="0" borderId="71" xfId="0" applyNumberFormat="1" applyFont="1" applyBorder="1" applyAlignment="1" applyProtection="1">
      <protection locked="0"/>
    </xf>
    <xf numFmtId="49" fontId="6" fillId="0" borderId="5" xfId="0" applyNumberFormat="1" applyFont="1" applyBorder="1" applyAlignment="1" applyProtection="1">
      <alignment horizontal="right" vertical="center" wrapText="1"/>
      <protection locked="0"/>
    </xf>
    <xf numFmtId="0" fontId="6" fillId="0" borderId="8" xfId="0" applyNumberFormat="1" applyFont="1" applyBorder="1" applyAlignment="1" applyProtection="1">
      <alignment horizontal="right" vertical="center" wrapText="1"/>
      <protection locked="0"/>
    </xf>
    <xf numFmtId="0" fontId="8" fillId="3" borderId="4" xfId="0" applyNumberFormat="1" applyFont="1" applyFill="1" applyBorder="1" applyAlignment="1" applyProtection="1">
      <alignment horizontal="right" vertical="center"/>
      <protection locked="0"/>
    </xf>
    <xf numFmtId="0" fontId="8" fillId="3" borderId="9" xfId="0" applyFont="1" applyFill="1" applyBorder="1" applyAlignment="1" applyProtection="1">
      <alignment horizontal="right" vertical="center"/>
      <protection locked="0"/>
    </xf>
    <xf numFmtId="0" fontId="8" fillId="3" borderId="9" xfId="0" applyNumberFormat="1" applyFont="1" applyFill="1" applyBorder="1" applyAlignment="1" applyProtection="1">
      <alignment horizontal="right" vertical="center"/>
      <protection locked="0"/>
    </xf>
    <xf numFmtId="49" fontId="8" fillId="3" borderId="4" xfId="0" applyNumberFormat="1" applyFont="1" applyFill="1" applyBorder="1" applyAlignment="1" applyProtection="1">
      <alignment horizontal="left" vertical="center"/>
    </xf>
    <xf numFmtId="49" fontId="8" fillId="3" borderId="9" xfId="0" applyNumberFormat="1" applyFont="1" applyFill="1" applyBorder="1" applyAlignment="1" applyProtection="1">
      <alignment horizontal="left" vertical="center" wrapText="1"/>
    </xf>
    <xf numFmtId="49" fontId="11" fillId="3" borderId="13" xfId="0" applyNumberFormat="1" applyFont="1" applyFill="1" applyBorder="1" applyAlignment="1">
      <alignment horizontal="right" vertical="center"/>
    </xf>
    <xf numFmtId="0" fontId="4" fillId="0" borderId="0" xfId="0" applyNumberFormat="1" applyFont="1" applyAlignment="1"/>
    <xf numFmtId="49" fontId="1" fillId="0" borderId="1" xfId="0" applyNumberFormat="1" applyFont="1" applyBorder="1" applyAlignment="1">
      <alignment horizontal="left" vertical="center"/>
    </xf>
    <xf numFmtId="49" fontId="1" fillId="0" borderId="2" xfId="0" applyNumberFormat="1" applyFont="1" applyBorder="1" applyAlignment="1">
      <alignment horizontal="left" vertical="center"/>
    </xf>
    <xf numFmtId="49" fontId="1" fillId="0" borderId="3" xfId="0" applyNumberFormat="1" applyFont="1" applyBorder="1" applyAlignment="1">
      <alignment horizontal="left" vertical="center"/>
    </xf>
    <xf numFmtId="49" fontId="6" fillId="0" borderId="3" xfId="0" applyNumberFormat="1" applyFont="1" applyBorder="1" applyAlignment="1" applyProtection="1">
      <alignment horizontal="right" vertical="center"/>
      <protection locked="0"/>
    </xf>
    <xf numFmtId="49" fontId="13" fillId="3" borderId="14" xfId="0" applyNumberFormat="1" applyFont="1" applyFill="1" applyBorder="1" applyAlignment="1">
      <alignment horizontal="left" vertical="center" wrapText="1"/>
    </xf>
    <xf numFmtId="0" fontId="0" fillId="0" borderId="0" xfId="0" applyNumberFormat="1" applyFont="1" applyAlignment="1">
      <alignment horizontal="left" vertical="center"/>
    </xf>
    <xf numFmtId="0" fontId="4" fillId="2" borderId="1" xfId="0" applyFont="1" applyFill="1" applyBorder="1" applyAlignment="1">
      <alignment horizontal="left" vertical="center"/>
    </xf>
    <xf numFmtId="0" fontId="4" fillId="2" borderId="2" xfId="0" applyFont="1" applyFill="1" applyBorder="1" applyAlignment="1">
      <alignment horizontal="left" vertical="center"/>
    </xf>
    <xf numFmtId="0" fontId="4" fillId="4" borderId="4" xfId="0" applyFont="1" applyFill="1" applyBorder="1" applyAlignment="1" applyProtection="1">
      <alignment horizontal="left" vertical="center"/>
    </xf>
    <xf numFmtId="0" fontId="4" fillId="4" borderId="9" xfId="0" applyFont="1" applyFill="1" applyBorder="1" applyAlignment="1" applyProtection="1">
      <alignment horizontal="left" vertical="center"/>
    </xf>
    <xf numFmtId="49" fontId="2" fillId="3" borderId="10" xfId="0" applyNumberFormat="1" applyFont="1" applyFill="1" applyBorder="1" applyAlignment="1">
      <alignment horizontal="left" vertical="center"/>
    </xf>
    <xf numFmtId="0" fontId="4" fillId="4" borderId="10" xfId="0" applyFont="1" applyFill="1" applyBorder="1" applyAlignment="1">
      <alignment horizontal="left" vertical="center"/>
    </xf>
    <xf numFmtId="49" fontId="2" fillId="3" borderId="11" xfId="0" applyNumberFormat="1" applyFont="1" applyFill="1" applyBorder="1" applyAlignment="1">
      <alignment horizontal="left" vertical="center"/>
    </xf>
    <xf numFmtId="0" fontId="4" fillId="4" borderId="11" xfId="0" applyFont="1" applyFill="1" applyBorder="1" applyAlignment="1">
      <alignment horizontal="left" vertical="center"/>
    </xf>
    <xf numFmtId="49" fontId="2" fillId="3" borderId="12" xfId="0" applyNumberFormat="1" applyFont="1" applyFill="1" applyBorder="1" applyAlignment="1">
      <alignment horizontal="left" vertical="center"/>
    </xf>
    <xf numFmtId="0" fontId="4" fillId="4" borderId="12" xfId="0" applyFont="1" applyFill="1" applyBorder="1" applyAlignment="1">
      <alignment horizontal="left" vertical="center"/>
    </xf>
    <xf numFmtId="0" fontId="4" fillId="4" borderId="3" xfId="0" applyFont="1" applyFill="1" applyBorder="1" applyAlignment="1">
      <alignment horizontal="left" vertical="center"/>
    </xf>
    <xf numFmtId="49" fontId="2" fillId="3" borderId="8" xfId="0" applyNumberFormat="1" applyFont="1" applyFill="1" applyBorder="1" applyAlignment="1">
      <alignment horizontal="left" vertical="center" wrapText="1"/>
    </xf>
    <xf numFmtId="0" fontId="4" fillId="4" borderId="8" xfId="0" applyFont="1" applyFill="1" applyBorder="1" applyAlignment="1">
      <alignment horizontal="left" vertical="center"/>
    </xf>
    <xf numFmtId="49" fontId="11" fillId="3" borderId="10" xfId="0" applyNumberFormat="1" applyFont="1" applyFill="1" applyBorder="1" applyAlignment="1">
      <alignment horizontal="left" vertical="center"/>
    </xf>
    <xf numFmtId="49" fontId="12" fillId="3" borderId="11" xfId="0" applyNumberFormat="1" applyFont="1" applyFill="1" applyBorder="1" applyAlignment="1">
      <alignment horizontal="left" vertical="center"/>
    </xf>
    <xf numFmtId="49" fontId="11" fillId="3" borderId="12" xfId="0" applyNumberFormat="1" applyFont="1" applyFill="1" applyBorder="1" applyAlignment="1">
      <alignment horizontal="left" vertical="center"/>
    </xf>
    <xf numFmtId="0" fontId="4" fillId="4" borderId="13" xfId="0" applyFont="1" applyFill="1" applyBorder="1" applyAlignment="1">
      <alignment horizontal="left" vertical="center"/>
    </xf>
    <xf numFmtId="49" fontId="13" fillId="3" borderId="15" xfId="0" applyNumberFormat="1" applyFont="1" applyFill="1" applyBorder="1" applyAlignment="1">
      <alignment horizontal="left" vertical="center"/>
    </xf>
    <xf numFmtId="49" fontId="15" fillId="3" borderId="15" xfId="0" applyNumberFormat="1" applyFont="1" applyFill="1" applyBorder="1" applyAlignment="1">
      <alignment horizontal="left" vertical="center"/>
    </xf>
    <xf numFmtId="49" fontId="15" fillId="3" borderId="14" xfId="0" applyNumberFormat="1" applyFont="1" applyFill="1" applyBorder="1" applyAlignment="1">
      <alignment horizontal="left" vertical="center"/>
    </xf>
    <xf numFmtId="49" fontId="13" fillId="3" borderId="15" xfId="0" applyNumberFormat="1" applyFont="1" applyFill="1" applyBorder="1" applyAlignment="1">
      <alignment horizontal="left" vertical="center" wrapText="1"/>
    </xf>
    <xf numFmtId="0" fontId="2" fillId="0" borderId="17" xfId="0" applyFont="1" applyBorder="1" applyAlignment="1">
      <alignment horizontal="left" vertical="center"/>
    </xf>
    <xf numFmtId="0" fontId="2" fillId="0" borderId="18" xfId="0" applyFont="1" applyBorder="1" applyAlignment="1">
      <alignment horizontal="left" vertical="center"/>
    </xf>
    <xf numFmtId="49" fontId="13" fillId="0" borderId="15" xfId="0" applyNumberFormat="1" applyFont="1" applyBorder="1" applyAlignment="1">
      <alignment horizontal="left" vertical="center"/>
    </xf>
    <xf numFmtId="49" fontId="19" fillId="0" borderId="15" xfId="0" applyNumberFormat="1" applyFont="1" applyBorder="1" applyAlignment="1">
      <alignment horizontal="left" vertical="center"/>
    </xf>
  </cellXfs>
  <cellStyles count="1">
    <cellStyle name="Normal" xfId="0" builtinId="0"/>
  </cellStyles>
  <dxfs count="102">
    <dxf>
      <font>
        <color theme="1"/>
      </font>
      <fill>
        <patternFill>
          <bgColor rgb="FFFFD38A"/>
        </patternFill>
      </fill>
    </dxf>
    <dxf>
      <font>
        <color theme="1"/>
      </font>
      <fill>
        <patternFill>
          <bgColor theme="0"/>
        </patternFill>
      </fill>
    </dxf>
    <dxf>
      <font>
        <color theme="1"/>
      </font>
      <fill>
        <patternFill>
          <bgColor rgb="FFFFD38A"/>
        </patternFill>
      </fill>
    </dxf>
    <dxf>
      <font>
        <color theme="1"/>
      </font>
      <fill>
        <patternFill>
          <bgColor theme="0"/>
        </patternFill>
      </fill>
    </dxf>
    <dxf>
      <fill>
        <patternFill>
          <bgColor rgb="FFFFD38A"/>
        </patternFill>
      </fill>
    </dxf>
    <dxf>
      <fill>
        <patternFill>
          <bgColor theme="7" tint="0.79998168889431442"/>
        </patternFill>
      </fill>
    </dxf>
    <dxf>
      <fill>
        <patternFill>
          <bgColor rgb="FFFF9781"/>
        </patternFill>
      </fill>
    </dxf>
    <dxf>
      <font>
        <color rgb="FF932092"/>
      </font>
      <fill>
        <patternFill patternType="solid">
          <fgColor indexed="16"/>
          <bgColor indexed="42"/>
        </patternFill>
      </fill>
    </dxf>
    <dxf>
      <font>
        <color rgb="FF932092"/>
      </font>
      <fill>
        <patternFill patternType="solid">
          <fgColor indexed="16"/>
          <bgColor indexed="19"/>
        </patternFill>
      </fill>
    </dxf>
    <dxf>
      <font>
        <color rgb="FF000000"/>
      </font>
      <fill>
        <patternFill patternType="solid">
          <fgColor indexed="16"/>
          <bgColor indexed="22"/>
        </patternFill>
      </fill>
    </dxf>
    <dxf>
      <font>
        <color rgb="FF000000"/>
      </font>
      <fill>
        <patternFill patternType="solid">
          <fgColor indexed="16"/>
          <bgColor indexed="22"/>
        </patternFill>
      </fill>
    </dxf>
    <dxf>
      <font>
        <color rgb="FFA7A7A7"/>
      </font>
    </dxf>
    <dxf>
      <font>
        <color rgb="FF000000"/>
      </font>
      <fill>
        <patternFill patternType="solid">
          <fgColor indexed="16"/>
          <bgColor indexed="31"/>
        </patternFill>
      </fill>
    </dxf>
    <dxf>
      <font>
        <color rgb="FFA5A5A5"/>
      </font>
    </dxf>
    <dxf>
      <font>
        <color rgb="FF000000"/>
      </font>
      <fill>
        <patternFill patternType="solid">
          <fgColor indexed="16"/>
          <bgColor indexed="31"/>
        </patternFill>
      </fill>
    </dxf>
    <dxf>
      <font>
        <color rgb="FFA5A5A5"/>
      </font>
    </dxf>
    <dxf>
      <font>
        <color rgb="FF929292"/>
      </font>
    </dxf>
    <dxf>
      <font>
        <color rgb="FFFFFFFF"/>
      </font>
    </dxf>
    <dxf>
      <font>
        <color rgb="FF000000"/>
      </font>
      <fill>
        <patternFill patternType="solid">
          <fgColor indexed="16"/>
          <bgColor indexed="22"/>
        </patternFill>
      </fill>
    </dxf>
    <dxf>
      <font>
        <color rgb="FF000000"/>
      </font>
      <fill>
        <patternFill patternType="solid">
          <fgColor indexed="16"/>
          <bgColor indexed="28"/>
        </patternFill>
      </fill>
    </dxf>
    <dxf>
      <font>
        <color rgb="FF000000"/>
      </font>
      <fill>
        <patternFill patternType="solid">
          <fgColor indexed="16"/>
          <bgColor indexed="32"/>
        </patternFill>
      </fill>
    </dxf>
    <dxf>
      <font>
        <color rgb="FF000000"/>
      </font>
      <fill>
        <patternFill patternType="solid">
          <fgColor indexed="16"/>
          <bgColor indexed="28"/>
        </patternFill>
      </fill>
    </dxf>
    <dxf>
      <font>
        <color rgb="FF000000"/>
      </font>
      <fill>
        <patternFill patternType="solid">
          <fgColor indexed="16"/>
          <bgColor indexed="31"/>
        </patternFill>
      </fill>
    </dxf>
    <dxf>
      <font>
        <color rgb="FFDDDDDD"/>
      </font>
    </dxf>
    <dxf>
      <font>
        <color rgb="FF000000"/>
      </font>
      <fill>
        <patternFill patternType="solid">
          <fgColor indexed="16"/>
          <bgColor indexed="29"/>
        </patternFill>
      </fill>
    </dxf>
    <dxf>
      <font>
        <color rgb="FF000000"/>
      </font>
      <fill>
        <patternFill patternType="solid">
          <fgColor indexed="16"/>
          <bgColor indexed="28"/>
        </patternFill>
      </fill>
    </dxf>
    <dxf>
      <font>
        <color rgb="FF000000"/>
      </font>
      <fill>
        <patternFill patternType="solid">
          <fgColor indexed="16"/>
          <bgColor indexed="26"/>
        </patternFill>
      </fill>
    </dxf>
    <dxf>
      <font>
        <color rgb="FFDDDDDD"/>
      </font>
    </dxf>
    <dxf>
      <font>
        <color rgb="FFDDDDDD"/>
      </font>
    </dxf>
    <dxf>
      <font>
        <color rgb="FF000000"/>
      </font>
      <fill>
        <patternFill patternType="solid">
          <fgColor indexed="16"/>
          <bgColor indexed="22"/>
        </patternFill>
      </fill>
    </dxf>
    <dxf>
      <font>
        <color rgb="FF3333FF"/>
      </font>
      <fill>
        <patternFill>
          <bgColor rgb="FFFF9781"/>
        </patternFill>
      </fill>
    </dxf>
    <dxf>
      <font>
        <color rgb="FF3333FF"/>
      </font>
      <fill>
        <patternFill>
          <bgColor rgb="FFD3E2FF"/>
        </patternFill>
      </fill>
    </dxf>
    <dxf>
      <font>
        <color rgb="FF929292"/>
      </font>
      <fill>
        <patternFill>
          <bgColor theme="0"/>
        </patternFill>
      </fill>
    </dxf>
    <dxf>
      <font>
        <color rgb="FF000000"/>
      </font>
      <fill>
        <patternFill patternType="solid">
          <fgColor indexed="16"/>
          <bgColor indexed="22"/>
        </patternFill>
      </fill>
    </dxf>
    <dxf>
      <font>
        <color rgb="FF929292"/>
      </font>
    </dxf>
    <dxf>
      <font>
        <color rgb="FF707070"/>
      </font>
      <fill>
        <patternFill patternType="solid">
          <fgColor indexed="16"/>
          <bgColor indexed="19"/>
        </patternFill>
      </fill>
    </dxf>
    <dxf>
      <font>
        <b/>
        <color rgb="FF0432FF"/>
      </font>
      <fill>
        <patternFill patternType="solid">
          <fgColor indexed="16"/>
          <bgColor indexed="17"/>
        </patternFill>
      </fill>
    </dxf>
    <dxf>
      <fill>
        <patternFill>
          <bgColor rgb="FFFFD38A"/>
        </patternFill>
      </fill>
    </dxf>
    <dxf>
      <fill>
        <patternFill>
          <bgColor theme="7" tint="0.79998168889431442"/>
        </patternFill>
      </fill>
    </dxf>
    <dxf>
      <fill>
        <patternFill>
          <bgColor rgb="FFFF9781"/>
        </patternFill>
      </fill>
    </dxf>
    <dxf>
      <font>
        <color rgb="FF932092"/>
      </font>
      <fill>
        <patternFill patternType="solid">
          <fgColor indexed="16"/>
          <bgColor indexed="42"/>
        </patternFill>
      </fill>
    </dxf>
    <dxf>
      <font>
        <color rgb="FF932092"/>
      </font>
      <fill>
        <patternFill patternType="solid">
          <fgColor indexed="16"/>
          <bgColor indexed="19"/>
        </patternFill>
      </fill>
    </dxf>
    <dxf>
      <font>
        <color rgb="FF000000"/>
      </font>
      <fill>
        <patternFill patternType="solid">
          <fgColor indexed="16"/>
          <bgColor indexed="22"/>
        </patternFill>
      </fill>
    </dxf>
    <dxf>
      <font>
        <color rgb="FF000000"/>
      </font>
      <fill>
        <patternFill patternType="solid">
          <fgColor indexed="16"/>
          <bgColor indexed="22"/>
        </patternFill>
      </fill>
    </dxf>
    <dxf>
      <font>
        <color rgb="FFA7A7A7"/>
      </font>
    </dxf>
    <dxf>
      <font>
        <color rgb="FF000000"/>
      </font>
      <fill>
        <patternFill patternType="solid">
          <fgColor indexed="16"/>
          <bgColor indexed="31"/>
        </patternFill>
      </fill>
    </dxf>
    <dxf>
      <font>
        <color rgb="FFA5A5A5"/>
      </font>
    </dxf>
    <dxf>
      <font>
        <color rgb="FF000000"/>
      </font>
      <fill>
        <patternFill patternType="solid">
          <fgColor indexed="16"/>
          <bgColor indexed="31"/>
        </patternFill>
      </fill>
    </dxf>
    <dxf>
      <font>
        <color rgb="FFA5A5A5"/>
      </font>
    </dxf>
    <dxf>
      <font>
        <color rgb="FF929292"/>
      </font>
    </dxf>
    <dxf>
      <font>
        <color rgb="FFFFFFFF"/>
      </font>
    </dxf>
    <dxf>
      <font>
        <color rgb="FF000000"/>
      </font>
      <fill>
        <patternFill patternType="solid">
          <fgColor indexed="16"/>
          <bgColor indexed="22"/>
        </patternFill>
      </fill>
    </dxf>
    <dxf>
      <font>
        <color rgb="FF000000"/>
      </font>
      <fill>
        <patternFill patternType="solid">
          <fgColor indexed="16"/>
          <bgColor indexed="28"/>
        </patternFill>
      </fill>
    </dxf>
    <dxf>
      <font>
        <color rgb="FF000000"/>
      </font>
      <fill>
        <patternFill patternType="solid">
          <fgColor indexed="16"/>
          <bgColor indexed="32"/>
        </patternFill>
      </fill>
    </dxf>
    <dxf>
      <font>
        <color rgb="FF000000"/>
      </font>
      <fill>
        <patternFill patternType="solid">
          <fgColor indexed="16"/>
          <bgColor indexed="28"/>
        </patternFill>
      </fill>
    </dxf>
    <dxf>
      <font>
        <color rgb="FF000000"/>
      </font>
      <fill>
        <patternFill patternType="solid">
          <fgColor indexed="16"/>
          <bgColor indexed="31"/>
        </patternFill>
      </fill>
    </dxf>
    <dxf>
      <font>
        <color rgb="FFDDDDDD"/>
      </font>
    </dxf>
    <dxf>
      <font>
        <color rgb="FF000000"/>
      </font>
      <fill>
        <patternFill patternType="solid">
          <fgColor indexed="16"/>
          <bgColor indexed="29"/>
        </patternFill>
      </fill>
    </dxf>
    <dxf>
      <font>
        <color rgb="FF000000"/>
      </font>
      <fill>
        <patternFill patternType="solid">
          <fgColor indexed="16"/>
          <bgColor indexed="28"/>
        </patternFill>
      </fill>
    </dxf>
    <dxf>
      <font>
        <color rgb="FF000000"/>
      </font>
      <fill>
        <patternFill patternType="solid">
          <fgColor indexed="16"/>
          <bgColor indexed="26"/>
        </patternFill>
      </fill>
    </dxf>
    <dxf>
      <font>
        <color rgb="FFDDDDDD"/>
      </font>
    </dxf>
    <dxf>
      <font>
        <color rgb="FFDDDDDD"/>
      </font>
    </dxf>
    <dxf>
      <font>
        <color rgb="FF000000"/>
      </font>
      <fill>
        <patternFill patternType="solid">
          <fgColor indexed="16"/>
          <bgColor indexed="22"/>
        </patternFill>
      </fill>
    </dxf>
    <dxf>
      <font>
        <color rgb="FF0432FF"/>
      </font>
      <fill>
        <patternFill patternType="solid">
          <fgColor indexed="16"/>
          <bgColor indexed="25"/>
        </patternFill>
      </fill>
    </dxf>
    <dxf>
      <font>
        <color rgb="FF929292"/>
      </font>
      <fill>
        <patternFill>
          <bgColor theme="0"/>
        </patternFill>
      </fill>
    </dxf>
    <dxf>
      <font>
        <color rgb="FF000000"/>
      </font>
      <fill>
        <patternFill patternType="solid">
          <fgColor indexed="16"/>
          <bgColor indexed="22"/>
        </patternFill>
      </fill>
    </dxf>
    <dxf>
      <font>
        <color rgb="FF929292"/>
      </font>
    </dxf>
    <dxf>
      <font>
        <color rgb="FF707070"/>
      </font>
      <fill>
        <patternFill patternType="solid">
          <fgColor indexed="16"/>
          <bgColor indexed="19"/>
        </patternFill>
      </fill>
    </dxf>
    <dxf>
      <font>
        <b/>
        <color rgb="FF0432FF"/>
      </font>
      <fill>
        <patternFill patternType="solid">
          <fgColor indexed="16"/>
          <bgColor indexed="17"/>
        </patternFill>
      </fill>
    </dxf>
    <dxf>
      <fill>
        <patternFill>
          <bgColor rgb="FFFFD38A"/>
        </patternFill>
      </fill>
    </dxf>
    <dxf>
      <fill>
        <patternFill>
          <bgColor theme="7" tint="0.79998168889431442"/>
        </patternFill>
      </fill>
    </dxf>
    <dxf>
      <fill>
        <patternFill>
          <bgColor rgb="FFFF9781"/>
        </patternFill>
      </fill>
    </dxf>
    <dxf>
      <font>
        <color rgb="FF932092"/>
      </font>
      <fill>
        <patternFill patternType="solid">
          <fgColor indexed="16"/>
          <bgColor indexed="42"/>
        </patternFill>
      </fill>
    </dxf>
    <dxf>
      <font>
        <color rgb="FF932092"/>
      </font>
      <fill>
        <patternFill patternType="solid">
          <fgColor indexed="16"/>
          <bgColor indexed="19"/>
        </patternFill>
      </fill>
    </dxf>
    <dxf>
      <font>
        <color rgb="FF000000"/>
      </font>
      <fill>
        <patternFill patternType="solid">
          <fgColor indexed="16"/>
          <bgColor indexed="22"/>
        </patternFill>
      </fill>
    </dxf>
    <dxf>
      <font>
        <color rgb="FF000000"/>
      </font>
      <fill>
        <patternFill patternType="solid">
          <fgColor indexed="16"/>
          <bgColor indexed="22"/>
        </patternFill>
      </fill>
    </dxf>
    <dxf>
      <font>
        <color rgb="FFA7A7A7"/>
      </font>
    </dxf>
    <dxf>
      <font>
        <color rgb="FF000000"/>
      </font>
      <fill>
        <patternFill patternType="solid">
          <fgColor indexed="16"/>
          <bgColor indexed="31"/>
        </patternFill>
      </fill>
    </dxf>
    <dxf>
      <font>
        <color rgb="FFA5A5A5"/>
      </font>
    </dxf>
    <dxf>
      <font>
        <color rgb="FF000000"/>
      </font>
      <fill>
        <patternFill patternType="solid">
          <fgColor indexed="16"/>
          <bgColor indexed="31"/>
        </patternFill>
      </fill>
    </dxf>
    <dxf>
      <font>
        <color rgb="FFA5A5A5"/>
      </font>
    </dxf>
    <dxf>
      <font>
        <color rgb="FF929292"/>
      </font>
    </dxf>
    <dxf>
      <font>
        <color rgb="FFFFFFFF"/>
      </font>
    </dxf>
    <dxf>
      <font>
        <color rgb="FF000000"/>
      </font>
      <fill>
        <patternFill patternType="solid">
          <fgColor indexed="16"/>
          <bgColor indexed="22"/>
        </patternFill>
      </fill>
    </dxf>
    <dxf>
      <font>
        <color rgb="FF000000"/>
      </font>
      <fill>
        <patternFill patternType="solid">
          <fgColor indexed="16"/>
          <bgColor indexed="28"/>
        </patternFill>
      </fill>
    </dxf>
    <dxf>
      <font>
        <color rgb="FF000000"/>
      </font>
      <fill>
        <patternFill patternType="solid">
          <fgColor indexed="16"/>
          <bgColor indexed="32"/>
        </patternFill>
      </fill>
    </dxf>
    <dxf>
      <font>
        <color rgb="FF000000"/>
      </font>
      <fill>
        <patternFill patternType="solid">
          <fgColor indexed="16"/>
          <bgColor indexed="28"/>
        </patternFill>
      </fill>
    </dxf>
    <dxf>
      <font>
        <color rgb="FF000000"/>
      </font>
      <fill>
        <patternFill patternType="solid">
          <fgColor indexed="16"/>
          <bgColor indexed="31"/>
        </patternFill>
      </fill>
    </dxf>
    <dxf>
      <font>
        <color rgb="FFDDDDDD"/>
      </font>
    </dxf>
    <dxf>
      <font>
        <color rgb="FF000000"/>
      </font>
      <fill>
        <patternFill patternType="solid">
          <fgColor indexed="16"/>
          <bgColor indexed="29"/>
        </patternFill>
      </fill>
    </dxf>
    <dxf>
      <font>
        <color rgb="FF000000"/>
      </font>
      <fill>
        <patternFill patternType="solid">
          <fgColor indexed="16"/>
          <bgColor indexed="28"/>
        </patternFill>
      </fill>
    </dxf>
    <dxf>
      <font>
        <color rgb="FF000000"/>
      </font>
      <fill>
        <patternFill patternType="solid">
          <fgColor indexed="16"/>
          <bgColor indexed="26"/>
        </patternFill>
      </fill>
    </dxf>
    <dxf>
      <font>
        <color rgb="FFDDDDDD"/>
      </font>
    </dxf>
    <dxf>
      <font>
        <color rgb="FFDDDDDD"/>
      </font>
    </dxf>
    <dxf>
      <font>
        <color rgb="FF000000"/>
      </font>
      <fill>
        <patternFill patternType="solid">
          <fgColor indexed="16"/>
          <bgColor indexed="22"/>
        </patternFill>
      </fill>
    </dxf>
    <dxf>
      <font>
        <color rgb="FF000000"/>
      </font>
      <fill>
        <patternFill patternType="solid">
          <fgColor indexed="16"/>
          <bgColor indexed="26"/>
        </patternFill>
      </fill>
    </dxf>
    <dxf>
      <font>
        <color rgb="FF0432FF"/>
      </font>
      <fill>
        <patternFill patternType="solid">
          <fgColor indexed="16"/>
          <bgColor indexed="25"/>
        </patternFill>
      </fill>
    </dxf>
    <dxf>
      <font>
        <color rgb="FF929292"/>
      </font>
    </dxf>
    <dxf>
      <font>
        <color rgb="FF000000"/>
      </font>
      <fill>
        <patternFill patternType="solid">
          <fgColor indexed="16"/>
          <bgColor indexed="22"/>
        </patternFill>
      </fill>
    </dxf>
    <dxf>
      <font>
        <color rgb="FF929292"/>
      </font>
    </dxf>
    <dxf>
      <font>
        <color rgb="FF707070"/>
      </font>
      <fill>
        <patternFill patternType="solid">
          <fgColor indexed="16"/>
          <bgColor indexed="19"/>
        </patternFill>
      </fill>
    </dxf>
    <dxf>
      <font>
        <b/>
        <color rgb="FF0432FF"/>
      </font>
      <fill>
        <patternFill patternType="solid">
          <fgColor indexed="16"/>
          <bgColor indexed="17"/>
        </patternFill>
      </fill>
    </dxf>
  </dxfs>
  <tableStyles count="0"/>
  <colors>
    <indexedColors>
      <rgbColor rgb="FF000000"/>
      <rgbColor rgb="FFFFFFFF"/>
      <rgbColor rgb="FFFF0000"/>
      <rgbColor rgb="FF00FF00"/>
      <rgbColor rgb="FF0000FF"/>
      <rgbColor rgb="FFFFFF00"/>
      <rgbColor rgb="FFFF00FF"/>
      <rgbColor rgb="FF00FFFF"/>
      <rgbColor rgb="FF000000"/>
      <rgbColor rgb="FF0014FF"/>
      <rgbColor rgb="FF7F7F7F"/>
      <rgbColor rgb="FFBDC0BF"/>
      <rgbColor rgb="FF999999"/>
      <rgbColor rgb="FF0432FF"/>
      <rgbColor rgb="FFBFBFBF"/>
      <rgbColor rgb="FFFFFFFF"/>
      <rgbColor rgb="00000000"/>
      <rgbColor rgb="FFA7C6FF"/>
      <rgbColor rgb="FF0432FF"/>
      <rgbColor rgb="FFD3E2FF"/>
      <rgbColor rgb="FF707070"/>
      <rgbColor rgb="FF929292"/>
      <rgbColor rgb="FFFFD38A"/>
      <rgbColor rgb="FFDBDBDB"/>
      <rgbColor rgb="E5929292"/>
      <rgbColor rgb="250432FF"/>
      <rgbColor rgb="E5FF9781"/>
      <rgbColor rgb="FFDDDDDD"/>
      <rgbColor rgb="E5FFD38A"/>
      <rgbColor rgb="4DFFD389"/>
      <rgbColor rgb="FF525252"/>
      <rgbColor rgb="FFFF9781"/>
      <rgbColor rgb="4CFFD381"/>
      <rgbColor rgb="FFA7A7A7"/>
      <rgbColor rgb="FF932092"/>
      <rgbColor rgb="FFA5A5A5"/>
      <rgbColor rgb="FFFF2600"/>
      <rgbColor rgb="FF7F7F7F"/>
      <rgbColor rgb="FFFF0000"/>
      <rgbColor rgb="FFE22400"/>
      <rgbColor rgb="FFAAAAAA"/>
      <rgbColor rgb="FF932092"/>
      <rgbColor rgb="E5FFD392"/>
      <rgbColor rgb="FF4D22B2"/>
      <rgbColor rgb="FFD4D4D4"/>
      <rgbColor rgb="FFD6D6D6"/>
      <rgbColor rgb="FFBDC0BF"/>
      <rgbColor rgb="FF3F3F3F"/>
      <rgbColor rgb="FF525252"/>
      <rgbColor rgb="FFDBDBDB"/>
      <rgbColor rgb="FF002EFF"/>
      <rgbColor rgb="FFC00000"/>
      <rgbColor rgb="FF002EFF"/>
      <rgbColor rgb="FF0230FF"/>
      <rgbColor rgb="FF848484"/>
      <rgbColor rgb="FFFFD478"/>
      <rgbColor rgb="B1FF9300"/>
      <rgbColor rgb="FF0096FF"/>
      <rgbColor rgb="00003300"/>
      <rgbColor rgb="00333300"/>
      <rgbColor rgb="00993300"/>
      <rgbColor rgb="00993366"/>
      <rgbColor rgb="00333399"/>
      <rgbColor rgb="00333333"/>
    </indexedColors>
    <mruColors>
      <color rgb="FF3333FF"/>
      <color rgb="FFFF9781"/>
      <color rgb="FFD3E2FF"/>
      <color rgb="FFFFD38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xdr:col>
      <xdr:colOff>65385</xdr:colOff>
      <xdr:row>0</xdr:row>
      <xdr:rowOff>0</xdr:rowOff>
    </xdr:from>
    <xdr:to>
      <xdr:col>27</xdr:col>
      <xdr:colOff>212173</xdr:colOff>
      <xdr:row>4</xdr:row>
      <xdr:rowOff>174312</xdr:rowOff>
    </xdr:to>
    <xdr:sp macro="" textlink="">
      <xdr:nvSpPr>
        <xdr:cNvPr id="2" name="Rectangle"/>
        <xdr:cNvSpPr/>
      </xdr:nvSpPr>
      <xdr:spPr>
        <a:xfrm>
          <a:off x="4218285" y="141174"/>
          <a:ext cx="39161189" cy="1351399"/>
        </a:xfrm>
        <a:prstGeom prst="rect">
          <a:avLst/>
        </a:prstGeom>
        <a:noFill/>
        <a:ln w="12700" cap="flat">
          <a:noFill/>
          <a:miter lim="400000"/>
        </a:ln>
        <a:effectLst/>
      </xdr:spPr>
      <xdr:txBody>
        <a:bodyPr/>
        <a:lstStyle/>
        <a:p>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38</xdr:row>
      <xdr:rowOff>188903</xdr:rowOff>
    </xdr:from>
    <xdr:to>
      <xdr:col>9</xdr:col>
      <xdr:colOff>84015</xdr:colOff>
      <xdr:row>41</xdr:row>
      <xdr:rowOff>2593315</xdr:rowOff>
    </xdr:to>
    <xdr:sp macro="" textlink="">
      <xdr:nvSpPr>
        <xdr:cNvPr id="8" name="Shape 3"/>
        <xdr:cNvSpPr txBox="1"/>
      </xdr:nvSpPr>
      <xdr:spPr>
        <a:xfrm>
          <a:off x="-17586" y="7894628"/>
          <a:ext cx="4732216" cy="3047668"/>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0" tIns="0" rIns="0" bIns="0" numCol="1" anchor="ctr">
          <a:spAutoFit/>
        </a:bodyPr>
        <a:lstStyle/>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Student’s </a:t>
          </a:r>
          <a:r>
            <a:rPr sz="1000" b="0" i="1" u="none" strike="noStrike" cap="none" spc="0" baseline="0">
              <a:solidFill>
                <a:srgbClr val="000000"/>
              </a:solidFill>
              <a:uFillTx/>
              <a:latin typeface="Arial"/>
              <a:ea typeface="Arial"/>
              <a:cs typeface="Arial"/>
              <a:sym typeface="Arial"/>
            </a:rPr>
            <a:t>t</a:t>
          </a:r>
          <a:r>
            <a:rPr sz="1000" b="0" i="0" u="none" strike="noStrike" cap="none" spc="0" baseline="0">
              <a:solidFill>
                <a:srgbClr val="000000"/>
              </a:solidFill>
              <a:uFillTx/>
              <a:latin typeface="Arial"/>
              <a:ea typeface="Arial"/>
              <a:cs typeface="Arial"/>
              <a:sym typeface="Arial"/>
            </a:rPr>
            <a:t>-distributions have ν degrees of freedom for regions.</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See www.itl.nist.gov/div898/handbook/, 2012.</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Horwitz Ratio - Ref: RSC, M Thompson AMC Technical Brief No.17 July 2004</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https://www.rsc.org/images/horwitz-function-technica.l-brief-17_tcm18-214859.pdf   The "Ideal" Ratio is between 03-1.0. Note that  0.1 is possible for automated sample preparation and handling with modern equipment, but is unlikely for inter-laboratory trials. </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Grubbs’ statistic values are at the 0.05 (95%) level for 1-tail. To remove a result, add text (e.g. 123.4?). Removing 2 results from data sets of &lt;7 is not recommended.  The method is suspect if outliers are in the same tail. </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endParaRPr sz="1000" b="0" i="0" u="none" strike="noStrike" cap="none" spc="0" baseline="0">
            <a:solidFill>
              <a:srgbClr val="000000"/>
            </a:solidFill>
            <a:uFillTx/>
            <a:latin typeface="Arial"/>
            <a:ea typeface="Arial"/>
            <a:cs typeface="Arial"/>
            <a:sym typeface="Arial"/>
          </a:endParaRP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Ref: RSC - Analytical Methods Committee, AMCTB No. 69</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https://pubs.rsc.org/en/content/articlehtml/2015/ay/c5ay90053k    and</a:t>
          </a:r>
        </a:p>
        <a:p>
          <a:pPr marL="0" marR="0" indent="0" algn="l" defTabSz="457200" latinLnBrk="0">
            <a:lnSpc>
              <a:spcPct val="100000"/>
            </a:lnSpc>
            <a:spcBef>
              <a:spcPts val="0"/>
            </a:spcBef>
            <a:spcAft>
              <a:spcPts val="0"/>
            </a:spcAft>
            <a:buClrTx/>
            <a:buSzTx/>
            <a:buFontTx/>
            <a:buNone/>
            <a:defRPr sz="1000" b="0" i="0" u="none" strike="noStrike" cap="none" spc="0" baseline="0">
              <a:solidFill>
                <a:srgbClr val="000000"/>
              </a:solidFill>
              <a:uFillTx/>
              <a:latin typeface="Arial"/>
              <a:ea typeface="Arial"/>
              <a:cs typeface="Arial"/>
              <a:sym typeface="Arial"/>
            </a:defRPr>
          </a:pPr>
          <a:r>
            <a:rPr sz="1000" b="0" i="0" u="none" strike="noStrike" cap="none" spc="0" baseline="0">
              <a:solidFill>
                <a:srgbClr val="000000"/>
              </a:solidFill>
              <a:uFillTx/>
              <a:latin typeface="Arial"/>
              <a:ea typeface="Arial"/>
              <a:cs typeface="Arial"/>
              <a:sym typeface="Arial"/>
            </a:rPr>
            <a:t>Frank E. Grubbs and Glenn Beck, "Extension of Sample Sizes and Percentage Points for Significance Tests of Outlying Observations", Technometrics, 14(4), 847-854 (1972).</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15</xdr:row>
      <xdr:rowOff>18164</xdr:rowOff>
    </xdr:from>
    <xdr:to>
      <xdr:col>2</xdr:col>
      <xdr:colOff>44938</xdr:colOff>
      <xdr:row>19</xdr:row>
      <xdr:rowOff>57056</xdr:rowOff>
    </xdr:to>
    <xdr:sp macro="" textlink="">
      <xdr:nvSpPr>
        <xdr:cNvPr id="10" name="Shape 4"/>
        <xdr:cNvSpPr txBox="1"/>
      </xdr:nvSpPr>
      <xdr:spPr>
        <a:xfrm>
          <a:off x="-19050" y="2828039"/>
          <a:ext cx="3054839" cy="800893"/>
        </a:xfrm>
        <a:prstGeom prst="rect">
          <a:avLst/>
        </a:prstGeom>
        <a:noFill/>
        <a:ln w="12700" cap="flat">
          <a:noFill/>
          <a:miter lim="400000"/>
        </a:ln>
        <a:effectLst/>
        <a:extLst>
          <a:ext uri="{C572A759-6A51-4108-AA02-DFA0A04FC94B}">
            <ma14:wrappingTextBoxFlag xmlns="" xmlns:r="http://schemas.openxmlformats.org/officeDocument/2006/relationships" xmlns:m="http://schemas.openxmlformats.org/officeDocument/2006/math" xmlns:a14="http://schemas.microsoft.com/office/drawing/2010/main" xmlns:ma14="http://schemas.microsoft.com/office/mac/drawingml/2011/main" val="1"/>
          </a:ext>
        </a:extLst>
      </xdr:spPr>
      <xdr:txBody>
        <a:bodyPr wrap="square" lIns="45699" tIns="45699" rIns="45699" bIns="45699" numCol="1" anchor="t">
          <a:spAutoFit/>
        </a:bodyPr>
        <a:lstStyle/>
        <a:p>
          <a:pPr marL="0" marR="0" indent="0" algn="l" defTabSz="914400" latinLnBrk="0">
            <a:lnSpc>
              <a:spcPct val="100000"/>
            </a:lnSpc>
            <a:spcBef>
              <a:spcPts val="0"/>
            </a:spcBef>
            <a:spcAft>
              <a:spcPts val="0"/>
            </a:spcAft>
            <a:buClrTx/>
            <a:buSzTx/>
            <a:buFontTx/>
            <a:buNone/>
            <a:defRPr sz="1100" b="0" i="0" u="none" strike="noStrike" cap="none" spc="0" baseline="0">
              <a:solidFill>
                <a:srgbClr val="000000"/>
              </a:solidFill>
              <a:uFillTx/>
              <a:latin typeface="Arial"/>
              <a:ea typeface="Arial"/>
              <a:cs typeface="Arial"/>
              <a:sym typeface="Arial"/>
            </a:defRPr>
          </a:pPr>
          <a:r>
            <a:rPr sz="1100" b="0" i="0" u="none" strike="noStrike" cap="none" spc="0" baseline="0">
              <a:solidFill>
                <a:srgbClr val="000000"/>
              </a:solidFill>
              <a:uFillTx/>
              <a:latin typeface="Arial"/>
              <a:ea typeface="Arial"/>
              <a:cs typeface="Arial"/>
              <a:sym typeface="Arial"/>
            </a:rPr>
            <a:t>If a Unit is added, changed, or deleted - Check that changes to the Unit are in the [MainTable] </a:t>
          </a:r>
          <a:r>
            <a:rPr sz="1100" b="1" i="0" u="none" strike="noStrike" cap="none" spc="0" baseline="0">
              <a:solidFill>
                <a:srgbClr val="002FFF"/>
              </a:solidFill>
              <a:uFillTx/>
              <a:latin typeface="Arial"/>
              <a:ea typeface="Arial"/>
              <a:cs typeface="Arial"/>
              <a:sym typeface="Arial"/>
            </a:rPr>
            <a:t>Units</a:t>
          </a:r>
          <a:r>
            <a:rPr sz="1100" b="0" i="0" u="none" strike="noStrike" cap="none" spc="0" baseline="0">
              <a:solidFill>
                <a:srgbClr val="0433FF"/>
              </a:solidFill>
              <a:uFillTx/>
              <a:latin typeface="Arial"/>
              <a:ea typeface="Arial"/>
              <a:cs typeface="Arial"/>
              <a:sym typeface="Arial"/>
            </a:rPr>
            <a:t> </a:t>
          </a:r>
          <a:r>
            <a:rPr sz="1100" b="0" i="0" u="none" strike="noStrike" cap="none" spc="0" baseline="0">
              <a:solidFill>
                <a:srgbClr val="000000"/>
              </a:solidFill>
              <a:uFillTx/>
              <a:latin typeface="Arial"/>
              <a:ea typeface="Arial"/>
              <a:cs typeface="Arial"/>
              <a:sym typeface="Arial"/>
            </a:rPr>
            <a:t>Pop-Up Menu.  If there is a mismatch Error Warnings will be displayed…</a:t>
          </a:r>
        </a:p>
      </xdr:txBody>
    </xdr:sp>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45718" tIns="45718" rIns="45718" bIns="45718"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8" tIns="45718" rIns="45718" bIns="45718"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AA53"/>
  <sheetViews>
    <sheetView showGridLines="0" tabSelected="1" workbookViewId="0">
      <selection activeCell="D11" sqref="D11"/>
    </sheetView>
  </sheetViews>
  <sheetFormatPr defaultColWidth="8.875" defaultRowHeight="15.1" customHeight="1"/>
  <cols>
    <col min="1" max="1" width="4.125" style="1" customWidth="1"/>
    <col min="2" max="2" width="35.25" style="154" customWidth="1"/>
    <col min="3" max="3" width="14.9375" style="154" customWidth="1"/>
    <col min="4" max="27" width="21.375" style="1" customWidth="1"/>
    <col min="28" max="28" width="8.875" style="1" customWidth="1"/>
    <col min="29" max="16384" width="8.875" style="1"/>
  </cols>
  <sheetData>
    <row r="1" spans="2:27" ht="20.55" customHeight="1">
      <c r="B1" s="149" t="s">
        <v>0</v>
      </c>
      <c r="C1" s="155"/>
      <c r="D1" s="2" t="str">
        <f>IF(ISTEXT(SampleResults!$A$1),SampleResults!$A$1,"TestName")</f>
        <v>ICP-MS</v>
      </c>
      <c r="E1" s="2" t="str">
        <f t="shared" ref="E1:AA1" si="0">D1</f>
        <v>ICP-MS</v>
      </c>
      <c r="F1" s="2" t="str">
        <f t="shared" si="0"/>
        <v>ICP-MS</v>
      </c>
      <c r="G1" s="2" t="str">
        <f t="shared" si="0"/>
        <v>ICP-MS</v>
      </c>
      <c r="H1" s="2" t="str">
        <f t="shared" si="0"/>
        <v>ICP-MS</v>
      </c>
      <c r="I1" s="2" t="str">
        <f t="shared" si="0"/>
        <v>ICP-MS</v>
      </c>
      <c r="J1" s="2" t="str">
        <f t="shared" si="0"/>
        <v>ICP-MS</v>
      </c>
      <c r="K1" s="2" t="str">
        <f t="shared" si="0"/>
        <v>ICP-MS</v>
      </c>
      <c r="L1" s="2" t="str">
        <f t="shared" si="0"/>
        <v>ICP-MS</v>
      </c>
      <c r="M1" s="2" t="str">
        <f t="shared" si="0"/>
        <v>ICP-MS</v>
      </c>
      <c r="N1" s="2" t="str">
        <f t="shared" si="0"/>
        <v>ICP-MS</v>
      </c>
      <c r="O1" s="2" t="str">
        <f t="shared" si="0"/>
        <v>ICP-MS</v>
      </c>
      <c r="P1" s="2" t="str">
        <f t="shared" si="0"/>
        <v>ICP-MS</v>
      </c>
      <c r="Q1" s="2" t="str">
        <f t="shared" si="0"/>
        <v>ICP-MS</v>
      </c>
      <c r="R1" s="2" t="str">
        <f t="shared" si="0"/>
        <v>ICP-MS</v>
      </c>
      <c r="S1" s="2" t="str">
        <f t="shared" si="0"/>
        <v>ICP-MS</v>
      </c>
      <c r="T1" s="2" t="str">
        <f t="shared" si="0"/>
        <v>ICP-MS</v>
      </c>
      <c r="U1" s="2" t="str">
        <f t="shared" si="0"/>
        <v>ICP-MS</v>
      </c>
      <c r="V1" s="2" t="str">
        <f t="shared" si="0"/>
        <v>ICP-MS</v>
      </c>
      <c r="W1" s="2" t="str">
        <f t="shared" si="0"/>
        <v>ICP-MS</v>
      </c>
      <c r="X1" s="2" t="str">
        <f t="shared" si="0"/>
        <v>ICP-MS</v>
      </c>
      <c r="Y1" s="2" t="str">
        <f t="shared" si="0"/>
        <v>ICP-MS</v>
      </c>
      <c r="Z1" s="2" t="str">
        <f t="shared" si="0"/>
        <v>ICP-MS</v>
      </c>
      <c r="AA1" s="2" t="str">
        <f t="shared" si="0"/>
        <v>ICP-MS</v>
      </c>
    </row>
    <row r="2" spans="2:27" ht="20.55" customHeight="1">
      <c r="B2" s="150" t="s">
        <v>1</v>
      </c>
      <c r="C2" s="156"/>
      <c r="D2" s="3" t="str">
        <f>SampleResults!B1</f>
        <v>Al</v>
      </c>
      <c r="E2" s="3" t="str">
        <f>SampleResults!C1</f>
        <v>As</v>
      </c>
      <c r="F2" s="3" t="str">
        <f>SampleResults!D1</f>
        <v>B</v>
      </c>
      <c r="G2" s="3" t="str">
        <f>SampleResults!E1</f>
        <v>Ba</v>
      </c>
      <c r="H2" s="3" t="str">
        <f>SampleResults!F1</f>
        <v>Be</v>
      </c>
      <c r="I2" s="3" t="str">
        <f>SampleResults!G1</f>
        <v>Cd</v>
      </c>
      <c r="J2" s="3" t="str">
        <f>SampleResults!H1</f>
        <v>Co</v>
      </c>
      <c r="K2" s="3" t="str">
        <f>SampleResults!I1</f>
        <v>Cr</v>
      </c>
      <c r="L2" s="3" t="str">
        <f>SampleResults!J1</f>
        <v>Cu</v>
      </c>
      <c r="M2" s="3" t="str">
        <f>SampleResults!K1</f>
        <v>Fe</v>
      </c>
      <c r="N2" s="3" t="str">
        <f>SampleResults!L1</f>
        <v>Hg</v>
      </c>
      <c r="O2" s="3" t="str">
        <f>SampleResults!M1</f>
        <v>Mn</v>
      </c>
      <c r="P2" s="3" t="str">
        <f>SampleResults!N1</f>
        <v>Mo</v>
      </c>
      <c r="Q2" s="3" t="str">
        <f>SampleResults!O1</f>
        <v>Ni</v>
      </c>
      <c r="R2" s="3" t="str">
        <f>SampleResults!P1</f>
        <v>Pb</v>
      </c>
      <c r="S2" s="3" t="str">
        <f>SampleResults!Q1</f>
        <v>Sb</v>
      </c>
      <c r="T2" s="3" t="str">
        <f>SampleResults!R1</f>
        <v>Se</v>
      </c>
      <c r="U2" s="3" t="str">
        <f>SampleResults!S1</f>
        <v>Sn</v>
      </c>
      <c r="V2" s="3" t="str">
        <f>SampleResults!T1</f>
        <v>Sr</v>
      </c>
      <c r="W2" s="3" t="str">
        <f>SampleResults!U1</f>
        <v>Ti</v>
      </c>
      <c r="X2" s="3" t="str">
        <f>SampleResults!V1</f>
        <v>V</v>
      </c>
      <c r="Y2" s="3" t="str">
        <f>SampleResults!W1</f>
        <v>Zn</v>
      </c>
      <c r="Z2" s="3" t="str">
        <f>SampleResults!X1</f>
        <v>Rh</v>
      </c>
      <c r="AA2" s="3" t="str">
        <f>SampleResults!Y1</f>
        <v>Na</v>
      </c>
    </row>
    <row r="3" spans="2:27" ht="14.25" customHeight="1">
      <c r="B3" s="151" t="s">
        <v>2</v>
      </c>
      <c r="C3" s="152" t="s">
        <v>3</v>
      </c>
      <c r="D3" s="4" t="str">
        <f t="shared" ref="D3:AA3" si="1">C3</f>
        <v>Low Spike</v>
      </c>
      <c r="E3" s="5" t="str">
        <f t="shared" si="1"/>
        <v>Low Spike</v>
      </c>
      <c r="F3" s="5" t="str">
        <f t="shared" si="1"/>
        <v>Low Spike</v>
      </c>
      <c r="G3" s="5" t="str">
        <f t="shared" si="1"/>
        <v>Low Spike</v>
      </c>
      <c r="H3" s="5" t="str">
        <f t="shared" si="1"/>
        <v>Low Spike</v>
      </c>
      <c r="I3" s="5" t="str">
        <f t="shared" si="1"/>
        <v>Low Spike</v>
      </c>
      <c r="J3" s="5" t="str">
        <f t="shared" si="1"/>
        <v>Low Spike</v>
      </c>
      <c r="K3" s="5" t="str">
        <f t="shared" si="1"/>
        <v>Low Spike</v>
      </c>
      <c r="L3" s="5" t="str">
        <f t="shared" si="1"/>
        <v>Low Spike</v>
      </c>
      <c r="M3" s="5" t="str">
        <f t="shared" si="1"/>
        <v>Low Spike</v>
      </c>
      <c r="N3" s="5" t="str">
        <f t="shared" si="1"/>
        <v>Low Spike</v>
      </c>
      <c r="O3" s="5" t="str">
        <f t="shared" si="1"/>
        <v>Low Spike</v>
      </c>
      <c r="P3" s="5" t="str">
        <f t="shared" si="1"/>
        <v>Low Spike</v>
      </c>
      <c r="Q3" s="5" t="str">
        <f t="shared" si="1"/>
        <v>Low Spike</v>
      </c>
      <c r="R3" s="5" t="str">
        <f t="shared" si="1"/>
        <v>Low Spike</v>
      </c>
      <c r="S3" s="5" t="str">
        <f t="shared" si="1"/>
        <v>Low Spike</v>
      </c>
      <c r="T3" s="5" t="str">
        <f t="shared" si="1"/>
        <v>Low Spike</v>
      </c>
      <c r="U3" s="5" t="str">
        <f t="shared" si="1"/>
        <v>Low Spike</v>
      </c>
      <c r="V3" s="5" t="str">
        <f t="shared" si="1"/>
        <v>Low Spike</v>
      </c>
      <c r="W3" s="5" t="str">
        <f t="shared" si="1"/>
        <v>Low Spike</v>
      </c>
      <c r="X3" s="5" t="str">
        <f t="shared" si="1"/>
        <v>Low Spike</v>
      </c>
      <c r="Y3" s="5" t="str">
        <f t="shared" si="1"/>
        <v>Low Spike</v>
      </c>
      <c r="Z3" s="5" t="str">
        <f t="shared" si="1"/>
        <v>Low Spike</v>
      </c>
      <c r="AA3" s="5" t="str">
        <f t="shared" si="1"/>
        <v>Low Spike</v>
      </c>
    </row>
    <row r="4" spans="2:27" ht="16.899999999999999" customHeight="1">
      <c r="B4" s="6" t="s">
        <v>4</v>
      </c>
      <c r="C4" s="140" t="s">
        <v>5</v>
      </c>
      <c r="D4" s="7" t="str">
        <f t="shared" ref="D4:AA4" si="2">C4</f>
        <v>µg/kg</v>
      </c>
      <c r="E4" s="8" t="str">
        <f t="shared" si="2"/>
        <v>µg/kg</v>
      </c>
      <c r="F4" s="8" t="str">
        <f t="shared" si="2"/>
        <v>µg/kg</v>
      </c>
      <c r="G4" s="8" t="str">
        <f t="shared" si="2"/>
        <v>µg/kg</v>
      </c>
      <c r="H4" s="8" t="str">
        <f t="shared" si="2"/>
        <v>µg/kg</v>
      </c>
      <c r="I4" s="8" t="str">
        <f t="shared" si="2"/>
        <v>µg/kg</v>
      </c>
      <c r="J4" s="8" t="str">
        <f t="shared" si="2"/>
        <v>µg/kg</v>
      </c>
      <c r="K4" s="8" t="str">
        <f t="shared" si="2"/>
        <v>µg/kg</v>
      </c>
      <c r="L4" s="8" t="str">
        <f t="shared" si="2"/>
        <v>µg/kg</v>
      </c>
      <c r="M4" s="8" t="str">
        <f t="shared" si="2"/>
        <v>µg/kg</v>
      </c>
      <c r="N4" s="8" t="str">
        <f t="shared" si="2"/>
        <v>µg/kg</v>
      </c>
      <c r="O4" s="8" t="str">
        <f t="shared" si="2"/>
        <v>µg/kg</v>
      </c>
      <c r="P4" s="8" t="str">
        <f t="shared" si="2"/>
        <v>µg/kg</v>
      </c>
      <c r="Q4" s="8" t="str">
        <f t="shared" si="2"/>
        <v>µg/kg</v>
      </c>
      <c r="R4" s="8" t="str">
        <f t="shared" si="2"/>
        <v>µg/kg</v>
      </c>
      <c r="S4" s="8" t="str">
        <f t="shared" si="2"/>
        <v>µg/kg</v>
      </c>
      <c r="T4" s="8" t="str">
        <f t="shared" si="2"/>
        <v>µg/kg</v>
      </c>
      <c r="U4" s="8" t="str">
        <f t="shared" si="2"/>
        <v>µg/kg</v>
      </c>
      <c r="V4" s="8" t="str">
        <f t="shared" si="2"/>
        <v>µg/kg</v>
      </c>
      <c r="W4" s="8" t="str">
        <f t="shared" si="2"/>
        <v>µg/kg</v>
      </c>
      <c r="X4" s="8" t="str">
        <f t="shared" si="2"/>
        <v>µg/kg</v>
      </c>
      <c r="Y4" s="8" t="str">
        <f t="shared" si="2"/>
        <v>µg/kg</v>
      </c>
      <c r="Z4" s="8" t="str">
        <f t="shared" si="2"/>
        <v>µg/kg</v>
      </c>
      <c r="AA4" s="8" t="str">
        <f t="shared" si="2"/>
        <v>µg/kg</v>
      </c>
    </row>
    <row r="5" spans="2:27" ht="16.899999999999999" customHeight="1">
      <c r="B5" s="9" t="s">
        <v>6</v>
      </c>
      <c r="C5" s="141">
        <v>2</v>
      </c>
      <c r="D5" s="10">
        <f t="shared" ref="D5:AA5" si="3">C5</f>
        <v>2</v>
      </c>
      <c r="E5" s="10">
        <f t="shared" si="3"/>
        <v>2</v>
      </c>
      <c r="F5" s="10">
        <f t="shared" si="3"/>
        <v>2</v>
      </c>
      <c r="G5" s="10">
        <f t="shared" si="3"/>
        <v>2</v>
      </c>
      <c r="H5" s="10">
        <f t="shared" si="3"/>
        <v>2</v>
      </c>
      <c r="I5" s="10">
        <f t="shared" si="3"/>
        <v>2</v>
      </c>
      <c r="J5" s="10">
        <f t="shared" si="3"/>
        <v>2</v>
      </c>
      <c r="K5" s="10">
        <f t="shared" si="3"/>
        <v>2</v>
      </c>
      <c r="L5" s="10">
        <f t="shared" si="3"/>
        <v>2</v>
      </c>
      <c r="M5" s="10">
        <f t="shared" si="3"/>
        <v>2</v>
      </c>
      <c r="N5" s="10">
        <f t="shared" si="3"/>
        <v>2</v>
      </c>
      <c r="O5" s="10">
        <f t="shared" si="3"/>
        <v>2</v>
      </c>
      <c r="P5" s="10">
        <f t="shared" si="3"/>
        <v>2</v>
      </c>
      <c r="Q5" s="10">
        <f t="shared" si="3"/>
        <v>2</v>
      </c>
      <c r="R5" s="10">
        <f t="shared" si="3"/>
        <v>2</v>
      </c>
      <c r="S5" s="10">
        <f t="shared" si="3"/>
        <v>2</v>
      </c>
      <c r="T5" s="10">
        <f t="shared" si="3"/>
        <v>2</v>
      </c>
      <c r="U5" s="10">
        <f t="shared" si="3"/>
        <v>2</v>
      </c>
      <c r="V5" s="10">
        <f t="shared" si="3"/>
        <v>2</v>
      </c>
      <c r="W5" s="10">
        <f t="shared" si="3"/>
        <v>2</v>
      </c>
      <c r="X5" s="10">
        <f t="shared" si="3"/>
        <v>2</v>
      </c>
      <c r="Y5" s="10">
        <f t="shared" si="3"/>
        <v>2</v>
      </c>
      <c r="Z5" s="10">
        <f t="shared" si="3"/>
        <v>2</v>
      </c>
      <c r="AA5" s="10">
        <f t="shared" si="3"/>
        <v>2</v>
      </c>
    </row>
    <row r="6" spans="2:27" s="128" customFormat="1" ht="17.95" customHeight="1">
      <c r="B6" s="145" t="s">
        <v>7</v>
      </c>
      <c r="C6" s="157"/>
      <c r="D6" s="142">
        <v>90</v>
      </c>
      <c r="E6" s="142">
        <v>2.2000000000000002</v>
      </c>
      <c r="F6" s="142">
        <v>99</v>
      </c>
      <c r="G6" s="142">
        <v>90</v>
      </c>
      <c r="H6" s="142">
        <v>92</v>
      </c>
      <c r="I6" s="142">
        <v>9</v>
      </c>
      <c r="J6" s="142">
        <v>95</v>
      </c>
      <c r="K6" s="142">
        <v>90</v>
      </c>
      <c r="L6" s="142">
        <v>90</v>
      </c>
      <c r="M6" s="142">
        <v>90</v>
      </c>
      <c r="N6" s="142">
        <v>1</v>
      </c>
      <c r="O6" s="142">
        <v>90</v>
      </c>
      <c r="P6" s="142">
        <v>102</v>
      </c>
      <c r="Q6" s="142">
        <v>99</v>
      </c>
      <c r="R6" s="142">
        <v>90</v>
      </c>
      <c r="S6" s="142">
        <v>93</v>
      </c>
      <c r="T6" s="142">
        <v>108</v>
      </c>
      <c r="U6" s="142">
        <v>90</v>
      </c>
      <c r="V6" s="142">
        <v>1.01E-3</v>
      </c>
      <c r="W6" s="142">
        <v>106</v>
      </c>
      <c r="X6" s="142">
        <v>1.155</v>
      </c>
      <c r="Y6" s="142">
        <v>0.11550000000000001</v>
      </c>
      <c r="Z6" s="142">
        <v>1.155E-2</v>
      </c>
      <c r="AA6" s="142">
        <v>1151</v>
      </c>
    </row>
    <row r="7" spans="2:27" s="128" customFormat="1" ht="17.95" customHeight="1">
      <c r="B7" s="146" t="s">
        <v>8</v>
      </c>
      <c r="C7" s="158"/>
      <c r="D7" s="143"/>
      <c r="E7" s="143"/>
      <c r="F7" s="143"/>
      <c r="G7" s="143"/>
      <c r="H7" s="143"/>
      <c r="I7" s="143"/>
      <c r="J7" s="143"/>
      <c r="K7" s="143"/>
      <c r="L7" s="143"/>
      <c r="M7" s="144">
        <v>1</v>
      </c>
      <c r="N7" s="143"/>
      <c r="O7" s="143"/>
      <c r="P7" s="143"/>
      <c r="Q7" s="143"/>
      <c r="R7" s="143"/>
      <c r="S7" s="143"/>
      <c r="T7" s="143"/>
      <c r="U7" s="143"/>
      <c r="V7" s="143"/>
      <c r="W7" s="143"/>
      <c r="X7" s="143"/>
      <c r="Y7" s="143"/>
      <c r="Z7" s="143"/>
      <c r="AA7" s="143"/>
    </row>
    <row r="8" spans="2:27" ht="16.899999999999999" customHeight="1">
      <c r="B8" s="159" t="s">
        <v>9</v>
      </c>
      <c r="C8" s="160"/>
      <c r="D8" s="11">
        <f t="shared" ref="D8:AA8" si="4">IF(D38&gt;0,D25+D38&amp;" ("&amp;D38&amp;" Excluded!)",D25)</f>
        <v>9</v>
      </c>
      <c r="E8" s="12">
        <f t="shared" si="4"/>
        <v>9</v>
      </c>
      <c r="F8" s="12">
        <f t="shared" si="4"/>
        <v>9</v>
      </c>
      <c r="G8" s="12">
        <f t="shared" si="4"/>
        <v>9</v>
      </c>
      <c r="H8" s="12">
        <f t="shared" si="4"/>
        <v>9</v>
      </c>
      <c r="I8" s="12">
        <f t="shared" si="4"/>
        <v>9</v>
      </c>
      <c r="J8" s="12">
        <f t="shared" si="4"/>
        <v>9</v>
      </c>
      <c r="K8" s="12">
        <f t="shared" si="4"/>
        <v>9</v>
      </c>
      <c r="L8" s="12">
        <f t="shared" si="4"/>
        <v>9</v>
      </c>
      <c r="M8" s="12">
        <f t="shared" si="4"/>
        <v>9</v>
      </c>
      <c r="N8" s="12">
        <f t="shared" si="4"/>
        <v>9</v>
      </c>
      <c r="O8" s="12">
        <f t="shared" si="4"/>
        <v>9</v>
      </c>
      <c r="P8" s="12">
        <f t="shared" si="4"/>
        <v>9</v>
      </c>
      <c r="Q8" s="12">
        <f t="shared" si="4"/>
        <v>9</v>
      </c>
      <c r="R8" s="12">
        <f t="shared" si="4"/>
        <v>9</v>
      </c>
      <c r="S8" s="12">
        <f t="shared" si="4"/>
        <v>9</v>
      </c>
      <c r="T8" s="12">
        <f t="shared" si="4"/>
        <v>9</v>
      </c>
      <c r="U8" s="12">
        <f t="shared" si="4"/>
        <v>9</v>
      </c>
      <c r="V8" s="12">
        <f t="shared" si="4"/>
        <v>9</v>
      </c>
      <c r="W8" s="12">
        <f t="shared" si="4"/>
        <v>9</v>
      </c>
      <c r="X8" s="12">
        <f t="shared" si="4"/>
        <v>9</v>
      </c>
      <c r="Y8" s="12">
        <f t="shared" si="4"/>
        <v>9</v>
      </c>
      <c r="Z8" s="12">
        <f t="shared" si="4"/>
        <v>9</v>
      </c>
      <c r="AA8" s="12">
        <f t="shared" si="4"/>
        <v>9</v>
      </c>
    </row>
    <row r="9" spans="2:27" ht="16.899999999999999" customHeight="1">
      <c r="B9" s="161" t="s">
        <v>10</v>
      </c>
      <c r="C9" s="162"/>
      <c r="D9" s="13">
        <f t="shared" ref="D9:AA9" si="5">IF(D25&gt;0,D27/D26,0)</f>
        <v>0.12465678855305257</v>
      </c>
      <c r="E9" s="13">
        <f t="shared" si="5"/>
        <v>8.7580377258113851E-2</v>
      </c>
      <c r="F9" s="13">
        <f t="shared" si="5"/>
        <v>4.1722796328006781E-2</v>
      </c>
      <c r="G9" s="13">
        <f t="shared" si="5"/>
        <v>0.16281401050123176</v>
      </c>
      <c r="H9" s="13">
        <f t="shared" si="5"/>
        <v>1.4371220367276456</v>
      </c>
      <c r="I9" s="13">
        <f t="shared" si="5"/>
        <v>6.9070129349312531E-2</v>
      </c>
      <c r="J9" s="13">
        <f t="shared" si="5"/>
        <v>7.08645726024099E-2</v>
      </c>
      <c r="K9" s="13">
        <f t="shared" si="5"/>
        <v>0.14358023350965374</v>
      </c>
      <c r="L9" s="13">
        <f t="shared" si="5"/>
        <v>7.4300182269154857E-2</v>
      </c>
      <c r="M9" s="13">
        <f t="shared" si="5"/>
        <v>6.7162709555171507E-2</v>
      </c>
      <c r="N9" s="13">
        <f t="shared" si="5"/>
        <v>7.4094539903529696E-2</v>
      </c>
      <c r="O9" s="13">
        <f t="shared" si="5"/>
        <v>9.747435293134081E-2</v>
      </c>
      <c r="P9" s="13">
        <f t="shared" si="5"/>
        <v>6.8974815164645847E-2</v>
      </c>
      <c r="Q9" s="13">
        <f t="shared" si="5"/>
        <v>7.2463713756523537E-2</v>
      </c>
      <c r="R9" s="13">
        <f t="shared" si="5"/>
        <v>0.11202379756601499</v>
      </c>
      <c r="S9" s="13">
        <f t="shared" si="5"/>
        <v>0.10102382786183926</v>
      </c>
      <c r="T9" s="13">
        <f t="shared" si="5"/>
        <v>7.1994487362872783E-2</v>
      </c>
      <c r="U9" s="13">
        <f t="shared" si="5"/>
        <v>7.8218621265017982E-2</v>
      </c>
      <c r="V9" s="13">
        <f t="shared" si="5"/>
        <v>0.10857738317330812</v>
      </c>
      <c r="W9" s="13">
        <f t="shared" si="5"/>
        <v>9.4786275145052667E-2</v>
      </c>
      <c r="X9" s="13">
        <f t="shared" si="5"/>
        <v>0.10915246287360958</v>
      </c>
      <c r="Y9" s="13">
        <f t="shared" si="5"/>
        <v>0.10915246287360884</v>
      </c>
      <c r="Z9" s="13">
        <f t="shared" si="5"/>
        <v>0.10953998298274793</v>
      </c>
      <c r="AA9" s="13">
        <f t="shared" si="5"/>
        <v>4.8007616944338444E-2</v>
      </c>
    </row>
    <row r="10" spans="2:27" ht="16.899999999999999" customHeight="1">
      <c r="B10" s="163" t="s">
        <v>11</v>
      </c>
      <c r="C10" s="164"/>
      <c r="D10" s="14">
        <f t="shared" ref="D10:AA10" si="6">IFERROR(IF(D3="Blank",0,(1-D16)),0)</f>
        <v>0.10579012345679017</v>
      </c>
      <c r="E10" s="14">
        <f t="shared" si="6"/>
        <v>0.26969696969696988</v>
      </c>
      <c r="F10" s="14">
        <f t="shared" si="6"/>
        <v>5.6879910213243567E-2</v>
      </c>
      <c r="G10" s="14">
        <f t="shared" si="6"/>
        <v>-0.12356790123456807</v>
      </c>
      <c r="H10" s="14">
        <f t="shared" si="6"/>
        <v>-0.73471014492753617</v>
      </c>
      <c r="I10" s="14">
        <f t="shared" si="6"/>
        <v>-3.2592592592592728E-2</v>
      </c>
      <c r="J10" s="14">
        <f t="shared" si="6"/>
        <v>-2.1052631578947434E-2</v>
      </c>
      <c r="K10" s="14">
        <f t="shared" si="6"/>
        <v>0.11220987654320991</v>
      </c>
      <c r="L10" s="14">
        <f t="shared" si="6"/>
        <v>-3.4567901234567877E-2</v>
      </c>
      <c r="M10" s="14">
        <f t="shared" si="6"/>
        <v>-0.10111111111111115</v>
      </c>
      <c r="N10" s="14">
        <f t="shared" si="6"/>
        <v>0.16366666666666663</v>
      </c>
      <c r="O10" s="14">
        <f t="shared" si="6"/>
        <v>-8.8888888888888795E-2</v>
      </c>
      <c r="P10" s="14">
        <f t="shared" si="6"/>
        <v>4.3572984749455368E-2</v>
      </c>
      <c r="Q10" s="14">
        <f t="shared" si="6"/>
        <v>0.16235690235690237</v>
      </c>
      <c r="R10" s="14">
        <f t="shared" si="6"/>
        <v>-9.7530864197530764E-2</v>
      </c>
      <c r="S10" s="14">
        <f t="shared" si="6"/>
        <v>-9.0800477897251985E-2</v>
      </c>
      <c r="T10" s="14">
        <f t="shared" si="6"/>
        <v>0.23113168724279853</v>
      </c>
      <c r="U10" s="14">
        <f t="shared" si="6"/>
        <v>-0.11851851851851847</v>
      </c>
      <c r="V10" s="14">
        <f t="shared" si="6"/>
        <v>-0.22167216721672167</v>
      </c>
      <c r="W10" s="14">
        <f t="shared" si="6"/>
        <v>0.23084905660377353</v>
      </c>
      <c r="X10" s="14">
        <f t="shared" si="6"/>
        <v>-6.6666666666666652E-2</v>
      </c>
      <c r="Y10" s="14">
        <f t="shared" si="6"/>
        <v>-6.6666666666666652E-2</v>
      </c>
      <c r="Z10" s="14">
        <f t="shared" si="6"/>
        <v>-6.5897065897065898E-2</v>
      </c>
      <c r="AA10" s="14">
        <f t="shared" si="6"/>
        <v>0.12723235833574675</v>
      </c>
    </row>
    <row r="11" spans="2:27" ht="16.899999999999999" customHeight="1">
      <c r="B11" s="116" t="str">
        <f>"Horwitz Ratio (Ideally 0.3≤HorRat≤1) "&amp;IF(COUNTIFS(D11:AA11,"&gt;2")," Check: Very High",IF(COUNTIFS(D11:AA11,"&gt;1"),"Check: High",IF(COUNTIFS(D11:AA11,"&lt;0.3"),"Check: Low?","- OK")))</f>
        <v>Horwitz Ratio (Ideally 0.3≤HorRat≤1)  Check: Very High</v>
      </c>
      <c r="C11" s="165"/>
      <c r="D11" s="109">
        <f>((D9*100)/D30)</f>
        <v>0.56662176615023896</v>
      </c>
      <c r="E11" s="15">
        <f t="shared" ref="E11:AA11" si="7">((E9*100)/E30)</f>
        <v>0.39809262390051747</v>
      </c>
      <c r="F11" s="15">
        <f t="shared" si="7"/>
        <v>0.18964907421821264</v>
      </c>
      <c r="G11" s="15">
        <f t="shared" si="7"/>
        <v>0.74006368409650802</v>
      </c>
      <c r="H11" s="15">
        <f t="shared" si="7"/>
        <v>6.5323728942165706</v>
      </c>
      <c r="I11" s="15">
        <f t="shared" si="7"/>
        <v>0.31395513340596604</v>
      </c>
      <c r="J11" s="15">
        <f t="shared" si="7"/>
        <v>0.32211169364731773</v>
      </c>
      <c r="K11" s="15">
        <f t="shared" si="7"/>
        <v>0.65263742504388056</v>
      </c>
      <c r="L11" s="15">
        <f t="shared" si="7"/>
        <v>0.33772810122343117</v>
      </c>
      <c r="M11" s="15">
        <f t="shared" si="7"/>
        <v>0.30528504343259777</v>
      </c>
      <c r="N11" s="15">
        <f t="shared" si="7"/>
        <v>0.33679336319786224</v>
      </c>
      <c r="O11" s="15">
        <f t="shared" si="7"/>
        <v>0.4430652405970037</v>
      </c>
      <c r="P11" s="15">
        <f t="shared" si="7"/>
        <v>0.31352188711202661</v>
      </c>
      <c r="Q11" s="15">
        <f t="shared" si="7"/>
        <v>0.32938051707510696</v>
      </c>
      <c r="R11" s="15">
        <f t="shared" si="7"/>
        <v>0.50919907984552271</v>
      </c>
      <c r="S11" s="15">
        <f t="shared" si="7"/>
        <v>0.45919921755381482</v>
      </c>
      <c r="T11" s="15">
        <f t="shared" si="7"/>
        <v>0.32724766983123993</v>
      </c>
      <c r="U11" s="15">
        <f t="shared" si="7"/>
        <v>0.35553918756826353</v>
      </c>
      <c r="V11" s="15">
        <f t="shared" si="7"/>
        <v>0.49353355987867326</v>
      </c>
      <c r="W11" s="15">
        <f t="shared" si="7"/>
        <v>0.43084670520478485</v>
      </c>
      <c r="X11" s="15">
        <f t="shared" si="7"/>
        <v>0.49614755851640718</v>
      </c>
      <c r="Y11" s="15">
        <f t="shared" si="7"/>
        <v>0.49614755851640385</v>
      </c>
      <c r="Z11" s="15">
        <f t="shared" si="7"/>
        <v>0.49790901355794515</v>
      </c>
      <c r="AA11" s="15">
        <f t="shared" si="7"/>
        <v>0.30863235406215456</v>
      </c>
    </row>
    <row r="12" spans="2:27" ht="16.899999999999999" customHeight="1">
      <c r="B12" s="166" t="str">
        <f>IF(COUNTIFS(D12:AA12,"&gt;0")," Grubbs' Outlier Check : "&amp;COUNTIFS(D12:AA12,"&gt;0")&amp;" Found?"," Grubbs' Outlier Check")</f>
        <v xml:space="preserve"> Grubbs' Outlier Check : 4 Found?</v>
      </c>
      <c r="C12" s="167"/>
      <c r="D12" s="16">
        <f t="shared" ref="D12:AA12" si="8">IFERROR(IF(D34&lt;D36,IF(D35&lt;D36,0,D19),D20),0)</f>
        <v>58.97</v>
      </c>
      <c r="E12" s="16">
        <f t="shared" si="8"/>
        <v>0</v>
      </c>
      <c r="F12" s="16">
        <f t="shared" si="8"/>
        <v>0</v>
      </c>
      <c r="G12" s="16">
        <f t="shared" si="8"/>
        <v>140.1</v>
      </c>
      <c r="H12" s="16">
        <f t="shared" si="8"/>
        <v>771</v>
      </c>
      <c r="I12" s="16">
        <f t="shared" si="8"/>
        <v>0</v>
      </c>
      <c r="J12" s="16">
        <f t="shared" si="8"/>
        <v>0</v>
      </c>
      <c r="K12" s="16">
        <f t="shared" si="8"/>
        <v>53.77</v>
      </c>
      <c r="L12" s="16">
        <f t="shared" si="8"/>
        <v>0</v>
      </c>
      <c r="M12" s="16">
        <f t="shared" si="8"/>
        <v>0</v>
      </c>
      <c r="N12" s="16">
        <f t="shared" si="8"/>
        <v>0</v>
      </c>
      <c r="O12" s="16">
        <f t="shared" si="8"/>
        <v>0</v>
      </c>
      <c r="P12" s="16">
        <f t="shared" si="8"/>
        <v>0</v>
      </c>
      <c r="Q12" s="16">
        <f t="shared" si="8"/>
        <v>0</v>
      </c>
      <c r="R12" s="16">
        <f t="shared" si="8"/>
        <v>0</v>
      </c>
      <c r="S12" s="16">
        <f t="shared" si="8"/>
        <v>0</v>
      </c>
      <c r="T12" s="16">
        <f t="shared" si="8"/>
        <v>0</v>
      </c>
      <c r="U12" s="16">
        <f t="shared" si="8"/>
        <v>0</v>
      </c>
      <c r="V12" s="16">
        <f t="shared" si="8"/>
        <v>0</v>
      </c>
      <c r="W12" s="16">
        <f t="shared" si="8"/>
        <v>0</v>
      </c>
      <c r="X12" s="16">
        <f t="shared" si="8"/>
        <v>0</v>
      </c>
      <c r="Y12" s="16">
        <f t="shared" si="8"/>
        <v>0</v>
      </c>
      <c r="Z12" s="16">
        <f t="shared" si="8"/>
        <v>0</v>
      </c>
      <c r="AA12" s="16">
        <f t="shared" si="8"/>
        <v>0</v>
      </c>
    </row>
    <row r="13" spans="2:27" ht="16.899999999999999" customHeight="1">
      <c r="B13" s="168" t="str">
        <f>" Result to "&amp;D5&amp;" Significant figures"</f>
        <v xml:space="preserve"> Result to 2 Significant figures</v>
      </c>
      <c r="C13" s="160"/>
      <c r="D13" s="17" t="str">
        <f t="shared" ref="D13:AA13" si="9">IFERROR(FIXED(D26,((-1*INT(LOG10(D26)))-1)+D5,TRUE),0)</f>
        <v>80</v>
      </c>
      <c r="E13" s="17" t="str">
        <f t="shared" si="9"/>
        <v>1.6</v>
      </c>
      <c r="F13" s="17" t="str">
        <f t="shared" si="9"/>
        <v>93</v>
      </c>
      <c r="G13" s="17" t="str">
        <f t="shared" si="9"/>
        <v>100</v>
      </c>
      <c r="H13" s="17" t="str">
        <f t="shared" si="9"/>
        <v>160</v>
      </c>
      <c r="I13" s="17" t="str">
        <f t="shared" si="9"/>
        <v>9.3</v>
      </c>
      <c r="J13" s="17" t="str">
        <f t="shared" si="9"/>
        <v>97</v>
      </c>
      <c r="K13" s="17" t="str">
        <f t="shared" si="9"/>
        <v>80</v>
      </c>
      <c r="L13" s="17" t="str">
        <f t="shared" si="9"/>
        <v>93</v>
      </c>
      <c r="M13" s="17" t="str">
        <f t="shared" si="9"/>
        <v>99</v>
      </c>
      <c r="N13" s="17" t="str">
        <f t="shared" si="9"/>
        <v>0.84</v>
      </c>
      <c r="O13" s="17" t="str">
        <f t="shared" si="9"/>
        <v>98</v>
      </c>
      <c r="P13" s="17" t="str">
        <f t="shared" si="9"/>
        <v>98</v>
      </c>
      <c r="Q13" s="17" t="str">
        <f t="shared" si="9"/>
        <v>83</v>
      </c>
      <c r="R13" s="17" t="str">
        <f t="shared" si="9"/>
        <v>99</v>
      </c>
      <c r="S13" s="17" t="str">
        <f t="shared" si="9"/>
        <v>100</v>
      </c>
      <c r="T13" s="17" t="str">
        <f t="shared" si="9"/>
        <v>83</v>
      </c>
      <c r="U13" s="17" t="str">
        <f t="shared" si="9"/>
        <v>100</v>
      </c>
      <c r="V13" s="17" t="str">
        <f t="shared" si="9"/>
        <v>0.0012</v>
      </c>
      <c r="W13" s="17" t="str">
        <f t="shared" si="9"/>
        <v>82</v>
      </c>
      <c r="X13" s="17" t="str">
        <f t="shared" si="9"/>
        <v>1.2</v>
      </c>
      <c r="Y13" s="17" t="str">
        <f t="shared" si="9"/>
        <v>0.12</v>
      </c>
      <c r="Z13" s="17" t="str">
        <f t="shared" si="9"/>
        <v>0.012</v>
      </c>
      <c r="AA13" s="17" t="str">
        <f t="shared" si="9"/>
        <v>1000</v>
      </c>
    </row>
    <row r="14" spans="2:27" ht="16.899999999999999" customHeight="1">
      <c r="B14" s="169" t="s">
        <v>12</v>
      </c>
      <c r="C14" s="162"/>
      <c r="D14" s="18" t="str">
        <f t="shared" ref="D14:AA14" si="10">IFERROR(IF(D3="Blank",0,D51),0)</f>
        <v>32</v>
      </c>
      <c r="E14" s="18" t="str">
        <f t="shared" si="10"/>
        <v>0.6</v>
      </c>
      <c r="F14" s="18" t="str">
        <f t="shared" si="10"/>
        <v>12</v>
      </c>
      <c r="G14" s="18" t="str">
        <f t="shared" si="10"/>
        <v>42</v>
      </c>
      <c r="H14" s="18" t="str">
        <f t="shared" si="10"/>
        <v>383</v>
      </c>
      <c r="I14" s="18" t="str">
        <f t="shared" si="10"/>
        <v>1.8</v>
      </c>
      <c r="J14" s="18" t="str">
        <f t="shared" si="10"/>
        <v>19</v>
      </c>
      <c r="K14" s="18" t="str">
        <f t="shared" si="10"/>
        <v>37</v>
      </c>
      <c r="L14" s="18" t="str">
        <f t="shared" si="10"/>
        <v>19</v>
      </c>
      <c r="M14" s="18" t="str">
        <f t="shared" si="10"/>
        <v>1</v>
      </c>
      <c r="N14" s="18" t="str">
        <f t="shared" si="10"/>
        <v>0.2</v>
      </c>
      <c r="O14" s="18" t="str">
        <f t="shared" si="10"/>
        <v>25</v>
      </c>
      <c r="P14" s="18" t="str">
        <f t="shared" si="10"/>
        <v>20</v>
      </c>
      <c r="Q14" s="18" t="str">
        <f t="shared" si="10"/>
        <v>21</v>
      </c>
      <c r="R14" s="18" t="str">
        <f t="shared" si="10"/>
        <v>29</v>
      </c>
      <c r="S14" s="18" t="str">
        <f t="shared" si="10"/>
        <v>27</v>
      </c>
      <c r="T14" s="18" t="str">
        <f t="shared" si="10"/>
        <v>20</v>
      </c>
      <c r="U14" s="18" t="str">
        <f t="shared" si="10"/>
        <v>20</v>
      </c>
      <c r="V14" s="18" t="str">
        <f t="shared" si="10"/>
        <v>0.0003</v>
      </c>
      <c r="W14" s="18" t="str">
        <f t="shared" si="10"/>
        <v>30</v>
      </c>
      <c r="X14" s="18" t="str">
        <f t="shared" si="10"/>
        <v>0.4</v>
      </c>
      <c r="Y14" s="18" t="str">
        <f t="shared" si="10"/>
        <v>0.04</v>
      </c>
      <c r="Z14" s="18" t="str">
        <f t="shared" si="10"/>
        <v>0.004</v>
      </c>
      <c r="AA14" s="18" t="str">
        <f t="shared" si="10"/>
        <v>200</v>
      </c>
    </row>
    <row r="15" spans="2:27" ht="16.899999999999999" customHeight="1">
      <c r="B15" s="169" t="s">
        <v>13</v>
      </c>
      <c r="C15" s="162"/>
      <c r="D15" s="18" t="str">
        <f t="shared" ref="D15:AA15" si="11">IFERROR(IF(D3="Blank",0,D45),0)</f>
        <v>97</v>
      </c>
      <c r="E15" s="18" t="str">
        <f t="shared" si="11"/>
        <v>1.7</v>
      </c>
      <c r="F15" s="18" t="str">
        <f t="shared" si="11"/>
        <v>36</v>
      </c>
      <c r="G15" s="18" t="str">
        <f t="shared" si="11"/>
        <v>130</v>
      </c>
      <c r="H15" s="18" t="str">
        <f t="shared" si="11"/>
        <v>1100</v>
      </c>
      <c r="I15" s="18" t="str">
        <f t="shared" si="11"/>
        <v>5.4</v>
      </c>
      <c r="J15" s="18" t="str">
        <f t="shared" si="11"/>
        <v>58</v>
      </c>
      <c r="K15" s="18" t="str">
        <f t="shared" si="11"/>
        <v>110</v>
      </c>
      <c r="L15" s="18" t="str">
        <f t="shared" si="11"/>
        <v>58</v>
      </c>
      <c r="M15" s="18" t="str">
        <f t="shared" si="11"/>
        <v>2.7</v>
      </c>
      <c r="N15" s="18" t="str">
        <f t="shared" si="11"/>
        <v>0.64</v>
      </c>
      <c r="O15" s="18" t="str">
        <f t="shared" si="11"/>
        <v>76</v>
      </c>
      <c r="P15" s="18" t="str">
        <f t="shared" si="11"/>
        <v>61</v>
      </c>
      <c r="Q15" s="18" t="str">
        <f t="shared" si="11"/>
        <v>62</v>
      </c>
      <c r="R15" s="18" t="str">
        <f t="shared" si="11"/>
        <v>88</v>
      </c>
      <c r="S15" s="18" t="str">
        <f t="shared" si="11"/>
        <v>82</v>
      </c>
      <c r="T15" s="18" t="str">
        <f t="shared" si="11"/>
        <v>68</v>
      </c>
      <c r="U15" s="18" t="str">
        <f t="shared" si="11"/>
        <v>61</v>
      </c>
      <c r="V15" s="18" t="str">
        <f t="shared" si="11"/>
        <v>0.00095</v>
      </c>
      <c r="W15" s="18" t="str">
        <f t="shared" si="11"/>
        <v>87</v>
      </c>
      <c r="X15" s="18" t="str">
        <f t="shared" si="11"/>
        <v>1.1</v>
      </c>
      <c r="Y15" s="18" t="str">
        <f t="shared" si="11"/>
        <v>0.11</v>
      </c>
      <c r="Z15" s="18" t="str">
        <f t="shared" si="11"/>
        <v>0.011</v>
      </c>
      <c r="AA15" s="18" t="str">
        <f t="shared" si="11"/>
        <v>480</v>
      </c>
    </row>
    <row r="16" spans="2:27" ht="16.899999999999999" customHeight="1">
      <c r="B16" s="170" t="s">
        <v>14</v>
      </c>
      <c r="C16" s="164"/>
      <c r="D16" s="19">
        <f t="shared" ref="D16:AA16" si="12">IFERROR(IF(D3="Blank","Blank",(D26)/D6),0)</f>
        <v>0.89420987654320983</v>
      </c>
      <c r="E16" s="19">
        <f t="shared" si="12"/>
        <v>0.73030303030303012</v>
      </c>
      <c r="F16" s="19">
        <f t="shared" si="12"/>
        <v>0.94312008978675643</v>
      </c>
      <c r="G16" s="19">
        <f t="shared" si="12"/>
        <v>1.1235679012345681</v>
      </c>
      <c r="H16" s="19">
        <f t="shared" si="12"/>
        <v>1.7347101449275362</v>
      </c>
      <c r="I16" s="19">
        <f t="shared" si="12"/>
        <v>1.0325925925925927</v>
      </c>
      <c r="J16" s="19">
        <f t="shared" si="12"/>
        <v>1.0210526315789474</v>
      </c>
      <c r="K16" s="19">
        <f t="shared" si="12"/>
        <v>0.88779012345679009</v>
      </c>
      <c r="L16" s="19">
        <f t="shared" si="12"/>
        <v>1.0345679012345679</v>
      </c>
      <c r="M16" s="19">
        <f t="shared" si="12"/>
        <v>1.1011111111111112</v>
      </c>
      <c r="N16" s="19">
        <f t="shared" si="12"/>
        <v>0.83633333333333337</v>
      </c>
      <c r="O16" s="19">
        <f t="shared" si="12"/>
        <v>1.0888888888888888</v>
      </c>
      <c r="P16" s="19">
        <f t="shared" si="12"/>
        <v>0.95642701525054463</v>
      </c>
      <c r="Q16" s="19">
        <f t="shared" si="12"/>
        <v>0.83764309764309763</v>
      </c>
      <c r="R16" s="19">
        <f t="shared" si="12"/>
        <v>1.0975308641975308</v>
      </c>
      <c r="S16" s="19">
        <f t="shared" si="12"/>
        <v>1.090800477897252</v>
      </c>
      <c r="T16" s="19">
        <f t="shared" si="12"/>
        <v>0.76886831275720147</v>
      </c>
      <c r="U16" s="19">
        <f t="shared" si="12"/>
        <v>1.1185185185185185</v>
      </c>
      <c r="V16" s="19">
        <f t="shared" si="12"/>
        <v>1.2216721672167217</v>
      </c>
      <c r="W16" s="19">
        <f t="shared" si="12"/>
        <v>0.76915094339622647</v>
      </c>
      <c r="X16" s="19">
        <f t="shared" si="12"/>
        <v>1.0666666666666667</v>
      </c>
      <c r="Y16" s="19">
        <f t="shared" si="12"/>
        <v>1.0666666666666667</v>
      </c>
      <c r="Z16" s="19">
        <f t="shared" si="12"/>
        <v>1.0658970658970659</v>
      </c>
      <c r="AA16" s="19">
        <f t="shared" si="12"/>
        <v>0.87276764166425325</v>
      </c>
    </row>
    <row r="17" spans="2:27" ht="16.899999999999999" hidden="1" customHeight="1">
      <c r="B17" s="112"/>
      <c r="C17" s="171"/>
      <c r="D17" s="20"/>
      <c r="E17" s="20"/>
      <c r="F17" s="20"/>
      <c r="G17" s="20"/>
      <c r="H17" s="20"/>
      <c r="I17" s="20"/>
      <c r="J17" s="20"/>
      <c r="K17" s="20"/>
      <c r="L17" s="20"/>
      <c r="M17" s="20"/>
      <c r="N17" s="20"/>
      <c r="O17" s="20"/>
      <c r="P17" s="20"/>
      <c r="Q17" s="20"/>
      <c r="R17" s="20"/>
      <c r="S17" s="20"/>
      <c r="T17" s="20"/>
      <c r="U17" s="20"/>
      <c r="V17" s="20"/>
      <c r="W17" s="20"/>
      <c r="X17" s="20"/>
      <c r="Y17" s="20"/>
      <c r="Z17" s="20"/>
      <c r="AA17" s="20"/>
    </row>
    <row r="18" spans="2:27" ht="16.899999999999999" hidden="1" customHeight="1">
      <c r="B18" s="21" t="s">
        <v>15</v>
      </c>
      <c r="C18" s="172"/>
      <c r="D18" s="22">
        <f t="shared" ref="D18:AA18" si="13">IFERROR(IF(D34&lt;D36,IF(D35&lt;D36,0,D19),D20),0)</f>
        <v>58.97</v>
      </c>
      <c r="E18" s="22">
        <f t="shared" si="13"/>
        <v>0</v>
      </c>
      <c r="F18" s="22">
        <f t="shared" si="13"/>
        <v>0</v>
      </c>
      <c r="G18" s="22">
        <f t="shared" si="13"/>
        <v>140.1</v>
      </c>
      <c r="H18" s="22">
        <f t="shared" si="13"/>
        <v>771</v>
      </c>
      <c r="I18" s="22">
        <f t="shared" si="13"/>
        <v>0</v>
      </c>
      <c r="J18" s="22">
        <f t="shared" si="13"/>
        <v>0</v>
      </c>
      <c r="K18" s="22">
        <f t="shared" si="13"/>
        <v>53.77</v>
      </c>
      <c r="L18" s="22">
        <f t="shared" si="13"/>
        <v>0</v>
      </c>
      <c r="M18" s="22">
        <f t="shared" si="13"/>
        <v>0</v>
      </c>
      <c r="N18" s="22">
        <f t="shared" si="13"/>
        <v>0</v>
      </c>
      <c r="O18" s="22">
        <f t="shared" si="13"/>
        <v>0</v>
      </c>
      <c r="P18" s="22">
        <f t="shared" si="13"/>
        <v>0</v>
      </c>
      <c r="Q18" s="22">
        <f t="shared" si="13"/>
        <v>0</v>
      </c>
      <c r="R18" s="22">
        <f t="shared" si="13"/>
        <v>0</v>
      </c>
      <c r="S18" s="22">
        <f t="shared" si="13"/>
        <v>0</v>
      </c>
      <c r="T18" s="22">
        <f t="shared" si="13"/>
        <v>0</v>
      </c>
      <c r="U18" s="22">
        <f t="shared" si="13"/>
        <v>0</v>
      </c>
      <c r="V18" s="22">
        <f t="shared" si="13"/>
        <v>0</v>
      </c>
      <c r="W18" s="22">
        <f t="shared" si="13"/>
        <v>0</v>
      </c>
      <c r="X18" s="22">
        <f t="shared" si="13"/>
        <v>0</v>
      </c>
      <c r="Y18" s="22">
        <f t="shared" si="13"/>
        <v>0</v>
      </c>
      <c r="Z18" s="22">
        <f t="shared" si="13"/>
        <v>0</v>
      </c>
      <c r="AA18" s="22">
        <f t="shared" si="13"/>
        <v>0</v>
      </c>
    </row>
    <row r="19" spans="2:27" ht="18.3" hidden="1" customHeight="1">
      <c r="B19" s="153" t="str">
        <f>IF(D19=D18,"Ymax (Maximum Value) may be an Outlier!","Ymax (Maximum Value)")</f>
        <v>Ymax (Maximum Value)</v>
      </c>
      <c r="C19" s="173"/>
      <c r="D19" s="23">
        <f>MAX(SampleResults!B1:B32)</f>
        <v>89.84</v>
      </c>
      <c r="E19" s="23">
        <f>MAX(SampleResults!C1:C32)</f>
        <v>1.82</v>
      </c>
      <c r="F19" s="23">
        <f>MAX(SampleResults!D1:D32)</f>
        <v>99.21</v>
      </c>
      <c r="G19" s="23">
        <f>MAX(SampleResults!E1:E32)</f>
        <v>140.1</v>
      </c>
      <c r="H19" s="23">
        <f>MAX(SampleResults!F1:F32)</f>
        <v>771</v>
      </c>
      <c r="I19" s="23">
        <f>MAX(SampleResults!G1:G32)</f>
        <v>10.4</v>
      </c>
      <c r="J19" s="23">
        <f>MAX(SampleResults!H1:H32)</f>
        <v>106</v>
      </c>
      <c r="K19" s="23">
        <f>MAX(SampleResults!I1:I32)</f>
        <v>89.84</v>
      </c>
      <c r="L19" s="23">
        <f>MAX(SampleResults!J1:J32)</f>
        <v>103</v>
      </c>
      <c r="M19" s="23">
        <f>MAX(SampleResults!K1:K32)</f>
        <v>111.3</v>
      </c>
      <c r="N19" s="23">
        <f>MAX(SampleResults!L1:L32)</f>
        <v>0.89800000000000002</v>
      </c>
      <c r="O19" s="23">
        <f>MAX(SampleResults!M1:M32)</f>
        <v>117</v>
      </c>
      <c r="P19" s="23">
        <f>MAX(SampleResults!N1:N32)</f>
        <v>106</v>
      </c>
      <c r="Q19" s="23">
        <f>MAX(SampleResults!O1:O32)</f>
        <v>89.84</v>
      </c>
      <c r="R19" s="23">
        <f>MAX(SampleResults!P1:P32)</f>
        <v>121</v>
      </c>
      <c r="S19" s="23">
        <f>MAX(SampleResults!Q1:Q32)</f>
        <v>122</v>
      </c>
      <c r="T19" s="23">
        <f>MAX(SampleResults!R1:R32)</f>
        <v>89.84</v>
      </c>
      <c r="U19" s="23">
        <f>MAX(SampleResults!S1:S32)</f>
        <v>117</v>
      </c>
      <c r="V19" s="23">
        <f>MAX(SampleResults!T1:T32)</f>
        <v>1.4599999999999999E-3</v>
      </c>
      <c r="W19" s="23">
        <f>MAX(SampleResults!U1:U32)</f>
        <v>89.84</v>
      </c>
      <c r="X19" s="23">
        <f>MAX(SampleResults!V1:V32)</f>
        <v>1.46</v>
      </c>
      <c r="Y19" s="23">
        <f>MAX(SampleResults!W1:W32)</f>
        <v>0.14599999999999999</v>
      </c>
      <c r="Z19" s="23">
        <f>MAX(SampleResults!X1:X32)</f>
        <v>1.46E-2</v>
      </c>
      <c r="AA19" s="23">
        <f>MAX(SampleResults!Y1:Y32)</f>
        <v>1100</v>
      </c>
    </row>
    <row r="20" spans="2:27" ht="9" hidden="1" customHeight="1">
      <c r="B20" s="153" t="str">
        <f>IF(D20=D18,"Ymin (Minimum Value) Outlier?","Ymin (Minimum Value)")</f>
        <v>Ymin (Minimum Value) Outlier?</v>
      </c>
      <c r="C20" s="173"/>
      <c r="D20" s="23">
        <f>MIN(SampleResults!B1:B32)</f>
        <v>58.97</v>
      </c>
      <c r="E20" s="23">
        <f>MIN(SampleResults!C1:C32)</f>
        <v>1.36</v>
      </c>
      <c r="F20" s="23">
        <f>MIN(SampleResults!D1:D32)</f>
        <v>85.37</v>
      </c>
      <c r="G20" s="23">
        <f>MIN(SampleResults!E1:E32)</f>
        <v>81.31</v>
      </c>
      <c r="H20" s="23">
        <f>MIN(SampleResults!F1:F32)</f>
        <v>72.11</v>
      </c>
      <c r="I20" s="23">
        <f>MIN(SampleResults!G1:G32)</f>
        <v>8.07</v>
      </c>
      <c r="J20" s="23">
        <f>MIN(SampleResults!H1:H32)</f>
        <v>83</v>
      </c>
      <c r="K20" s="23">
        <f>MIN(SampleResults!I1:I32)</f>
        <v>53.77</v>
      </c>
      <c r="L20" s="23">
        <f>MIN(SampleResults!J1:J32)</f>
        <v>84</v>
      </c>
      <c r="M20" s="23">
        <f>MIN(SampleResults!K1:K32)</f>
        <v>90.1</v>
      </c>
      <c r="N20" s="23">
        <f>MIN(SampleResults!L1:L32)</f>
        <v>0.72099999999999997</v>
      </c>
      <c r="O20" s="23">
        <f>MIN(SampleResults!M1:M32)</f>
        <v>90</v>
      </c>
      <c r="P20" s="23">
        <f>MIN(SampleResults!N1:N32)</f>
        <v>89</v>
      </c>
      <c r="Q20" s="23">
        <f>MIN(SampleResults!O1:O32)</f>
        <v>72.11</v>
      </c>
      <c r="R20" s="23">
        <f>MIN(SampleResults!P1:P32)</f>
        <v>90</v>
      </c>
      <c r="S20" s="23">
        <f>MIN(SampleResults!Q1:Q32)</f>
        <v>84</v>
      </c>
      <c r="T20" s="23">
        <f>MIN(SampleResults!R1:R32)</f>
        <v>72.11</v>
      </c>
      <c r="U20" s="23">
        <f>MIN(SampleResults!S1:S32)</f>
        <v>88</v>
      </c>
      <c r="V20" s="23">
        <f>MIN(SampleResults!T1:T32)</f>
        <v>1.0300000000000001E-3</v>
      </c>
      <c r="W20" s="23">
        <f>MIN(SampleResults!U1:U32)</f>
        <v>68.430000000000007</v>
      </c>
      <c r="X20" s="23">
        <f>MIN(SampleResults!V1:V32)</f>
        <v>1.03</v>
      </c>
      <c r="Y20" s="23">
        <f>MIN(SampleResults!W1:W32)</f>
        <v>0.10299999999999999</v>
      </c>
      <c r="Z20" s="23">
        <f>MIN(SampleResults!X1:X32)</f>
        <v>1.03E-2</v>
      </c>
      <c r="AA20" s="23">
        <f>MIN(SampleResults!Y1:Y32)</f>
        <v>951</v>
      </c>
    </row>
    <row r="21" spans="2:27" ht="16.899999999999999" hidden="1" customHeight="1">
      <c r="B21" s="113"/>
      <c r="C21" s="171"/>
      <c r="D21" s="24"/>
      <c r="E21" s="24"/>
      <c r="F21" s="24"/>
      <c r="G21" s="24"/>
      <c r="H21" s="24"/>
      <c r="I21" s="24"/>
      <c r="J21" s="24"/>
      <c r="K21" s="24"/>
      <c r="L21" s="24"/>
      <c r="M21" s="24"/>
      <c r="N21" s="24"/>
      <c r="O21" s="24"/>
      <c r="P21" s="24"/>
      <c r="Q21" s="24"/>
      <c r="R21" s="24"/>
      <c r="S21" s="24"/>
      <c r="T21" s="24"/>
      <c r="U21" s="24"/>
      <c r="V21" s="24"/>
      <c r="W21" s="24"/>
      <c r="X21" s="24"/>
      <c r="Y21" s="24"/>
      <c r="Z21" s="24"/>
      <c r="AA21" s="24"/>
    </row>
    <row r="22" spans="2:27" ht="16.899999999999999" hidden="1" customHeight="1">
      <c r="B22" s="113"/>
      <c r="C22" s="171"/>
      <c r="D22" s="24"/>
      <c r="E22" s="24"/>
      <c r="F22" s="24"/>
      <c r="G22" s="24"/>
      <c r="H22" s="24"/>
      <c r="I22" s="24"/>
      <c r="J22" s="24"/>
      <c r="K22" s="24"/>
      <c r="L22" s="24"/>
      <c r="M22" s="24"/>
      <c r="N22" s="24"/>
      <c r="O22" s="24"/>
      <c r="P22" s="24"/>
      <c r="Q22" s="24"/>
      <c r="R22" s="24"/>
      <c r="S22" s="24"/>
      <c r="T22" s="24"/>
      <c r="U22" s="24"/>
      <c r="V22" s="24"/>
      <c r="W22" s="24"/>
      <c r="X22" s="24"/>
      <c r="Y22" s="24"/>
      <c r="Z22" s="24"/>
      <c r="AA22" s="24"/>
    </row>
    <row r="23" spans="2:27" ht="16.899999999999999" hidden="1" customHeight="1">
      <c r="B23" s="113"/>
      <c r="C23" s="171"/>
      <c r="D23" s="24"/>
      <c r="E23" s="24"/>
      <c r="F23" s="24"/>
      <c r="G23" s="24"/>
      <c r="H23" s="24"/>
      <c r="I23" s="24"/>
      <c r="J23" s="24"/>
      <c r="K23" s="24"/>
      <c r="L23" s="24"/>
      <c r="M23" s="24"/>
      <c r="N23" s="24"/>
      <c r="O23" s="24"/>
      <c r="P23" s="24"/>
      <c r="Q23" s="24"/>
      <c r="R23" s="24"/>
      <c r="S23" s="24"/>
      <c r="T23" s="24"/>
      <c r="U23" s="24"/>
      <c r="V23" s="24"/>
      <c r="W23" s="24"/>
      <c r="X23" s="24"/>
      <c r="Y23" s="24"/>
      <c r="Z23" s="24"/>
      <c r="AA23" s="24"/>
    </row>
    <row r="24" spans="2:27" ht="16.899999999999999" hidden="1" customHeight="1">
      <c r="B24" s="115" t="s">
        <v>16</v>
      </c>
      <c r="C24" s="171"/>
      <c r="D24" s="25" t="str">
        <f t="shared" ref="D24:AA24" si="14">IFERROR(IF(D3="Blank","Blank",D46),0)</f>
        <v>90</v>
      </c>
      <c r="E24" s="25" t="str">
        <f t="shared" si="14"/>
        <v>2.2</v>
      </c>
      <c r="F24" s="25" t="str">
        <f t="shared" si="14"/>
        <v>99</v>
      </c>
      <c r="G24" s="25" t="str">
        <f t="shared" si="14"/>
        <v>90</v>
      </c>
      <c r="H24" s="25" t="str">
        <f t="shared" si="14"/>
        <v>92</v>
      </c>
      <c r="I24" s="25" t="str">
        <f t="shared" si="14"/>
        <v>9.0</v>
      </c>
      <c r="J24" s="25" t="str">
        <f t="shared" si="14"/>
        <v>95</v>
      </c>
      <c r="K24" s="25" t="str">
        <f t="shared" si="14"/>
        <v>90</v>
      </c>
      <c r="L24" s="25" t="str">
        <f t="shared" si="14"/>
        <v>90</v>
      </c>
      <c r="M24" s="25" t="str">
        <f t="shared" si="14"/>
        <v>90</v>
      </c>
      <c r="N24" s="25" t="str">
        <f t="shared" si="14"/>
        <v>1.0</v>
      </c>
      <c r="O24" s="25" t="str">
        <f t="shared" si="14"/>
        <v>90</v>
      </c>
      <c r="P24" s="25" t="str">
        <f t="shared" si="14"/>
        <v>100</v>
      </c>
      <c r="Q24" s="25" t="str">
        <f t="shared" si="14"/>
        <v>99</v>
      </c>
      <c r="R24" s="25" t="str">
        <f t="shared" si="14"/>
        <v>90</v>
      </c>
      <c r="S24" s="25" t="str">
        <f t="shared" si="14"/>
        <v>93</v>
      </c>
      <c r="T24" s="25" t="str">
        <f t="shared" si="14"/>
        <v>110</v>
      </c>
      <c r="U24" s="25" t="str">
        <f t="shared" si="14"/>
        <v>90</v>
      </c>
      <c r="V24" s="25" t="str">
        <f t="shared" si="14"/>
        <v>0.0010</v>
      </c>
      <c r="W24" s="25" t="str">
        <f t="shared" si="14"/>
        <v>110</v>
      </c>
      <c r="X24" s="25" t="str">
        <f t="shared" si="14"/>
        <v>1.2</v>
      </c>
      <c r="Y24" s="25" t="str">
        <f t="shared" si="14"/>
        <v>0.12</v>
      </c>
      <c r="Z24" s="25" t="str">
        <f t="shared" si="14"/>
        <v>0.012</v>
      </c>
      <c r="AA24" s="25" t="str">
        <f t="shared" si="14"/>
        <v>1200</v>
      </c>
    </row>
    <row r="25" spans="2:27" ht="16.899999999999999" hidden="1" customHeight="1">
      <c r="B25" s="174" t="s">
        <v>17</v>
      </c>
      <c r="C25" s="173"/>
      <c r="D25" s="23">
        <f>COUNT(SampleResults!B1:B32)</f>
        <v>9</v>
      </c>
      <c r="E25" s="23">
        <f>COUNT(SampleResults!C1:C32)</f>
        <v>9</v>
      </c>
      <c r="F25" s="23">
        <f>COUNT(SampleResults!D1:D32)</f>
        <v>9</v>
      </c>
      <c r="G25" s="23">
        <f>COUNT(SampleResults!E1:E32)</f>
        <v>9</v>
      </c>
      <c r="H25" s="23">
        <f>COUNT(SampleResults!F1:F32)</f>
        <v>9</v>
      </c>
      <c r="I25" s="23">
        <f>COUNT(SampleResults!G1:G32)</f>
        <v>9</v>
      </c>
      <c r="J25" s="23">
        <f>COUNT(SampleResults!H1:H32)</f>
        <v>9</v>
      </c>
      <c r="K25" s="23">
        <f>COUNT(SampleResults!I1:I32)</f>
        <v>9</v>
      </c>
      <c r="L25" s="23">
        <f>COUNT(SampleResults!J1:J32)</f>
        <v>9</v>
      </c>
      <c r="M25" s="23">
        <f>COUNT(SampleResults!K1:K32)</f>
        <v>9</v>
      </c>
      <c r="N25" s="23">
        <f>COUNT(SampleResults!L1:L32)</f>
        <v>9</v>
      </c>
      <c r="O25" s="23">
        <f>COUNT(SampleResults!M1:M32)</f>
        <v>9</v>
      </c>
      <c r="P25" s="23">
        <f>COUNT(SampleResults!N1:N32)</f>
        <v>9</v>
      </c>
      <c r="Q25" s="23">
        <f>COUNT(SampleResults!O1:O32)</f>
        <v>9</v>
      </c>
      <c r="R25" s="23">
        <f>COUNT(SampleResults!P1:P32)</f>
        <v>9</v>
      </c>
      <c r="S25" s="23">
        <f>COUNT(SampleResults!Q1:Q32)</f>
        <v>9</v>
      </c>
      <c r="T25" s="23">
        <f>COUNT(SampleResults!R1:R32)</f>
        <v>9</v>
      </c>
      <c r="U25" s="23">
        <f>COUNT(SampleResults!S1:S32)</f>
        <v>9</v>
      </c>
      <c r="V25" s="23">
        <f>COUNT(SampleResults!T1:T32)</f>
        <v>9</v>
      </c>
      <c r="W25" s="23">
        <f>COUNT(SampleResults!U1:U32)</f>
        <v>9</v>
      </c>
      <c r="X25" s="23">
        <f>COUNT(SampleResults!V1:V32)</f>
        <v>9</v>
      </c>
      <c r="Y25" s="23">
        <f>COUNT(SampleResults!W1:W32)</f>
        <v>9</v>
      </c>
      <c r="Z25" s="23">
        <f>COUNT(SampleResults!X1:X32)</f>
        <v>9</v>
      </c>
      <c r="AA25" s="23">
        <f>COUNT(SampleResults!Y1:Y32)</f>
        <v>9</v>
      </c>
    </row>
    <row r="26" spans="2:27" ht="16.899999999999999" hidden="1" customHeight="1">
      <c r="B26" s="21" t="s">
        <v>18</v>
      </c>
      <c r="C26" s="173"/>
      <c r="D26" s="26">
        <f>IF(D25&gt;0,AVERAGE(SampleResults!B1:B32),0)</f>
        <v>80.478888888888889</v>
      </c>
      <c r="E26" s="26">
        <f>IF(E25&gt;0,AVERAGE(SampleResults!C1:C32),0)</f>
        <v>1.6066666666666665</v>
      </c>
      <c r="F26" s="26">
        <f>IF(F25&gt;0,AVERAGE(SampleResults!D1:D32),0)</f>
        <v>93.36888888888889</v>
      </c>
      <c r="G26" s="26">
        <f>IF(G25&gt;0,AVERAGE(SampleResults!E1:E32),0)</f>
        <v>101.12111111111112</v>
      </c>
      <c r="H26" s="26">
        <f>IF(H25&gt;0,AVERAGE(SampleResults!F1:F32),0)</f>
        <v>159.59333333333333</v>
      </c>
      <c r="I26" s="26">
        <f>IF(I25&gt;0,AVERAGE(SampleResults!G1:G32),0)</f>
        <v>9.2933333333333348</v>
      </c>
      <c r="J26" s="26">
        <f>IF(J25&gt;0,AVERAGE(SampleResults!H1:H32),0)</f>
        <v>97</v>
      </c>
      <c r="K26" s="26">
        <f>IF(K25&gt;0,AVERAGE(SampleResults!I1:I32),0)</f>
        <v>79.901111111111106</v>
      </c>
      <c r="L26" s="26">
        <f>IF(L25&gt;0,AVERAGE(SampleResults!J1:J32),0)</f>
        <v>93.111111111111114</v>
      </c>
      <c r="M26" s="26">
        <f>IF(M25&gt;0,AVERAGE(SampleResults!K1:K32),0)</f>
        <v>99.1</v>
      </c>
      <c r="N26" s="26">
        <f>IF(N25&gt;0,AVERAGE(SampleResults!L1:L32),0)</f>
        <v>0.83633333333333337</v>
      </c>
      <c r="O26" s="26">
        <f>IF(O25&gt;0,AVERAGE(SampleResults!M1:M32),0)</f>
        <v>98</v>
      </c>
      <c r="P26" s="26">
        <f>IF(P25&gt;0,AVERAGE(SampleResults!N1:N32),0)</f>
        <v>97.555555555555557</v>
      </c>
      <c r="Q26" s="26">
        <f>IF(Q25&gt;0,AVERAGE(SampleResults!O1:O32),0)</f>
        <v>82.926666666666662</v>
      </c>
      <c r="R26" s="26">
        <f>IF(R25&gt;0,AVERAGE(SampleResults!P1:P32),0)</f>
        <v>98.777777777777771</v>
      </c>
      <c r="S26" s="26">
        <f>IF(S25&gt;0,AVERAGE(SampleResults!Q1:Q32),0)</f>
        <v>101.44444444444444</v>
      </c>
      <c r="T26" s="26">
        <f>IF(T25&gt;0,AVERAGE(SampleResults!R1:R32),0)</f>
        <v>83.037777777777762</v>
      </c>
      <c r="U26" s="26">
        <f>IF(U25&gt;0,AVERAGE(SampleResults!S1:S32),0)</f>
        <v>100.66666666666667</v>
      </c>
      <c r="V26" s="26">
        <f>IF(V25&gt;0,AVERAGE(SampleResults!T1:T32),0)</f>
        <v>1.233888888888889E-3</v>
      </c>
      <c r="W26" s="26">
        <f>IF(W25&gt;0,AVERAGE(SampleResults!U1:U32),0)</f>
        <v>81.53</v>
      </c>
      <c r="X26" s="26">
        <f>IF(X25&gt;0,AVERAGE(SampleResults!V1:V32),0)</f>
        <v>1.232</v>
      </c>
      <c r="Y26" s="26">
        <f>IF(Y25&gt;0,AVERAGE(SampleResults!W1:W32),0)</f>
        <v>0.1232</v>
      </c>
      <c r="Z26" s="26">
        <f>IF(Z25&gt;0,AVERAGE(SampleResults!X1:X32),0)</f>
        <v>1.2311111111111111E-2</v>
      </c>
      <c r="AA26" s="26">
        <f>IF(AA25&gt;0,AVERAGE(SampleResults!Y1:Y32),0)</f>
        <v>1004.5555555555555</v>
      </c>
    </row>
    <row r="27" spans="2:27" ht="16.899999999999999" hidden="1" customHeight="1">
      <c r="B27" s="21" t="s">
        <v>19</v>
      </c>
      <c r="C27" s="173"/>
      <c r="D27" s="27">
        <f>IF(D25&gt;1,STDEV(SampleResults!B1:B32),0)</f>
        <v>10.032239835206834</v>
      </c>
      <c r="E27" s="28">
        <f>IF(E25&gt;1,STDEV(SampleResults!C1:C32),0)</f>
        <v>0.14071247279470289</v>
      </c>
      <c r="F27" s="28">
        <f>IF(F25&gt;1,STDEV(SampleResults!D1:D32),0)</f>
        <v>3.8956111344834068</v>
      </c>
      <c r="G27" s="28">
        <f>IF(G25&gt;1,STDEV(SampleResults!E1:E32),0)</f>
        <v>16.463933646340671</v>
      </c>
      <c r="H27" s="28">
        <f>IF(H25&gt;1,STDEV(SampleResults!F1:F32),0)</f>
        <v>229.35509624815404</v>
      </c>
      <c r="I27" s="28">
        <f>IF(I25&gt;1,STDEV(SampleResults!G1:G32),0)</f>
        <v>0.6418917354196112</v>
      </c>
      <c r="J27" s="28">
        <f>IF(J25&gt;1,STDEV(SampleResults!H1:H32),0)</f>
        <v>6.8738635424337602</v>
      </c>
      <c r="K27" s="28">
        <f>IF(K25&gt;1,STDEV(SampleResults!I1:I32),0)</f>
        <v>11.472220191014122</v>
      </c>
      <c r="L27" s="28">
        <f>IF(L25&gt;1,STDEV(SampleResults!J1:J32),0)</f>
        <v>6.9181725268390863</v>
      </c>
      <c r="M27" s="28">
        <f>IF(M25&gt;1,STDEV(SampleResults!K1:K32),0)</f>
        <v>6.6558245169174963</v>
      </c>
      <c r="N27" s="28">
        <f>IF(N25&gt;1,STDEV(SampleResults!L1:L32),0)</f>
        <v>6.1967733539318677E-2</v>
      </c>
      <c r="O27" s="28">
        <f>IF(O25&gt;1,STDEV(SampleResults!M1:M32),0)</f>
        <v>9.5524865872713995</v>
      </c>
      <c r="P27" s="28">
        <f>IF(P25&gt;1,STDEV(SampleResults!N1:N32),0)</f>
        <v>6.7288764127287832</v>
      </c>
      <c r="Q27" s="28">
        <f>IF(Q25&gt;1,STDEV(SampleResults!O1:O32),0)</f>
        <v>6.0091742361159755</v>
      </c>
      <c r="R27" s="28">
        <f>IF(R25&gt;1,STDEV(SampleResults!P1:P32),0)</f>
        <v>11.065461781798591</v>
      </c>
      <c r="S27" s="28">
        <f>IF(S25&gt;1,STDEV(SampleResults!Q1:Q32),0)</f>
        <v>10.248306093095472</v>
      </c>
      <c r="T27" s="28">
        <f>IF(T25&gt;1,STDEV(SampleResults!R1:R32),0)</f>
        <v>5.9782622428632592</v>
      </c>
      <c r="U27" s="28">
        <f>IF(U25&gt;1,STDEV(SampleResults!S1:S32),0)</f>
        <v>7.8740078740118111</v>
      </c>
      <c r="V27" s="28">
        <f>IF(V25&gt;1,STDEV(SampleResults!T1:T32),0)</f>
        <v>1.339724266821763E-4</v>
      </c>
      <c r="W27" s="28">
        <f>IF(W25&gt;1,STDEV(SampleResults!U1:U32),0)</f>
        <v>7.7279250125761436</v>
      </c>
      <c r="X27" s="28">
        <f>IF(X25&gt;1,STDEV(SampleResults!V1:V32),0)</f>
        <v>0.134475834260287</v>
      </c>
      <c r="Y27" s="28">
        <f>IF(Y25&gt;1,STDEV(SampleResults!W1:W32),0)</f>
        <v>1.3447583426028611E-2</v>
      </c>
      <c r="Z27" s="28">
        <f>IF(Z25&gt;1,STDEV(SampleResults!X1:X32),0)</f>
        <v>1.3485589016098301E-3</v>
      </c>
      <c r="AA27" s="28">
        <f>IF(AA25&gt;1,STDEV(SampleResults!Y1:Y32),0)</f>
        <v>48.226318310418208</v>
      </c>
    </row>
    <row r="28" spans="2:27" ht="16.899999999999999" hidden="1" customHeight="1">
      <c r="B28" s="21" t="s">
        <v>20</v>
      </c>
      <c r="C28" s="173"/>
      <c r="D28" s="23">
        <f>VLOOKUP(D25-1,Distributions!$A$3:$B$40,2,TRUE)</f>
        <v>2.8959999999999999</v>
      </c>
      <c r="E28" s="23">
        <f>VLOOKUP(E25-1,Distributions!$A$3:$B$40,2,TRUE)</f>
        <v>2.8959999999999999</v>
      </c>
      <c r="F28" s="23">
        <f>VLOOKUP(F25-1,Distributions!$A$3:$B$40,2,TRUE)</f>
        <v>2.8959999999999999</v>
      </c>
      <c r="G28" s="23">
        <f>VLOOKUP(G25-1,Distributions!$A$3:$B$40,2,TRUE)</f>
        <v>2.8959999999999999</v>
      </c>
      <c r="H28" s="23">
        <f>VLOOKUP(H25-1,Distributions!$A$3:$B$40,2,TRUE)</f>
        <v>2.8959999999999999</v>
      </c>
      <c r="I28" s="23">
        <f>VLOOKUP(I25-1,Distributions!$A$3:$B$40,2,TRUE)</f>
        <v>2.8959999999999999</v>
      </c>
      <c r="J28" s="23">
        <f>VLOOKUP(J25-1,Distributions!$A$3:$B$40,2,TRUE)</f>
        <v>2.8959999999999999</v>
      </c>
      <c r="K28" s="23">
        <f>VLOOKUP(K25-1,Distributions!$A$3:$B$40,2,TRUE)</f>
        <v>2.8959999999999999</v>
      </c>
      <c r="L28" s="23">
        <f>VLOOKUP(L25-1,Distributions!$A$3:$B$40,2,TRUE)</f>
        <v>2.8959999999999999</v>
      </c>
      <c r="M28" s="23">
        <f>VLOOKUP(M25-1,Distributions!$A$3:$B$40,2,TRUE)</f>
        <v>2.8959999999999999</v>
      </c>
      <c r="N28" s="23">
        <f>VLOOKUP(N25-1,Distributions!$A$3:$B$40,2,TRUE)</f>
        <v>2.8959999999999999</v>
      </c>
      <c r="O28" s="23">
        <f>VLOOKUP(O25-1,Distributions!$A$3:$B$40,2,TRUE)</f>
        <v>2.8959999999999999</v>
      </c>
      <c r="P28" s="23">
        <f>VLOOKUP(P25-1,Distributions!$A$3:$B$40,2,TRUE)</f>
        <v>2.8959999999999999</v>
      </c>
      <c r="Q28" s="23">
        <f>VLOOKUP(Q25-1,Distributions!$A$3:$B$40,2,TRUE)</f>
        <v>2.8959999999999999</v>
      </c>
      <c r="R28" s="23">
        <f>VLOOKUP(R25-1,Distributions!$A$3:$B$40,2,TRUE)</f>
        <v>2.8959999999999999</v>
      </c>
      <c r="S28" s="23">
        <f>VLOOKUP(S25-1,Distributions!$A$3:$B$40,2,TRUE)</f>
        <v>2.8959999999999999</v>
      </c>
      <c r="T28" s="23">
        <f>VLOOKUP(T25-1,Distributions!$A$3:$B$40,2,TRUE)</f>
        <v>2.8959999999999999</v>
      </c>
      <c r="U28" s="23">
        <f>VLOOKUP(U25-1,Distributions!$A$3:$B$40,2,TRUE)</f>
        <v>2.8959999999999999</v>
      </c>
      <c r="V28" s="23">
        <f>VLOOKUP(V25-1,Distributions!$A$3:$B$40,2,TRUE)</f>
        <v>2.8959999999999999</v>
      </c>
      <c r="W28" s="23">
        <f>VLOOKUP(W25-1,Distributions!$A$3:$B$40,2,TRUE)</f>
        <v>2.8959999999999999</v>
      </c>
      <c r="X28" s="23">
        <f>VLOOKUP(X25-1,Distributions!$A$3:$B$40,2,TRUE)</f>
        <v>2.8959999999999999</v>
      </c>
      <c r="Y28" s="23">
        <f>VLOOKUP(Y25-1,Distributions!$A$3:$B$40,2,TRUE)</f>
        <v>2.8959999999999999</v>
      </c>
      <c r="Z28" s="23">
        <f>VLOOKUP(Z25-1,Distributions!$A$3:$B$40,2,TRUE)</f>
        <v>2.8959999999999999</v>
      </c>
      <c r="AA28" s="23">
        <f>VLOOKUP(AA25-1,Distributions!$A$3:$B$40,2,TRUE)</f>
        <v>2.8959999999999999</v>
      </c>
    </row>
    <row r="29" spans="2:27" ht="16.899999999999999" hidden="1" customHeight="1">
      <c r="B29" s="21" t="s">
        <v>21</v>
      </c>
      <c r="C29" s="173"/>
      <c r="D29" s="29">
        <f>VLOOKUP(D4,Units!$A$1:$B$14,2,FALSE)</f>
        <v>1000000000</v>
      </c>
      <c r="E29" s="29">
        <f>VLOOKUP(E4,Units!$A$1:$B$15,2,FALSE)</f>
        <v>1000000000</v>
      </c>
      <c r="F29" s="29">
        <f>VLOOKUP(F4,Units!$A$1:$B$14,2,FALSE)</f>
        <v>1000000000</v>
      </c>
      <c r="G29" s="29">
        <f>VLOOKUP(G4,Units!$A$1:$B$14,2,FALSE)</f>
        <v>1000000000</v>
      </c>
      <c r="H29" s="29">
        <f>VLOOKUP(H4,Units!$A$1:$B$14,2,FALSE)</f>
        <v>1000000000</v>
      </c>
      <c r="I29" s="29">
        <f>VLOOKUP(I4,Units!$A$1:$B$14,2,FALSE)</f>
        <v>1000000000</v>
      </c>
      <c r="J29" s="29">
        <f>VLOOKUP(J4,Units!$A$1:$B$14,2,FALSE)</f>
        <v>1000000000</v>
      </c>
      <c r="K29" s="29">
        <f>VLOOKUP(K4,Units!$A$1:$B$14,2,FALSE)</f>
        <v>1000000000</v>
      </c>
      <c r="L29" s="29">
        <f>VLOOKUP(L4,Units!$A$1:$B$14,2,FALSE)</f>
        <v>1000000000</v>
      </c>
      <c r="M29" s="29">
        <f>VLOOKUP(M4,Units!$A$1:$B$14,2,FALSE)</f>
        <v>1000000000</v>
      </c>
      <c r="N29" s="29">
        <f>VLOOKUP(N4,Units!$A$1:$B$14,2,FALSE)</f>
        <v>1000000000</v>
      </c>
      <c r="O29" s="29">
        <f>VLOOKUP(O4,Units!$A$1:$B$14,2,FALSE)</f>
        <v>1000000000</v>
      </c>
      <c r="P29" s="29">
        <f>VLOOKUP(P4,Units!$A$1:$B$14,2,FALSE)</f>
        <v>1000000000</v>
      </c>
      <c r="Q29" s="29">
        <f>VLOOKUP(Q4,Units!$A$1:$B$14,2,FALSE)</f>
        <v>1000000000</v>
      </c>
      <c r="R29" s="29">
        <f>VLOOKUP(R4,Units!$A$1:$B$14,2,FALSE)</f>
        <v>1000000000</v>
      </c>
      <c r="S29" s="29">
        <f>VLOOKUP(S4,Units!$A$1:$B$14,2,FALSE)</f>
        <v>1000000000</v>
      </c>
      <c r="T29" s="29">
        <f>VLOOKUP(T4,Units!$A$1:$B$14,2,FALSE)</f>
        <v>1000000000</v>
      </c>
      <c r="U29" s="29">
        <f>VLOOKUP(U4,Units!$A$1:$B$14,2,FALSE)</f>
        <v>1000000000</v>
      </c>
      <c r="V29" s="29">
        <f>VLOOKUP(V4,Units!$A$1:$B$14,2,FALSE)</f>
        <v>1000000000</v>
      </c>
      <c r="W29" s="29">
        <f>VLOOKUP(W4,Units!$A$1:$B$14,2,FALSE)</f>
        <v>1000000000</v>
      </c>
      <c r="X29" s="29">
        <f>VLOOKUP(X4,Units!$A$1:$B$14,2,FALSE)</f>
        <v>1000000000</v>
      </c>
      <c r="Y29" s="29">
        <f>VLOOKUP(Y4,Units!$A$1:$B$14,2,FALSE)</f>
        <v>1000000000</v>
      </c>
      <c r="Z29" s="29">
        <f>VLOOKUP(Z4,Units!$A$1:$B$14,2,FALSE)</f>
        <v>1000000000</v>
      </c>
      <c r="AA29" s="29">
        <f>VLOOKUP(AA4,Units!$A$1:$B$14,2,FALSE)</f>
        <v>1000000000</v>
      </c>
    </row>
    <row r="30" spans="2:27" ht="16.899999999999999" hidden="1" customHeight="1">
      <c r="B30" s="21" t="s">
        <v>22</v>
      </c>
      <c r="C30" s="173"/>
      <c r="D30" s="30">
        <f t="shared" ref="D30:AA30" si="15">IF(D6/D29&lt;1.2*0.0000001,22,IF(D6/D29&lt;=0.138,2*POWER(D6/D29,-0.15),POWER(D6/D29,-0.5)))</f>
        <v>22</v>
      </c>
      <c r="E30" s="30">
        <f t="shared" si="15"/>
        <v>22</v>
      </c>
      <c r="F30" s="30">
        <f t="shared" si="15"/>
        <v>22</v>
      </c>
      <c r="G30" s="30">
        <f t="shared" si="15"/>
        <v>22</v>
      </c>
      <c r="H30" s="30">
        <f t="shared" si="15"/>
        <v>22</v>
      </c>
      <c r="I30" s="30">
        <f t="shared" si="15"/>
        <v>22</v>
      </c>
      <c r="J30" s="30">
        <f t="shared" si="15"/>
        <v>22</v>
      </c>
      <c r="K30" s="30">
        <f t="shared" si="15"/>
        <v>22</v>
      </c>
      <c r="L30" s="30">
        <f t="shared" si="15"/>
        <v>22</v>
      </c>
      <c r="M30" s="30">
        <f t="shared" si="15"/>
        <v>22</v>
      </c>
      <c r="N30" s="30">
        <f t="shared" si="15"/>
        <v>22</v>
      </c>
      <c r="O30" s="30">
        <f t="shared" si="15"/>
        <v>22</v>
      </c>
      <c r="P30" s="30">
        <f t="shared" si="15"/>
        <v>22</v>
      </c>
      <c r="Q30" s="30">
        <f t="shared" si="15"/>
        <v>22</v>
      </c>
      <c r="R30" s="30">
        <f t="shared" si="15"/>
        <v>22</v>
      </c>
      <c r="S30" s="30">
        <f t="shared" si="15"/>
        <v>22</v>
      </c>
      <c r="T30" s="30">
        <f t="shared" si="15"/>
        <v>22</v>
      </c>
      <c r="U30" s="30">
        <f t="shared" si="15"/>
        <v>22</v>
      </c>
      <c r="V30" s="30">
        <f t="shared" si="15"/>
        <v>22</v>
      </c>
      <c r="W30" s="30">
        <f t="shared" si="15"/>
        <v>22</v>
      </c>
      <c r="X30" s="30">
        <f t="shared" si="15"/>
        <v>22</v>
      </c>
      <c r="Y30" s="30">
        <f t="shared" si="15"/>
        <v>22</v>
      </c>
      <c r="Z30" s="30">
        <f t="shared" si="15"/>
        <v>22</v>
      </c>
      <c r="AA30" s="30">
        <f t="shared" si="15"/>
        <v>15.554952781998459</v>
      </c>
    </row>
    <row r="31" spans="2:27" ht="16.899999999999999" hidden="1" customHeight="1">
      <c r="B31" s="153" t="s">
        <v>23</v>
      </c>
      <c r="C31" s="175"/>
      <c r="D31" s="31">
        <f t="shared" ref="D31:AA31" si="16">D19-D26</f>
        <v>9.3611111111111143</v>
      </c>
      <c r="E31" s="31">
        <f t="shared" si="16"/>
        <v>0.2133333333333336</v>
      </c>
      <c r="F31" s="31">
        <f t="shared" si="16"/>
        <v>5.841111111111104</v>
      </c>
      <c r="G31" s="31">
        <f t="shared" si="16"/>
        <v>38.978888888888875</v>
      </c>
      <c r="H31" s="31">
        <f t="shared" si="16"/>
        <v>611.40666666666664</v>
      </c>
      <c r="I31" s="31">
        <f t="shared" si="16"/>
        <v>1.1066666666666656</v>
      </c>
      <c r="J31" s="31">
        <f t="shared" si="16"/>
        <v>9</v>
      </c>
      <c r="K31" s="31">
        <f t="shared" si="16"/>
        <v>9.9388888888888971</v>
      </c>
      <c r="L31" s="31">
        <f t="shared" si="16"/>
        <v>9.8888888888888857</v>
      </c>
      <c r="M31" s="31">
        <f t="shared" si="16"/>
        <v>12.200000000000003</v>
      </c>
      <c r="N31" s="31">
        <f t="shared" si="16"/>
        <v>6.1666666666666647E-2</v>
      </c>
      <c r="O31" s="31">
        <f t="shared" si="16"/>
        <v>19</v>
      </c>
      <c r="P31" s="31">
        <f t="shared" si="16"/>
        <v>8.4444444444444429</v>
      </c>
      <c r="Q31" s="31">
        <f t="shared" si="16"/>
        <v>6.9133333333333411</v>
      </c>
      <c r="R31" s="31">
        <f t="shared" si="16"/>
        <v>22.222222222222229</v>
      </c>
      <c r="S31" s="31">
        <f t="shared" si="16"/>
        <v>20.555555555555557</v>
      </c>
      <c r="T31" s="31">
        <f t="shared" si="16"/>
        <v>6.802222222222241</v>
      </c>
      <c r="U31" s="31">
        <f t="shared" si="16"/>
        <v>16.333333333333329</v>
      </c>
      <c r="V31" s="31">
        <f t="shared" si="16"/>
        <v>2.2611111111111096E-4</v>
      </c>
      <c r="W31" s="31">
        <f t="shared" si="16"/>
        <v>8.3100000000000023</v>
      </c>
      <c r="X31" s="31">
        <f t="shared" si="16"/>
        <v>0.22799999999999998</v>
      </c>
      <c r="Y31" s="31">
        <f t="shared" si="16"/>
        <v>2.2799999999999987E-2</v>
      </c>
      <c r="Z31" s="31">
        <f t="shared" si="16"/>
        <v>2.2888888888888889E-3</v>
      </c>
      <c r="AA31" s="31">
        <f t="shared" si="16"/>
        <v>95.444444444444457</v>
      </c>
    </row>
    <row r="32" spans="2:27" ht="16.899999999999999" hidden="1" customHeight="1">
      <c r="B32" s="21" t="s">
        <v>24</v>
      </c>
      <c r="C32" s="173"/>
      <c r="D32" s="32">
        <f t="shared" ref="D32:AA32" si="17">D26-D20</f>
        <v>21.50888888888889</v>
      </c>
      <c r="E32" s="32">
        <f t="shared" si="17"/>
        <v>0.24666666666666637</v>
      </c>
      <c r="F32" s="32">
        <f t="shared" si="17"/>
        <v>7.9988888888888852</v>
      </c>
      <c r="G32" s="32">
        <f t="shared" si="17"/>
        <v>19.811111111111117</v>
      </c>
      <c r="H32" s="32">
        <f t="shared" si="17"/>
        <v>87.483333333333334</v>
      </c>
      <c r="I32" s="32">
        <f t="shared" si="17"/>
        <v>1.2233333333333345</v>
      </c>
      <c r="J32" s="32">
        <f t="shared" si="17"/>
        <v>14</v>
      </c>
      <c r="K32" s="32">
        <f t="shared" si="17"/>
        <v>26.131111111111103</v>
      </c>
      <c r="L32" s="32">
        <f t="shared" si="17"/>
        <v>9.1111111111111143</v>
      </c>
      <c r="M32" s="32">
        <f t="shared" si="17"/>
        <v>9</v>
      </c>
      <c r="N32" s="32">
        <f t="shared" si="17"/>
        <v>0.1153333333333334</v>
      </c>
      <c r="O32" s="32">
        <f t="shared" si="17"/>
        <v>8</v>
      </c>
      <c r="P32" s="32">
        <f t="shared" si="17"/>
        <v>8.5555555555555571</v>
      </c>
      <c r="Q32" s="32">
        <f t="shared" si="17"/>
        <v>10.816666666666663</v>
      </c>
      <c r="R32" s="32">
        <f t="shared" si="17"/>
        <v>8.7777777777777715</v>
      </c>
      <c r="S32" s="32">
        <f t="shared" si="17"/>
        <v>17.444444444444443</v>
      </c>
      <c r="T32" s="32">
        <f t="shared" si="17"/>
        <v>10.927777777777763</v>
      </c>
      <c r="U32" s="32">
        <f t="shared" si="17"/>
        <v>12.666666666666671</v>
      </c>
      <c r="V32" s="32">
        <f t="shared" si="17"/>
        <v>2.0388888888888887E-4</v>
      </c>
      <c r="W32" s="32">
        <f t="shared" si="17"/>
        <v>13.099999999999994</v>
      </c>
      <c r="X32" s="32">
        <f t="shared" si="17"/>
        <v>0.20199999999999996</v>
      </c>
      <c r="Y32" s="32">
        <f t="shared" si="17"/>
        <v>2.020000000000001E-2</v>
      </c>
      <c r="Z32" s="32">
        <f t="shared" si="17"/>
        <v>2.0111111111111111E-3</v>
      </c>
      <c r="AA32" s="32">
        <f t="shared" si="17"/>
        <v>53.555555555555543</v>
      </c>
    </row>
    <row r="33" spans="2:27" ht="16.899999999999999" hidden="1" customHeight="1">
      <c r="B33" s="21" t="s">
        <v>25</v>
      </c>
      <c r="C33" s="172"/>
      <c r="D33" s="33">
        <f t="shared" ref="D33:AA33" si="18">(2*(1-0.95))/(D25)</f>
        <v>1.111111111111112E-2</v>
      </c>
      <c r="E33" s="33">
        <f t="shared" si="18"/>
        <v>1.111111111111112E-2</v>
      </c>
      <c r="F33" s="33">
        <f t="shared" si="18"/>
        <v>1.111111111111112E-2</v>
      </c>
      <c r="G33" s="33">
        <f t="shared" si="18"/>
        <v>1.111111111111112E-2</v>
      </c>
      <c r="H33" s="33">
        <f t="shared" si="18"/>
        <v>1.111111111111112E-2</v>
      </c>
      <c r="I33" s="33">
        <f t="shared" si="18"/>
        <v>1.111111111111112E-2</v>
      </c>
      <c r="J33" s="33">
        <f t="shared" si="18"/>
        <v>1.111111111111112E-2</v>
      </c>
      <c r="K33" s="33">
        <f t="shared" si="18"/>
        <v>1.111111111111112E-2</v>
      </c>
      <c r="L33" s="33">
        <f t="shared" si="18"/>
        <v>1.111111111111112E-2</v>
      </c>
      <c r="M33" s="33">
        <f t="shared" si="18"/>
        <v>1.111111111111112E-2</v>
      </c>
      <c r="N33" s="33">
        <f t="shared" si="18"/>
        <v>1.111111111111112E-2</v>
      </c>
      <c r="O33" s="33">
        <f t="shared" si="18"/>
        <v>1.111111111111112E-2</v>
      </c>
      <c r="P33" s="33">
        <f t="shared" si="18"/>
        <v>1.111111111111112E-2</v>
      </c>
      <c r="Q33" s="33">
        <f t="shared" si="18"/>
        <v>1.111111111111112E-2</v>
      </c>
      <c r="R33" s="33">
        <f t="shared" si="18"/>
        <v>1.111111111111112E-2</v>
      </c>
      <c r="S33" s="33">
        <f t="shared" si="18"/>
        <v>1.111111111111112E-2</v>
      </c>
      <c r="T33" s="33">
        <f t="shared" si="18"/>
        <v>1.111111111111112E-2</v>
      </c>
      <c r="U33" s="33">
        <f t="shared" si="18"/>
        <v>1.111111111111112E-2</v>
      </c>
      <c r="V33" s="33">
        <f t="shared" si="18"/>
        <v>1.111111111111112E-2</v>
      </c>
      <c r="W33" s="33">
        <f t="shared" si="18"/>
        <v>1.111111111111112E-2</v>
      </c>
      <c r="X33" s="33">
        <f t="shared" si="18"/>
        <v>1.111111111111112E-2</v>
      </c>
      <c r="Y33" s="33">
        <f t="shared" si="18"/>
        <v>1.111111111111112E-2</v>
      </c>
      <c r="Z33" s="33">
        <f t="shared" si="18"/>
        <v>1.111111111111112E-2</v>
      </c>
      <c r="AA33" s="33">
        <f t="shared" si="18"/>
        <v>1.111111111111112E-2</v>
      </c>
    </row>
    <row r="34" spans="2:27" ht="16.899999999999999" hidden="1" customHeight="1">
      <c r="B34" s="21" t="s">
        <v>26</v>
      </c>
      <c r="C34" s="172"/>
      <c r="D34" s="34">
        <f t="shared" ref="D34:AA34" si="19">(D26-D20)/D27</f>
        <v>2.1439767432000836</v>
      </c>
      <c r="E34" s="34">
        <f t="shared" si="19"/>
        <v>1.7529836678127948</v>
      </c>
      <c r="F34" s="34">
        <f t="shared" si="19"/>
        <v>2.0533078412482797</v>
      </c>
      <c r="G34" s="34">
        <f t="shared" si="19"/>
        <v>1.2033036294163151</v>
      </c>
      <c r="H34" s="34">
        <f t="shared" si="19"/>
        <v>0.38143182673682335</v>
      </c>
      <c r="I34" s="34">
        <f t="shared" si="19"/>
        <v>1.9058250259814125</v>
      </c>
      <c r="J34" s="34">
        <f t="shared" si="19"/>
        <v>2.0367003088692623</v>
      </c>
      <c r="K34" s="34">
        <f t="shared" si="19"/>
        <v>2.2777728003842612</v>
      </c>
      <c r="L34" s="34">
        <f t="shared" si="19"/>
        <v>1.3169823498567739</v>
      </c>
      <c r="M34" s="34">
        <f t="shared" si="19"/>
        <v>1.3521991117891068</v>
      </c>
      <c r="N34" s="34">
        <f t="shared" si="19"/>
        <v>1.8611836635941206</v>
      </c>
      <c r="O34" s="34">
        <f t="shared" si="19"/>
        <v>0.837478276144342</v>
      </c>
      <c r="P34" s="34">
        <f t="shared" si="19"/>
        <v>1.2714686718530464</v>
      </c>
      <c r="Q34" s="34">
        <f t="shared" si="19"/>
        <v>1.8000254680014081</v>
      </c>
      <c r="R34" s="34">
        <f t="shared" si="19"/>
        <v>0.79325905695288779</v>
      </c>
      <c r="S34" s="34">
        <f t="shared" si="19"/>
        <v>1.702178319614905</v>
      </c>
      <c r="T34" s="34">
        <f t="shared" si="19"/>
        <v>1.8279187720182641</v>
      </c>
      <c r="U34" s="34">
        <f t="shared" si="19"/>
        <v>1.6086682753357469</v>
      </c>
      <c r="V34" s="34">
        <f t="shared" si="19"/>
        <v>1.5218720294779453</v>
      </c>
      <c r="W34" s="34">
        <f t="shared" si="19"/>
        <v>1.6951510241988026</v>
      </c>
      <c r="X34" s="34">
        <f t="shared" si="19"/>
        <v>1.5021286249023404</v>
      </c>
      <c r="Y34" s="34">
        <f t="shared" si="19"/>
        <v>1.5021286249023516</v>
      </c>
      <c r="Z34" s="34">
        <f t="shared" si="19"/>
        <v>1.4913038716442901</v>
      </c>
      <c r="AA34" s="34">
        <f t="shared" si="19"/>
        <v>1.1105047499341469</v>
      </c>
    </row>
    <row r="35" spans="2:27" ht="16.899999999999999" hidden="1" customHeight="1">
      <c r="B35" s="21" t="s">
        <v>27</v>
      </c>
      <c r="C35" s="172"/>
      <c r="D35" s="34">
        <f t="shared" ref="D35:AA35" si="20">(D19-D26)/D27</f>
        <v>0.9331028030509716</v>
      </c>
      <c r="E35" s="34">
        <f t="shared" si="20"/>
        <v>1.5160939829732316</v>
      </c>
      <c r="F35" s="34">
        <f t="shared" si="20"/>
        <v>1.4994081568887621</v>
      </c>
      <c r="G35" s="34">
        <f t="shared" si="20"/>
        <v>2.3675319474791769</v>
      </c>
      <c r="H35" s="34">
        <f t="shared" si="20"/>
        <v>2.6657644703265997</v>
      </c>
      <c r="I35" s="34">
        <f t="shared" si="20"/>
        <v>1.7240705957107023</v>
      </c>
      <c r="J35" s="34">
        <f t="shared" si="20"/>
        <v>1.3093073414159542</v>
      </c>
      <c r="K35" s="34">
        <f t="shared" si="20"/>
        <v>0.86634397905592486</v>
      </c>
      <c r="L35" s="34">
        <f t="shared" si="20"/>
        <v>1.4294076724055218</v>
      </c>
      <c r="M35" s="34">
        <f t="shared" si="20"/>
        <v>1.832981018203012</v>
      </c>
      <c r="N35" s="34">
        <f t="shared" si="20"/>
        <v>0.99514155423384976</v>
      </c>
      <c r="O35" s="34">
        <f t="shared" si="20"/>
        <v>1.9890109058428123</v>
      </c>
      <c r="P35" s="34">
        <f t="shared" si="20"/>
        <v>1.2549560916991103</v>
      </c>
      <c r="Q35" s="34">
        <f t="shared" si="20"/>
        <v>1.1504631188397307</v>
      </c>
      <c r="R35" s="34">
        <f t="shared" si="20"/>
        <v>2.0082507770959204</v>
      </c>
      <c r="S35" s="34">
        <f t="shared" si="20"/>
        <v>2.0057515231131049</v>
      </c>
      <c r="T35" s="34">
        <f t="shared" si="20"/>
        <v>1.1378260012502146</v>
      </c>
      <c r="U35" s="34">
        <f t="shared" si="20"/>
        <v>2.0743354076697775</v>
      </c>
      <c r="V35" s="34">
        <f t="shared" si="20"/>
        <v>1.6877436403202273</v>
      </c>
      <c r="W35" s="34">
        <f t="shared" si="20"/>
        <v>1.0753209932131342</v>
      </c>
      <c r="X35" s="34">
        <f t="shared" si="20"/>
        <v>1.6954719132561074</v>
      </c>
      <c r="Y35" s="34">
        <f t="shared" si="20"/>
        <v>1.6954719132561178</v>
      </c>
      <c r="Z35" s="34">
        <f t="shared" si="20"/>
        <v>1.6972850693852144</v>
      </c>
      <c r="AA35" s="34">
        <f t="shared" si="20"/>
        <v>1.9790945647166651</v>
      </c>
    </row>
    <row r="36" spans="2:27" ht="16.899999999999999" hidden="1" customHeight="1">
      <c r="B36" s="21" t="s">
        <v>28</v>
      </c>
      <c r="C36" s="172"/>
      <c r="D36" s="22">
        <f>VLOOKUP(D25,Distributions!$A$3:$C$40,(3))</f>
        <v>2.11</v>
      </c>
      <c r="E36" s="22">
        <f>VLOOKUP(E25,Distributions!$A$3:$C$40,(3))</f>
        <v>2.11</v>
      </c>
      <c r="F36" s="22">
        <f>VLOOKUP(F25,Distributions!$A$3:$C$40,(3))</f>
        <v>2.11</v>
      </c>
      <c r="G36" s="22">
        <f>VLOOKUP(G25,Distributions!$A$3:$C$40,(3))</f>
        <v>2.11</v>
      </c>
      <c r="H36" s="22">
        <f>VLOOKUP(H25,Distributions!$A$3:$C$40,(3))</f>
        <v>2.11</v>
      </c>
      <c r="I36" s="22">
        <f>VLOOKUP(I25,Distributions!$A$3:$C$40,(3))</f>
        <v>2.11</v>
      </c>
      <c r="J36" s="22">
        <f>VLOOKUP(J25,Distributions!$A$3:$C$40,(3))</f>
        <v>2.11</v>
      </c>
      <c r="K36" s="22">
        <f>VLOOKUP(K25,Distributions!$A$3:$C$40,(3))</f>
        <v>2.11</v>
      </c>
      <c r="L36" s="22">
        <f>VLOOKUP(L25,Distributions!$A$3:$C$40,(3))</f>
        <v>2.11</v>
      </c>
      <c r="M36" s="22">
        <f>VLOOKUP(M25,Distributions!$A$3:$C$40,(3))</f>
        <v>2.11</v>
      </c>
      <c r="N36" s="22">
        <f>VLOOKUP(N25,Distributions!$A$3:$C$40,(3))</f>
        <v>2.11</v>
      </c>
      <c r="O36" s="22">
        <f>VLOOKUP(O25,Distributions!$A$3:$C$40,(3))</f>
        <v>2.11</v>
      </c>
      <c r="P36" s="22">
        <f>VLOOKUP(P25,Distributions!$A$3:$C$40,(3))</f>
        <v>2.11</v>
      </c>
      <c r="Q36" s="22">
        <f>VLOOKUP(Q25,Distributions!$A$3:$C$40,(3))</f>
        <v>2.11</v>
      </c>
      <c r="R36" s="22">
        <f>VLOOKUP(R25,Distributions!$A$3:$C$40,(3))</f>
        <v>2.11</v>
      </c>
      <c r="S36" s="22">
        <f>VLOOKUP(S25,Distributions!$A$3:$C$40,(3))</f>
        <v>2.11</v>
      </c>
      <c r="T36" s="22">
        <f>VLOOKUP(T25,Distributions!$A$3:$C$40,(3))</f>
        <v>2.11</v>
      </c>
      <c r="U36" s="22">
        <f>VLOOKUP(U25,Distributions!$A$3:$C$40,(3))</f>
        <v>2.11</v>
      </c>
      <c r="V36" s="22">
        <f>VLOOKUP(V25,Distributions!$A$3:$C$40,(3))</f>
        <v>2.11</v>
      </c>
      <c r="W36" s="22">
        <f>VLOOKUP(W25,Distributions!$A$3:$C$40,(3))</f>
        <v>2.11</v>
      </c>
      <c r="X36" s="22">
        <f>VLOOKUP(X25,Distributions!$A$3:$C$40,(3))</f>
        <v>2.11</v>
      </c>
      <c r="Y36" s="22">
        <f>VLOOKUP(Y25,Distributions!$A$3:$C$40,(3))</f>
        <v>2.11</v>
      </c>
      <c r="Z36" s="22">
        <f>VLOOKUP(Z25,Distributions!$A$3:$C$40,(3))</f>
        <v>2.11</v>
      </c>
      <c r="AA36" s="22">
        <f>VLOOKUP(AA25,Distributions!$A$3:$C$40,(3))</f>
        <v>2.11</v>
      </c>
    </row>
    <row r="37" spans="2:27" ht="16.899999999999999" hidden="1" customHeight="1">
      <c r="B37" s="176"/>
      <c r="C37" s="177"/>
      <c r="D37" s="35"/>
      <c r="E37" s="35"/>
      <c r="F37" s="35"/>
      <c r="G37" s="35"/>
      <c r="H37" s="35"/>
      <c r="I37" s="35"/>
      <c r="J37" s="35"/>
      <c r="K37" s="35"/>
      <c r="L37" s="35"/>
      <c r="M37" s="35"/>
      <c r="N37" s="35"/>
      <c r="O37" s="35"/>
      <c r="P37" s="35"/>
      <c r="Q37" s="35"/>
      <c r="R37" s="35"/>
      <c r="S37" s="35"/>
      <c r="T37" s="35"/>
      <c r="U37" s="35"/>
      <c r="V37" s="35"/>
      <c r="W37" s="35"/>
      <c r="X37" s="35"/>
      <c r="Y37" s="35"/>
      <c r="Z37" s="35"/>
      <c r="AA37" s="36"/>
    </row>
    <row r="38" spans="2:27" ht="16.899999999999999" hidden="1" customHeight="1">
      <c r="B38" s="21" t="s">
        <v>29</v>
      </c>
      <c r="C38" s="172"/>
      <c r="D38" s="22">
        <f>COUNTIF(SampleResults!B1:B32,"*")-1</f>
        <v>0</v>
      </c>
      <c r="E38" s="22">
        <f>COUNTIF(SampleResults!C1:C32,"*")-1</f>
        <v>0</v>
      </c>
      <c r="F38" s="22">
        <f>COUNTIF(SampleResults!D1:D32,"*")-1</f>
        <v>0</v>
      </c>
      <c r="G38" s="22">
        <f>COUNTIF(SampleResults!E1:E32,"*")-1</f>
        <v>0</v>
      </c>
      <c r="H38" s="22">
        <f>COUNTIF(SampleResults!F1:F32,"*")-1</f>
        <v>0</v>
      </c>
      <c r="I38" s="22">
        <f>COUNTIF(SampleResults!G1:G32,"*")-1</f>
        <v>0</v>
      </c>
      <c r="J38" s="22">
        <f>COUNTIF(SampleResults!H1:H32,"*")-1</f>
        <v>0</v>
      </c>
      <c r="K38" s="22">
        <f>COUNTIF(SampleResults!I1:I32,"*")-1</f>
        <v>0</v>
      </c>
      <c r="L38" s="22">
        <f>COUNTIF(SampleResults!J1:J32,"*")-1</f>
        <v>0</v>
      </c>
      <c r="M38" s="22">
        <f>COUNTIF(SampleResults!K1:K32,"*")-1</f>
        <v>0</v>
      </c>
      <c r="N38" s="22">
        <f>COUNTIF(SampleResults!L1:L32,"*")-1</f>
        <v>0</v>
      </c>
      <c r="O38" s="22">
        <f>COUNTIF(SampleResults!M1:M32,"*")-1</f>
        <v>0</v>
      </c>
      <c r="P38" s="22">
        <f>COUNTIF(SampleResults!N1:N32,"*")-1</f>
        <v>0</v>
      </c>
      <c r="Q38" s="22">
        <f>COUNTIF(SampleResults!O1:O32,"*")-1</f>
        <v>0</v>
      </c>
      <c r="R38" s="22">
        <f>COUNTIF(SampleResults!P1:P32,"*")-1</f>
        <v>0</v>
      </c>
      <c r="S38" s="22">
        <f>COUNTIF(SampleResults!Q1:Q32,"*")-1</f>
        <v>0</v>
      </c>
      <c r="T38" s="22">
        <f>COUNTIF(SampleResults!R1:R32,"*")-1</f>
        <v>0</v>
      </c>
      <c r="U38" s="22">
        <f>COUNTIF(SampleResults!S1:S32,"*")-1</f>
        <v>0</v>
      </c>
      <c r="V38" s="22">
        <f>COUNTIF(SampleResults!T1:T32,"*")-1</f>
        <v>0</v>
      </c>
      <c r="W38" s="22">
        <f>COUNTIF(SampleResults!U1:U32,"*")-1</f>
        <v>0</v>
      </c>
      <c r="X38" s="22">
        <f>COUNTIF(SampleResults!V1:V32,"*")-1</f>
        <v>0</v>
      </c>
      <c r="Y38" s="22">
        <f>COUNTIF(SampleResults!W1:W32,"*")-1</f>
        <v>0</v>
      </c>
      <c r="Z38" s="22">
        <f>COUNTIF(SampleResults!X1:X32,"*")-1</f>
        <v>0</v>
      </c>
      <c r="AA38" s="22">
        <f>COUNTIF(SampleResults!Y1:Y32,"*")-1</f>
        <v>0</v>
      </c>
    </row>
    <row r="39" spans="2:27" ht="16.899999999999999" hidden="1" customHeight="1">
      <c r="B39" s="37" t="s">
        <v>30</v>
      </c>
      <c r="C39" s="172"/>
      <c r="D39" s="34">
        <f t="shared" ref="D39:AA39" si="21">SQRT(POWER(D27,2)+POWER(D27/SQRT(D25),2))</f>
        <v>10.574909304108624</v>
      </c>
      <c r="E39" s="34">
        <f t="shared" si="21"/>
        <v>0.14832396974191325</v>
      </c>
      <c r="F39" s="34">
        <f t="shared" si="21"/>
        <v>4.1063346877600244</v>
      </c>
      <c r="G39" s="34">
        <f t="shared" si="21"/>
        <v>17.354509856105878</v>
      </c>
      <c r="H39" s="34">
        <f t="shared" si="21"/>
        <v>241.761499037102</v>
      </c>
      <c r="I39" s="34">
        <f t="shared" si="21"/>
        <v>0.67661329838804951</v>
      </c>
      <c r="J39" s="34">
        <f t="shared" si="21"/>
        <v>7.245688373094719</v>
      </c>
      <c r="K39" s="34">
        <f t="shared" si="21"/>
        <v>12.092781874192191</v>
      </c>
      <c r="L39" s="34">
        <f t="shared" si="21"/>
        <v>7.2923941436046231</v>
      </c>
      <c r="M39" s="34">
        <f t="shared" si="21"/>
        <v>7.0158550599497316</v>
      </c>
      <c r="N39" s="34">
        <f t="shared" si="21"/>
        <v>6.531972647421809E-2</v>
      </c>
      <c r="O39" s="34">
        <f t="shared" si="21"/>
        <v>10.069204977995476</v>
      </c>
      <c r="P39" s="34">
        <f t="shared" si="21"/>
        <v>7.0928585193353921</v>
      </c>
      <c r="Q39" s="34">
        <f t="shared" si="21"/>
        <v>6.3342258143096455</v>
      </c>
      <c r="R39" s="34">
        <f t="shared" si="21"/>
        <v>11.664020864009558</v>
      </c>
      <c r="S39" s="34">
        <f t="shared" si="21"/>
        <v>10.802663137587766</v>
      </c>
      <c r="T39" s="34">
        <f t="shared" si="21"/>
        <v>6.3016417124115316</v>
      </c>
      <c r="U39" s="34">
        <f t="shared" si="21"/>
        <v>8.2999330653258205</v>
      </c>
      <c r="V39" s="34">
        <f t="shared" si="21"/>
        <v>1.4121933732519742E-4</v>
      </c>
      <c r="W39" s="34">
        <f t="shared" si="21"/>
        <v>8.1459482089086599</v>
      </c>
      <c r="X39" s="34">
        <f t="shared" si="21"/>
        <v>0.14174997550460372</v>
      </c>
      <c r="Y39" s="34">
        <f t="shared" si="21"/>
        <v>1.4174997550460278E-2</v>
      </c>
      <c r="Z39" s="34">
        <f t="shared" si="21"/>
        <v>1.421505895993991E-3</v>
      </c>
      <c r="AA39" s="34">
        <f t="shared" si="21"/>
        <v>50.835003008401586</v>
      </c>
    </row>
    <row r="40" spans="2:27" ht="16.899999999999999" hidden="1" customHeight="1">
      <c r="B40" s="21" t="s">
        <v>31</v>
      </c>
      <c r="C40" s="172"/>
      <c r="D40" s="34">
        <f t="shared" ref="D40:AA40" si="22">IF(ISNUMBER(D7),D7,D28*D27)</f>
        <v>29.053366562758992</v>
      </c>
      <c r="E40" s="34">
        <f t="shared" si="22"/>
        <v>0.40750332121345956</v>
      </c>
      <c r="F40" s="34">
        <f t="shared" si="22"/>
        <v>11.281689845463946</v>
      </c>
      <c r="G40" s="34">
        <f t="shared" si="22"/>
        <v>47.679551839802578</v>
      </c>
      <c r="H40" s="34">
        <f t="shared" si="22"/>
        <v>664.21235873465412</v>
      </c>
      <c r="I40" s="34">
        <f t="shared" si="22"/>
        <v>1.858918465775194</v>
      </c>
      <c r="J40" s="34">
        <f t="shared" si="22"/>
        <v>19.90670881888817</v>
      </c>
      <c r="K40" s="34">
        <f t="shared" si="22"/>
        <v>33.223549673176898</v>
      </c>
      <c r="L40" s="34">
        <f t="shared" si="22"/>
        <v>20.035027637725992</v>
      </c>
      <c r="M40" s="34">
        <f t="shared" si="22"/>
        <v>1</v>
      </c>
      <c r="N40" s="34">
        <f t="shared" si="22"/>
        <v>0.17945855632986688</v>
      </c>
      <c r="O40" s="34">
        <f t="shared" si="22"/>
        <v>27.664001156737971</v>
      </c>
      <c r="P40" s="34">
        <f t="shared" si="22"/>
        <v>19.486826091262557</v>
      </c>
      <c r="Q40" s="34">
        <f t="shared" si="22"/>
        <v>17.402568587791865</v>
      </c>
      <c r="R40" s="34">
        <f t="shared" si="22"/>
        <v>32.045577320088718</v>
      </c>
      <c r="S40" s="34">
        <f t="shared" si="22"/>
        <v>29.679094445604488</v>
      </c>
      <c r="T40" s="34">
        <f t="shared" si="22"/>
        <v>17.313047455331997</v>
      </c>
      <c r="U40" s="34">
        <f t="shared" si="22"/>
        <v>22.803126803138206</v>
      </c>
      <c r="V40" s="34">
        <f t="shared" si="22"/>
        <v>3.8798414767158255E-4</v>
      </c>
      <c r="W40" s="34">
        <f t="shared" si="22"/>
        <v>22.380070836420511</v>
      </c>
      <c r="X40" s="34">
        <f t="shared" si="22"/>
        <v>0.38944201601779116</v>
      </c>
      <c r="Y40" s="34">
        <f t="shared" si="22"/>
        <v>3.8944201601778854E-2</v>
      </c>
      <c r="Z40" s="34">
        <f t="shared" si="22"/>
        <v>3.9054265790620679E-3</v>
      </c>
      <c r="AA40" s="34">
        <f t="shared" si="22"/>
        <v>139.66341782697111</v>
      </c>
    </row>
    <row r="41" spans="2:27" ht="16.899999999999999" hidden="1" customHeight="1">
      <c r="B41" s="21" t="s">
        <v>32</v>
      </c>
      <c r="C41" s="172"/>
      <c r="D41" s="34">
        <f t="shared" ref="D41:AA41" si="23">D39*2</f>
        <v>21.149818608217249</v>
      </c>
      <c r="E41" s="34">
        <f t="shared" si="23"/>
        <v>0.29664793948382651</v>
      </c>
      <c r="F41" s="34">
        <f t="shared" si="23"/>
        <v>8.2126693755200488</v>
      </c>
      <c r="G41" s="34">
        <f t="shared" si="23"/>
        <v>34.709019712211756</v>
      </c>
      <c r="H41" s="34">
        <f t="shared" si="23"/>
        <v>483.522998074204</v>
      </c>
      <c r="I41" s="34">
        <f t="shared" si="23"/>
        <v>1.353226596776099</v>
      </c>
      <c r="J41" s="34">
        <f t="shared" si="23"/>
        <v>14.491376746189438</v>
      </c>
      <c r="K41" s="34">
        <f t="shared" si="23"/>
        <v>24.185563748384382</v>
      </c>
      <c r="L41" s="34">
        <f t="shared" si="23"/>
        <v>14.584788287209246</v>
      </c>
      <c r="M41" s="34">
        <f t="shared" si="23"/>
        <v>14.031710119899463</v>
      </c>
      <c r="N41" s="34">
        <f t="shared" si="23"/>
        <v>0.13063945294843618</v>
      </c>
      <c r="O41" s="34">
        <f t="shared" si="23"/>
        <v>20.138409955990952</v>
      </c>
      <c r="P41" s="34">
        <f t="shared" si="23"/>
        <v>14.185717038670784</v>
      </c>
      <c r="Q41" s="34">
        <f t="shared" si="23"/>
        <v>12.668451628619291</v>
      </c>
      <c r="R41" s="34">
        <f t="shared" si="23"/>
        <v>23.328041728019116</v>
      </c>
      <c r="S41" s="34">
        <f t="shared" si="23"/>
        <v>21.605326275175532</v>
      </c>
      <c r="T41" s="34">
        <f t="shared" si="23"/>
        <v>12.603283424823063</v>
      </c>
      <c r="U41" s="34">
        <f t="shared" si="23"/>
        <v>16.599866130651641</v>
      </c>
      <c r="V41" s="34">
        <f t="shared" si="23"/>
        <v>2.8243867465039483E-4</v>
      </c>
      <c r="W41" s="34">
        <f t="shared" si="23"/>
        <v>16.29189641781732</v>
      </c>
      <c r="X41" s="34">
        <f t="shared" si="23"/>
        <v>0.28349995100920744</v>
      </c>
      <c r="Y41" s="34">
        <f t="shared" si="23"/>
        <v>2.8349995100920556E-2</v>
      </c>
      <c r="Z41" s="34">
        <f t="shared" si="23"/>
        <v>2.843011791987982E-3</v>
      </c>
      <c r="AA41" s="34">
        <f t="shared" si="23"/>
        <v>101.67000601680317</v>
      </c>
    </row>
    <row r="42" spans="2:27" ht="16.899999999999999" hidden="1" customHeight="1">
      <c r="B42" s="21" t="s">
        <v>33</v>
      </c>
      <c r="C42" s="172"/>
      <c r="D42" s="38">
        <f t="shared" ref="D42:AA42" si="24">D26-D6</f>
        <v>-9.5211111111111109</v>
      </c>
      <c r="E42" s="38">
        <f t="shared" si="24"/>
        <v>-0.59333333333333371</v>
      </c>
      <c r="F42" s="38">
        <f t="shared" si="24"/>
        <v>-5.6311111111111103</v>
      </c>
      <c r="G42" s="38">
        <f t="shared" si="24"/>
        <v>11.121111111111119</v>
      </c>
      <c r="H42" s="38">
        <f t="shared" si="24"/>
        <v>67.593333333333334</v>
      </c>
      <c r="I42" s="38">
        <f t="shared" si="24"/>
        <v>0.29333333333333478</v>
      </c>
      <c r="J42" s="38">
        <f t="shared" si="24"/>
        <v>2</v>
      </c>
      <c r="K42" s="38">
        <f t="shared" si="24"/>
        <v>-10.098888888888894</v>
      </c>
      <c r="L42" s="38">
        <f t="shared" si="24"/>
        <v>3.1111111111111143</v>
      </c>
      <c r="M42" s="38">
        <f t="shared" si="24"/>
        <v>9.0999999999999943</v>
      </c>
      <c r="N42" s="38">
        <f t="shared" si="24"/>
        <v>-0.16366666666666663</v>
      </c>
      <c r="O42" s="38">
        <f t="shared" si="24"/>
        <v>8</v>
      </c>
      <c r="P42" s="38">
        <f t="shared" si="24"/>
        <v>-4.4444444444444429</v>
      </c>
      <c r="Q42" s="38">
        <f t="shared" si="24"/>
        <v>-16.073333333333338</v>
      </c>
      <c r="R42" s="38">
        <f t="shared" si="24"/>
        <v>8.7777777777777715</v>
      </c>
      <c r="S42" s="38">
        <f t="shared" si="24"/>
        <v>8.4444444444444429</v>
      </c>
      <c r="T42" s="38">
        <f t="shared" si="24"/>
        <v>-24.962222222222238</v>
      </c>
      <c r="U42" s="38">
        <f t="shared" si="24"/>
        <v>10.666666666666671</v>
      </c>
      <c r="V42" s="38">
        <f t="shared" si="24"/>
        <v>2.2388888888888892E-4</v>
      </c>
      <c r="W42" s="38">
        <f t="shared" si="24"/>
        <v>-24.47</v>
      </c>
      <c r="X42" s="38">
        <f t="shared" si="24"/>
        <v>7.6999999999999957E-2</v>
      </c>
      <c r="Y42" s="38">
        <f t="shared" si="24"/>
        <v>7.6999999999999985E-3</v>
      </c>
      <c r="Z42" s="38">
        <f t="shared" si="24"/>
        <v>7.6111111111111171E-4</v>
      </c>
      <c r="AA42" s="38">
        <f t="shared" si="24"/>
        <v>-146.44444444444446</v>
      </c>
    </row>
    <row r="43" spans="2:27" ht="16.899999999999999" hidden="1" customHeight="1">
      <c r="B43" s="39" t="s">
        <v>34</v>
      </c>
      <c r="C43" s="172"/>
      <c r="D43" s="40">
        <f t="shared" ref="D43:AA43" si="25">IF(ISTEXT(D7),D13,IFERROR(D40/D16,IF(D7&gt;0,D7,D13)))</f>
        <v>32.490545368467622</v>
      </c>
      <c r="E43" s="40">
        <f t="shared" si="25"/>
        <v>0.557992099586895</v>
      </c>
      <c r="F43" s="40">
        <f t="shared" si="25"/>
        <v>11.962092598424857</v>
      </c>
      <c r="G43" s="40">
        <f t="shared" si="25"/>
        <v>42.435843697041044</v>
      </c>
      <c r="H43" s="40">
        <f t="shared" si="25"/>
        <v>382.8952984894201</v>
      </c>
      <c r="I43" s="40">
        <f t="shared" si="25"/>
        <v>1.8002438513604817</v>
      </c>
      <c r="J43" s="40">
        <f t="shared" si="25"/>
        <v>19.496261214375011</v>
      </c>
      <c r="K43" s="40">
        <f t="shared" si="25"/>
        <v>37.422752061956153</v>
      </c>
      <c r="L43" s="40">
        <f t="shared" si="25"/>
        <v>19.365599506632524</v>
      </c>
      <c r="M43" s="40">
        <f t="shared" si="25"/>
        <v>0.90817356205852673</v>
      </c>
      <c r="N43" s="40">
        <f t="shared" si="25"/>
        <v>0.21457778756062201</v>
      </c>
      <c r="O43" s="40">
        <f t="shared" si="25"/>
        <v>25.405715348024668</v>
      </c>
      <c r="P43" s="40">
        <f t="shared" si="25"/>
        <v>20.374608601115067</v>
      </c>
      <c r="Q43" s="40">
        <f t="shared" si="25"/>
        <v>20.775636588850325</v>
      </c>
      <c r="R43" s="40">
        <f t="shared" si="25"/>
        <v>29.197882597606146</v>
      </c>
      <c r="S43" s="40">
        <f t="shared" si="25"/>
        <v>27.208545510373447</v>
      </c>
      <c r="T43" s="40">
        <f t="shared" si="25"/>
        <v>22.517571823510991</v>
      </c>
      <c r="U43" s="40">
        <f t="shared" si="25"/>
        <v>20.38690144651429</v>
      </c>
      <c r="V43" s="40">
        <f t="shared" si="25"/>
        <v>3.1758450268659931E-4</v>
      </c>
      <c r="W43" s="40">
        <f t="shared" si="25"/>
        <v>29.097111598927683</v>
      </c>
      <c r="X43" s="40">
        <f t="shared" si="25"/>
        <v>0.3651018900166792</v>
      </c>
      <c r="Y43" s="40">
        <f t="shared" si="25"/>
        <v>3.6510189001667678E-2</v>
      </c>
      <c r="Z43" s="40">
        <f t="shared" si="25"/>
        <v>3.6639809827933387E-3</v>
      </c>
      <c r="AA43" s="40">
        <f t="shared" si="25"/>
        <v>160.02359753009554</v>
      </c>
    </row>
    <row r="44" spans="2:27" ht="16.899999999999999" hidden="1" customHeight="1">
      <c r="B44" s="41" t="s">
        <v>35</v>
      </c>
      <c r="C44" s="178"/>
      <c r="D44" s="42">
        <f t="shared" ref="D44:AA44" si="26">D43*3</f>
        <v>97.471636105402865</v>
      </c>
      <c r="E44" s="42">
        <f t="shared" si="26"/>
        <v>1.673976298760685</v>
      </c>
      <c r="F44" s="42">
        <f t="shared" si="26"/>
        <v>35.886277795274566</v>
      </c>
      <c r="G44" s="42">
        <f t="shared" si="26"/>
        <v>127.30753109112314</v>
      </c>
      <c r="H44" s="43">
        <f t="shared" si="26"/>
        <v>1148.6858954682602</v>
      </c>
      <c r="I44" s="42">
        <f t="shared" si="26"/>
        <v>5.4007315540814451</v>
      </c>
      <c r="J44" s="42">
        <f t="shared" si="26"/>
        <v>58.488783643125032</v>
      </c>
      <c r="K44" s="42">
        <f t="shared" si="26"/>
        <v>112.26825618586847</v>
      </c>
      <c r="L44" s="42">
        <f t="shared" si="26"/>
        <v>58.096798519897575</v>
      </c>
      <c r="M44" s="42">
        <f t="shared" si="26"/>
        <v>2.7245206861755804</v>
      </c>
      <c r="N44" s="42">
        <f t="shared" si="26"/>
        <v>0.64373336268186598</v>
      </c>
      <c r="O44" s="42">
        <f t="shared" si="26"/>
        <v>76.217146044073999</v>
      </c>
      <c r="P44" s="42">
        <f t="shared" si="26"/>
        <v>61.123825803345198</v>
      </c>
      <c r="Q44" s="42">
        <f t="shared" si="26"/>
        <v>62.326909766550976</v>
      </c>
      <c r="R44" s="42">
        <f t="shared" si="26"/>
        <v>87.593647792818444</v>
      </c>
      <c r="S44" s="42">
        <f t="shared" si="26"/>
        <v>81.625636531120335</v>
      </c>
      <c r="T44" s="42">
        <f t="shared" si="26"/>
        <v>67.552715470532974</v>
      </c>
      <c r="U44" s="42">
        <f t="shared" si="26"/>
        <v>61.160704339542875</v>
      </c>
      <c r="V44" s="42">
        <f t="shared" si="26"/>
        <v>9.5275350805979798E-4</v>
      </c>
      <c r="W44" s="42">
        <f t="shared" si="26"/>
        <v>87.291334796783048</v>
      </c>
      <c r="X44" s="42">
        <f t="shared" si="26"/>
        <v>1.0953056700500376</v>
      </c>
      <c r="Y44" s="42">
        <f t="shared" si="26"/>
        <v>0.10953056700500303</v>
      </c>
      <c r="Z44" s="42">
        <f t="shared" si="26"/>
        <v>1.0991942948380016E-2</v>
      </c>
      <c r="AA44" s="42">
        <f t="shared" si="26"/>
        <v>480.0707925902866</v>
      </c>
    </row>
    <row r="45" spans="2:27" ht="16.899999999999999" hidden="1" customHeight="1">
      <c r="B45" s="41" t="s">
        <v>36</v>
      </c>
      <c r="C45" s="178"/>
      <c r="D45" s="44" t="str">
        <f t="shared" ref="D45:AA45" si="27">FIXED(D44,((-1*INT(LOG10(D44)))-1)+D5,TRUE)</f>
        <v>97</v>
      </c>
      <c r="E45" s="44" t="str">
        <f t="shared" si="27"/>
        <v>1.7</v>
      </c>
      <c r="F45" s="44" t="str">
        <f t="shared" si="27"/>
        <v>36</v>
      </c>
      <c r="G45" s="44" t="str">
        <f t="shared" si="27"/>
        <v>130</v>
      </c>
      <c r="H45" s="44" t="str">
        <f t="shared" si="27"/>
        <v>1100</v>
      </c>
      <c r="I45" s="44" t="str">
        <f t="shared" si="27"/>
        <v>5.4</v>
      </c>
      <c r="J45" s="44" t="str">
        <f t="shared" si="27"/>
        <v>58</v>
      </c>
      <c r="K45" s="44" t="str">
        <f t="shared" si="27"/>
        <v>110</v>
      </c>
      <c r="L45" s="44" t="str">
        <f t="shared" si="27"/>
        <v>58</v>
      </c>
      <c r="M45" s="44" t="str">
        <f t="shared" si="27"/>
        <v>2.7</v>
      </c>
      <c r="N45" s="44" t="str">
        <f t="shared" si="27"/>
        <v>0.64</v>
      </c>
      <c r="O45" s="44" t="str">
        <f t="shared" si="27"/>
        <v>76</v>
      </c>
      <c r="P45" s="44" t="str">
        <f t="shared" si="27"/>
        <v>61</v>
      </c>
      <c r="Q45" s="44" t="str">
        <f t="shared" si="27"/>
        <v>62</v>
      </c>
      <c r="R45" s="44" t="str">
        <f t="shared" si="27"/>
        <v>88</v>
      </c>
      <c r="S45" s="44" t="str">
        <f t="shared" si="27"/>
        <v>82</v>
      </c>
      <c r="T45" s="44" t="str">
        <f t="shared" si="27"/>
        <v>68</v>
      </c>
      <c r="U45" s="44" t="str">
        <f t="shared" si="27"/>
        <v>61</v>
      </c>
      <c r="V45" s="44" t="str">
        <f t="shared" si="27"/>
        <v>0.00095</v>
      </c>
      <c r="W45" s="44" t="str">
        <f t="shared" si="27"/>
        <v>87</v>
      </c>
      <c r="X45" s="44" t="str">
        <f t="shared" si="27"/>
        <v>1.1</v>
      </c>
      <c r="Y45" s="44" t="str">
        <f t="shared" si="27"/>
        <v>0.11</v>
      </c>
      <c r="Z45" s="44" t="str">
        <f t="shared" si="27"/>
        <v>0.011</v>
      </c>
      <c r="AA45" s="44" t="str">
        <f t="shared" si="27"/>
        <v>480</v>
      </c>
    </row>
    <row r="46" spans="2:27" ht="16.899999999999999" hidden="1" customHeight="1">
      <c r="B46" s="45" t="s">
        <v>37</v>
      </c>
      <c r="C46" s="179"/>
      <c r="D46" s="46" t="str">
        <f t="shared" ref="D46:AA46" si="28">FIXED(D6,((-1*INT(LOG10(D6)))-1)+C5,TRUE)</f>
        <v>90</v>
      </c>
      <c r="E46" s="46" t="str">
        <f t="shared" si="28"/>
        <v>2.2</v>
      </c>
      <c r="F46" s="46" t="str">
        <f t="shared" si="28"/>
        <v>99</v>
      </c>
      <c r="G46" s="46" t="str">
        <f t="shared" si="28"/>
        <v>90</v>
      </c>
      <c r="H46" s="46" t="str">
        <f t="shared" si="28"/>
        <v>92</v>
      </c>
      <c r="I46" s="46" t="str">
        <f t="shared" si="28"/>
        <v>9.0</v>
      </c>
      <c r="J46" s="46" t="str">
        <f t="shared" si="28"/>
        <v>95</v>
      </c>
      <c r="K46" s="46" t="str">
        <f t="shared" si="28"/>
        <v>90</v>
      </c>
      <c r="L46" s="46" t="str">
        <f t="shared" si="28"/>
        <v>90</v>
      </c>
      <c r="M46" s="46" t="str">
        <f t="shared" si="28"/>
        <v>90</v>
      </c>
      <c r="N46" s="46" t="str">
        <f t="shared" si="28"/>
        <v>1.0</v>
      </c>
      <c r="O46" s="46" t="str">
        <f t="shared" si="28"/>
        <v>90</v>
      </c>
      <c r="P46" s="46" t="str">
        <f t="shared" si="28"/>
        <v>100</v>
      </c>
      <c r="Q46" s="46" t="str">
        <f t="shared" si="28"/>
        <v>99</v>
      </c>
      <c r="R46" s="46" t="str">
        <f t="shared" si="28"/>
        <v>90</v>
      </c>
      <c r="S46" s="46" t="str">
        <f t="shared" si="28"/>
        <v>93</v>
      </c>
      <c r="T46" s="46" t="str">
        <f t="shared" si="28"/>
        <v>110</v>
      </c>
      <c r="U46" s="46" t="str">
        <f t="shared" si="28"/>
        <v>90</v>
      </c>
      <c r="V46" s="46" t="str">
        <f t="shared" si="28"/>
        <v>0.0010</v>
      </c>
      <c r="W46" s="46" t="str">
        <f t="shared" si="28"/>
        <v>110</v>
      </c>
      <c r="X46" s="46" t="str">
        <f t="shared" si="28"/>
        <v>1.2</v>
      </c>
      <c r="Y46" s="46" t="str">
        <f t="shared" si="28"/>
        <v>0.12</v>
      </c>
      <c r="Z46" s="46" t="str">
        <f t="shared" si="28"/>
        <v>0.012</v>
      </c>
      <c r="AA46" s="46" t="str">
        <f t="shared" si="28"/>
        <v>1200</v>
      </c>
    </row>
    <row r="47" spans="2:27" ht="16.899999999999999" hidden="1" customHeight="1">
      <c r="B47" s="45" t="s">
        <v>38</v>
      </c>
      <c r="C47" s="178"/>
      <c r="D47" s="47"/>
      <c r="E47" s="47"/>
      <c r="F47" s="47"/>
      <c r="G47" s="47"/>
      <c r="H47" s="47"/>
      <c r="I47" s="47"/>
      <c r="J47" s="47"/>
      <c r="K47" s="47"/>
      <c r="L47" s="47"/>
      <c r="M47" s="47"/>
      <c r="N47" s="47"/>
      <c r="O47" s="47"/>
      <c r="P47" s="47"/>
      <c r="Q47" s="47"/>
      <c r="R47" s="47"/>
      <c r="S47" s="47"/>
      <c r="T47" s="47"/>
      <c r="U47" s="47"/>
      <c r="V47" s="47"/>
      <c r="W47" s="47"/>
      <c r="X47" s="47"/>
      <c r="Y47" s="47"/>
      <c r="Z47" s="47"/>
      <c r="AA47" s="47"/>
    </row>
    <row r="48" spans="2:27" ht="16.899999999999999" hidden="1" customHeight="1">
      <c r="B48" s="41" t="s">
        <v>39</v>
      </c>
      <c r="C48" s="178"/>
      <c r="D48" s="48">
        <f t="shared" ref="D48:AA48" si="29">INT(LOG10(D46))</f>
        <v>1</v>
      </c>
      <c r="E48" s="48">
        <f t="shared" si="29"/>
        <v>0</v>
      </c>
      <c r="F48" s="48">
        <f t="shared" si="29"/>
        <v>1</v>
      </c>
      <c r="G48" s="48">
        <f t="shared" si="29"/>
        <v>1</v>
      </c>
      <c r="H48" s="48">
        <f t="shared" si="29"/>
        <v>1</v>
      </c>
      <c r="I48" s="48">
        <f t="shared" si="29"/>
        <v>0</v>
      </c>
      <c r="J48" s="48">
        <f t="shared" si="29"/>
        <v>1</v>
      </c>
      <c r="K48" s="48">
        <f t="shared" si="29"/>
        <v>1</v>
      </c>
      <c r="L48" s="48">
        <f t="shared" si="29"/>
        <v>1</v>
      </c>
      <c r="M48" s="48">
        <f t="shared" si="29"/>
        <v>1</v>
      </c>
      <c r="N48" s="48">
        <f t="shared" si="29"/>
        <v>0</v>
      </c>
      <c r="O48" s="48">
        <f t="shared" si="29"/>
        <v>1</v>
      </c>
      <c r="P48" s="48">
        <f t="shared" si="29"/>
        <v>2</v>
      </c>
      <c r="Q48" s="48">
        <f t="shared" si="29"/>
        <v>1</v>
      </c>
      <c r="R48" s="48">
        <f t="shared" si="29"/>
        <v>1</v>
      </c>
      <c r="S48" s="48">
        <f t="shared" si="29"/>
        <v>1</v>
      </c>
      <c r="T48" s="48">
        <f t="shared" si="29"/>
        <v>2</v>
      </c>
      <c r="U48" s="48">
        <f t="shared" si="29"/>
        <v>1</v>
      </c>
      <c r="V48" s="48">
        <f t="shared" si="29"/>
        <v>-3</v>
      </c>
      <c r="W48" s="48">
        <f t="shared" si="29"/>
        <v>2</v>
      </c>
      <c r="X48" s="48">
        <f t="shared" si="29"/>
        <v>0</v>
      </c>
      <c r="Y48" s="48">
        <f t="shared" si="29"/>
        <v>-1</v>
      </c>
      <c r="Z48" s="48">
        <f t="shared" si="29"/>
        <v>-2</v>
      </c>
      <c r="AA48" s="48">
        <f t="shared" si="29"/>
        <v>3</v>
      </c>
    </row>
    <row r="49" spans="2:27" ht="16.899999999999999" hidden="1" customHeight="1">
      <c r="B49" s="41" t="s">
        <v>40</v>
      </c>
      <c r="C49" s="178"/>
      <c r="D49" s="48">
        <f t="shared" ref="D49:AA49" si="30">INT(LOG10(D43))</f>
        <v>1</v>
      </c>
      <c r="E49" s="48">
        <f t="shared" si="30"/>
        <v>-1</v>
      </c>
      <c r="F49" s="48">
        <f t="shared" si="30"/>
        <v>1</v>
      </c>
      <c r="G49" s="48">
        <f t="shared" si="30"/>
        <v>1</v>
      </c>
      <c r="H49" s="48">
        <f t="shared" si="30"/>
        <v>2</v>
      </c>
      <c r="I49" s="48">
        <f t="shared" si="30"/>
        <v>0</v>
      </c>
      <c r="J49" s="48">
        <f t="shared" si="30"/>
        <v>1</v>
      </c>
      <c r="K49" s="48">
        <f t="shared" si="30"/>
        <v>1</v>
      </c>
      <c r="L49" s="48">
        <f t="shared" si="30"/>
        <v>1</v>
      </c>
      <c r="M49" s="48">
        <f t="shared" si="30"/>
        <v>-1</v>
      </c>
      <c r="N49" s="48">
        <f t="shared" si="30"/>
        <v>-1</v>
      </c>
      <c r="O49" s="48">
        <f t="shared" si="30"/>
        <v>1</v>
      </c>
      <c r="P49" s="48">
        <f t="shared" si="30"/>
        <v>1</v>
      </c>
      <c r="Q49" s="48">
        <f t="shared" si="30"/>
        <v>1</v>
      </c>
      <c r="R49" s="48">
        <f t="shared" si="30"/>
        <v>1</v>
      </c>
      <c r="S49" s="48">
        <f t="shared" si="30"/>
        <v>1</v>
      </c>
      <c r="T49" s="48">
        <f t="shared" si="30"/>
        <v>1</v>
      </c>
      <c r="U49" s="48">
        <f t="shared" si="30"/>
        <v>1</v>
      </c>
      <c r="V49" s="48">
        <f t="shared" si="30"/>
        <v>-4</v>
      </c>
      <c r="W49" s="48">
        <f t="shared" si="30"/>
        <v>1</v>
      </c>
      <c r="X49" s="48">
        <f t="shared" si="30"/>
        <v>-1</v>
      </c>
      <c r="Y49" s="48">
        <f t="shared" si="30"/>
        <v>-2</v>
      </c>
      <c r="Z49" s="48">
        <f t="shared" si="30"/>
        <v>-3</v>
      </c>
      <c r="AA49" s="48">
        <f t="shared" si="30"/>
        <v>2</v>
      </c>
    </row>
    <row r="50" spans="2:27" ht="16.899999999999999" hidden="1" customHeight="1">
      <c r="B50" s="41" t="s">
        <v>41</v>
      </c>
      <c r="C50" s="178"/>
      <c r="D50" s="42">
        <f t="shared" ref="D50:AA50" si="31">IF(D48=D49,1,D48-D49+1)</f>
        <v>1</v>
      </c>
      <c r="E50" s="48">
        <f t="shared" si="31"/>
        <v>2</v>
      </c>
      <c r="F50" s="42">
        <f t="shared" si="31"/>
        <v>1</v>
      </c>
      <c r="G50" s="42">
        <f t="shared" si="31"/>
        <v>1</v>
      </c>
      <c r="H50" s="48">
        <f t="shared" si="31"/>
        <v>0</v>
      </c>
      <c r="I50" s="42">
        <f t="shared" si="31"/>
        <v>1</v>
      </c>
      <c r="J50" s="42">
        <f t="shared" si="31"/>
        <v>1</v>
      </c>
      <c r="K50" s="42">
        <f t="shared" si="31"/>
        <v>1</v>
      </c>
      <c r="L50" s="42">
        <f t="shared" si="31"/>
        <v>1</v>
      </c>
      <c r="M50" s="48">
        <f t="shared" si="31"/>
        <v>3</v>
      </c>
      <c r="N50" s="48">
        <f t="shared" si="31"/>
        <v>2</v>
      </c>
      <c r="O50" s="42">
        <f t="shared" si="31"/>
        <v>1</v>
      </c>
      <c r="P50" s="48">
        <f t="shared" si="31"/>
        <v>2</v>
      </c>
      <c r="Q50" s="42">
        <f t="shared" si="31"/>
        <v>1</v>
      </c>
      <c r="R50" s="42">
        <f t="shared" si="31"/>
        <v>1</v>
      </c>
      <c r="S50" s="42">
        <f t="shared" si="31"/>
        <v>1</v>
      </c>
      <c r="T50" s="48">
        <f t="shared" si="31"/>
        <v>2</v>
      </c>
      <c r="U50" s="42">
        <f t="shared" si="31"/>
        <v>1</v>
      </c>
      <c r="V50" s="48">
        <f t="shared" si="31"/>
        <v>2</v>
      </c>
      <c r="W50" s="48">
        <f t="shared" si="31"/>
        <v>2</v>
      </c>
      <c r="X50" s="48">
        <f t="shared" si="31"/>
        <v>2</v>
      </c>
      <c r="Y50" s="48">
        <f t="shared" si="31"/>
        <v>2</v>
      </c>
      <c r="Z50" s="48">
        <f t="shared" si="31"/>
        <v>2</v>
      </c>
      <c r="AA50" s="48">
        <f t="shared" si="31"/>
        <v>2</v>
      </c>
    </row>
    <row r="51" spans="2:27" ht="16.899999999999999" hidden="1" customHeight="1">
      <c r="B51" s="45" t="s">
        <v>42</v>
      </c>
      <c r="C51" s="179"/>
      <c r="D51" s="44" t="str">
        <f t="shared" ref="D51:AA51" si="32">FIXED(D43,((-1*INT(LOG10(D43)))-D50)+D5,TRUE)</f>
        <v>32</v>
      </c>
      <c r="E51" s="44" t="str">
        <f t="shared" si="32"/>
        <v>0.6</v>
      </c>
      <c r="F51" s="44" t="str">
        <f t="shared" si="32"/>
        <v>12</v>
      </c>
      <c r="G51" s="44" t="str">
        <f t="shared" si="32"/>
        <v>42</v>
      </c>
      <c r="H51" s="44" t="str">
        <f t="shared" si="32"/>
        <v>383</v>
      </c>
      <c r="I51" s="44" t="str">
        <f t="shared" si="32"/>
        <v>1.8</v>
      </c>
      <c r="J51" s="44" t="str">
        <f t="shared" si="32"/>
        <v>19</v>
      </c>
      <c r="K51" s="44" t="str">
        <f t="shared" si="32"/>
        <v>37</v>
      </c>
      <c r="L51" s="44" t="str">
        <f t="shared" si="32"/>
        <v>19</v>
      </c>
      <c r="M51" s="44" t="str">
        <f t="shared" si="32"/>
        <v>1</v>
      </c>
      <c r="N51" s="44" t="str">
        <f t="shared" si="32"/>
        <v>0.2</v>
      </c>
      <c r="O51" s="44" t="str">
        <f t="shared" si="32"/>
        <v>25</v>
      </c>
      <c r="P51" s="44" t="str">
        <f t="shared" si="32"/>
        <v>20</v>
      </c>
      <c r="Q51" s="44" t="str">
        <f t="shared" si="32"/>
        <v>21</v>
      </c>
      <c r="R51" s="44" t="str">
        <f t="shared" si="32"/>
        <v>29</v>
      </c>
      <c r="S51" s="44" t="str">
        <f t="shared" si="32"/>
        <v>27</v>
      </c>
      <c r="T51" s="44" t="str">
        <f t="shared" si="32"/>
        <v>20</v>
      </c>
      <c r="U51" s="44" t="str">
        <f t="shared" si="32"/>
        <v>20</v>
      </c>
      <c r="V51" s="44" t="str">
        <f t="shared" si="32"/>
        <v>0.0003</v>
      </c>
      <c r="W51" s="44" t="str">
        <f t="shared" si="32"/>
        <v>30</v>
      </c>
      <c r="X51" s="44" t="str">
        <f t="shared" si="32"/>
        <v>0.4</v>
      </c>
      <c r="Y51" s="44" t="str">
        <f t="shared" si="32"/>
        <v>0.04</v>
      </c>
      <c r="Z51" s="44" t="str">
        <f t="shared" si="32"/>
        <v>0.004</v>
      </c>
      <c r="AA51" s="44" t="str">
        <f t="shared" si="32"/>
        <v>200</v>
      </c>
    </row>
    <row r="52" spans="2:27" ht="16.899999999999999" hidden="1" customHeight="1">
      <c r="B52" s="45"/>
      <c r="C52" s="179"/>
      <c r="D52" s="47"/>
      <c r="E52" s="47"/>
      <c r="F52" s="47"/>
      <c r="G52" s="47"/>
      <c r="H52" s="47"/>
      <c r="I52" s="47"/>
      <c r="J52" s="47"/>
      <c r="K52" s="47"/>
      <c r="L52" s="47"/>
      <c r="M52" s="47"/>
      <c r="N52" s="47"/>
      <c r="O52" s="47"/>
      <c r="P52" s="47"/>
      <c r="Q52" s="47"/>
      <c r="R52" s="47"/>
      <c r="S52" s="47"/>
      <c r="T52" s="47"/>
      <c r="U52" s="47"/>
      <c r="V52" s="47"/>
      <c r="W52" s="47"/>
      <c r="X52" s="47"/>
      <c r="Y52" s="47"/>
      <c r="Z52" s="47"/>
      <c r="AA52" s="47"/>
    </row>
    <row r="53" spans="2:27" s="148" customFormat="1" ht="16.899999999999999" customHeight="1">
      <c r="B53" s="114" t="s">
        <v>106</v>
      </c>
      <c r="C53" s="171"/>
      <c r="D53" s="147" t="str">
        <f t="shared" ref="D53:AA53" si="33">IF(ISTEXT(D7),"MDL not a Number!",IFERROR(IF(D3="Blank","Blank: "&amp;D51&amp;" "&amp;IF(D7&gt;0,"^"&amp;D4,D4),IF(D7&gt;D6,"MDL &gt; Spike!",IF(D7&gt;0,D46&amp;" ± "&amp;D51&amp;" ^"&amp;D4,D46&amp;" ± "&amp;D51&amp;" "&amp;D4))),"Error!!"))</f>
        <v>90 ± 32 µg/kg</v>
      </c>
      <c r="E53" s="147" t="str">
        <f t="shared" si="33"/>
        <v>2.2 ± 0.6 µg/kg</v>
      </c>
      <c r="F53" s="147" t="str">
        <f t="shared" si="33"/>
        <v>99 ± 12 µg/kg</v>
      </c>
      <c r="G53" s="147" t="str">
        <f t="shared" si="33"/>
        <v>90 ± 42 µg/kg</v>
      </c>
      <c r="H53" s="147" t="str">
        <f t="shared" si="33"/>
        <v>92 ± 383 µg/kg</v>
      </c>
      <c r="I53" s="147" t="str">
        <f t="shared" si="33"/>
        <v>9.0 ± 1.8 µg/kg</v>
      </c>
      <c r="J53" s="147" t="str">
        <f t="shared" si="33"/>
        <v>95 ± 19 µg/kg</v>
      </c>
      <c r="K53" s="147" t="str">
        <f t="shared" si="33"/>
        <v>90 ± 37 µg/kg</v>
      </c>
      <c r="L53" s="147" t="str">
        <f t="shared" si="33"/>
        <v>90 ± 19 µg/kg</v>
      </c>
      <c r="M53" s="147" t="str">
        <f t="shared" si="33"/>
        <v>90 ± 1 ^µg/kg</v>
      </c>
      <c r="N53" s="147" t="str">
        <f t="shared" si="33"/>
        <v>1.0 ± 0.2 µg/kg</v>
      </c>
      <c r="O53" s="147" t="str">
        <f t="shared" si="33"/>
        <v>90 ± 25 µg/kg</v>
      </c>
      <c r="P53" s="147" t="str">
        <f t="shared" si="33"/>
        <v>100 ± 20 µg/kg</v>
      </c>
      <c r="Q53" s="147" t="str">
        <f t="shared" si="33"/>
        <v>99 ± 21 µg/kg</v>
      </c>
      <c r="R53" s="147" t="str">
        <f t="shared" si="33"/>
        <v>90 ± 29 µg/kg</v>
      </c>
      <c r="S53" s="147" t="str">
        <f t="shared" si="33"/>
        <v>93 ± 27 µg/kg</v>
      </c>
      <c r="T53" s="147" t="str">
        <f t="shared" si="33"/>
        <v>110 ± 20 µg/kg</v>
      </c>
      <c r="U53" s="147" t="str">
        <f t="shared" si="33"/>
        <v>90 ± 20 µg/kg</v>
      </c>
      <c r="V53" s="147" t="str">
        <f t="shared" si="33"/>
        <v>0.0010 ± 0.0003 µg/kg</v>
      </c>
      <c r="W53" s="147" t="str">
        <f t="shared" si="33"/>
        <v>110 ± 30 µg/kg</v>
      </c>
      <c r="X53" s="147" t="str">
        <f t="shared" si="33"/>
        <v>1.2 ± 0.4 µg/kg</v>
      </c>
      <c r="Y53" s="147" t="str">
        <f t="shared" si="33"/>
        <v>0.12 ± 0.04 µg/kg</v>
      </c>
      <c r="Z53" s="147" t="str">
        <f t="shared" si="33"/>
        <v>0.012 ± 0.004 µg/kg</v>
      </c>
      <c r="AA53" s="147" t="str">
        <f t="shared" si="33"/>
        <v>1200 ± 200 µg/kg</v>
      </c>
    </row>
  </sheetData>
  <mergeCells count="19">
    <mergeCell ref="B53:C53"/>
    <mergeCell ref="B12:C12"/>
    <mergeCell ref="B6:C6"/>
    <mergeCell ref="B7:C7"/>
    <mergeCell ref="B24:C24"/>
    <mergeCell ref="B23:C23"/>
    <mergeCell ref="B13:C13"/>
    <mergeCell ref="B14:C14"/>
    <mergeCell ref="B15:C15"/>
    <mergeCell ref="B16:C16"/>
    <mergeCell ref="B8:C8"/>
    <mergeCell ref="B9:C9"/>
    <mergeCell ref="B10:C10"/>
    <mergeCell ref="B11:C11"/>
    <mergeCell ref="B1:C1"/>
    <mergeCell ref="B2:C2"/>
    <mergeCell ref="B17:C17"/>
    <mergeCell ref="B21:C21"/>
    <mergeCell ref="B22:C22"/>
  </mergeCells>
  <conditionalFormatting sqref="C5">
    <cfRule type="cellIs" dxfId="36" priority="6" stopIfTrue="1" operator="notEqual">
      <formula>2</formula>
    </cfRule>
  </conditionalFormatting>
  <conditionalFormatting sqref="D5:AA5">
    <cfRule type="cellIs" dxfId="35" priority="7" stopIfTrue="1" operator="notEqual">
      <formula>2</formula>
    </cfRule>
  </conditionalFormatting>
  <conditionalFormatting sqref="B6 D6:AA6">
    <cfRule type="containsBlanks" dxfId="34" priority="8" stopIfTrue="1">
      <formula>ISBLANK(B6)</formula>
    </cfRule>
    <cfRule type="cellIs" dxfId="33" priority="8" stopIfTrue="1" operator="equal">
      <formula>0</formula>
    </cfRule>
  </conditionalFormatting>
  <conditionalFormatting sqref="D7:AA7">
    <cfRule type="containsBlanks" dxfId="32" priority="1">
      <formula>LEN(TRIM(D7))=0</formula>
    </cfRule>
    <cfRule type="cellIs" dxfId="31" priority="2" operator="between">
      <formula>0.00001</formula>
      <formula>10000000</formula>
    </cfRule>
    <cfRule type="cellIs" dxfId="30" priority="24" operator="notBetween">
      <formula>0.00001</formula>
      <formula>10000000</formula>
    </cfRule>
  </conditionalFormatting>
  <conditionalFormatting sqref="D8:AA8">
    <cfRule type="containsText" dxfId="29" priority="10" stopIfTrue="1" operator="containsText" text="Excluded">
      <formula>NOT(ISERROR(FIND(UPPER("Excluded"),UPPER(D8))))</formula>
      <formula>"Excluded"</formula>
    </cfRule>
    <cfRule type="cellIs" dxfId="28" priority="10" stopIfTrue="1" operator="equal">
      <formula>0</formula>
    </cfRule>
  </conditionalFormatting>
  <conditionalFormatting sqref="D9:AA10">
    <cfRule type="cellIs" dxfId="27" priority="11" stopIfTrue="1" operator="equal">
      <formula>0</formula>
    </cfRule>
  </conditionalFormatting>
  <conditionalFormatting sqref="B11">
    <cfRule type="containsText" dxfId="26" priority="12" stopIfTrue="1" operator="containsText" text="Very">
      <formula>NOT(ISERROR(FIND(UPPER("Very"),UPPER(B11))))</formula>
      <formula>"Very"</formula>
    </cfRule>
    <cfRule type="containsText" dxfId="25" priority="12" stopIfTrue="1" operator="containsText" text="High">
      <formula>NOT(ISERROR(FIND(UPPER("High"),UPPER(B11))))</formula>
      <formula>"High"</formula>
    </cfRule>
    <cfRule type="containsText" dxfId="24" priority="12" stopIfTrue="1" operator="containsText" text="Low">
      <formula>NOT(ISERROR(FIND(UPPER("Low"),UPPER(B11))))</formula>
      <formula>"Low"</formula>
    </cfRule>
  </conditionalFormatting>
  <conditionalFormatting sqref="E11:AA11">
    <cfRule type="cellIs" dxfId="23" priority="13" stopIfTrue="1" operator="equal">
      <formula>0</formula>
    </cfRule>
    <cfRule type="cellIs" dxfId="22" priority="13" stopIfTrue="1" operator="greaterThan">
      <formula>2</formula>
    </cfRule>
    <cfRule type="cellIs" dxfId="21" priority="13" stopIfTrue="1" operator="greaterThan">
      <formula>1</formula>
    </cfRule>
    <cfRule type="cellIs" dxfId="20" priority="13" stopIfTrue="1" operator="lessThan">
      <formula>0.3</formula>
    </cfRule>
  </conditionalFormatting>
  <conditionalFormatting sqref="B12">
    <cfRule type="containsText" dxfId="19" priority="14" stopIfTrue="1" operator="containsText" text="Found?">
      <formula>NOT(ISERROR(FIND(UPPER("Found?"),UPPER(B12))))</formula>
      <formula>"Found?"</formula>
    </cfRule>
  </conditionalFormatting>
  <conditionalFormatting sqref="D12:AA12">
    <cfRule type="cellIs" dxfId="18" priority="15" stopIfTrue="1" operator="greaterThan">
      <formula>0</formula>
    </cfRule>
    <cfRule type="cellIs" dxfId="17" priority="15" stopIfTrue="1" operator="equal">
      <formula>0</formula>
    </cfRule>
  </conditionalFormatting>
  <conditionalFormatting sqref="D13:AA13">
    <cfRule type="cellIs" dxfId="16" priority="16" stopIfTrue="1" operator="equal">
      <formula>"Blank"</formula>
    </cfRule>
  </conditionalFormatting>
  <conditionalFormatting sqref="D16">
    <cfRule type="cellIs" dxfId="15" priority="17" stopIfTrue="1" operator="equal">
      <formula>"Blank"</formula>
    </cfRule>
    <cfRule type="cellIs" dxfId="14" priority="17" stopIfTrue="1" operator="notBetween">
      <formula>0.2</formula>
      <formula>2</formula>
    </cfRule>
  </conditionalFormatting>
  <conditionalFormatting sqref="E16:AA16">
    <cfRule type="cellIs" dxfId="13" priority="18" stopIfTrue="1" operator="equal">
      <formula>"Blank"</formula>
    </cfRule>
    <cfRule type="cellIs" dxfId="12" priority="18" stopIfTrue="1" operator="notBetween">
      <formula>0.2</formula>
      <formula>2</formula>
    </cfRule>
  </conditionalFormatting>
  <conditionalFormatting sqref="D17:AA17 D21:AA24">
    <cfRule type="cellIs" dxfId="11" priority="19" stopIfTrue="1" operator="equal">
      <formula>"Blank"</formula>
    </cfRule>
  </conditionalFormatting>
  <conditionalFormatting sqref="B19">
    <cfRule type="containsText" dxfId="10" priority="20" stopIfTrue="1" operator="containsText" text="Outlier">
      <formula>NOT(ISERROR(FIND(UPPER("Outlier"),UPPER(B19))))</formula>
      <formula>"Outlier"</formula>
    </cfRule>
  </conditionalFormatting>
  <conditionalFormatting sqref="D25:AA25">
    <cfRule type="cellIs" dxfId="9" priority="21" stopIfTrue="1" operator="lessThan">
      <formula>3</formula>
    </cfRule>
  </conditionalFormatting>
  <conditionalFormatting sqref="D53:AA53">
    <cfRule type="containsText" dxfId="8" priority="22" stopIfTrue="1" operator="containsText" text="^">
      <formula>NOT(ISERROR(FIND(UPPER("^"),UPPER(D53))))</formula>
      <formula>"^"</formula>
    </cfRule>
    <cfRule type="containsText" dxfId="7" priority="22" stopIfTrue="1" operator="containsText" text="!">
      <formula>NOT(ISERROR(FIND(UPPER("!"),UPPER(D53))))</formula>
      <formula>"!"</formula>
    </cfRule>
  </conditionalFormatting>
  <conditionalFormatting sqref="D11">
    <cfRule type="cellIs" dxfId="6" priority="3" operator="greaterThan">
      <formula>2</formula>
    </cfRule>
    <cfRule type="cellIs" dxfId="5" priority="4" operator="lessThan">
      <formula>0.3</formula>
    </cfRule>
    <cfRule type="cellIs" dxfId="4" priority="5" operator="greaterThan">
      <formula>1</formula>
    </cfRule>
  </conditionalFormatting>
  <dataValidations count="3">
    <dataValidation type="list" allowBlank="1" showInputMessage="1" showErrorMessage="1" sqref="C3">
      <formula1>"Spike,Blank,Low Spike,Reference Material"</formula1>
    </dataValidation>
    <dataValidation type="list" allowBlank="1" showInputMessage="1" showErrorMessage="1" sqref="C4">
      <formula1>"ppm,ppb,ppt,mg/kg,µg/kg,ng/kg,mg/L,µg/L,ng/L,pg/L,g/L,drops/floz"</formula1>
    </dataValidation>
    <dataValidation type="list" allowBlank="1" showInputMessage="1" showErrorMessage="1" sqref="C5">
      <formula1>"2,1,3"</formula1>
    </dataValidation>
  </dataValidations>
  <pageMargins left="1.00315" right="0.30629899999999999" top="0.75" bottom="0.35629899999999998" header="0" footer="0"/>
  <pageSetup scale="46" orientation="portrait"/>
  <headerFooter>
    <oddFooter>&amp;C&amp;"Helvetica Neue,Regular"&amp;12&amp;K000000&amp;P</oddFooter>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2"/>
  <sheetViews>
    <sheetView showGridLines="0" workbookViewId="0">
      <selection activeCell="Y11" sqref="Y11"/>
    </sheetView>
  </sheetViews>
  <sheetFormatPr defaultColWidth="0" defaultRowHeight="15" customHeight="1" zeroHeight="1"/>
  <cols>
    <col min="1" max="1" width="14.1875" style="130" customWidth="1"/>
    <col min="2" max="2" width="10.375" style="131" customWidth="1"/>
    <col min="3" max="24" width="10.5" style="128" customWidth="1"/>
    <col min="25" max="25" width="10.5" style="137" customWidth="1"/>
    <col min="26" max="16383" width="8.875" style="128" hidden="1"/>
    <col min="16384" max="16384" width="6.25E-2" style="138" customWidth="1"/>
  </cols>
  <sheetData>
    <row r="1" spans="1:26" ht="16.600000000000001" customHeight="1">
      <c r="A1" s="124" t="s">
        <v>43</v>
      </c>
      <c r="B1" s="125" t="s">
        <v>44</v>
      </c>
      <c r="C1" s="126" t="s">
        <v>45</v>
      </c>
      <c r="D1" s="126" t="s">
        <v>46</v>
      </c>
      <c r="E1" s="126" t="s">
        <v>47</v>
      </c>
      <c r="F1" s="126" t="s">
        <v>48</v>
      </c>
      <c r="G1" s="126" t="s">
        <v>49</v>
      </c>
      <c r="H1" s="126" t="s">
        <v>50</v>
      </c>
      <c r="I1" s="126" t="s">
        <v>51</v>
      </c>
      <c r="J1" s="126" t="s">
        <v>52</v>
      </c>
      <c r="K1" s="127" t="s">
        <v>53</v>
      </c>
      <c r="L1" s="127" t="s">
        <v>54</v>
      </c>
      <c r="M1" s="127" t="s">
        <v>55</v>
      </c>
      <c r="N1" s="127" t="s">
        <v>56</v>
      </c>
      <c r="O1" s="127" t="s">
        <v>57</v>
      </c>
      <c r="P1" s="127" t="s">
        <v>58</v>
      </c>
      <c r="Q1" s="127" t="s">
        <v>59</v>
      </c>
      <c r="R1" s="127" t="s">
        <v>60</v>
      </c>
      <c r="S1" s="127" t="s">
        <v>61</v>
      </c>
      <c r="T1" s="127" t="s">
        <v>62</v>
      </c>
      <c r="U1" s="127" t="s">
        <v>63</v>
      </c>
      <c r="V1" s="127" t="s">
        <v>64</v>
      </c>
      <c r="W1" s="127" t="s">
        <v>65</v>
      </c>
      <c r="X1" s="127" t="s">
        <v>66</v>
      </c>
      <c r="Y1" s="134" t="s">
        <v>67</v>
      </c>
    </row>
    <row r="2" spans="1:26" ht="16.600000000000001" customHeight="1">
      <c r="A2" s="110" t="s">
        <v>68</v>
      </c>
      <c r="B2" s="120">
        <v>86.38</v>
      </c>
      <c r="C2" s="120">
        <v>1.59</v>
      </c>
      <c r="D2" s="120">
        <v>94.21</v>
      </c>
      <c r="E2" s="120">
        <v>94.21</v>
      </c>
      <c r="F2" s="120">
        <v>86.38</v>
      </c>
      <c r="G2" s="120">
        <v>9.0299999999999994</v>
      </c>
      <c r="H2" s="120">
        <v>96</v>
      </c>
      <c r="I2" s="120">
        <v>86.38</v>
      </c>
      <c r="J2" s="120">
        <v>90</v>
      </c>
      <c r="K2" s="120">
        <v>96.1</v>
      </c>
      <c r="L2" s="120">
        <v>0.85099999999999998</v>
      </c>
      <c r="M2" s="120">
        <v>90</v>
      </c>
      <c r="N2" s="120">
        <v>90</v>
      </c>
      <c r="O2" s="120">
        <v>86.38</v>
      </c>
      <c r="P2" s="120">
        <v>90</v>
      </c>
      <c r="Q2" s="120">
        <v>84</v>
      </c>
      <c r="R2" s="120">
        <v>86.38</v>
      </c>
      <c r="S2" s="120">
        <v>96</v>
      </c>
      <c r="T2" s="120">
        <v>1.0300000000000001E-3</v>
      </c>
      <c r="U2" s="120">
        <v>86.38</v>
      </c>
      <c r="V2" s="120">
        <v>1.03</v>
      </c>
      <c r="W2" s="120">
        <v>0.10299999999999999</v>
      </c>
      <c r="X2" s="120">
        <v>1.03E-2</v>
      </c>
      <c r="Y2" s="135">
        <v>962</v>
      </c>
      <c r="Z2" s="132"/>
    </row>
    <row r="3" spans="1:26" ht="16.600000000000001" customHeight="1">
      <c r="A3" s="111" t="s">
        <v>69</v>
      </c>
      <c r="B3" s="121">
        <v>87.79</v>
      </c>
      <c r="C3" s="120">
        <v>1.66</v>
      </c>
      <c r="D3" s="120">
        <v>91.3</v>
      </c>
      <c r="E3" s="120">
        <v>88.46</v>
      </c>
      <c r="F3" s="120">
        <v>87.79</v>
      </c>
      <c r="G3" s="120">
        <v>9.11</v>
      </c>
      <c r="H3" s="120">
        <v>97</v>
      </c>
      <c r="I3" s="120">
        <v>87.79</v>
      </c>
      <c r="J3" s="120">
        <v>84</v>
      </c>
      <c r="K3" s="120">
        <v>90.1</v>
      </c>
      <c r="L3" s="120">
        <v>0.88200000000000001</v>
      </c>
      <c r="M3" s="120">
        <v>91</v>
      </c>
      <c r="N3" s="120">
        <v>104</v>
      </c>
      <c r="O3" s="120">
        <v>87.79</v>
      </c>
      <c r="P3" s="120">
        <v>91</v>
      </c>
      <c r="Q3" s="120">
        <v>97</v>
      </c>
      <c r="R3" s="120">
        <v>87.79</v>
      </c>
      <c r="S3" s="120">
        <v>97</v>
      </c>
      <c r="T3" s="120">
        <v>1.2199999999999999E-3</v>
      </c>
      <c r="U3" s="120">
        <v>87.79</v>
      </c>
      <c r="V3" s="120">
        <v>1.2</v>
      </c>
      <c r="W3" s="120">
        <v>0.12</v>
      </c>
      <c r="X3" s="120">
        <v>1.2E-2</v>
      </c>
      <c r="Y3" s="135">
        <v>973</v>
      </c>
      <c r="Z3" s="132"/>
    </row>
    <row r="4" spans="1:26" ht="16.600000000000001" customHeight="1">
      <c r="A4" s="111" t="s">
        <v>70</v>
      </c>
      <c r="B4" s="120">
        <v>77.94</v>
      </c>
      <c r="C4" s="120">
        <v>1.42</v>
      </c>
      <c r="D4" s="120">
        <v>91.88</v>
      </c>
      <c r="E4" s="120">
        <v>98.27</v>
      </c>
      <c r="F4" s="120">
        <v>77.94</v>
      </c>
      <c r="G4" s="120">
        <v>9.24</v>
      </c>
      <c r="H4" s="120">
        <v>98</v>
      </c>
      <c r="I4" s="120">
        <v>77.94</v>
      </c>
      <c r="J4" s="120">
        <v>101</v>
      </c>
      <c r="K4" s="120">
        <v>95.2</v>
      </c>
      <c r="L4" s="120">
        <v>0.77900000000000003</v>
      </c>
      <c r="M4" s="120">
        <v>92</v>
      </c>
      <c r="N4" s="120">
        <v>93</v>
      </c>
      <c r="O4" s="120">
        <v>77.94</v>
      </c>
      <c r="P4" s="120">
        <v>92</v>
      </c>
      <c r="Q4" s="120">
        <v>98</v>
      </c>
      <c r="R4" s="120">
        <v>77.94</v>
      </c>
      <c r="S4" s="120">
        <v>88</v>
      </c>
      <c r="T4" s="120">
        <v>1.25E-3</v>
      </c>
      <c r="U4" s="120">
        <v>77.94</v>
      </c>
      <c r="V4" s="120">
        <v>1.25</v>
      </c>
      <c r="W4" s="120">
        <v>0.125</v>
      </c>
      <c r="X4" s="120">
        <v>1.2500000000000001E-2</v>
      </c>
      <c r="Y4" s="135">
        <v>981</v>
      </c>
      <c r="Z4" s="132"/>
    </row>
    <row r="5" spans="1:26" ht="16.600000000000001" customHeight="1">
      <c r="A5" s="111" t="s">
        <v>71</v>
      </c>
      <c r="B5" s="121">
        <v>72.11</v>
      </c>
      <c r="C5" s="120">
        <v>1.59</v>
      </c>
      <c r="D5" s="120">
        <v>95.31</v>
      </c>
      <c r="E5" s="120">
        <v>99.41</v>
      </c>
      <c r="F5" s="120">
        <v>72.11</v>
      </c>
      <c r="G5" s="120">
        <v>9.35</v>
      </c>
      <c r="H5" s="120">
        <v>83</v>
      </c>
      <c r="I5" s="120">
        <v>72.11</v>
      </c>
      <c r="J5" s="120">
        <v>93</v>
      </c>
      <c r="K5" s="120">
        <v>91.3</v>
      </c>
      <c r="L5" s="120">
        <v>0.72099999999999997</v>
      </c>
      <c r="M5" s="120">
        <v>93</v>
      </c>
      <c r="N5" s="120">
        <v>89</v>
      </c>
      <c r="O5" s="120">
        <v>72.11</v>
      </c>
      <c r="P5" s="120">
        <v>93</v>
      </c>
      <c r="Q5" s="120">
        <v>99</v>
      </c>
      <c r="R5" s="120">
        <v>72.11</v>
      </c>
      <c r="S5" s="120">
        <v>99</v>
      </c>
      <c r="T5" s="120">
        <v>1.33E-3</v>
      </c>
      <c r="U5" s="120">
        <v>72.11</v>
      </c>
      <c r="V5" s="120">
        <v>1.33</v>
      </c>
      <c r="W5" s="120">
        <v>0.13300000000000001</v>
      </c>
      <c r="X5" s="120">
        <v>1.3299999999999999E-2</v>
      </c>
      <c r="Y5" s="135">
        <v>989</v>
      </c>
      <c r="Z5" s="132"/>
    </row>
    <row r="6" spans="1:26" ht="16.600000000000001" customHeight="1">
      <c r="A6" s="111" t="s">
        <v>72</v>
      </c>
      <c r="B6" s="121">
        <v>78.56</v>
      </c>
      <c r="C6" s="120">
        <v>1.66</v>
      </c>
      <c r="D6" s="120">
        <v>94.69</v>
      </c>
      <c r="E6" s="120">
        <v>100.24</v>
      </c>
      <c r="F6" s="120">
        <v>78.56</v>
      </c>
      <c r="G6" s="120">
        <v>9.06</v>
      </c>
      <c r="H6" s="120">
        <v>100</v>
      </c>
      <c r="I6" s="120">
        <v>78.56</v>
      </c>
      <c r="J6" s="120">
        <v>85</v>
      </c>
      <c r="K6" s="120">
        <v>100.2</v>
      </c>
      <c r="L6" s="120">
        <v>0.78600000000000003</v>
      </c>
      <c r="M6" s="120">
        <v>94</v>
      </c>
      <c r="N6" s="120">
        <v>100</v>
      </c>
      <c r="O6" s="120">
        <v>78.56</v>
      </c>
      <c r="P6" s="120">
        <v>94</v>
      </c>
      <c r="Q6" s="120">
        <v>100</v>
      </c>
      <c r="R6" s="120">
        <v>78.56</v>
      </c>
      <c r="S6" s="120">
        <v>100</v>
      </c>
      <c r="T6" s="120">
        <v>1.4599999999999999E-3</v>
      </c>
      <c r="U6" s="120">
        <v>78.56</v>
      </c>
      <c r="V6" s="120">
        <v>1.46</v>
      </c>
      <c r="W6" s="120">
        <v>0.14599999999999999</v>
      </c>
      <c r="X6" s="120">
        <v>1.46E-2</v>
      </c>
      <c r="Y6" s="135">
        <v>951</v>
      </c>
      <c r="Z6" s="132"/>
    </row>
    <row r="7" spans="1:26" ht="16.600000000000001" customHeight="1">
      <c r="A7" s="111" t="s">
        <v>73</v>
      </c>
      <c r="B7" s="121">
        <v>89.84</v>
      </c>
      <c r="C7" s="120">
        <v>1.36</v>
      </c>
      <c r="D7" s="120">
        <v>85.37</v>
      </c>
      <c r="E7" s="120">
        <v>100.91</v>
      </c>
      <c r="F7" s="120">
        <v>89.84</v>
      </c>
      <c r="G7" s="120">
        <v>9.4700000000000006</v>
      </c>
      <c r="H7" s="120">
        <v>101</v>
      </c>
      <c r="I7" s="120">
        <v>89.84</v>
      </c>
      <c r="J7" s="120">
        <v>95</v>
      </c>
      <c r="K7" s="120">
        <v>111.3</v>
      </c>
      <c r="L7" s="120">
        <v>0.89800000000000002</v>
      </c>
      <c r="M7" s="120">
        <v>95</v>
      </c>
      <c r="N7" s="120">
        <v>91</v>
      </c>
      <c r="O7" s="120">
        <v>89.84</v>
      </c>
      <c r="P7" s="120">
        <v>95</v>
      </c>
      <c r="Q7" s="120">
        <v>101</v>
      </c>
      <c r="R7" s="120">
        <v>89.84</v>
      </c>
      <c r="S7" s="120">
        <v>101</v>
      </c>
      <c r="T7" s="120">
        <v>1.3699999999999999E-3</v>
      </c>
      <c r="U7" s="120">
        <v>89.84</v>
      </c>
      <c r="V7" s="120">
        <v>1.371</v>
      </c>
      <c r="W7" s="120">
        <v>0.1371</v>
      </c>
      <c r="X7" s="120">
        <v>1.37E-2</v>
      </c>
      <c r="Y7" s="135">
        <v>1005</v>
      </c>
      <c r="Z7" s="132"/>
    </row>
    <row r="8" spans="1:26" ht="16.600000000000001" customHeight="1">
      <c r="A8" s="111" t="s">
        <v>74</v>
      </c>
      <c r="B8" s="121">
        <v>89.3</v>
      </c>
      <c r="C8" s="120">
        <v>1.69</v>
      </c>
      <c r="D8" s="120">
        <v>99.21</v>
      </c>
      <c r="E8" s="120">
        <v>81.31</v>
      </c>
      <c r="F8" s="120">
        <v>89.3</v>
      </c>
      <c r="G8" s="120">
        <v>9.91</v>
      </c>
      <c r="H8" s="120">
        <v>102</v>
      </c>
      <c r="I8" s="120">
        <v>89.3</v>
      </c>
      <c r="J8" s="120">
        <v>99</v>
      </c>
      <c r="K8" s="120">
        <v>102.4</v>
      </c>
      <c r="L8" s="120">
        <v>0.89300000000000002</v>
      </c>
      <c r="M8" s="120">
        <v>99</v>
      </c>
      <c r="N8" s="120">
        <v>102</v>
      </c>
      <c r="O8" s="120">
        <v>89.3</v>
      </c>
      <c r="P8" s="120">
        <v>99</v>
      </c>
      <c r="Q8" s="120">
        <v>102</v>
      </c>
      <c r="R8" s="120">
        <v>89.3</v>
      </c>
      <c r="S8" s="120">
        <v>102</v>
      </c>
      <c r="T8" s="120">
        <v>1.14E-3</v>
      </c>
      <c r="U8" s="120">
        <v>89.3</v>
      </c>
      <c r="V8" s="120">
        <v>1.1379999999999999</v>
      </c>
      <c r="W8" s="120">
        <v>0.1138</v>
      </c>
      <c r="X8" s="120">
        <v>1.14E-2</v>
      </c>
      <c r="Y8" s="135">
        <v>1024</v>
      </c>
      <c r="Z8" s="132"/>
    </row>
    <row r="9" spans="1:26" ht="16.600000000000001" customHeight="1">
      <c r="A9" s="111" t="s">
        <v>75</v>
      </c>
      <c r="B9" s="121">
        <v>83.42</v>
      </c>
      <c r="C9" s="120">
        <v>1.82</v>
      </c>
      <c r="D9" s="120">
        <v>96.33</v>
      </c>
      <c r="E9" s="120">
        <v>107.18</v>
      </c>
      <c r="F9" s="120">
        <v>83.42</v>
      </c>
      <c r="G9" s="120">
        <v>8.07</v>
      </c>
      <c r="H9" s="120">
        <v>90</v>
      </c>
      <c r="I9" s="120">
        <v>83.42</v>
      </c>
      <c r="J9" s="120">
        <v>103</v>
      </c>
      <c r="K9" s="120">
        <v>101.6</v>
      </c>
      <c r="L9" s="120">
        <v>0.83299999999999996</v>
      </c>
      <c r="M9" s="120">
        <v>117</v>
      </c>
      <c r="N9" s="120">
        <v>103</v>
      </c>
      <c r="O9" s="120">
        <v>83.42</v>
      </c>
      <c r="P9" s="120">
        <v>121</v>
      </c>
      <c r="Q9" s="120">
        <v>110</v>
      </c>
      <c r="R9" s="120">
        <v>83.42</v>
      </c>
      <c r="S9" s="120">
        <v>106</v>
      </c>
      <c r="T9" s="120">
        <v>1.1349999999999999E-3</v>
      </c>
      <c r="U9" s="120">
        <v>83.42</v>
      </c>
      <c r="V9" s="120">
        <v>1.135</v>
      </c>
      <c r="W9" s="120">
        <v>0.1135</v>
      </c>
      <c r="X9" s="120">
        <v>1.1299999999999999E-2</v>
      </c>
      <c r="Y9" s="135">
        <v>1056</v>
      </c>
      <c r="Z9" s="132"/>
    </row>
    <row r="10" spans="1:26" ht="14.65" customHeight="1">
      <c r="A10" s="111" t="s">
        <v>76</v>
      </c>
      <c r="B10" s="120">
        <v>58.97</v>
      </c>
      <c r="C10" s="120">
        <v>1.67</v>
      </c>
      <c r="D10" s="120">
        <v>92.02</v>
      </c>
      <c r="E10" s="120">
        <v>140.1</v>
      </c>
      <c r="F10" s="120">
        <v>771</v>
      </c>
      <c r="G10" s="120">
        <v>10.4</v>
      </c>
      <c r="H10" s="120">
        <v>106</v>
      </c>
      <c r="I10" s="120">
        <v>53.77</v>
      </c>
      <c r="J10" s="120">
        <v>88</v>
      </c>
      <c r="K10" s="120">
        <v>103.7</v>
      </c>
      <c r="L10" s="120">
        <v>0.88400000000000001</v>
      </c>
      <c r="M10" s="120">
        <v>111</v>
      </c>
      <c r="N10" s="120">
        <v>106</v>
      </c>
      <c r="O10" s="120">
        <v>81</v>
      </c>
      <c r="P10" s="120">
        <v>114</v>
      </c>
      <c r="Q10" s="120">
        <v>122</v>
      </c>
      <c r="R10" s="120">
        <v>82</v>
      </c>
      <c r="S10" s="120">
        <v>117</v>
      </c>
      <c r="T10" s="120">
        <v>1.17E-3</v>
      </c>
      <c r="U10" s="120">
        <v>68.430000000000007</v>
      </c>
      <c r="V10" s="120">
        <v>1.1739999999999999</v>
      </c>
      <c r="W10" s="120">
        <v>0.1174</v>
      </c>
      <c r="X10" s="120">
        <v>1.17E-2</v>
      </c>
      <c r="Y10" s="135">
        <v>1100</v>
      </c>
      <c r="Z10" s="132"/>
    </row>
    <row r="11" spans="1:26" ht="16.600000000000001" customHeight="1">
      <c r="A11" s="111"/>
      <c r="B11" s="120"/>
      <c r="C11" s="120"/>
      <c r="D11" s="120"/>
      <c r="E11" s="120"/>
      <c r="F11" s="120"/>
      <c r="G11" s="120"/>
      <c r="H11" s="120"/>
      <c r="I11" s="120"/>
      <c r="J11" s="120"/>
      <c r="K11" s="120"/>
      <c r="L11" s="120"/>
      <c r="M11" s="120"/>
      <c r="N11" s="120"/>
      <c r="O11" s="120"/>
      <c r="P11" s="120"/>
      <c r="Q11" s="120"/>
      <c r="R11" s="120"/>
      <c r="S11" s="120"/>
      <c r="T11" s="120"/>
      <c r="U11" s="120"/>
      <c r="V11" s="120"/>
      <c r="W11" s="120"/>
      <c r="X11" s="120"/>
      <c r="Y11" s="135"/>
      <c r="Z11" s="132"/>
    </row>
    <row r="12" spans="1:26" ht="16.600000000000001" customHeight="1">
      <c r="A12" s="111"/>
      <c r="B12" s="121"/>
      <c r="C12" s="120"/>
      <c r="D12" s="120"/>
      <c r="E12" s="120"/>
      <c r="F12" s="120"/>
      <c r="G12" s="120"/>
      <c r="H12" s="120"/>
      <c r="I12" s="120"/>
      <c r="J12" s="120"/>
      <c r="K12" s="120"/>
      <c r="L12" s="120"/>
      <c r="M12" s="120"/>
      <c r="N12" s="120"/>
      <c r="O12" s="120"/>
      <c r="P12" s="120"/>
      <c r="Q12" s="120"/>
      <c r="R12" s="120"/>
      <c r="S12" s="120"/>
      <c r="T12" s="120"/>
      <c r="U12" s="120"/>
      <c r="V12" s="120"/>
      <c r="W12" s="120"/>
      <c r="X12" s="120"/>
      <c r="Y12" s="135"/>
      <c r="Z12" s="132"/>
    </row>
    <row r="13" spans="1:26" ht="16.600000000000001" customHeight="1">
      <c r="A13" s="111"/>
      <c r="B13" s="121"/>
      <c r="C13" s="120"/>
      <c r="D13" s="120"/>
      <c r="E13" s="120"/>
      <c r="F13" s="120"/>
      <c r="G13" s="120"/>
      <c r="H13" s="120"/>
      <c r="I13" s="120"/>
      <c r="J13" s="120"/>
      <c r="K13" s="120"/>
      <c r="L13" s="120"/>
      <c r="M13" s="120"/>
      <c r="N13" s="120"/>
      <c r="O13" s="120"/>
      <c r="P13" s="120"/>
      <c r="Q13" s="120"/>
      <c r="R13" s="120"/>
      <c r="S13" s="120"/>
      <c r="T13" s="120"/>
      <c r="U13" s="120"/>
      <c r="V13" s="120"/>
      <c r="W13" s="120"/>
      <c r="X13" s="120"/>
      <c r="Y13" s="135"/>
      <c r="Z13" s="132"/>
    </row>
    <row r="14" spans="1:26" ht="16.600000000000001" customHeight="1">
      <c r="A14" s="111"/>
      <c r="B14" s="121"/>
      <c r="C14" s="120"/>
      <c r="D14" s="120"/>
      <c r="E14" s="120"/>
      <c r="F14" s="120"/>
      <c r="G14" s="120"/>
      <c r="H14" s="120"/>
      <c r="I14" s="120"/>
      <c r="J14" s="120"/>
      <c r="K14" s="120"/>
      <c r="L14" s="120"/>
      <c r="M14" s="120"/>
      <c r="N14" s="120"/>
      <c r="O14" s="120"/>
      <c r="P14" s="120"/>
      <c r="Q14" s="120"/>
      <c r="R14" s="120"/>
      <c r="S14" s="120"/>
      <c r="T14" s="120"/>
      <c r="U14" s="120"/>
      <c r="V14" s="120"/>
      <c r="W14" s="120"/>
      <c r="X14" s="120"/>
      <c r="Y14" s="135"/>
      <c r="Z14" s="132"/>
    </row>
    <row r="15" spans="1:26" ht="16.600000000000001" customHeight="1">
      <c r="A15" s="111"/>
      <c r="B15" s="121"/>
      <c r="C15" s="120"/>
      <c r="D15" s="120"/>
      <c r="E15" s="120"/>
      <c r="F15" s="120"/>
      <c r="G15" s="120"/>
      <c r="H15" s="120"/>
      <c r="I15" s="120"/>
      <c r="J15" s="120"/>
      <c r="K15" s="120"/>
      <c r="L15" s="120"/>
      <c r="M15" s="120"/>
      <c r="N15" s="120"/>
      <c r="O15" s="120"/>
      <c r="P15" s="120"/>
      <c r="Q15" s="120"/>
      <c r="R15" s="120"/>
      <c r="S15" s="120"/>
      <c r="T15" s="120"/>
      <c r="U15" s="120"/>
      <c r="V15" s="120"/>
      <c r="W15" s="120"/>
      <c r="X15" s="120"/>
      <c r="Y15" s="135"/>
      <c r="Z15" s="132"/>
    </row>
    <row r="16" spans="1:26" ht="16.600000000000001" customHeight="1">
      <c r="A16" s="111"/>
      <c r="B16" s="121"/>
      <c r="C16" s="120"/>
      <c r="D16" s="120"/>
      <c r="E16" s="120"/>
      <c r="F16" s="120"/>
      <c r="G16" s="120"/>
      <c r="H16" s="120"/>
      <c r="I16" s="120"/>
      <c r="J16" s="120"/>
      <c r="K16" s="120"/>
      <c r="L16" s="120"/>
      <c r="M16" s="120"/>
      <c r="N16" s="120"/>
      <c r="O16" s="120"/>
      <c r="P16" s="120"/>
      <c r="Q16" s="120"/>
      <c r="R16" s="120"/>
      <c r="S16" s="120"/>
      <c r="T16" s="120"/>
      <c r="U16" s="120"/>
      <c r="V16" s="120"/>
      <c r="W16" s="120"/>
      <c r="X16" s="120"/>
      <c r="Y16" s="135"/>
      <c r="Z16" s="132"/>
    </row>
    <row r="17" spans="1:26 16384:16384" ht="16.600000000000001" customHeight="1">
      <c r="A17" s="111"/>
      <c r="B17" s="121"/>
      <c r="C17" s="120"/>
      <c r="D17" s="120"/>
      <c r="E17" s="120"/>
      <c r="F17" s="120"/>
      <c r="G17" s="120"/>
      <c r="H17" s="120"/>
      <c r="I17" s="120"/>
      <c r="J17" s="120"/>
      <c r="K17" s="120"/>
      <c r="L17" s="120"/>
      <c r="M17" s="120"/>
      <c r="N17" s="120"/>
      <c r="O17" s="120"/>
      <c r="P17" s="120"/>
      <c r="Q17" s="120"/>
      <c r="R17" s="120"/>
      <c r="S17" s="120"/>
      <c r="T17" s="120"/>
      <c r="U17" s="120"/>
      <c r="V17" s="120"/>
      <c r="W17" s="120"/>
      <c r="X17" s="120"/>
      <c r="Y17" s="135"/>
      <c r="Z17" s="132"/>
    </row>
    <row r="18" spans="1:26 16384:16384" ht="16.600000000000001" customHeight="1">
      <c r="A18" s="111"/>
      <c r="B18" s="121"/>
      <c r="C18" s="120"/>
      <c r="D18" s="120"/>
      <c r="E18" s="120"/>
      <c r="F18" s="120"/>
      <c r="G18" s="120"/>
      <c r="H18" s="120"/>
      <c r="I18" s="120"/>
      <c r="J18" s="120"/>
      <c r="K18" s="120"/>
      <c r="L18" s="120"/>
      <c r="M18" s="120"/>
      <c r="N18" s="120"/>
      <c r="O18" s="120"/>
      <c r="P18" s="120"/>
      <c r="Q18" s="120"/>
      <c r="R18" s="120"/>
      <c r="S18" s="120"/>
      <c r="T18" s="120"/>
      <c r="U18" s="120"/>
      <c r="V18" s="120"/>
      <c r="W18" s="120"/>
      <c r="X18" s="120"/>
      <c r="Y18" s="135"/>
      <c r="Z18" s="132"/>
    </row>
    <row r="19" spans="1:26 16384:16384" ht="16.600000000000001" customHeight="1">
      <c r="A19" s="111"/>
      <c r="B19" s="121"/>
      <c r="C19" s="120"/>
      <c r="D19" s="120"/>
      <c r="E19" s="120"/>
      <c r="F19" s="120"/>
      <c r="G19" s="120"/>
      <c r="H19" s="120"/>
      <c r="I19" s="120"/>
      <c r="J19" s="120"/>
      <c r="K19" s="120"/>
      <c r="L19" s="120"/>
      <c r="M19" s="120"/>
      <c r="N19" s="120"/>
      <c r="O19" s="120"/>
      <c r="P19" s="120"/>
      <c r="Q19" s="120"/>
      <c r="R19" s="120"/>
      <c r="S19" s="120"/>
      <c r="T19" s="120"/>
      <c r="U19" s="120"/>
      <c r="V19" s="120"/>
      <c r="W19" s="120"/>
      <c r="X19" s="120"/>
      <c r="Y19" s="135"/>
      <c r="Z19" s="132"/>
    </row>
    <row r="20" spans="1:26 16384:16384" ht="16.600000000000001" customHeight="1">
      <c r="A20" s="111"/>
      <c r="B20" s="121"/>
      <c r="C20" s="120"/>
      <c r="D20" s="120"/>
      <c r="E20" s="120"/>
      <c r="F20" s="120"/>
      <c r="G20" s="120"/>
      <c r="H20" s="120"/>
      <c r="I20" s="120"/>
      <c r="J20" s="120"/>
      <c r="K20" s="120"/>
      <c r="L20" s="120"/>
      <c r="M20" s="120"/>
      <c r="N20" s="120"/>
      <c r="O20" s="120"/>
      <c r="P20" s="120"/>
      <c r="Q20" s="120"/>
      <c r="R20" s="120"/>
      <c r="S20" s="120"/>
      <c r="T20" s="120"/>
      <c r="U20" s="120"/>
      <c r="V20" s="120"/>
      <c r="W20" s="120"/>
      <c r="X20" s="120"/>
      <c r="Y20" s="135"/>
      <c r="Z20" s="132"/>
    </row>
    <row r="21" spans="1:26 16384:16384" ht="16.600000000000001" customHeight="1">
      <c r="A21" s="111"/>
      <c r="B21" s="121"/>
      <c r="C21" s="120"/>
      <c r="D21" s="120"/>
      <c r="E21" s="120"/>
      <c r="F21" s="120"/>
      <c r="G21" s="120"/>
      <c r="H21" s="120"/>
      <c r="I21" s="120"/>
      <c r="J21" s="120"/>
      <c r="K21" s="120"/>
      <c r="L21" s="120"/>
      <c r="M21" s="120"/>
      <c r="N21" s="120"/>
      <c r="O21" s="120"/>
      <c r="P21" s="120"/>
      <c r="Q21" s="120"/>
      <c r="R21" s="120"/>
      <c r="S21" s="120"/>
      <c r="T21" s="120"/>
      <c r="U21" s="120"/>
      <c r="V21" s="120"/>
      <c r="W21" s="120"/>
      <c r="X21" s="120"/>
      <c r="Y21" s="135"/>
      <c r="Z21" s="132"/>
    </row>
    <row r="22" spans="1:26 16384:16384" ht="16.600000000000001" customHeight="1">
      <c r="A22" s="111"/>
      <c r="B22" s="121"/>
      <c r="C22" s="120"/>
      <c r="D22" s="120"/>
      <c r="E22" s="120"/>
      <c r="F22" s="120"/>
      <c r="G22" s="120"/>
      <c r="H22" s="120"/>
      <c r="I22" s="120"/>
      <c r="J22" s="120"/>
      <c r="K22" s="120"/>
      <c r="L22" s="120"/>
      <c r="M22" s="120"/>
      <c r="N22" s="120"/>
      <c r="O22" s="120"/>
      <c r="P22" s="120"/>
      <c r="Q22" s="120"/>
      <c r="R22" s="120"/>
      <c r="S22" s="120"/>
      <c r="T22" s="120"/>
      <c r="U22" s="120"/>
      <c r="V22" s="120"/>
      <c r="W22" s="120"/>
      <c r="X22" s="120"/>
      <c r="Y22" s="135"/>
      <c r="Z22" s="132"/>
    </row>
    <row r="23" spans="1:26 16384:16384" ht="16.600000000000001" customHeight="1">
      <c r="A23" s="111"/>
      <c r="B23" s="121"/>
      <c r="C23" s="120"/>
      <c r="D23" s="120"/>
      <c r="E23" s="120"/>
      <c r="F23" s="120"/>
      <c r="G23" s="120"/>
      <c r="H23" s="120"/>
      <c r="I23" s="120"/>
      <c r="J23" s="120"/>
      <c r="K23" s="120"/>
      <c r="L23" s="120"/>
      <c r="M23" s="120"/>
      <c r="N23" s="120"/>
      <c r="O23" s="120"/>
      <c r="P23" s="120"/>
      <c r="Q23" s="120"/>
      <c r="R23" s="120"/>
      <c r="S23" s="120"/>
      <c r="T23" s="120"/>
      <c r="U23" s="120"/>
      <c r="V23" s="120"/>
      <c r="W23" s="120"/>
      <c r="X23" s="120"/>
      <c r="Y23" s="135"/>
      <c r="Z23" s="132"/>
    </row>
    <row r="24" spans="1:26 16384:16384" ht="16.600000000000001" customHeight="1">
      <c r="A24" s="111"/>
      <c r="B24" s="121"/>
      <c r="C24" s="120"/>
      <c r="D24" s="120"/>
      <c r="E24" s="120"/>
      <c r="F24" s="120"/>
      <c r="G24" s="120"/>
      <c r="H24" s="120"/>
      <c r="I24" s="120"/>
      <c r="J24" s="120"/>
      <c r="K24" s="120"/>
      <c r="L24" s="120"/>
      <c r="M24" s="120"/>
      <c r="N24" s="120"/>
      <c r="O24" s="120"/>
      <c r="P24" s="120"/>
      <c r="Q24" s="120"/>
      <c r="R24" s="120"/>
      <c r="S24" s="120"/>
      <c r="T24" s="120"/>
      <c r="U24" s="120"/>
      <c r="V24" s="120"/>
      <c r="W24" s="120"/>
      <c r="X24" s="120"/>
      <c r="Y24" s="135"/>
      <c r="Z24" s="132"/>
    </row>
    <row r="25" spans="1:26 16384:16384" ht="14.65" customHeight="1">
      <c r="A25" s="111"/>
      <c r="B25" s="121"/>
      <c r="C25" s="120"/>
      <c r="D25" s="120"/>
      <c r="E25" s="120"/>
      <c r="F25" s="120"/>
      <c r="G25" s="120"/>
      <c r="H25" s="120"/>
      <c r="I25" s="120"/>
      <c r="J25" s="120"/>
      <c r="K25" s="120"/>
      <c r="L25" s="120"/>
      <c r="M25" s="120"/>
      <c r="N25" s="120"/>
      <c r="O25" s="120"/>
      <c r="P25" s="120"/>
      <c r="Q25" s="120"/>
      <c r="R25" s="120"/>
      <c r="S25" s="120"/>
      <c r="T25" s="120"/>
      <c r="U25" s="120"/>
      <c r="V25" s="120"/>
      <c r="W25" s="120"/>
      <c r="X25" s="120"/>
      <c r="Y25" s="135"/>
      <c r="Z25" s="132"/>
    </row>
    <row r="26" spans="1:26 16384:16384" ht="14.65" customHeight="1">
      <c r="A26" s="111"/>
      <c r="B26" s="121"/>
      <c r="C26" s="120"/>
      <c r="D26" s="120"/>
      <c r="E26" s="120"/>
      <c r="F26" s="120"/>
      <c r="G26" s="120"/>
      <c r="H26" s="120"/>
      <c r="I26" s="120"/>
      <c r="J26" s="120"/>
      <c r="K26" s="120"/>
      <c r="L26" s="120"/>
      <c r="M26" s="120"/>
      <c r="N26" s="120"/>
      <c r="O26" s="120"/>
      <c r="P26" s="120"/>
      <c r="Q26" s="120"/>
      <c r="R26" s="120"/>
      <c r="S26" s="120"/>
      <c r="T26" s="120"/>
      <c r="U26" s="120"/>
      <c r="V26" s="120"/>
      <c r="W26" s="120"/>
      <c r="X26" s="120"/>
      <c r="Y26" s="135"/>
      <c r="Z26" s="132"/>
    </row>
    <row r="27" spans="1:26 16384:16384" ht="14.65" customHeight="1">
      <c r="A27" s="111"/>
      <c r="B27" s="121"/>
      <c r="C27" s="120"/>
      <c r="D27" s="120"/>
      <c r="E27" s="120"/>
      <c r="F27" s="120"/>
      <c r="G27" s="120"/>
      <c r="H27" s="120"/>
      <c r="I27" s="120"/>
      <c r="J27" s="120"/>
      <c r="K27" s="120"/>
      <c r="L27" s="120"/>
      <c r="M27" s="120"/>
      <c r="N27" s="120"/>
      <c r="O27" s="120"/>
      <c r="P27" s="120"/>
      <c r="Q27" s="120"/>
      <c r="R27" s="120"/>
      <c r="S27" s="120"/>
      <c r="T27" s="120"/>
      <c r="U27" s="120"/>
      <c r="V27" s="120"/>
      <c r="W27" s="120"/>
      <c r="X27" s="120"/>
      <c r="Y27" s="135"/>
      <c r="Z27" s="132"/>
    </row>
    <row r="28" spans="1:26 16384:16384" ht="14.65" customHeight="1">
      <c r="A28" s="111"/>
      <c r="B28" s="121"/>
      <c r="C28" s="120"/>
      <c r="D28" s="120"/>
      <c r="E28" s="120"/>
      <c r="F28" s="120"/>
      <c r="G28" s="120"/>
      <c r="H28" s="120"/>
      <c r="I28" s="120"/>
      <c r="J28" s="120"/>
      <c r="K28" s="120"/>
      <c r="L28" s="120"/>
      <c r="M28" s="120"/>
      <c r="N28" s="120"/>
      <c r="O28" s="120"/>
      <c r="P28" s="120"/>
      <c r="Q28" s="120"/>
      <c r="R28" s="120"/>
      <c r="S28" s="120"/>
      <c r="T28" s="120"/>
      <c r="U28" s="120"/>
      <c r="V28" s="120"/>
      <c r="W28" s="120"/>
      <c r="X28" s="120"/>
      <c r="Y28" s="135"/>
      <c r="Z28" s="132"/>
    </row>
    <row r="29" spans="1:26 16384:16384" ht="14.65" customHeight="1">
      <c r="A29" s="111"/>
      <c r="B29" s="121"/>
      <c r="C29" s="120"/>
      <c r="D29" s="120"/>
      <c r="E29" s="120"/>
      <c r="F29" s="120"/>
      <c r="G29" s="120"/>
      <c r="H29" s="120"/>
      <c r="I29" s="120"/>
      <c r="J29" s="120"/>
      <c r="K29" s="120"/>
      <c r="L29" s="120"/>
      <c r="M29" s="120"/>
      <c r="N29" s="120"/>
      <c r="O29" s="120"/>
      <c r="P29" s="120"/>
      <c r="Q29" s="120"/>
      <c r="R29" s="120"/>
      <c r="S29" s="120"/>
      <c r="T29" s="120"/>
      <c r="U29" s="120"/>
      <c r="V29" s="120"/>
      <c r="W29" s="120"/>
      <c r="X29" s="120"/>
      <c r="Y29" s="135"/>
      <c r="Z29" s="132"/>
    </row>
    <row r="30" spans="1:26 16384:16384" ht="14.65" customHeight="1">
      <c r="A30" s="111"/>
      <c r="B30" s="121"/>
      <c r="C30" s="120"/>
      <c r="D30" s="120"/>
      <c r="E30" s="120"/>
      <c r="F30" s="120"/>
      <c r="G30" s="120"/>
      <c r="H30" s="120"/>
      <c r="I30" s="120"/>
      <c r="J30" s="120"/>
      <c r="K30" s="120"/>
      <c r="L30" s="120"/>
      <c r="M30" s="120"/>
      <c r="N30" s="120"/>
      <c r="O30" s="120"/>
      <c r="P30" s="120"/>
      <c r="Q30" s="120"/>
      <c r="R30" s="120"/>
      <c r="S30" s="120"/>
      <c r="T30" s="120"/>
      <c r="U30" s="120"/>
      <c r="V30" s="120"/>
      <c r="W30" s="120"/>
      <c r="X30" s="120"/>
      <c r="Y30" s="135"/>
      <c r="Z30" s="132"/>
    </row>
    <row r="31" spans="1:26 16384:16384" ht="14.65" customHeight="1">
      <c r="A31" s="111"/>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35"/>
      <c r="Z31" s="132"/>
    </row>
    <row r="32" spans="1:26 16384:16384" s="129" customFormat="1" ht="14.65" customHeight="1">
      <c r="A32" s="119"/>
      <c r="B32" s="122"/>
      <c r="C32" s="123"/>
      <c r="D32" s="123"/>
      <c r="E32" s="123"/>
      <c r="F32" s="123"/>
      <c r="G32" s="123"/>
      <c r="H32" s="123"/>
      <c r="I32" s="123"/>
      <c r="J32" s="123"/>
      <c r="K32" s="123"/>
      <c r="L32" s="123"/>
      <c r="M32" s="123"/>
      <c r="N32" s="123"/>
      <c r="O32" s="123"/>
      <c r="P32" s="123"/>
      <c r="Q32" s="123"/>
      <c r="R32" s="123"/>
      <c r="S32" s="123"/>
      <c r="T32" s="123"/>
      <c r="U32" s="123"/>
      <c r="V32" s="123"/>
      <c r="W32" s="123"/>
      <c r="X32" s="123"/>
      <c r="Y32" s="136"/>
      <c r="Z32" s="133"/>
      <c r="XFD32" s="139"/>
    </row>
  </sheetData>
  <sheetProtection algorithmName="SHA-512" hashValue="96ymJI72tcrmk4qAUka3T4dwmpdFgkLDlSEJpzyz7mWD7vsWEuXmIL2sUDp1eg9iF8+BlwTgDaTzxaNDJoc1mg==" saltValue="+Es6UJjmwgiP69Amte+fOA==" spinCount="100000" sheet="1" objects="1" scenarios="1"/>
  <conditionalFormatting sqref="B2:B32">
    <cfRule type="containsBlanks" dxfId="3" priority="3">
      <formula>LEN(TRIM(B2))=0</formula>
    </cfRule>
    <cfRule type="cellIs" dxfId="2" priority="10" operator="notBetween">
      <formula>0.00001</formula>
      <formula>10000000</formula>
    </cfRule>
  </conditionalFormatting>
  <conditionalFormatting sqref="C2:Z32">
    <cfRule type="containsBlanks" dxfId="1" priority="1">
      <formula>LEN(TRIM(C2))=0</formula>
    </cfRule>
    <cfRule type="cellIs" dxfId="0" priority="2" operator="notBetween">
      <formula>0.00001</formula>
      <formula>10000000</formula>
    </cfRule>
  </conditionalFormatting>
  <pageMargins left="1.5" right="1.75" top="0.5" bottom="1" header="0" footer="0"/>
  <pageSetup scale="78"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2"/>
  <sheetViews>
    <sheetView showGridLines="0" showRowColHeaders="0" workbookViewId="0">
      <pane xSplit="9" topLeftCell="J1" activePane="topRight" state="frozen"/>
      <selection pane="topRight" activeCell="J1" sqref="J1:J1048576"/>
    </sheetView>
  </sheetViews>
  <sheetFormatPr defaultColWidth="0" defaultRowHeight="0" customHeight="1" zeroHeight="1"/>
  <cols>
    <col min="1" max="2" width="18.875" style="49" customWidth="1"/>
    <col min="3" max="3" width="23.3125" style="49" customWidth="1"/>
    <col min="4" max="9" width="8.8125" style="49" hidden="1" customWidth="1"/>
    <col min="10" max="10" width="8.875" style="49" hidden="1" customWidth="1"/>
    <col min="11" max="16384" width="0" style="49" hidden="1"/>
  </cols>
  <sheetData>
    <row r="1" spans="1:9" ht="24" customHeight="1">
      <c r="A1" s="117" t="s">
        <v>77</v>
      </c>
      <c r="B1" s="118"/>
      <c r="C1" s="50" t="s">
        <v>78</v>
      </c>
      <c r="D1" s="51"/>
      <c r="E1" s="51"/>
      <c r="F1" s="51"/>
      <c r="G1" s="51"/>
      <c r="H1" s="51"/>
      <c r="I1" s="51"/>
    </row>
    <row r="2" spans="1:9" ht="15.75" customHeight="1">
      <c r="A2" s="52" t="s">
        <v>79</v>
      </c>
      <c r="B2" s="53">
        <v>0.99</v>
      </c>
      <c r="C2" s="54" t="s">
        <v>80</v>
      </c>
      <c r="D2" s="55"/>
      <c r="E2" s="55"/>
      <c r="F2" s="55"/>
      <c r="G2" s="55"/>
      <c r="H2" s="55"/>
      <c r="I2" s="55"/>
    </row>
    <row r="3" spans="1:9" ht="15.75" customHeight="1">
      <c r="A3" s="56">
        <v>1</v>
      </c>
      <c r="B3" s="57">
        <v>31.82</v>
      </c>
      <c r="C3" s="58"/>
      <c r="D3" s="59"/>
      <c r="E3" s="59"/>
      <c r="F3" s="59"/>
      <c r="G3" s="59"/>
      <c r="H3" s="59"/>
      <c r="I3" s="59"/>
    </row>
    <row r="4" spans="1:9" ht="15.75" customHeight="1">
      <c r="A4" s="60">
        <v>2</v>
      </c>
      <c r="B4" s="61">
        <v>6.9649999999999999</v>
      </c>
      <c r="C4" s="62"/>
      <c r="D4" s="59"/>
      <c r="E4" s="59"/>
      <c r="F4" s="59"/>
      <c r="G4" s="59"/>
      <c r="H4" s="59"/>
      <c r="I4" s="59"/>
    </row>
    <row r="5" spans="1:9" ht="15.75" customHeight="1">
      <c r="A5" s="63">
        <v>3</v>
      </c>
      <c r="B5" s="64">
        <v>4.5410000000000004</v>
      </c>
      <c r="C5" s="65">
        <v>1.153</v>
      </c>
      <c r="D5" s="59"/>
      <c r="E5" s="59"/>
      <c r="F5" s="59"/>
      <c r="G5" s="59"/>
      <c r="H5" s="59"/>
      <c r="I5" s="59"/>
    </row>
    <row r="6" spans="1:9" ht="15.75" customHeight="1">
      <c r="A6" s="60">
        <v>4</v>
      </c>
      <c r="B6" s="61">
        <v>3.7469999999999999</v>
      </c>
      <c r="C6" s="66">
        <v>1.4630000000000001</v>
      </c>
      <c r="D6" s="59"/>
      <c r="E6" s="59"/>
      <c r="F6" s="59"/>
      <c r="G6" s="59"/>
      <c r="H6" s="59"/>
      <c r="I6" s="59"/>
    </row>
    <row r="7" spans="1:9" ht="15.75" customHeight="1">
      <c r="A7" s="63">
        <v>5</v>
      </c>
      <c r="B7" s="64">
        <v>3.3650000000000002</v>
      </c>
      <c r="C7" s="65">
        <v>1.6719999999999999</v>
      </c>
      <c r="D7" s="59"/>
      <c r="E7" s="59"/>
      <c r="F7" s="59"/>
      <c r="G7" s="59"/>
      <c r="H7" s="59"/>
      <c r="I7" s="59"/>
    </row>
    <row r="8" spans="1:9" ht="15.75" customHeight="1">
      <c r="A8" s="60">
        <v>6</v>
      </c>
      <c r="B8" s="61">
        <v>3.1429999999999998</v>
      </c>
      <c r="C8" s="66">
        <v>1.8220000000000001</v>
      </c>
      <c r="D8" s="59"/>
      <c r="E8" s="59"/>
      <c r="F8" s="59"/>
      <c r="G8" s="59"/>
      <c r="H8" s="59"/>
      <c r="I8" s="59"/>
    </row>
    <row r="9" spans="1:9" ht="15.75" customHeight="1">
      <c r="A9" s="63">
        <v>7</v>
      </c>
      <c r="B9" s="64">
        <v>2.9980000000000002</v>
      </c>
      <c r="C9" s="65">
        <v>1.9379999999999999</v>
      </c>
      <c r="D9" s="59"/>
      <c r="E9" s="59"/>
      <c r="F9" s="59"/>
      <c r="G9" s="59"/>
      <c r="H9" s="59"/>
      <c r="I9" s="59"/>
    </row>
    <row r="10" spans="1:9" ht="15.75" customHeight="1">
      <c r="A10" s="60">
        <v>8</v>
      </c>
      <c r="B10" s="61">
        <v>2.8959999999999999</v>
      </c>
      <c r="C10" s="66">
        <v>2.032</v>
      </c>
      <c r="D10" s="59"/>
      <c r="E10" s="59"/>
      <c r="F10" s="59"/>
      <c r="G10" s="59"/>
      <c r="H10" s="59"/>
      <c r="I10" s="59"/>
    </row>
    <row r="11" spans="1:9" ht="15.75" customHeight="1">
      <c r="A11" s="63">
        <v>9</v>
      </c>
      <c r="B11" s="64">
        <v>2.8210000000000002</v>
      </c>
      <c r="C11" s="65">
        <v>2.11</v>
      </c>
      <c r="D11" s="59"/>
      <c r="E11" s="59"/>
      <c r="F11" s="59"/>
      <c r="G11" s="59"/>
      <c r="H11" s="59"/>
      <c r="I11" s="59"/>
    </row>
    <row r="12" spans="1:9" ht="15.75" customHeight="1">
      <c r="A12" s="60">
        <v>10</v>
      </c>
      <c r="B12" s="61">
        <v>2.7639999999999998</v>
      </c>
      <c r="C12" s="66">
        <v>2.1760000000000002</v>
      </c>
      <c r="D12" s="59"/>
      <c r="E12" s="59"/>
      <c r="F12" s="59"/>
      <c r="G12" s="59"/>
      <c r="H12" s="59"/>
      <c r="I12" s="59"/>
    </row>
    <row r="13" spans="1:9" ht="15.75" customHeight="1">
      <c r="A13" s="63">
        <v>11</v>
      </c>
      <c r="B13" s="64">
        <v>2.718</v>
      </c>
      <c r="C13" s="65">
        <v>2.234</v>
      </c>
      <c r="D13" s="59"/>
      <c r="E13" s="59"/>
      <c r="F13" s="59"/>
      <c r="G13" s="59"/>
      <c r="H13" s="59"/>
      <c r="I13" s="59"/>
    </row>
    <row r="14" spans="1:9" ht="15.75" customHeight="1">
      <c r="A14" s="60">
        <v>12</v>
      </c>
      <c r="B14" s="61">
        <v>2.681</v>
      </c>
      <c r="C14" s="66">
        <v>2.2850000000000001</v>
      </c>
      <c r="D14" s="59"/>
      <c r="E14" s="59"/>
      <c r="F14" s="59"/>
      <c r="G14" s="59"/>
      <c r="H14" s="59"/>
      <c r="I14" s="59"/>
    </row>
    <row r="15" spans="1:9" ht="15.75" customHeight="1">
      <c r="A15" s="63">
        <v>13</v>
      </c>
      <c r="B15" s="64">
        <v>2.65</v>
      </c>
      <c r="C15" s="65">
        <v>2.331</v>
      </c>
      <c r="D15" s="59"/>
      <c r="E15" s="59"/>
      <c r="F15" s="59"/>
      <c r="G15" s="59"/>
      <c r="H15" s="59"/>
      <c r="I15" s="59"/>
    </row>
    <row r="16" spans="1:9" ht="15.75" customHeight="1">
      <c r="A16" s="60">
        <v>14</v>
      </c>
      <c r="B16" s="61">
        <v>2.6240000000000001</v>
      </c>
      <c r="C16" s="66">
        <v>2.371</v>
      </c>
      <c r="D16" s="59"/>
      <c r="E16" s="59"/>
      <c r="F16" s="59"/>
      <c r="G16" s="59"/>
      <c r="H16" s="59"/>
      <c r="I16" s="59"/>
    </row>
    <row r="17" spans="1:9" ht="15.75" customHeight="1">
      <c r="A17" s="63">
        <v>15</v>
      </c>
      <c r="B17" s="64">
        <v>2.6019999999999999</v>
      </c>
      <c r="C17" s="65">
        <v>2.4089999999999998</v>
      </c>
      <c r="D17" s="59"/>
      <c r="E17" s="59"/>
      <c r="F17" s="59"/>
      <c r="G17" s="59"/>
      <c r="H17" s="59"/>
      <c r="I17" s="59"/>
    </row>
    <row r="18" spans="1:9" ht="15.75" customHeight="1">
      <c r="A18" s="60">
        <v>16</v>
      </c>
      <c r="B18" s="61">
        <v>2.5830000000000002</v>
      </c>
      <c r="C18" s="66">
        <v>2.4430000000000001</v>
      </c>
      <c r="D18" s="59"/>
      <c r="E18" s="59"/>
      <c r="F18" s="59"/>
      <c r="G18" s="59"/>
      <c r="H18" s="59"/>
      <c r="I18" s="59"/>
    </row>
    <row r="19" spans="1:9" ht="15.75" customHeight="1">
      <c r="A19" s="63">
        <v>17</v>
      </c>
      <c r="B19" s="64">
        <v>2.5670000000000002</v>
      </c>
      <c r="C19" s="65">
        <v>2.4750000000000001</v>
      </c>
      <c r="D19" s="59"/>
      <c r="E19" s="59"/>
      <c r="F19" s="59"/>
      <c r="G19" s="59"/>
      <c r="H19" s="59"/>
      <c r="I19" s="59"/>
    </row>
    <row r="20" spans="1:9" ht="15.75" customHeight="1">
      <c r="A20" s="60">
        <v>18</v>
      </c>
      <c r="B20" s="61">
        <v>2.552</v>
      </c>
      <c r="C20" s="66">
        <v>2.504</v>
      </c>
      <c r="D20" s="59"/>
      <c r="E20" s="59"/>
      <c r="F20" s="59"/>
      <c r="G20" s="59"/>
      <c r="H20" s="59"/>
      <c r="I20" s="59"/>
    </row>
    <row r="21" spans="1:9" ht="15.75" customHeight="1">
      <c r="A21" s="63">
        <v>19</v>
      </c>
      <c r="B21" s="64">
        <v>2.5390000000000001</v>
      </c>
      <c r="C21" s="65">
        <v>2.532</v>
      </c>
      <c r="D21" s="59"/>
      <c r="E21" s="59"/>
      <c r="F21" s="59"/>
      <c r="G21" s="59"/>
      <c r="H21" s="59"/>
      <c r="I21" s="59"/>
    </row>
    <row r="22" spans="1:9" ht="15.75" customHeight="1">
      <c r="A22" s="60">
        <v>20</v>
      </c>
      <c r="B22" s="61">
        <v>2.528</v>
      </c>
      <c r="C22" s="66">
        <v>2.5569999999999999</v>
      </c>
      <c r="D22" s="59"/>
      <c r="E22" s="59"/>
      <c r="F22" s="59"/>
      <c r="G22" s="59"/>
      <c r="H22" s="59"/>
      <c r="I22" s="59"/>
    </row>
    <row r="23" spans="1:9" ht="15.75" customHeight="1">
      <c r="A23" s="63">
        <v>21</v>
      </c>
      <c r="B23" s="64">
        <v>2.5179999999999998</v>
      </c>
      <c r="C23" s="65">
        <v>2.58</v>
      </c>
      <c r="D23" s="59"/>
      <c r="E23" s="59"/>
      <c r="F23" s="59"/>
      <c r="G23" s="59"/>
      <c r="H23" s="59"/>
      <c r="I23" s="59"/>
    </row>
    <row r="24" spans="1:9" ht="15.75" customHeight="1">
      <c r="A24" s="60">
        <v>22</v>
      </c>
      <c r="B24" s="61">
        <v>2.508</v>
      </c>
      <c r="C24" s="66">
        <v>2.6030000000000002</v>
      </c>
      <c r="D24" s="59"/>
      <c r="E24" s="59"/>
      <c r="F24" s="59"/>
      <c r="G24" s="59"/>
      <c r="H24" s="59"/>
      <c r="I24" s="59"/>
    </row>
    <row r="25" spans="1:9" ht="15.75" customHeight="1">
      <c r="A25" s="63">
        <v>23</v>
      </c>
      <c r="B25" s="64">
        <v>2.5</v>
      </c>
      <c r="C25" s="65">
        <v>2.6240000000000001</v>
      </c>
      <c r="D25" s="59"/>
      <c r="E25" s="59"/>
      <c r="F25" s="59"/>
      <c r="G25" s="59"/>
      <c r="H25" s="59"/>
      <c r="I25" s="59"/>
    </row>
    <row r="26" spans="1:9" ht="15.75" customHeight="1">
      <c r="A26" s="60">
        <v>24</v>
      </c>
      <c r="B26" s="61">
        <v>2.492</v>
      </c>
      <c r="C26" s="66">
        <v>2.6440000000000001</v>
      </c>
      <c r="D26" s="59"/>
      <c r="E26" s="59"/>
      <c r="F26" s="59"/>
      <c r="G26" s="59"/>
      <c r="H26" s="59"/>
      <c r="I26" s="59"/>
    </row>
    <row r="27" spans="1:9" ht="15.75" customHeight="1">
      <c r="A27" s="63">
        <v>25</v>
      </c>
      <c r="B27" s="64">
        <v>2.4849999999999999</v>
      </c>
      <c r="C27" s="65">
        <v>2.6629999999999998</v>
      </c>
      <c r="D27" s="59"/>
      <c r="E27" s="59"/>
      <c r="F27" s="59"/>
      <c r="G27" s="59"/>
      <c r="H27" s="59"/>
      <c r="I27" s="59"/>
    </row>
    <row r="28" spans="1:9" ht="15.75" customHeight="1">
      <c r="A28" s="60">
        <v>26</v>
      </c>
      <c r="B28" s="61">
        <v>2.4790000000000001</v>
      </c>
      <c r="C28" s="66">
        <v>2.681</v>
      </c>
      <c r="D28" s="59"/>
      <c r="E28" s="59"/>
      <c r="F28" s="59"/>
      <c r="G28" s="59"/>
      <c r="H28" s="59"/>
      <c r="I28" s="59"/>
    </row>
    <row r="29" spans="1:9" ht="15.75" customHeight="1">
      <c r="A29" s="63">
        <v>27</v>
      </c>
      <c r="B29" s="64">
        <v>2.4729999999999999</v>
      </c>
      <c r="C29" s="65">
        <v>2.698</v>
      </c>
      <c r="D29" s="59"/>
      <c r="E29" s="59"/>
      <c r="F29" s="59"/>
      <c r="G29" s="59"/>
      <c r="H29" s="59"/>
      <c r="I29" s="59"/>
    </row>
    <row r="30" spans="1:9" ht="15.75" customHeight="1">
      <c r="A30" s="60">
        <v>28</v>
      </c>
      <c r="B30" s="61">
        <v>2.4670000000000001</v>
      </c>
      <c r="C30" s="66">
        <v>2.714</v>
      </c>
      <c r="D30" s="59"/>
      <c r="E30" s="59"/>
      <c r="F30" s="59"/>
      <c r="G30" s="59"/>
      <c r="H30" s="59"/>
      <c r="I30" s="59"/>
    </row>
    <row r="31" spans="1:9" ht="15.75" customHeight="1">
      <c r="A31" s="63">
        <v>29</v>
      </c>
      <c r="B31" s="64">
        <v>2.4620000000000002</v>
      </c>
      <c r="C31" s="65">
        <v>2.73</v>
      </c>
      <c r="D31" s="59"/>
      <c r="E31" s="59"/>
      <c r="F31" s="59"/>
      <c r="G31" s="59"/>
      <c r="H31" s="59"/>
      <c r="I31" s="59"/>
    </row>
    <row r="32" spans="1:9" ht="15.75" customHeight="1">
      <c r="A32" s="60">
        <v>30</v>
      </c>
      <c r="B32" s="61">
        <v>2.4569999999999999</v>
      </c>
      <c r="C32" s="66">
        <v>2.7450000000000001</v>
      </c>
      <c r="D32" s="59"/>
      <c r="E32" s="59"/>
      <c r="F32" s="59"/>
      <c r="G32" s="59"/>
      <c r="H32" s="59"/>
      <c r="I32" s="59"/>
    </row>
    <row r="33" spans="1:9" ht="15.75" customHeight="1">
      <c r="A33" s="63">
        <v>40</v>
      </c>
      <c r="B33" s="64">
        <v>2.423</v>
      </c>
      <c r="C33" s="65">
        <v>2.8660000000000001</v>
      </c>
      <c r="D33" s="59"/>
      <c r="E33" s="59"/>
      <c r="F33" s="59"/>
      <c r="G33" s="59"/>
      <c r="H33" s="59"/>
      <c r="I33" s="59"/>
    </row>
    <row r="34" spans="1:9" ht="15.75" customHeight="1">
      <c r="A34" s="60">
        <v>50</v>
      </c>
      <c r="B34" s="61">
        <v>2.403</v>
      </c>
      <c r="C34" s="66">
        <v>2.956</v>
      </c>
      <c r="D34" s="59"/>
      <c r="E34" s="59"/>
      <c r="F34" s="59"/>
      <c r="G34" s="59"/>
      <c r="H34" s="59"/>
      <c r="I34" s="59"/>
    </row>
    <row r="35" spans="1:9" ht="15.75" customHeight="1">
      <c r="A35" s="63">
        <v>60</v>
      </c>
      <c r="B35" s="64">
        <v>2.39</v>
      </c>
      <c r="C35" s="65">
        <v>3.0249999999999999</v>
      </c>
      <c r="D35" s="59"/>
      <c r="E35" s="59"/>
      <c r="F35" s="59"/>
      <c r="G35" s="59"/>
      <c r="H35" s="59"/>
      <c r="I35" s="59"/>
    </row>
    <row r="36" spans="1:9" ht="15.75" customHeight="1">
      <c r="A36" s="60">
        <v>80</v>
      </c>
      <c r="B36" s="61">
        <v>2.3740000000000001</v>
      </c>
      <c r="C36" s="66">
        <v>3.13</v>
      </c>
      <c r="D36" s="59"/>
      <c r="E36" s="59"/>
      <c r="F36" s="59"/>
      <c r="G36" s="59"/>
      <c r="H36" s="59"/>
      <c r="I36" s="59"/>
    </row>
    <row r="37" spans="1:9" ht="15.75" customHeight="1">
      <c r="A37" s="63">
        <v>100</v>
      </c>
      <c r="B37" s="64">
        <v>2.3639999999999999</v>
      </c>
      <c r="C37" s="65">
        <v>3.2069999999999999</v>
      </c>
      <c r="D37" s="59"/>
      <c r="E37" s="59"/>
      <c r="F37" s="59"/>
      <c r="G37" s="59"/>
      <c r="H37" s="59"/>
      <c r="I37" s="59"/>
    </row>
    <row r="38" spans="1:9" ht="15.75" customHeight="1">
      <c r="A38" s="60">
        <v>150</v>
      </c>
      <c r="B38" s="61">
        <v>2.3519999999999999</v>
      </c>
      <c r="C38" s="66">
        <v>3.35</v>
      </c>
      <c r="D38" s="59"/>
      <c r="E38" s="59"/>
      <c r="F38" s="59"/>
      <c r="G38" s="59"/>
      <c r="H38" s="59"/>
      <c r="I38" s="59"/>
    </row>
    <row r="39" spans="1:9" ht="15.75" customHeight="1">
      <c r="A39" s="63">
        <v>200</v>
      </c>
      <c r="B39" s="64">
        <v>2.3450000000000002</v>
      </c>
      <c r="C39" s="65">
        <v>3.5</v>
      </c>
      <c r="D39" s="59"/>
      <c r="E39" s="59"/>
      <c r="F39" s="59"/>
      <c r="G39" s="59"/>
      <c r="H39" s="59"/>
      <c r="I39" s="59"/>
    </row>
    <row r="40" spans="1:9" ht="15.75" customHeight="1">
      <c r="A40" s="67">
        <v>1000</v>
      </c>
      <c r="B40" s="68">
        <v>2.33</v>
      </c>
      <c r="C40" s="69">
        <v>4</v>
      </c>
      <c r="D40" s="59"/>
      <c r="E40" s="59"/>
      <c r="F40" s="59"/>
      <c r="G40" s="59"/>
      <c r="H40" s="59"/>
      <c r="I40" s="59"/>
    </row>
    <row r="41" spans="1:9" ht="19.149999999999999" customHeight="1">
      <c r="A41" s="70"/>
      <c r="B41" s="71"/>
      <c r="C41" s="72"/>
      <c r="D41" s="73"/>
      <c r="E41" s="73"/>
      <c r="F41" s="73"/>
      <c r="G41" s="73"/>
      <c r="H41" s="73"/>
      <c r="I41" s="73"/>
    </row>
    <row r="42" spans="1:9" ht="204.6" customHeight="1">
      <c r="A42" s="74"/>
      <c r="B42" s="75"/>
      <c r="C42" s="76"/>
      <c r="D42" s="77"/>
      <c r="E42" s="77"/>
      <c r="F42" s="77"/>
      <c r="G42" s="77"/>
      <c r="H42" s="77"/>
      <c r="I42" s="77"/>
    </row>
  </sheetData>
  <sheetProtection algorithmName="SHA-512" hashValue="GTky9sTSPqlpHfB584k5hwZf1RmZFNIORTKyNuE59ct86mx7xTgV7IB6GMnj+BsYbF0PwfgD0pTlg0lca5QEGQ==" saltValue="iXCyeGuT9P3ymnia+t6Xqg==" spinCount="100000" sheet="1" objects="1" scenarios="1"/>
  <mergeCells count="1">
    <mergeCell ref="A1:B1"/>
  </mergeCells>
  <pageMargins left="1" right="1" top="0.76325600000000005" bottom="1" header="0" footer="0"/>
  <pageSetup scale="81"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23"/>
  <sheetViews>
    <sheetView showGridLines="0" showRowColHeaders="0" workbookViewId="0">
      <pane xSplit="2" topLeftCell="F1" activePane="topRight" state="frozen"/>
      <selection pane="topRight" activeCell="A23" sqref="A23:XFD1048576"/>
    </sheetView>
  </sheetViews>
  <sheetFormatPr defaultColWidth="6.25E-2" defaultRowHeight="15" customHeight="1" zeroHeight="1"/>
  <cols>
    <col min="1" max="1" width="15.875" style="78" customWidth="1"/>
    <col min="2" max="2" width="23.6875" style="78" customWidth="1"/>
    <col min="3" max="3" width="0.375" style="78" customWidth="1"/>
    <col min="4" max="16384" width="6.25E-2" style="78"/>
  </cols>
  <sheetData>
    <row r="1" spans="1:2" ht="21" customHeight="1">
      <c r="A1" s="79" t="s">
        <v>81</v>
      </c>
      <c r="B1" s="80" t="s">
        <v>82</v>
      </c>
    </row>
    <row r="2" spans="1:2" ht="14.25" customHeight="1">
      <c r="A2" s="81" t="s">
        <v>83</v>
      </c>
      <c r="B2" s="82">
        <v>1000000</v>
      </c>
    </row>
    <row r="3" spans="1:2" ht="13.5" customHeight="1">
      <c r="A3" s="83" t="s">
        <v>84</v>
      </c>
      <c r="B3" s="84">
        <v>1000000000</v>
      </c>
    </row>
    <row r="4" spans="1:2" ht="13.5" customHeight="1">
      <c r="A4" s="83" t="s">
        <v>85</v>
      </c>
      <c r="B4" s="85">
        <v>1000000000000</v>
      </c>
    </row>
    <row r="5" spans="1:2" ht="13.5" customHeight="1">
      <c r="A5" s="83" t="s">
        <v>86</v>
      </c>
      <c r="B5" s="85">
        <v>1000000</v>
      </c>
    </row>
    <row r="6" spans="1:2" ht="13.5" customHeight="1">
      <c r="A6" s="83" t="s">
        <v>5</v>
      </c>
      <c r="B6" s="85">
        <v>1000000000</v>
      </c>
    </row>
    <row r="7" spans="1:2" ht="13.5" customHeight="1">
      <c r="A7" s="83" t="s">
        <v>87</v>
      </c>
      <c r="B7" s="85">
        <v>1000000000000</v>
      </c>
    </row>
    <row r="8" spans="1:2" ht="14.25" customHeight="1">
      <c r="A8" s="86" t="s">
        <v>88</v>
      </c>
      <c r="B8" s="85">
        <v>1000000</v>
      </c>
    </row>
    <row r="9" spans="1:2" ht="14.25" customHeight="1">
      <c r="A9" s="87" t="s">
        <v>89</v>
      </c>
      <c r="B9" s="85">
        <v>1000000000</v>
      </c>
    </row>
    <row r="10" spans="1:2" ht="14.25" customHeight="1">
      <c r="A10" s="87" t="s">
        <v>90</v>
      </c>
      <c r="B10" s="85">
        <v>1000000000000</v>
      </c>
    </row>
    <row r="11" spans="1:2" ht="14.25" customHeight="1">
      <c r="A11" s="87" t="s">
        <v>91</v>
      </c>
      <c r="B11" s="85">
        <v>1000000000000000</v>
      </c>
    </row>
    <row r="12" spans="1:2" ht="14.25" customHeight="1">
      <c r="A12" s="87" t="s">
        <v>92</v>
      </c>
      <c r="B12" s="85">
        <v>100</v>
      </c>
    </row>
    <row r="13" spans="1:2" ht="16.5" customHeight="1">
      <c r="A13" s="87" t="s">
        <v>93</v>
      </c>
      <c r="B13" s="88">
        <v>100</v>
      </c>
    </row>
    <row r="14" spans="1:2" ht="16.5" customHeight="1">
      <c r="A14" s="87" t="s">
        <v>94</v>
      </c>
      <c r="B14" s="89">
        <v>568</v>
      </c>
    </row>
    <row r="15" spans="1:2" ht="14.25" customHeight="1">
      <c r="A15" s="90"/>
      <c r="B15" s="91"/>
    </row>
    <row r="16" spans="1:2" ht="15" customHeight="1">
      <c r="A16" s="92"/>
      <c r="B16" s="93"/>
    </row>
    <row r="17" spans="1:2" ht="15" customHeight="1">
      <c r="A17" s="94"/>
      <c r="B17" s="95"/>
    </row>
    <row r="18" spans="1:2" ht="15" customHeight="1">
      <c r="A18" s="94"/>
      <c r="B18" s="95"/>
    </row>
    <row r="19" spans="1:2" ht="15" customHeight="1">
      <c r="A19" s="94"/>
      <c r="B19" s="95"/>
    </row>
    <row r="20" spans="1:2" ht="15" hidden="1" customHeight="1">
      <c r="A20" s="94"/>
      <c r="B20" s="95"/>
    </row>
    <row r="21" spans="1:2" ht="15" hidden="1" customHeight="1">
      <c r="A21" s="96"/>
      <c r="B21" s="95"/>
    </row>
    <row r="22" spans="1:2" ht="15" customHeight="1">
      <c r="A22" s="97"/>
      <c r="B22" s="98"/>
    </row>
    <row r="23" spans="1:2" ht="15" hidden="1" customHeight="1"/>
  </sheetData>
  <sheetProtection algorithmName="SHA-512" hashValue="3L35edmyFCJADKNZrpK3EPK6dvfcZ0iUH4AjfAEqQxpdyU6lUKMyeywq9ha9zOouOd2LcZIQ0vv9qqgik9JodA==" saltValue="0PJugEWQQSWfnu26ws+slQ==" spinCount="100000" sheet="1" objects="1" scenarios="1"/>
  <pageMargins left="1" right="1" top="1" bottom="1" header="0" footer="0"/>
  <pageSetup scale="124"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13"/>
  <sheetViews>
    <sheetView showGridLines="0" showRowColHeaders="0" workbookViewId="0">
      <pane xSplit="6" topLeftCell="G1" activePane="topRight" state="frozen"/>
      <selection pane="topRight" activeCell="XFC1" sqref="XFC1:XFD1048576"/>
    </sheetView>
  </sheetViews>
  <sheetFormatPr defaultColWidth="0" defaultRowHeight="13.5" customHeight="1" zeroHeight="1"/>
  <cols>
    <col min="1" max="1" width="113.625" style="99" customWidth="1"/>
    <col min="2" max="6" width="8.8125" style="99" hidden="1" customWidth="1"/>
    <col min="7" max="7" width="0.375" style="99" customWidth="1"/>
    <col min="8" max="16381" width="8.875" style="99" hidden="1"/>
    <col min="16382" max="16382" width="1.625" style="99" hidden="1" customWidth="1"/>
    <col min="16383" max="16383" width="3.75" style="99" hidden="1" customWidth="1"/>
    <col min="16384" max="16384" width="6.8125" style="99" hidden="1" customWidth="1"/>
  </cols>
  <sheetData>
    <row r="1" spans="1:6" ht="77.25" customHeight="1">
      <c r="A1" s="100" t="s">
        <v>95</v>
      </c>
      <c r="B1" s="101"/>
      <c r="C1" s="101"/>
      <c r="D1" s="101"/>
      <c r="E1" s="101"/>
      <c r="F1" s="101"/>
    </row>
    <row r="2" spans="1:6" ht="29.65" customHeight="1">
      <c r="A2" s="102" t="s">
        <v>96</v>
      </c>
      <c r="B2" s="73"/>
      <c r="C2" s="73"/>
      <c r="D2" s="73"/>
      <c r="E2" s="73"/>
      <c r="F2" s="73"/>
    </row>
    <row r="3" spans="1:6" ht="49.15" customHeight="1">
      <c r="A3" s="103" t="s">
        <v>97</v>
      </c>
      <c r="B3" s="73"/>
      <c r="C3" s="73"/>
      <c r="D3" s="73"/>
      <c r="E3" s="73"/>
      <c r="F3" s="73"/>
    </row>
    <row r="4" spans="1:6" ht="39.6" customHeight="1">
      <c r="A4" s="104" t="s">
        <v>98</v>
      </c>
      <c r="B4" s="73"/>
      <c r="C4" s="73"/>
      <c r="D4" s="73"/>
      <c r="E4" s="73"/>
      <c r="F4" s="73"/>
    </row>
    <row r="5" spans="1:6" ht="327" customHeight="1">
      <c r="A5" s="104" t="s">
        <v>99</v>
      </c>
      <c r="B5" s="73"/>
      <c r="C5" s="73"/>
      <c r="D5" s="73"/>
      <c r="E5" s="73"/>
      <c r="F5" s="73"/>
    </row>
    <row r="6" spans="1:6" ht="74.849999999999994" customHeight="1">
      <c r="A6" s="104" t="s">
        <v>100</v>
      </c>
      <c r="B6" s="73"/>
      <c r="C6" s="73"/>
      <c r="D6" s="73"/>
      <c r="E6" s="73"/>
      <c r="F6" s="73"/>
    </row>
    <row r="7" spans="1:6" ht="22.9" customHeight="1">
      <c r="A7" s="100" t="s">
        <v>101</v>
      </c>
      <c r="B7" s="73"/>
      <c r="C7" s="73"/>
      <c r="D7" s="73"/>
      <c r="E7" s="73"/>
      <c r="F7" s="73"/>
    </row>
    <row r="8" spans="1:6" ht="24" customHeight="1">
      <c r="A8" s="105" t="s">
        <v>102</v>
      </c>
      <c r="B8" s="73"/>
      <c r="C8" s="73"/>
      <c r="D8" s="73"/>
      <c r="E8" s="73"/>
      <c r="F8" s="73"/>
    </row>
    <row r="9" spans="1:6" ht="38.25" customHeight="1">
      <c r="A9" s="100" t="s">
        <v>103</v>
      </c>
      <c r="B9" s="73"/>
      <c r="C9" s="73"/>
      <c r="D9" s="73"/>
      <c r="E9" s="73"/>
      <c r="F9" s="73"/>
    </row>
    <row r="10" spans="1:6" ht="46.9" customHeight="1">
      <c r="A10" s="102" t="s">
        <v>104</v>
      </c>
      <c r="B10" s="73"/>
      <c r="C10" s="73"/>
      <c r="D10" s="73"/>
      <c r="E10" s="73"/>
      <c r="F10" s="73"/>
    </row>
    <row r="11" spans="1:6" ht="13.5" customHeight="1">
      <c r="A11" s="106" t="s">
        <v>105</v>
      </c>
      <c r="B11" s="73"/>
      <c r="C11" s="73"/>
      <c r="D11" s="73"/>
      <c r="E11" s="73"/>
      <c r="F11" s="73"/>
    </row>
    <row r="12" spans="1:6" ht="9" customHeight="1">
      <c r="A12" s="107"/>
      <c r="B12" s="108"/>
      <c r="C12" s="108"/>
      <c r="D12" s="108"/>
      <c r="E12" s="108"/>
      <c r="F12" s="108"/>
    </row>
    <row r="13" spans="1:6" ht="13.5" hidden="1" customHeight="1"/>
  </sheetData>
  <sheetProtection algorithmName="SHA-512" hashValue="7gZhxIrQeaHx8Hk3qKuvGwFLnzIbREY8xAc117tx1fAGQ17U7ftNNJmASnfOoNQ4ySAmtrE0iQ8qE23dbyoW+A==" saltValue="vT2y5TfEi2AJpf9tls49tw==" spinCount="100000" sheet="1" objects="1" scenarios="1"/>
  <pageMargins left="0.7" right="0.7" top="1.1436999999999999" bottom="0.75" header="0.3" footer="0.3"/>
  <pageSetup scale="77"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MainTable</vt:lpstr>
      <vt:lpstr>SampleResults</vt:lpstr>
      <vt:lpstr>Distributions</vt:lpstr>
      <vt:lpstr>Units</vt:lpstr>
      <vt:lpstr>Notes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 strutt</cp:lastModifiedBy>
  <dcterms:modified xsi:type="dcterms:W3CDTF">2023-06-15T16:57:39Z</dcterms:modified>
</cp:coreProperties>
</file>