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im\Desktop\WebStuff\excel\"/>
    </mc:Choice>
  </mc:AlternateContent>
  <bookViews>
    <workbookView xWindow="0" yWindow="0" windowWidth="21255" windowHeight="11408" activeTab="5"/>
  </bookViews>
  <sheets>
    <sheet name="Methods" sheetId="1" r:id="rId1"/>
    <sheet name="Analytes" sheetId="2" r:id="rId2"/>
    <sheet name="Solvents" sheetId="3" r:id="rId3"/>
    <sheet name="AnalytesSolvents" sheetId="4" r:id="rId4"/>
    <sheet name="TypicalAqueousData" sheetId="5" r:id="rId5"/>
    <sheet name="Notes" sheetId="6" r:id="rId6"/>
  </sheets>
  <calcPr calcId="152511" refMode="R1C1"/>
</workbook>
</file>

<file path=xl/calcChain.xml><?xml version="1.0" encoding="utf-8"?>
<calcChain xmlns="http://schemas.openxmlformats.org/spreadsheetml/2006/main">
  <c r="L19" i="1" l="1"/>
  <c r="K19" i="1"/>
  <c r="D19" i="1"/>
  <c r="K13" i="1"/>
  <c r="G13" i="1"/>
  <c r="E13" i="1"/>
  <c r="C13" i="1"/>
  <c r="K12" i="1"/>
  <c r="K9" i="1" s="1"/>
  <c r="G12" i="1"/>
  <c r="E12" i="1"/>
  <c r="C12" i="1"/>
  <c r="K10" i="1"/>
  <c r="K8" i="1"/>
  <c r="K6" i="1"/>
  <c r="N31" i="5"/>
  <c r="M31" i="5"/>
  <c r="L31" i="5"/>
  <c r="J31" i="5"/>
  <c r="H31" i="5"/>
  <c r="I31" i="5" s="1"/>
  <c r="N30" i="5"/>
  <c r="M30" i="5"/>
  <c r="L30" i="5"/>
  <c r="J30" i="5"/>
  <c r="H30" i="5"/>
  <c r="I30" i="5" s="1"/>
  <c r="N29" i="5"/>
  <c r="M29" i="5"/>
  <c r="L29" i="5"/>
  <c r="J29" i="5"/>
  <c r="H29" i="5"/>
  <c r="I29" i="5" s="1"/>
  <c r="N28" i="5"/>
  <c r="M28" i="5"/>
  <c r="L28" i="5"/>
  <c r="J28" i="5"/>
  <c r="H28" i="5"/>
  <c r="I28" i="5" s="1"/>
  <c r="N27" i="5"/>
  <c r="M27" i="5"/>
  <c r="L27" i="5"/>
  <c r="J27" i="5"/>
  <c r="H27" i="5"/>
  <c r="I27" i="5" s="1"/>
  <c r="N26" i="5"/>
  <c r="M26" i="5"/>
  <c r="L26" i="5"/>
  <c r="J26" i="5"/>
  <c r="H26" i="5"/>
  <c r="I26" i="5" s="1"/>
  <c r="N25" i="5"/>
  <c r="M25" i="5"/>
  <c r="L25" i="5"/>
  <c r="J25" i="5"/>
  <c r="H25" i="5"/>
  <c r="I25" i="5" s="1"/>
  <c r="G25" i="5"/>
  <c r="N24" i="5"/>
  <c r="L24" i="5"/>
  <c r="M24" i="5" s="1"/>
  <c r="J24" i="5"/>
  <c r="G24" i="5"/>
  <c r="H24" i="5" s="1"/>
  <c r="I24" i="5" s="1"/>
  <c r="N23" i="5"/>
  <c r="M23" i="5"/>
  <c r="L23" i="5"/>
  <c r="J23" i="5"/>
  <c r="H23" i="5"/>
  <c r="I23" i="5" s="1"/>
  <c r="N22" i="5"/>
  <c r="M22" i="5"/>
  <c r="L22" i="5"/>
  <c r="J22" i="5"/>
  <c r="H22" i="5"/>
  <c r="I22" i="5" s="1"/>
  <c r="G22" i="5"/>
  <c r="N21" i="5"/>
  <c r="L21" i="5"/>
  <c r="M21" i="5" s="1"/>
  <c r="J21" i="5"/>
  <c r="G21" i="5"/>
  <c r="H21" i="5" s="1"/>
  <c r="I21" i="5" s="1"/>
  <c r="N20" i="5"/>
  <c r="M20" i="5"/>
  <c r="L20" i="5"/>
  <c r="J20" i="5"/>
  <c r="H20" i="5"/>
  <c r="I20" i="5" s="1"/>
  <c r="N19" i="5"/>
  <c r="M19" i="5"/>
  <c r="L19" i="5"/>
  <c r="J19" i="5"/>
  <c r="H19" i="5"/>
  <c r="I19" i="5" s="1"/>
  <c r="G19" i="5"/>
  <c r="N18" i="5"/>
  <c r="L18" i="5"/>
  <c r="M18" i="5" s="1"/>
  <c r="J18" i="5"/>
  <c r="G18" i="5"/>
  <c r="H18" i="5" s="1"/>
  <c r="I18" i="5" s="1"/>
  <c r="N17" i="5"/>
  <c r="M17" i="5"/>
  <c r="L17" i="5"/>
  <c r="J17" i="5"/>
  <c r="H17" i="5"/>
  <c r="I17" i="5" s="1"/>
  <c r="N16" i="5"/>
  <c r="M16" i="5"/>
  <c r="L16" i="5"/>
  <c r="J16" i="5"/>
  <c r="H16" i="5"/>
  <c r="I16" i="5" s="1"/>
  <c r="G16" i="5"/>
  <c r="N15" i="5"/>
  <c r="L15" i="5"/>
  <c r="M15" i="5" s="1"/>
  <c r="J15" i="5"/>
  <c r="G15" i="5"/>
  <c r="H15" i="5" s="1"/>
  <c r="I15" i="5" s="1"/>
  <c r="N14" i="5"/>
  <c r="M14" i="5"/>
  <c r="L14" i="5"/>
  <c r="J14" i="5"/>
  <c r="H14" i="5"/>
  <c r="I14" i="5" s="1"/>
  <c r="N13" i="5"/>
  <c r="K13" i="5"/>
  <c r="L13" i="5" s="1"/>
  <c r="M13" i="5" s="1"/>
  <c r="J13" i="5"/>
  <c r="G13" i="5"/>
  <c r="H13" i="5" s="1"/>
  <c r="I13" i="5" s="1"/>
  <c r="N12" i="5"/>
  <c r="K12" i="5"/>
  <c r="L12" i="5" s="1"/>
  <c r="M12" i="5" s="1"/>
  <c r="J12" i="5"/>
  <c r="G12" i="5"/>
  <c r="H12" i="5" s="1"/>
  <c r="I12" i="5" s="1"/>
  <c r="N11" i="5"/>
  <c r="M11" i="5"/>
  <c r="L11" i="5"/>
  <c r="J11" i="5"/>
  <c r="H11" i="5"/>
  <c r="I11" i="5" s="1"/>
  <c r="N10" i="5"/>
  <c r="K10" i="5"/>
  <c r="L10" i="5" s="1"/>
  <c r="M10" i="5" s="1"/>
  <c r="J10" i="5"/>
  <c r="G10" i="5"/>
  <c r="H10" i="5" s="1"/>
  <c r="I10" i="5" s="1"/>
  <c r="N9" i="5"/>
  <c r="K9" i="5"/>
  <c r="L9" i="5" s="1"/>
  <c r="M9" i="5" s="1"/>
  <c r="J9" i="5"/>
  <c r="G9" i="5"/>
  <c r="H9" i="5" s="1"/>
  <c r="I9" i="5" s="1"/>
  <c r="N8" i="5"/>
  <c r="M8" i="5"/>
  <c r="L8" i="5"/>
  <c r="J8" i="5"/>
  <c r="H8" i="5"/>
  <c r="I8" i="5" s="1"/>
  <c r="N7" i="5"/>
  <c r="M7" i="5"/>
  <c r="L7" i="5"/>
  <c r="J7" i="5"/>
  <c r="H7" i="5"/>
  <c r="I7" i="5" s="1"/>
  <c r="G7" i="5"/>
  <c r="N6" i="5"/>
  <c r="L6" i="5"/>
  <c r="M6" i="5" s="1"/>
  <c r="J6" i="5"/>
  <c r="G6" i="5"/>
  <c r="H6" i="5" s="1"/>
  <c r="I6" i="5" s="1"/>
  <c r="N5" i="5"/>
  <c r="M5" i="5"/>
  <c r="L5" i="5"/>
  <c r="J5" i="5"/>
  <c r="H5" i="5"/>
  <c r="I5" i="5" s="1"/>
  <c r="I19" i="3"/>
  <c r="I18" i="3"/>
  <c r="I17" i="3"/>
  <c r="I16" i="3"/>
  <c r="I15" i="3"/>
  <c r="H13" i="1" s="1"/>
  <c r="I14" i="3"/>
  <c r="I13" i="3"/>
  <c r="I12" i="3"/>
  <c r="I11" i="3"/>
  <c r="H12" i="1" s="1"/>
  <c r="I10" i="3"/>
  <c r="I9" i="3"/>
  <c r="I8" i="3"/>
  <c r="I7" i="3"/>
  <c r="I6" i="3"/>
  <c r="I5" i="3"/>
  <c r="A5" i="3"/>
  <c r="A6" i="3" s="1"/>
  <c r="A7" i="3" s="1"/>
  <c r="A8" i="3" s="1"/>
  <c r="A9" i="3" s="1"/>
  <c r="A10" i="3" s="1"/>
  <c r="A11" i="3" s="1"/>
  <c r="A12" i="3" s="1"/>
  <c r="A13" i="3" s="1"/>
  <c r="A14" i="3" s="1"/>
  <c r="A15" i="3" s="1"/>
  <c r="A16" i="3" s="1"/>
  <c r="A17" i="3" s="1"/>
  <c r="A18" i="3" s="1"/>
  <c r="A19" i="3" s="1"/>
  <c r="J32" i="1"/>
  <c r="H32" i="1"/>
  <c r="J31" i="1"/>
  <c r="H31" i="1"/>
  <c r="J30" i="1"/>
  <c r="H30" i="1"/>
  <c r="J29" i="1"/>
  <c r="H29" i="1"/>
  <c r="J28" i="1"/>
  <c r="H28" i="1"/>
  <c r="J27" i="1"/>
  <c r="H27" i="1"/>
  <c r="J26" i="1"/>
  <c r="H26" i="1"/>
  <c r="J25" i="1"/>
  <c r="H25" i="1"/>
  <c r="J24" i="1"/>
  <c r="H24" i="1"/>
  <c r="J23" i="1"/>
  <c r="H23" i="1"/>
  <c r="A23" i="1"/>
  <c r="A24" i="1" s="1"/>
  <c r="A25" i="1" s="1"/>
  <c r="A26" i="1" s="1"/>
  <c r="A27" i="1" s="1"/>
  <c r="A28" i="1" s="1"/>
  <c r="A29" i="1" s="1"/>
  <c r="A30" i="1" s="1"/>
  <c r="A31" i="1" s="1"/>
  <c r="A32" i="1" s="1"/>
  <c r="J22" i="1"/>
  <c r="H22" i="1"/>
  <c r="A22" i="1"/>
  <c r="E14" i="1"/>
  <c r="L13" i="1"/>
  <c r="A13" i="1"/>
  <c r="L12" i="1"/>
  <c r="A12" i="1"/>
  <c r="A11" i="1"/>
  <c r="J4" i="1"/>
  <c r="J14" i="1" s="1"/>
  <c r="I4" i="1"/>
  <c r="G4" i="1"/>
  <c r="F4" i="1"/>
  <c r="E4" i="1"/>
  <c r="K4" i="1" s="1"/>
  <c r="D4" i="1"/>
  <c r="C4" i="1"/>
  <c r="B11" i="1" s="1"/>
  <c r="C11" i="1" s="1"/>
  <c r="A14" i="1" l="1"/>
  <c r="H4" i="1"/>
  <c r="H5" i="1" s="1"/>
  <c r="C6" i="1"/>
  <c r="M10" i="1"/>
  <c r="M8" i="1"/>
  <c r="M6" i="1"/>
  <c r="L10" i="1"/>
  <c r="N10" i="1" s="1"/>
  <c r="L8" i="1"/>
  <c r="N8" i="1" s="1"/>
  <c r="L6" i="1"/>
  <c r="N6" i="1" s="1"/>
  <c r="L9" i="1"/>
  <c r="N9" i="1" s="1"/>
  <c r="L7" i="1"/>
  <c r="N7" i="1" s="1"/>
  <c r="I14" i="1"/>
  <c r="H14" i="1"/>
  <c r="M9" i="1"/>
  <c r="O9" i="1" s="1"/>
  <c r="D10" i="1"/>
  <c r="E10" i="1" s="1"/>
  <c r="D8" i="1"/>
  <c r="E8" i="1" s="1"/>
  <c r="D6" i="1"/>
  <c r="E6" i="1" s="1"/>
  <c r="D9" i="1"/>
  <c r="E9" i="1" s="1"/>
  <c r="D7" i="1"/>
  <c r="E7" i="1" s="1"/>
  <c r="C7" i="1"/>
  <c r="C8" i="1"/>
  <c r="C9" i="1"/>
  <c r="C10" i="1"/>
  <c r="G14" i="1"/>
  <c r="D4" i="3" s="1"/>
  <c r="K14" i="1"/>
  <c r="C14" i="1" s="1"/>
  <c r="K7" i="1"/>
  <c r="M7" i="1" s="1"/>
  <c r="O7" i="1" s="1"/>
  <c r="F7" i="1" l="1"/>
  <c r="G7" i="1" s="1"/>
  <c r="I7" i="1" s="1"/>
  <c r="K17" i="1"/>
  <c r="D17" i="1" s="1"/>
  <c r="K18" i="1"/>
  <c r="D18" i="1" s="1"/>
  <c r="I4" i="3"/>
  <c r="H4" i="3"/>
  <c r="O8" i="1"/>
  <c r="F8" i="1" s="1"/>
  <c r="G8" i="1" s="1"/>
  <c r="I8" i="1" s="1"/>
  <c r="F9" i="1"/>
  <c r="G9" i="1" s="1"/>
  <c r="I9" i="1" s="1"/>
  <c r="O6" i="1"/>
  <c r="F6" i="1" s="1"/>
  <c r="O10" i="1"/>
  <c r="F10" i="1" s="1"/>
  <c r="G10" i="1" s="1"/>
  <c r="I10" i="1" s="1"/>
  <c r="L18" i="1" l="1"/>
  <c r="G18" i="1" s="1"/>
  <c r="G6" i="1"/>
  <c r="I6" i="1" s="1"/>
  <c r="L17" i="1"/>
  <c r="G17" i="1" s="1"/>
  <c r="E17" i="1"/>
  <c r="C17" i="1"/>
  <c r="M17" i="1" s="1"/>
  <c r="E18" i="1"/>
  <c r="C18" i="1"/>
  <c r="M18" i="1" s="1"/>
  <c r="N17" i="1" l="1"/>
  <c r="F17" i="1"/>
  <c r="H17" i="1"/>
  <c r="H18" i="1"/>
  <c r="F18" i="1"/>
  <c r="N18" i="1"/>
</calcChain>
</file>

<file path=xl/sharedStrings.xml><?xml version="1.0" encoding="utf-8"?>
<sst xmlns="http://schemas.openxmlformats.org/spreadsheetml/2006/main" count="415" uniqueCount="193">
  <si>
    <t>Methods</t>
  </si>
  <si>
    <t>For Help see ReadMe  - For further background, see Notes, Analytes, Solvent and TypicalAqueousData.</t>
  </si>
  <si>
    <t>Compare &amp; Modify Standard Extraction Methods</t>
  </si>
  <si>
    <t>Left Blank…</t>
  </si>
  <si>
    <t>Matrix Amount mL or g</t>
  </si>
  <si>
    <t>Extractant Solvent</t>
  </si>
  <si>
    <t>Solvent Volume mL</t>
  </si>
  <si>
    <t>Final Volume</t>
  </si>
  <si>
    <t>Conc. Factor</t>
  </si>
  <si>
    <t>Inj. µL</t>
  </si>
  <si>
    <t>ng On-Column ppb</t>
  </si>
  <si>
    <t>Lookups &amp;</t>
  </si>
  <si>
    <t>Calculations</t>
  </si>
  <si>
    <t>Choose Method :</t>
  </si>
  <si>
    <t>EPA 3511</t>
  </si>
  <si>
    <t>-</t>
  </si>
  <si>
    <t>Analyte</t>
  </si>
  <si>
    <t>Matrix Type</t>
  </si>
  <si>
    <t>LogK: Analyte</t>
  </si>
  <si>
    <t>Extracted %</t>
  </si>
  <si>
    <t>Extracted Amount</t>
  </si>
  <si>
    <t>Ratio of Extracted</t>
  </si>
  <si>
    <t>µL for Same</t>
  </si>
  <si>
    <t>Original is 1 ppb</t>
  </si>
  <si>
    <t>Factor L1</t>
  </si>
  <si>
    <t>Factor L2</t>
  </si>
  <si>
    <t>Factor V1</t>
  </si>
  <si>
    <t>Factor V2</t>
  </si>
  <si>
    <t>Factor Final</t>
  </si>
  <si>
    <t>Phenol</t>
  </si>
  <si>
    <t>Benzidine</t>
  </si>
  <si>
    <t>2 4-Dinitrophenol</t>
  </si>
  <si>
    <t>Naphthalene</t>
  </si>
  <si>
    <t>Dotriacontane</t>
  </si>
  <si>
    <t>Solubility in Aqueous</t>
  </si>
  <si>
    <t>Solvent Density ρ</t>
  </si>
  <si>
    <t>Solvent P</t>
  </si>
  <si>
    <t>Required ppb</t>
  </si>
  <si>
    <t>LookUps</t>
  </si>
  <si>
    <t>Factors</t>
  </si>
  <si>
    <t>Dichloromethane</t>
  </si>
  <si>
    <t>Moderately</t>
  </si>
  <si>
    <t>Methyl Acetate</t>
  </si>
  <si>
    <t>Calculated Values :</t>
  </si>
  <si>
    <t>Use Serial Extractions for Methods?</t>
  </si>
  <si>
    <t>Extraction Efficiencies</t>
  </si>
  <si>
    <t>1st Extraction</t>
  </si>
  <si>
    <t>1st+2nd Extractions</t>
  </si>
  <si>
    <t>Worst Extraction -</t>
  </si>
  <si>
    <t>Next Worse -</t>
  </si>
  <si>
    <t>Enter LogKow of My Analyte :</t>
  </si>
  <si>
    <t>Decane</t>
  </si>
  <si>
    <t>Method#</t>
  </si>
  <si>
    <t>Method Name</t>
  </si>
  <si>
    <t>ng On-Column/ppb</t>
  </si>
  <si>
    <t>EPA 3510</t>
  </si>
  <si>
    <t>Aqueous</t>
  </si>
  <si>
    <t>20 mL HS Water</t>
  </si>
  <si>
    <t>Pentane</t>
  </si>
  <si>
    <t>EPA 3540</t>
  </si>
  <si>
    <t>Solids</t>
  </si>
  <si>
    <t>DCM/Acetone 1:1</t>
  </si>
  <si>
    <t>ISO 16703</t>
  </si>
  <si>
    <t>Acetone</t>
  </si>
  <si>
    <t>QuEChERS</t>
  </si>
  <si>
    <t>Acetonitrile</t>
  </si>
  <si>
    <t>QuEChERS Soil</t>
  </si>
  <si>
    <t>TRH/TPH &gt;C10 Water</t>
  </si>
  <si>
    <t>TRH/TPH &gt;C10 Soil</t>
  </si>
  <si>
    <t>DCM/Acetone (1:1)</t>
  </si>
  <si>
    <t>My Method 1</t>
  </si>
  <si>
    <t>My Method 2</t>
  </si>
  <si>
    <t>For an Extraction, the analyte amount (A) is = (K x V_solvent) ÷ (V_matrix + K x Vsolvent).  For serial extractions  (A) is approximately the amount left from previous extraction multiplied by the same extraction factor. Experience suggests that combining multiple solvent extractions can be avoided if the recoveries of the first extraction are &gt; 60%.  The possibility of errors with un-automated extraction methods can outweigh potential small gains from improved recoveries.  Extractions of  &gt;80% are excellent  &gt;60% are good 30% are borderline and &lt;20% are unlikely to be accurately quantified.  A small fraction of &gt;K solvent with a &lt;K may improve recoveries. Try Adding a small amount of a low K solvent if solvent emulsifies.</t>
  </si>
  <si>
    <t>1 ppb in L/Kg of original matrix concentrated to ng/µL injected</t>
  </si>
  <si>
    <t>Analytes</t>
  </si>
  <si>
    <t xml:space="preserve">Analyte </t>
  </si>
  <si>
    <t>CAS #</t>
  </si>
  <si>
    <t>LogKow</t>
  </si>
  <si>
    <t>Water Solubility</t>
  </si>
  <si>
    <t>1 4-Dioxane</t>
  </si>
  <si>
    <t>123-91-1</t>
  </si>
  <si>
    <t>Yes</t>
  </si>
  <si>
    <t>Pyridine</t>
  </si>
  <si>
    <t>110-86-1</t>
  </si>
  <si>
    <t>Mevinphos</t>
  </si>
  <si>
    <t>7786-34-7</t>
  </si>
  <si>
    <t>Sparingly</t>
  </si>
  <si>
    <t>108-95-2</t>
  </si>
  <si>
    <t>51-28-5</t>
  </si>
  <si>
    <t>92-87-5</t>
  </si>
  <si>
    <t>91-20-3</t>
  </si>
  <si>
    <t>Not Water Soluble</t>
  </si>
  <si>
    <t>Benzo[a]pyrene</t>
  </si>
  <si>
    <t>50-32-8</t>
  </si>
  <si>
    <t>124-18-5</t>
  </si>
  <si>
    <t>4 4-DDT</t>
  </si>
  <si>
    <t>50-29-3</t>
  </si>
  <si>
    <t>Hexadecane</t>
  </si>
  <si>
    <t>544-76-3</t>
  </si>
  <si>
    <t>Tetracosane</t>
  </si>
  <si>
    <t>646-31-1</t>
  </si>
  <si>
    <t>544-85-4</t>
  </si>
  <si>
    <t>Partition Ratios LogKow from the  solubilities of a compound in octanol and water can be calculated from logKow = logSoctanol - logSwater. LogK values are similar for many alkane solvents.</t>
  </si>
  <si>
    <t>Solvents</t>
  </si>
  <si>
    <t>Used to Determine Extraction Efficiencies of Apolar Analytes  Based on Increasing Solvent LogP</t>
  </si>
  <si>
    <t>Solvent #</t>
  </si>
  <si>
    <t>Sovent Name</t>
  </si>
  <si>
    <t>CAS</t>
  </si>
  <si>
    <t>Density ρ</t>
  </si>
  <si>
    <t>Boiling Point C</t>
  </si>
  <si>
    <t>Water Miscible</t>
  </si>
  <si>
    <t>Solubility in Water</t>
  </si>
  <si>
    <t>LogP</t>
  </si>
  <si>
    <t>P</t>
  </si>
  <si>
    <t>0</t>
  </si>
  <si>
    <t>Custom Solvent</t>
  </si>
  <si>
    <t>Check BP…</t>
  </si>
  <si>
    <t>Check…</t>
  </si>
  <si>
    <t>Octanol</t>
  </si>
  <si>
    <t>111-87-5</t>
  </si>
  <si>
    <t>Reference Only</t>
  </si>
  <si>
    <t>Hexane</t>
  </si>
  <si>
    <t>110-54-3</t>
  </si>
  <si>
    <t>Immiscible</t>
  </si>
  <si>
    <t>Cyclohexane</t>
  </si>
  <si>
    <t>110-82-7</t>
  </si>
  <si>
    <t>109-66-0</t>
  </si>
  <si>
    <t>Toluene</t>
  </si>
  <si>
    <t>108-88-3</t>
  </si>
  <si>
    <t>Carbon Disulfide</t>
  </si>
  <si>
    <t>75-15-0</t>
  </si>
  <si>
    <t>75-09-2</t>
  </si>
  <si>
    <t>Most</t>
  </si>
  <si>
    <t>Separates!</t>
  </si>
  <si>
    <t>TRH/TPH C10-C40</t>
  </si>
  <si>
    <t>Ether</t>
  </si>
  <si>
    <t>60-29-7</t>
  </si>
  <si>
    <t>Ethyl Acetate</t>
  </si>
  <si>
    <t>141-78-6</t>
  </si>
  <si>
    <t>79-20-9</t>
  </si>
  <si>
    <t>Propan-2-ol</t>
  </si>
  <si>
    <t>67-63-0</t>
  </si>
  <si>
    <t>67-64-1</t>
  </si>
  <si>
    <t>75-05-8</t>
  </si>
  <si>
    <t>Methanol</t>
  </si>
  <si>
    <t>67-56-1</t>
  </si>
  <si>
    <r>
      <t xml:space="preserve"> </t>
    </r>
    <r>
      <rPr>
        <b/>
        <i/>
        <sz val="11"/>
        <color rgb="FFCC3480"/>
        <rFont val="Arial"/>
        <family val="2"/>
      </rPr>
      <t xml:space="preserve">These Solvents  </t>
    </r>
    <r>
      <rPr>
        <sz val="11"/>
        <color rgb="FF000000"/>
        <rFont val="Arial"/>
        <family val="2"/>
      </rPr>
      <t xml:space="preserve">Are used by Standard Methods in [Tools] - </t>
    </r>
    <r>
      <rPr>
        <b/>
        <sz val="11"/>
        <color rgb="FF000000"/>
        <rFont val="Arial"/>
        <family val="2"/>
      </rPr>
      <t>These Solvents</t>
    </r>
    <r>
      <rPr>
        <sz val="11"/>
        <color rgb="FF000000"/>
        <rFont val="Arial"/>
        <family val="2"/>
      </rPr>
      <t xml:space="preserve"> for altering extraction Efficiencies?</t>
    </r>
  </si>
  <si>
    <t>AnalytesSolvents</t>
  </si>
  <si>
    <t>Name</t>
  </si>
  <si>
    <t>logKdw</t>
  </si>
  <si>
    <t>LogKpw</t>
  </si>
  <si>
    <t>LogKnw</t>
  </si>
  <si>
    <t>LogKh*w</t>
  </si>
  <si>
    <t>LogKew</t>
  </si>
  <si>
    <t>LogKhw</t>
  </si>
  <si>
    <t>LogKcw</t>
  </si>
  <si>
    <t>LogKmw</t>
  </si>
  <si>
    <t>LogKaw</t>
  </si>
  <si>
    <t>LogKtw</t>
  </si>
  <si>
    <t>LogKcsw</t>
  </si>
  <si>
    <t>4 4 -DDT</t>
  </si>
  <si>
    <t>TypicalAqueousData</t>
  </si>
  <si>
    <r>
      <t>K = Molarity in organic phase/Molarity in organic phase: W. Herz  “Der Verteilungssatz ” Ferdinand Enke  1909  p5. and Chem. Rev. 1971  71  6  525–616 - Leo A  et al. Solubilities of Inorganic and Organic Substances  Van. Nostrand Co. 1907. For a single extraction  the analyte amount extracted into the solvent = [K x Vsolvent] ÷ [Vaqueous + K x Vsolvent]</t>
    </r>
    <r>
      <rPr>
        <sz val="10"/>
        <color rgb="FF000000"/>
        <rFont val="Helvetica Neue"/>
      </rPr>
      <t xml:space="preserve">
</t>
    </r>
    <r>
      <rPr>
        <sz val="11"/>
        <color rgb="FF000000"/>
        <rFont val="Arial"/>
        <family val="2"/>
      </rPr>
      <t>Assume a 1µL injection of extract concentrated to 1mL from 1L of water or 0.5mL from 100 mL of water for USEPA 3510 - No concentration step is used for the 3511 and 20mL HS Vial methods.</t>
    </r>
  </si>
  <si>
    <t>TestName</t>
  </si>
  <si>
    <t>Volumes mL</t>
  </si>
  <si>
    <t>Final</t>
  </si>
  <si>
    <t>See MainScreen</t>
  </si>
  <si>
    <t>Water</t>
  </si>
  <si>
    <t>Solvent</t>
  </si>
  <si>
    <t>Vol mL</t>
  </si>
  <si>
    <t>LogKdw</t>
  </si>
  <si>
    <t>Kdw</t>
  </si>
  <si>
    <t>Extracted</t>
  </si>
  <si>
    <t>ConcFactor</t>
  </si>
  <si>
    <t>Kpw</t>
  </si>
  <si>
    <t>USEPA 3510</t>
  </si>
  <si>
    <t>USEPA 3511</t>
  </si>
  <si>
    <t>20mL HS Vial</t>
  </si>
  <si>
    <t>4 4’-DDT</t>
  </si>
  <si>
    <t xml:space="preserve">Decane </t>
  </si>
  <si>
    <t>Solvent concentration can introduce complexity. If sufficiently high sensitivities can be obtained  methods can be adapted to take an accurate aliquot of the extract say 1.0 mL from the 2.0 mL used in 3511 or 20mL Headspace Vial Methods. Methods can be refined by adding surrogates to samples and adding accurate volumes of Internal Standard solution to the aliquot - Or use a "sandwich" autosampler to combine/inject accurate sample aliquots and a concentrated IS.</t>
  </si>
  <si>
    <t>Notes</t>
  </si>
  <si>
    <r>
      <rPr>
        <b/>
        <sz val="11"/>
        <color rgb="FF000000"/>
        <rFont val="Arial"/>
        <family val="2"/>
      </rPr>
      <t>Background and Instrument Sensitivity:</t>
    </r>
    <r>
      <rPr>
        <sz val="11"/>
        <color rgb="FF000000"/>
        <rFont val="Arial"/>
        <family val="2"/>
      </rPr>
      <t xml:space="preserve"> Some of the standard methods shown have long histories. The EPA 3 series can trace their origins back to the late 1970s - A typical GC-MS of the time used packed columns and had on on-column sensitivities of only ~1 ng.  Early HPLC equipment used detectors of low specificities and specific derivatization was often necessary to improve this; HPLC-MS equipment used "moving belt" and "direct liquid introduction" interfaces - They were expensive and sensitivities were generally poor. It was therefore generally necessary to use large sample amounts extracted with large amounts of solvents - A commonly established perception was that solvents of high solvating power were required to extract and dissolve many analytes, particularly from "difficult" matrices.
Modern Single-Quadrupole GC-MS systems are capable of femtogram-picogram range sensitivities, with dynamic ranges of 4-6 orders of magnitude; but with low specificities for extracts of complex matrices. To improve specificity GC-QQQ instruments using ion-transition detection are commonly used - They too can offer sensitivities in the low femtogram range but require each analyte or homologue type to be set up individually. One of the oldest types of mass spectrometer, the Magnetic Sector instrument, are still commercially available; but are expensive and high-maintenance, and their use is now mainly for tightly proscribed standard methods, which may well be outside this spreadsheet’s remit. Time of Flight (TOF) instruments were perhaps the first to be coupled to GCs, but they needed computing power that was "state of the art" at the time. Newer GC-TOFs use normal PCs and can offer femtogram level sensitivities at full mass range acquisition and very fast scan rates; allowing post acquisition mass spectral deconvolution of complete spectra. Modern HPLC-QQQ instruments can offer sensitivities better than 10s of femtograms on-column, and HPLC-TOFs/QTOFs may be capable of picogram/mL sensitivities and still offer a 5 orders of magnitude dynamic range.
</t>
    </r>
  </si>
  <si>
    <r>
      <rPr>
        <b/>
        <sz val="11"/>
        <color rgb="FF000000"/>
        <rFont val="Arial"/>
        <family val="2"/>
      </rPr>
      <t>Serial Extractions vs a Single Extraction:</t>
    </r>
    <r>
      <rPr>
        <sz val="11"/>
        <color rgb="FF000000"/>
        <rFont val="Arial"/>
        <family val="2"/>
      </rPr>
      <t xml:space="preserve"> Most traditional methods use serial extractions  - The rational is that this is required for high analyte recoveries, and to capture amounts of solvent containing analytes that have been "left behind". A viable approach is to use only a single extraction and then take an accurate aliquot for analysis (e.g. USEPA 3511, and QuEChERS methods). This relies on the single extract containing a significant proportion of the analytes - Typically, if a single extraction recovers &gt;80%, it is not usually worthwhile to consider further extraction, as the probability of error may be greater than the perceived gain. Many analysts consider that recoveries of &gt;60% are satisfactory - Recoveries of &gt;30% may be “adequate”, &lt;20% is unlikely to be adequately quantified, but is indicative. It is normal practice to remove a portion of extract which can be dried and processed further (clean-up?), and then take an accurate aliquot of this solution. As is normal, the matrix is spiked with suitable surrogates before extraction - These can be used as Internal Standards (IS), or to further control sample introductions, an accurate quantity of an IS solution is added to the aliquot immediately before analysis.</t>
    </r>
  </si>
  <si>
    <r>
      <rPr>
        <b/>
        <sz val="11"/>
        <color rgb="FF000000"/>
        <rFont val="Arial"/>
        <family val="2"/>
      </rPr>
      <t>USEPA 3510 vs 3511:</t>
    </r>
    <r>
      <rPr>
        <sz val="11"/>
        <color rgb="FF000000"/>
        <rFont val="Arial"/>
        <family val="2"/>
      </rPr>
      <t xml:space="preserve"> The traditional method of extraction from aqueous environmental samples is 3510  - Typically 1L samples are serially extracted with three 60 mL portions of dichloromethane (DCM) which are then combined, cleaned-up if necessary, and concentrated to 1 mL. The method allows some leeway on sample sizes provided that an equivalent portion of DCM is used (e.g. 2 L of sample requires 3x120 mL, and 200 mL requires 3x12). Smaller amounts are commonly used (if sensitivity is adequate) to cut down material and transport costs. The new 3511 method uses 40 mL EPA vials to collect and process samples, analytes are extracted with one 2 mL portion of DCM - The method is extensively validated for aromatic hydrocarbons, but allows considerable flexibility in types of analyte and choice of solvents provided that a similar level of performance can be demonstrated. One obvious drawback is in its limits of detection - However, assuming an on-column sensitivity of a picogram or so, that would equate to about 2 ng in 40 mLs of matrix or ~50ng/L (0.00005mg ) for each µlitre injected - If more sensitivity is needed ~5 µL can be injected with a standard Splitless injector, and 10-50 µlitres with an MMI/PTV/On-column. It is of course possible to take the 1 mL sample aliquot and reduce its volume to 100 µlitres or so to give another order of magnitude. Generally the single extraction performance of 3510 is directly transferable to 3511. Sensitivities in the order of picograms / µL injected can be expected, with a top dynamic range of ~10 nanograms (ng) for a 0.18 mm ID column.
</t>
    </r>
  </si>
  <si>
    <r>
      <rPr>
        <b/>
        <sz val="11"/>
        <color rgb="FF000000"/>
        <rFont val="Arial"/>
        <family val="2"/>
      </rPr>
      <t>Modifying Extractions:</t>
    </r>
    <r>
      <rPr>
        <sz val="11"/>
        <color rgb="FF000000"/>
        <rFont val="Arial"/>
        <family val="2"/>
      </rPr>
      <t xml:space="preserve"> One of the easiest ways of ensuring that methods perform adequately is to modify the extraction method. In many cases, as discussed, a single extraction will suffice. For "difficult" analytes, like phenol by 5310, a number of alternatives are available including increasing the amount of solvent, in this case, doubling the amount of DCM to 120 mL increases the amount of phenol in the first extract from ~17% to ~29% - A further improvement could be to increase the acidity of the matrix (as in the method). Phenol is an "acid" but has a pKa of ~10, almost none of it is ionised in neutral solutions, so other than acidification helping with "salting-out" effects and reduction in emulsification little advantage is gained. Phenol is only moderately soluble in DCM (logK 0.52) and so solubilities in other solvents could be considered - Hydrocarbons are worse (Pentane pK -0.9) but more polar solvents are more promising (ethyl acetate - pK1.7). Substituting DCM for ethyl acetate indicates that a first extraction efficiency of ~75% is possible - It should be noted that the other analytes in the "Methods: sheet are still "good". Ethyl acetate is less dense than water, so some difficulties with a separating funnel extraction could be expected. Other solvents that could be considered for phenol extractions are diethyl ether and methyl acetate. 
If the method is translated to use EPA 3511, ether gives a satisfactory performance for all of the analytes shown, but benzidine has been reduced from ~94% to ~60%. It may well be useful to consider a mixture of solvents: A 1:1 mix of DCM/methyl acetate extracts ~37% of phenol with the rest of the analytes &gt;90%, but caution is needed as its density of 1.13 is close to that of the matrix after NaCl is added so extensive centrifuging may be required.
</t>
    </r>
  </si>
  <si>
    <r>
      <rPr>
        <b/>
        <sz val="11"/>
        <color rgb="FF000000"/>
        <rFont val="Arial"/>
        <family val="2"/>
      </rPr>
      <t>QuEChERS style Extractions:</t>
    </r>
    <r>
      <rPr>
        <sz val="11"/>
        <color rgb="FF000000"/>
        <rFont val="Arial"/>
        <family val="2"/>
      </rPr>
      <t xml:space="preserve"> These are used extensively in food products and are routinely used as replacements for the older AOAC 985.22 (Luke) methods. The Luke method requires large amounts of sample and dichloromethane (although this is often replaced by acetone:cyclohexane) and is difficult to automate. Mini-Luke methods use smaller quantities, and efforts have been made to automate them. The QuEChERS methods use small sample and solvent amounts (5-15g and 10-15mL). The extraction normally used acetonitrile (AcN)solvent and is "Quick" and "Easy". Alternative solvents can be used, but the sample must be "wet" and wettable by the solvent. As an aside: In the 1970s, UK Home Office toxicologists found that extraction of issue samples produced better results if the drying agent (CaCl2 or Na2SO4) was added to the extract </t>
    </r>
    <r>
      <rPr>
        <b/>
        <i/>
        <sz val="11"/>
        <color rgb="FF000000"/>
        <rFont val="Arial"/>
        <family val="2"/>
      </rPr>
      <t>after</t>
    </r>
    <r>
      <rPr>
        <sz val="11"/>
        <color rgb="FF000000"/>
        <rFont val="Arial"/>
        <family val="2"/>
      </rPr>
      <t xml:space="preserve"> extraction - It was speculated that removing water from the matrix caused the analyte drugs to be tightly bound to the tissue matrix, whereas leaving it wet allowed easier partition into the solvent (typically ether, ethyl acetate; and or petroleum ether). QuEChERS methods have been modified for a wide range of matrices - Pesticides in soils (3-10g) wetted with water (3-10mL) have been extracted with acetonitrile (10-15mL) or ethyl acetate (2.5mL) for a range of pesticides etc.(DOI: 10.2478/sampre-2013-0006). For GC work it may be unnecessary to "exchange" AcN for a "better" solvent - An initial oven temperature of 60C with a rapid ramp to 100C is recommended ("solvent concentration effect") but a moderate polarity pre-column is almost essential. ThermoFisher scientific (Tech.Note 10721) show a modified method for PCBs and PAHs in soil by a GC-Single Quadrupole with hexane/acetone extraction at the 0.1–500 μg/kg levels. Agilent (Ap.Note 5991-6980EN) have demonstrated PCBs extracted with the normal ACN at the 0.01 and 0.05 µg/kg with a GC-QQQ. The "AnalytesSolvents" sheet indicates that based on the LogK values of phenol, benzo[a]pyrene, 4 4 -DDT, and tetracosane these methods are viable for a range of PAHs, pesticides, hydrocarbons, etc. with AcN, acetone, acetone, DCM/acetone methyl/ethyl acetate solvents. Lehotay et. al. have continued to refine and simplify their original QuEChERS method, and introduced very high levels of automation for GC-MS and HPLC-MS methods (PittCon 2020 and DOI: org/10.1021/acs.jafc.0c00995).</t>
    </r>
  </si>
  <si>
    <r>
      <rPr>
        <b/>
        <sz val="11"/>
        <color rgb="FF000000"/>
        <rFont val="Arial"/>
        <family val="2"/>
      </rPr>
      <t>20mL Headspace vial Extractions:</t>
    </r>
    <r>
      <rPr>
        <sz val="11"/>
        <color rgb="FF000000"/>
        <rFont val="Arial"/>
        <family val="2"/>
      </rPr>
      <t xml:space="preserve"> One difficulty in automating the EPA 3511 method is that DCM is denser than water, as a result robotic autosamplers need to take samples from under the aqueous layer. The standard 40 mL EPA sample vial is also not easily handled by the newer generation of CTC/PAL type autosamplers. A number of methods using 10-20 mL headspace vials have been investigated using less dense solvents that will float on water. Several of them use 10mL of water and 2 mL of pentane :(Della Sala et.al Veritas S.p.A. online presentation); and show encouraging results (Thermo App.Note 10591 - quotes ng/L instrument detection limits for 50 μL injections, even for some basic analytes). Similar ng/L level IDLs have been obtained for PAHs by Turner, Stokes, and Morgan for VICI AG International with an older Agilent 5975C GC-MSD using hydrogen carrier gas and an Optic 3 PTV injector with 200 µL pentane injections. Presumably "tuning" the extraction solvent and matrix may allow an even wider range of compounds to be analysed by these methods.
</t>
    </r>
  </si>
  <si>
    <r>
      <rPr>
        <b/>
        <sz val="11"/>
        <color rgb="FF000000"/>
        <rFont val="Arial"/>
        <family val="2"/>
      </rPr>
      <t xml:space="preserve">ISO 16703 and TRH/TPH &gt;C10 Extractions: </t>
    </r>
    <r>
      <rPr>
        <sz val="11"/>
        <color rgb="FF000000"/>
        <rFont val="Arial"/>
        <family val="2"/>
      </rPr>
      <t xml:space="preserve">Could be considered together, and have similarities to QuEChERS methods - ISO 16703 uses 20g of wet soil with an initial extraction with 40 mL of acetone - The acetone breaks up the soil and will extract some (most?) of the analyte, 20 mL of heptane containing standards is then added and the sample thoroughly extracted - The extract is then removed and shaken with aliquots of water to remove acetone and polar materials. The Heptane layer may be cleaned-up with Florisil to remove aromatics, and then analysed with a GC-FID. It should be noted that a PTV type injector is required, as many standard Split/Less injectors show notoriously bad volatility discrimination across the full nC10-nC40 range. Hexane, pentane, and cyclohexane have also ben used as well as Heptane (Note: 85 ppm NIOSH TWA exposure for heptane: vs. 120 ppm for pentane, 85 ppm for cyclohexane, and 50 ppm for n-Hexane). </t>
    </r>
  </si>
  <si>
    <r>
      <rPr>
        <b/>
        <sz val="11"/>
        <color rgb="FF000000"/>
        <rFont val="Arial"/>
        <family val="2"/>
      </rPr>
      <t>Possible Future Directions</t>
    </r>
    <r>
      <rPr>
        <sz val="11"/>
        <color rgb="FF000000"/>
        <rFont val="Arial"/>
        <family val="2"/>
      </rPr>
      <t>: As an observation, methanol is used to extract &lt;nC10 hydrocarbons from soil for Purge and Trap analysis (An aliquot is taken and added to water). Napthalene is often measured and found to be efficiently extracted from many soils (compared with &gt;nC10 hydrocarbons extraction) - Considering the relative logK_solvent values of methanol, acetone, acetonitrile, and methyl and ethyl acetate to DCM for napthalene, it would seem feasable that any of these solvents could be used to extract soils instead of DCM at low concentrations - Similarly the relative logK values for phenol and dotriacontane indicate that these alternative solvents could be used instead of DCM (and/or hexane) for a wider range of analytes. A further possible approach might be to take small aliquots of these solvent extracts and add them to 20 mL headspace vials containing 2 mLs of pentane with 10 mLs of water, as above, such that they can be incorporated within a laboratory's standard water analyses (e.g. 200 μL of solvent extract added to the vial with 2 mL of pentane implies IDLs of &lt; 100 ng/kg for 5 gm of soil, 10 mL of extracting solvent and 5 μL injections).</t>
    </r>
  </si>
  <si>
    <r>
      <rPr>
        <sz val="11"/>
        <color rgb="FF000000"/>
        <rFont val="Helvetica Neue"/>
      </rPr>
      <t xml:space="preserve">The </t>
    </r>
    <r>
      <rPr>
        <b/>
        <sz val="11"/>
        <color rgb="FFFF0000"/>
        <rFont val="Helvetica Neue"/>
      </rPr>
      <t>password</t>
    </r>
    <r>
      <rPr>
        <sz val="11"/>
        <color rgb="FF000000"/>
        <rFont val="Helvetica Neue"/>
      </rPr>
      <t xml:space="preserve"> to unlock individual sheets is "timstrutt" (no "quotes"). </t>
    </r>
    <r>
      <rPr>
        <sz val="11"/>
        <color rgb="FFFF0000"/>
        <rFont val="Helvetica Neue"/>
      </rPr>
      <t xml:space="preserve">The spreadsheet has </t>
    </r>
    <r>
      <rPr>
        <b/>
        <sz val="11"/>
        <color rgb="FFFF0000"/>
        <rFont val="Helvetica Neue"/>
      </rPr>
      <t>hidden columns and fields</t>
    </r>
    <r>
      <rPr>
        <sz val="11"/>
        <color rgb="FFFF0000"/>
        <rFont val="Helvetica Neue"/>
      </rPr>
      <t>, If these are changed, things will break…</t>
    </r>
    <r>
      <rPr>
        <sz val="11"/>
        <color rgb="FF000000"/>
        <rFont val="Helvetica Neue"/>
      </rPr>
      <t xml:space="preserve">  </t>
    </r>
    <r>
      <rPr>
        <b/>
        <sz val="11"/>
        <color rgb="FF7030A0"/>
        <rFont val="Helvetica Neue"/>
      </rPr>
      <t>Version 20221020 - ©Tim Strutt</t>
    </r>
  </si>
  <si>
    <t>LogK values are mostly from - [ http:/www.ufz.de/lserd ] "Salting out", Ka,  Kb and pH effects are ignored. LogKsolvent values are similar for similar solvent types - Common alkanes can be used interchangeably (by BP). LogKh*w is estimated (heptane in original method).</t>
  </si>
  <si>
    <r>
      <rPr>
        <b/>
        <sz val="11"/>
        <color rgb="FF000000"/>
        <rFont val="Arial"/>
        <family val="2"/>
      </rPr>
      <t>Warnings:</t>
    </r>
    <r>
      <rPr>
        <sz val="11"/>
        <color rgb="FF000000"/>
        <rFont val="Arial"/>
        <family val="2"/>
      </rPr>
      <t xml:space="preserve"> The calculations are based upon standard literature methods, but some approximations have been made. Several matrices, analytes and extraction methods are shown, but your analytes and matrices may give different performances, particularly for "sticky" analytes or complex matrices, and analytes with a low LogKow.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</si>
</sst>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00%"/>
    <numFmt numFmtId="167" formatCode="0.0%"/>
    <numFmt numFmtId="168" formatCode="0.0E+00"/>
  </numFmts>
  <fonts count="51">
    <font>
      <sz val="11"/>
      <color rgb="FF000000"/>
      <name val="Arial"/>
      <family val="2"/>
    </font>
    <font>
      <b/>
      <i/>
      <sz val="11"/>
      <color rgb="FF0081CC"/>
      <name val="Arial"/>
      <family val="2"/>
    </font>
    <font>
      <i/>
      <sz val="11"/>
      <color rgb="FF000000"/>
      <name val="Arial"/>
      <family val="2"/>
    </font>
    <font>
      <sz val="11"/>
      <color rgb="FFE32400"/>
      <name val="Arial"/>
      <family val="2"/>
    </font>
    <font>
      <b/>
      <sz val="11"/>
      <color rgb="FFFFFFFF"/>
      <name val="Arial"/>
      <family val="2"/>
    </font>
    <font>
      <b/>
      <sz val="11"/>
      <color rgb="FF017000"/>
      <name val="Arial"/>
      <family val="2"/>
    </font>
    <font>
      <sz val="11"/>
      <color rgb="FF669C35"/>
      <name val="Arial"/>
      <family val="2"/>
    </font>
    <font>
      <b/>
      <sz val="11"/>
      <color rgb="FF000000"/>
      <name val="Arial"/>
      <family val="2"/>
    </font>
    <font>
      <b/>
      <sz val="16"/>
      <color rgb="FF4DAC2B"/>
      <name val="Arial"/>
      <family val="2"/>
    </font>
    <font>
      <b/>
      <sz val="16"/>
      <color rgb="FF000000"/>
      <name val="Arial"/>
      <family val="2"/>
    </font>
    <font>
      <i/>
      <sz val="11"/>
      <color rgb="FFCCAD28"/>
      <name val="Arial"/>
      <family val="2"/>
    </font>
    <font>
      <sz val="11"/>
      <color rgb="FFCCAD28"/>
      <name val="Arial"/>
      <family val="2"/>
    </font>
    <font>
      <b/>
      <sz val="11"/>
      <color rgb="FF4DAC2B"/>
      <name val="Arial"/>
      <family val="2"/>
    </font>
    <font>
      <i/>
      <sz val="11"/>
      <color rgb="FF88E168"/>
      <name val="Arial"/>
      <family val="2"/>
    </font>
    <font>
      <b/>
      <i/>
      <sz val="11"/>
      <color rgb="FF4DAC2B"/>
      <name val="Arial"/>
      <family val="2"/>
    </font>
    <font>
      <i/>
      <sz val="11"/>
      <color rgb="FFB0EB9A"/>
      <name val="Arial"/>
      <family val="2"/>
    </font>
    <font>
      <sz val="11"/>
      <color rgb="FF4DAC2B"/>
      <name val="Arial"/>
      <family val="2"/>
    </font>
    <font>
      <i/>
      <sz val="11"/>
      <color rgb="FF7FD0FF"/>
      <name val="Arial"/>
      <family val="2"/>
    </font>
    <font>
      <i/>
      <sz val="11"/>
      <color rgb="FF4DAC2B"/>
      <name val="Arial"/>
      <family val="2"/>
    </font>
    <font>
      <b/>
      <sz val="11"/>
      <color rgb="FF0081CC"/>
      <name val="Arial"/>
      <family val="2"/>
    </font>
    <font>
      <i/>
      <sz val="11"/>
      <color rgb="FF0081CC"/>
      <name val="Arial"/>
      <family val="2"/>
    </font>
    <font>
      <sz val="11"/>
      <color rgb="FF0081CC"/>
      <name val="Arial"/>
      <family val="2"/>
    </font>
    <font>
      <sz val="10"/>
      <color rgb="FF0081CC"/>
      <name val="Arial"/>
      <family val="2"/>
    </font>
    <font>
      <b/>
      <sz val="10"/>
      <color rgb="FF000000"/>
      <name val="Arial"/>
      <family val="2"/>
    </font>
    <font>
      <b/>
      <i/>
      <sz val="11"/>
      <color rgb="FF00A2FF"/>
      <name val="Arial"/>
      <family val="2"/>
    </font>
    <font>
      <b/>
      <i/>
      <sz val="11"/>
      <color rgb="FF3FB9FF"/>
      <name val="Arial"/>
      <family val="2"/>
    </font>
    <font>
      <b/>
      <sz val="11"/>
      <color rgb="FFCC3480"/>
      <name val="Arial"/>
      <family val="2"/>
    </font>
    <font>
      <b/>
      <sz val="11"/>
      <color rgb="FF11B8A5"/>
      <name val="Arial"/>
      <family val="2"/>
    </font>
    <font>
      <sz val="11"/>
      <color rgb="FF11B8A5"/>
      <name val="Arial"/>
      <family val="2"/>
    </font>
    <font>
      <sz val="10"/>
      <color rgb="FF4DAC2B"/>
      <name val="Arial"/>
      <family val="2"/>
    </font>
    <font>
      <sz val="11"/>
      <color rgb="FFB0EB9A"/>
      <name val="Arial"/>
      <family val="2"/>
    </font>
    <font>
      <i/>
      <sz val="11"/>
      <color rgb="FF50EDDB"/>
      <name val="Arial"/>
      <family val="2"/>
    </font>
    <font>
      <i/>
      <sz val="11"/>
      <color rgb="FFA7A7A7"/>
      <name val="Arial"/>
      <family val="2"/>
    </font>
    <font>
      <sz val="10"/>
      <color rgb="FF000000"/>
      <name val="Arial"/>
      <family val="2"/>
    </font>
    <font>
      <i/>
      <sz val="11"/>
      <color rgb="FFDDDDDD"/>
      <name val="Arial"/>
      <family val="2"/>
    </font>
    <font>
      <b/>
      <i/>
      <sz val="11"/>
      <color rgb="FFFF644E"/>
      <name val="Arial"/>
      <family val="2"/>
    </font>
    <font>
      <b/>
      <i/>
      <sz val="11"/>
      <color rgb="FFCC3480"/>
      <name val="Arial"/>
      <family val="2"/>
    </font>
    <font>
      <b/>
      <sz val="11"/>
      <color rgb="FFFF644E"/>
      <name val="Arial"/>
      <family val="2"/>
    </font>
    <font>
      <b/>
      <sz val="11"/>
      <color rgb="FFCC503E"/>
      <name val="Arial"/>
      <family val="2"/>
    </font>
    <font>
      <sz val="11"/>
      <color rgb="FFFF644E"/>
      <name val="Arial"/>
      <family val="2"/>
    </font>
    <font>
      <sz val="11"/>
      <color rgb="FFCC503E"/>
      <name val="Arial"/>
      <family val="2"/>
    </font>
    <font>
      <sz val="10"/>
      <color rgb="FF000000"/>
      <name val="Helvetica Neue"/>
    </font>
    <font>
      <b/>
      <sz val="10"/>
      <color rgb="FF000000"/>
      <name val="Helvetica Neue"/>
    </font>
    <font>
      <b/>
      <sz val="10"/>
      <color rgb="FFB41700"/>
      <name val="Helvetica Neue"/>
    </font>
    <font>
      <sz val="11"/>
      <color rgb="FFB41700"/>
      <name val="Arial"/>
      <family val="2"/>
    </font>
    <font>
      <b/>
      <i/>
      <sz val="11"/>
      <color rgb="FF000000"/>
      <name val="Arial"/>
      <family val="2"/>
    </font>
    <font>
      <b/>
      <sz val="11"/>
      <color rgb="FF000000"/>
      <name val="Helvetica Neue"/>
    </font>
    <font>
      <sz val="11"/>
      <color rgb="FF000000"/>
      <name val="Helvetica Neue"/>
    </font>
    <font>
      <b/>
      <sz val="11"/>
      <color rgb="FFFF0000"/>
      <name val="Helvetica Neue"/>
    </font>
    <font>
      <sz val="11"/>
      <color rgb="FFFF0000"/>
      <name val="Helvetica Neue"/>
    </font>
    <font>
      <b/>
      <sz val="11"/>
      <color rgb="FF7030A0"/>
      <name val="Helvetica Neue"/>
    </font>
  </fonts>
  <fills count="10">
    <fill>
      <patternFill patternType="none"/>
    </fill>
    <fill>
      <patternFill patternType="gray125"/>
    </fill>
    <fill>
      <patternFill patternType="solid">
        <fgColor rgb="FF0432FF"/>
        <bgColor rgb="FF0432FF"/>
      </patternFill>
    </fill>
    <fill>
      <patternFill patternType="solid">
        <fgColor rgb="FFFFFFFF"/>
        <bgColor rgb="FFFFFFFF"/>
      </patternFill>
    </fill>
    <fill>
      <patternFill patternType="solid">
        <fgColor rgb="FFE1FEE1"/>
        <bgColor rgb="FFE1FEE1"/>
      </patternFill>
    </fill>
    <fill>
      <patternFill patternType="solid">
        <fgColor rgb="FFEAEEFF"/>
        <bgColor rgb="FFEAEEFF"/>
      </patternFill>
    </fill>
    <fill>
      <patternFill patternType="solid">
        <fgColor rgb="FFEBEEFF"/>
        <bgColor rgb="FFEBEEFF"/>
      </patternFill>
    </fill>
    <fill>
      <patternFill patternType="solid">
        <fgColor rgb="FFDDDDDD"/>
        <bgColor rgb="FFDDDDDD"/>
      </patternFill>
    </fill>
    <fill>
      <patternFill patternType="solid">
        <fgColor rgb="FFFEFFFF"/>
        <bgColor rgb="FFFEFFFF"/>
      </patternFill>
    </fill>
    <fill>
      <patternFill patternType="solid">
        <fgColor rgb="FFD5D5D5"/>
        <bgColor rgb="FFD5D5D5"/>
      </patternFill>
    </fill>
  </fills>
  <borders count="12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CCAD28"/>
      </bottom>
      <diagonal/>
    </border>
    <border>
      <left/>
      <right/>
      <top style="medium">
        <color rgb="FF000000"/>
      </top>
      <bottom style="medium">
        <color rgb="FFCCAD28"/>
      </bottom>
      <diagonal/>
    </border>
    <border>
      <left/>
      <right style="thin">
        <color rgb="FFAAAAAA"/>
      </right>
      <top style="medium">
        <color rgb="FF000000"/>
      </top>
      <bottom style="medium">
        <color rgb="FFCCAD28"/>
      </bottom>
      <diagonal/>
    </border>
    <border>
      <left style="medium">
        <color rgb="FF000000"/>
      </left>
      <right/>
      <top style="medium">
        <color rgb="FF000000"/>
      </top>
      <bottom style="medium">
        <color rgb="FF000000"/>
      </bottom>
      <diagonal/>
    </border>
    <border>
      <left/>
      <right/>
      <top style="medium">
        <color rgb="FFCCAD28"/>
      </top>
      <bottom style="medium">
        <color rgb="FFCCAD28"/>
      </bottom>
      <diagonal/>
    </border>
    <border>
      <left/>
      <right style="thin">
        <color rgb="FFAAAAAA"/>
      </right>
      <top style="medium">
        <color rgb="FFCCAD28"/>
      </top>
      <bottom style="medium">
        <color rgb="FFCCAD28"/>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CCAD28"/>
      </top>
      <bottom style="thin">
        <color rgb="FFCCAD28"/>
      </bottom>
      <diagonal/>
    </border>
    <border>
      <left/>
      <right style="thin">
        <color rgb="FFAAAAAA"/>
      </right>
      <top style="medium">
        <color rgb="FFCCAD28"/>
      </top>
      <bottom style="thin">
        <color rgb="FFCCAD28"/>
      </bottom>
      <diagonal/>
    </border>
    <border>
      <left style="medium">
        <color rgb="FF000000"/>
      </left>
      <right style="thin">
        <color rgb="FF7F7F7F"/>
      </right>
      <top style="thin">
        <color rgb="FF000000"/>
      </top>
      <bottom style="medium">
        <color rgb="FF4DAC2B"/>
      </bottom>
      <diagonal/>
    </border>
    <border>
      <left style="thin">
        <color rgb="FF7F7F7F"/>
      </left>
      <right style="thin">
        <color rgb="FF000000"/>
      </right>
      <top style="thin">
        <color rgb="FF000000"/>
      </top>
      <bottom style="medium">
        <color rgb="FF4DAC2B"/>
      </bottom>
      <diagonal/>
    </border>
    <border>
      <left style="thin">
        <color rgb="FF000000"/>
      </left>
      <right style="thin">
        <color rgb="FF000000"/>
      </right>
      <top style="thin">
        <color rgb="FF000000"/>
      </top>
      <bottom style="medium">
        <color rgb="FF4DAC2B"/>
      </bottom>
      <diagonal/>
    </border>
    <border>
      <left style="thin">
        <color rgb="FF000000"/>
      </left>
      <right/>
      <top style="thin">
        <color rgb="FF000000"/>
      </top>
      <bottom style="medium">
        <color rgb="FF4DAC2B"/>
      </bottom>
      <diagonal/>
    </border>
    <border>
      <left/>
      <right/>
      <top style="thin">
        <color rgb="FFCCAD28"/>
      </top>
      <bottom style="thin">
        <color rgb="FFCCAD28"/>
      </bottom>
      <diagonal/>
    </border>
    <border>
      <left/>
      <right style="thin">
        <color rgb="FFAAAAAA"/>
      </right>
      <top style="thin">
        <color rgb="FFCCAD28"/>
      </top>
      <bottom style="thin">
        <color rgb="FFCCAD28"/>
      </bottom>
      <diagonal/>
    </border>
    <border>
      <left style="medium">
        <color rgb="FF000000"/>
      </left>
      <right style="thin">
        <color rgb="FF000000"/>
      </right>
      <top style="medium">
        <color rgb="FF4DAC2B"/>
      </top>
      <bottom style="thin">
        <color rgb="FF000000"/>
      </bottom>
      <diagonal/>
    </border>
    <border>
      <left style="thin">
        <color rgb="FF000000"/>
      </left>
      <right style="thin">
        <color rgb="FF000000"/>
      </right>
      <top style="medium">
        <color rgb="FF4DAC2B"/>
      </top>
      <bottom style="thin">
        <color rgb="FF000000"/>
      </bottom>
      <diagonal/>
    </border>
    <border>
      <left style="thin">
        <color rgb="FF000000"/>
      </left>
      <right/>
      <top style="medium">
        <color rgb="FF4DAC2B"/>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81CC"/>
      </bottom>
      <diagonal/>
    </border>
    <border>
      <left style="thin">
        <color rgb="FF000000"/>
      </left>
      <right style="thin">
        <color rgb="FF000000"/>
      </right>
      <top style="thin">
        <color rgb="FF000000"/>
      </top>
      <bottom style="medium">
        <color rgb="FF0081CC"/>
      </bottom>
      <diagonal/>
    </border>
    <border>
      <left style="thin">
        <color rgb="FF000000"/>
      </left>
      <right style="thin">
        <color rgb="FF000000"/>
      </right>
      <top style="thin">
        <color rgb="FF000000"/>
      </top>
      <bottom style="thick">
        <color rgb="FF00A2FF"/>
      </bottom>
      <diagonal/>
    </border>
    <border>
      <left style="thin">
        <color rgb="FF000000"/>
      </left>
      <right/>
      <top style="thin">
        <color rgb="FF000000"/>
      </top>
      <bottom style="thick">
        <color rgb="FF00A2FF"/>
      </bottom>
      <diagonal/>
    </border>
    <border>
      <left/>
      <right/>
      <top style="thin">
        <color rgb="FFCCAD28"/>
      </top>
      <bottom style="thin">
        <color rgb="FF000000"/>
      </bottom>
      <diagonal/>
    </border>
    <border>
      <left/>
      <right style="thin">
        <color rgb="FFAAAAAA"/>
      </right>
      <top style="thin">
        <color rgb="FFCCAD28"/>
      </top>
      <bottom style="thin">
        <color rgb="FF000000"/>
      </bottom>
      <diagonal/>
    </border>
    <border>
      <left style="medium">
        <color rgb="FF000000"/>
      </left>
      <right style="thin">
        <color rgb="FF000000"/>
      </right>
      <top style="medium">
        <color rgb="FF0081CC"/>
      </top>
      <bottom style="medium">
        <color rgb="FF0081CC"/>
      </bottom>
      <diagonal/>
    </border>
    <border>
      <left style="thin">
        <color rgb="FF000000"/>
      </left>
      <right style="thin">
        <color rgb="FF000000"/>
      </right>
      <top style="medium">
        <color rgb="FF0081CC"/>
      </top>
      <bottom style="medium">
        <color rgb="FF0081CC"/>
      </bottom>
      <diagonal/>
    </border>
    <border>
      <left style="thin">
        <color rgb="FF000000"/>
      </left>
      <right/>
      <top style="medium">
        <color rgb="FF0081CC"/>
      </top>
      <bottom style="medium">
        <color rgb="FF0081CC"/>
      </bottom>
      <diagonal/>
    </border>
    <border>
      <left/>
      <right style="thin">
        <color rgb="FF000000"/>
      </right>
      <top style="thick">
        <color rgb="FF00A2FF"/>
      </top>
      <bottom style="medium">
        <color rgb="FF00A2FF"/>
      </bottom>
      <diagonal/>
    </border>
    <border>
      <left style="thin">
        <color rgb="FF000000"/>
      </left>
      <right style="thin">
        <color rgb="FF000000"/>
      </right>
      <top style="thick">
        <color rgb="FF00A2FF"/>
      </top>
      <bottom style="medium">
        <color rgb="FF00A2FF"/>
      </bottom>
      <diagonal/>
    </border>
    <border>
      <left style="thin">
        <color rgb="FF000000"/>
      </left>
      <right/>
      <top style="thick">
        <color rgb="FF00A2FF"/>
      </top>
      <bottom style="medium">
        <color rgb="FF00A2FF"/>
      </bottom>
      <diagonal/>
    </border>
    <border>
      <left/>
      <right/>
      <top style="thin">
        <color rgb="FF000000"/>
      </top>
      <bottom style="thin">
        <color rgb="FF000000"/>
      </bottom>
      <diagonal/>
    </border>
    <border>
      <left/>
      <right style="thin">
        <color rgb="FFAAAAAA"/>
      </right>
      <top style="thin">
        <color rgb="FF000000"/>
      </top>
      <bottom style="thin">
        <color rgb="FF000000"/>
      </bottom>
      <diagonal/>
    </border>
    <border>
      <left style="medium">
        <color rgb="FF000000"/>
      </left>
      <right style="thin">
        <color rgb="FF000000"/>
      </right>
      <top style="medium">
        <color rgb="FF0081CC"/>
      </top>
      <bottom style="thin">
        <color rgb="FF000000"/>
      </bottom>
      <diagonal/>
    </border>
    <border>
      <left style="thin">
        <color rgb="FF000000"/>
      </left>
      <right style="thin">
        <color rgb="FF000000"/>
      </right>
      <top style="medium">
        <color rgb="FF0081CC"/>
      </top>
      <bottom style="thin">
        <color rgb="FF000000"/>
      </bottom>
      <diagonal/>
    </border>
    <border>
      <left style="thin">
        <color rgb="FF000000"/>
      </left>
      <right style="thin">
        <color rgb="FF000000"/>
      </right>
      <top style="medium">
        <color rgb="FF00A2FF"/>
      </top>
      <bottom style="thin">
        <color rgb="FF000000"/>
      </bottom>
      <diagonal/>
    </border>
    <border>
      <left style="thin">
        <color rgb="FF000000"/>
      </left>
      <right/>
      <top style="medium">
        <color rgb="FF00A2FF"/>
      </top>
      <bottom style="thin">
        <color rgb="FF000000"/>
      </bottom>
      <diagonal/>
    </border>
    <border>
      <left/>
      <right/>
      <top style="thin">
        <color rgb="FF000000"/>
      </top>
      <bottom style="thin">
        <color rgb="FFCCAD28"/>
      </bottom>
      <diagonal/>
    </border>
    <border>
      <left/>
      <right style="thin">
        <color rgb="FFAAAAAA"/>
      </right>
      <top style="thin">
        <color rgb="FF000000"/>
      </top>
      <bottom style="thin">
        <color rgb="FFCCAD28"/>
      </bottom>
      <diagonal/>
    </border>
    <border>
      <left style="medium">
        <color rgb="FF000000"/>
      </left>
      <right style="thin">
        <color rgb="FF000000"/>
      </right>
      <top style="thin">
        <color rgb="FF000000"/>
      </top>
      <bottom style="thin">
        <color rgb="FF0081CC"/>
      </bottom>
      <diagonal/>
    </border>
    <border>
      <left style="thin">
        <color rgb="FF000000"/>
      </left>
      <right style="thin">
        <color rgb="FF000000"/>
      </right>
      <top style="thin">
        <color rgb="FF000000"/>
      </top>
      <bottom style="thin">
        <color rgb="FF0081CC"/>
      </bottom>
      <diagonal/>
    </border>
    <border>
      <left style="thin">
        <color rgb="FF000000"/>
      </left>
      <right/>
      <top style="thin">
        <color rgb="FF000000"/>
      </top>
      <bottom style="thin">
        <color rgb="FF0081CC"/>
      </bottom>
      <diagonal/>
    </border>
    <border>
      <left style="medium">
        <color rgb="FF000000"/>
      </left>
      <right/>
      <top style="thin">
        <color rgb="FF0081CC"/>
      </top>
      <bottom style="medium">
        <color rgb="FF0081CC"/>
      </bottom>
      <diagonal/>
    </border>
    <border>
      <left/>
      <right/>
      <top style="thin">
        <color rgb="FF0081CC"/>
      </top>
      <bottom style="medium">
        <color rgb="FF0081CC"/>
      </bottom>
      <diagonal/>
    </border>
    <border>
      <left/>
      <right style="thin">
        <color rgb="FF000000"/>
      </right>
      <top style="thin">
        <color rgb="FF0081CC"/>
      </top>
      <bottom style="medium">
        <color rgb="FF0081CC"/>
      </bottom>
      <diagonal/>
    </border>
    <border>
      <left style="thin">
        <color rgb="FF000000"/>
      </left>
      <right style="thin">
        <color rgb="FF000000"/>
      </right>
      <top style="thin">
        <color rgb="FF0081CC"/>
      </top>
      <bottom style="medium">
        <color rgb="FF0081CC"/>
      </bottom>
      <diagonal/>
    </border>
    <border>
      <left style="thin">
        <color rgb="FF000000"/>
      </left>
      <right style="thin">
        <color rgb="FF7F7F7F"/>
      </right>
      <top style="thin">
        <color rgb="FF0081CC"/>
      </top>
      <bottom style="medium">
        <color rgb="FF0081CC"/>
      </bottom>
      <diagonal/>
    </border>
    <border>
      <left style="thin">
        <color rgb="FF7F7F7F"/>
      </left>
      <right style="thin">
        <color rgb="FF000000"/>
      </right>
      <top style="thin">
        <color rgb="FF0081CC"/>
      </top>
      <bottom style="medium">
        <color rgb="FF0081CC"/>
      </bottom>
      <diagonal/>
    </border>
    <border>
      <left style="thin">
        <color rgb="FF000000"/>
      </left>
      <right/>
      <top style="thin">
        <color rgb="FF0081CC"/>
      </top>
      <bottom style="medium">
        <color rgb="FF0081CC"/>
      </bottom>
      <diagonal/>
    </border>
    <border>
      <left style="medium">
        <color rgb="FF000000"/>
      </left>
      <right/>
      <top style="medium">
        <color rgb="FF0081CC"/>
      </top>
      <bottom style="medium">
        <color rgb="FF11B8A5"/>
      </bottom>
      <diagonal/>
    </border>
    <border>
      <left style="medium">
        <color rgb="FF000000"/>
      </left>
      <right style="thin">
        <color rgb="FF000000"/>
      </right>
      <top style="medium">
        <color rgb="FF11B8A5"/>
      </top>
      <bottom style="medium">
        <color rgb="FF11B8A5"/>
      </bottom>
      <diagonal/>
    </border>
    <border>
      <left style="thin">
        <color rgb="FF000000"/>
      </left>
      <right style="thin">
        <color rgb="FF000000"/>
      </right>
      <top style="medium">
        <color rgb="FF11B8A5"/>
      </top>
      <bottom style="thin">
        <color rgb="FF000000"/>
      </bottom>
      <diagonal/>
    </border>
    <border>
      <left style="thin">
        <color rgb="FF000000"/>
      </left>
      <right/>
      <top style="medium">
        <color rgb="FF11B8A5"/>
      </top>
      <bottom style="thin">
        <color rgb="FF000000"/>
      </bottom>
      <diagonal/>
    </border>
    <border>
      <left/>
      <right/>
      <top style="medium">
        <color rgb="FF11B8A5"/>
      </top>
      <bottom style="thin">
        <color rgb="FF000000"/>
      </bottom>
      <diagonal/>
    </border>
    <border>
      <left style="thin">
        <color rgb="FF000000"/>
      </left>
      <right style="thin">
        <color rgb="FF000000"/>
      </right>
      <top style="thin">
        <color rgb="FF000000"/>
      </top>
      <bottom style="medium">
        <color rgb="FF11B8A5"/>
      </bottom>
      <diagonal/>
    </border>
    <border>
      <left style="thin">
        <color rgb="FF000000"/>
      </left>
      <right/>
      <top style="thin">
        <color rgb="FF000000"/>
      </top>
      <bottom style="medium">
        <color rgb="FF11B8A5"/>
      </bottom>
      <diagonal/>
    </border>
    <border>
      <left/>
      <right/>
      <top style="thin">
        <color rgb="FF000000"/>
      </top>
      <bottom style="medium">
        <color rgb="FF11B8A5"/>
      </bottom>
      <diagonal/>
    </border>
    <border>
      <left style="thin">
        <color rgb="FF000000"/>
      </left>
      <right style="thin">
        <color rgb="FF000000"/>
      </right>
      <top style="medium">
        <color rgb="FF11B8A5"/>
      </top>
      <bottom style="medium">
        <color rgb="FF11B8A5"/>
      </bottom>
      <diagonal/>
    </border>
    <border>
      <left style="thin">
        <color rgb="FF000000"/>
      </left>
      <right/>
      <top style="medium">
        <color rgb="FF11B8A5"/>
      </top>
      <bottom style="medium">
        <color rgb="FF11B8A5"/>
      </bottom>
      <diagonal/>
    </border>
    <border>
      <left style="medium">
        <color rgb="FF000000"/>
      </left>
      <right style="thin">
        <color rgb="FF000000"/>
      </right>
      <top style="medium">
        <color rgb="FF11B8A5"/>
      </top>
      <bottom style="medium">
        <color rgb="FF4DAC2B"/>
      </bottom>
      <diagonal/>
    </border>
    <border>
      <left style="thin">
        <color rgb="FF000000"/>
      </left>
      <right style="thin">
        <color rgb="FF000000"/>
      </right>
      <top style="medium">
        <color rgb="FF11B8A5"/>
      </top>
      <bottom style="medium">
        <color rgb="FF4DAC2B"/>
      </bottom>
      <diagonal/>
    </border>
    <border>
      <left style="thin">
        <color rgb="FF000000"/>
      </left>
      <right/>
      <top style="medium">
        <color rgb="FF11B8A5"/>
      </top>
      <bottom style="medium">
        <color rgb="FF4DAC2B"/>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CCAD28"/>
      </top>
      <bottom style="medium">
        <color rgb="FF000000"/>
      </bottom>
      <diagonal/>
    </border>
    <border>
      <left/>
      <right style="thin">
        <color rgb="FFAAAAAA"/>
      </right>
      <top style="thin">
        <color rgb="FFCCAD28"/>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n">
        <color rgb="FFAAAAAA"/>
      </right>
      <top style="medium">
        <color rgb="FF000000"/>
      </top>
      <bottom style="medium">
        <color rgb="FF000000"/>
      </bottom>
      <diagonal/>
    </border>
    <border>
      <left/>
      <right style="thin">
        <color rgb="FF000000"/>
      </right>
      <top style="thin">
        <color rgb="FFAAAAAA"/>
      </top>
      <bottom/>
      <diagonal/>
    </border>
    <border>
      <left style="thin">
        <color rgb="FF000000"/>
      </left>
      <right/>
      <top style="thin">
        <color rgb="FFAAAAAA"/>
      </top>
      <bottom/>
      <diagonal/>
    </border>
    <border>
      <left/>
      <right style="thin">
        <color rgb="FFAAAAAA"/>
      </right>
      <top style="thin">
        <color rgb="FFAAAAAA"/>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AAAAAA"/>
      </right>
      <top/>
      <bottom/>
      <diagonal/>
    </border>
    <border>
      <left/>
      <right style="thin">
        <color rgb="FF000000"/>
      </right>
      <top/>
      <bottom style="thin">
        <color rgb="FFAAAAAA"/>
      </bottom>
      <diagonal/>
    </border>
    <border>
      <left style="thin">
        <color rgb="FF000000"/>
      </left>
      <right/>
      <top/>
      <bottom style="thin">
        <color rgb="FFAAAAAA"/>
      </bottom>
      <diagonal/>
    </border>
    <border>
      <left/>
      <right style="thin">
        <color rgb="FFAAAAAA"/>
      </right>
      <top/>
      <bottom style="thin">
        <color rgb="FFAAAAAA"/>
      </bottom>
      <diagonal/>
    </border>
    <border>
      <left/>
      <right style="thin">
        <color rgb="FF000000"/>
      </right>
      <top style="thin">
        <color rgb="FF000000"/>
      </top>
      <bottom style="thin">
        <color rgb="FF0081CC"/>
      </bottom>
      <diagonal/>
    </border>
    <border>
      <left style="thin">
        <color rgb="FF0081CC"/>
      </left>
      <right style="thin">
        <color rgb="FF0081CC"/>
      </right>
      <top style="thin">
        <color rgb="FF0081CC"/>
      </top>
      <bottom style="thin">
        <color rgb="FF0081CC"/>
      </bottom>
      <diagonal/>
    </border>
    <border>
      <left style="thin">
        <color rgb="FF000000"/>
      </left>
      <right style="thin">
        <color rgb="FF000000"/>
      </right>
      <top style="thin">
        <color rgb="FF0081CC"/>
      </top>
      <bottom style="thin">
        <color rgb="FF7F7F7F"/>
      </bottom>
      <diagonal/>
    </border>
    <border>
      <left style="thin">
        <color rgb="FF000000"/>
      </left>
      <right style="thin">
        <color rgb="FF000000"/>
      </right>
      <top style="thin">
        <color rgb="FF0081CC"/>
      </top>
      <bottom style="thin">
        <color rgb="FF000000"/>
      </bottom>
      <diagonal/>
    </border>
    <border>
      <left style="thin">
        <color rgb="FF000000"/>
      </left>
      <right style="thin">
        <color rgb="FF000000"/>
      </right>
      <top style="thin">
        <color rgb="FF7F7F7F"/>
      </top>
      <bottom style="thin">
        <color rgb="FFBFBFBF"/>
      </bottom>
      <diagonal/>
    </border>
    <border>
      <left style="thin">
        <color rgb="FF000000"/>
      </left>
      <right style="thin">
        <color rgb="FF000000"/>
      </right>
      <top style="thin">
        <color rgb="FFBFBFBF"/>
      </top>
      <bottom style="thin">
        <color rgb="FFBFBFBF"/>
      </bottom>
      <diagonal/>
    </border>
    <border>
      <left style="thin">
        <color rgb="FF000000"/>
      </left>
      <right style="thin">
        <color rgb="FF000000"/>
      </right>
      <top style="thin">
        <color rgb="FFBFBFBF"/>
      </top>
      <bottom style="thin">
        <color rgb="FF7F7F7F"/>
      </bottom>
      <diagonal/>
    </border>
    <border>
      <left style="thin">
        <color rgb="FF000000"/>
      </left>
      <right style="thin">
        <color rgb="FF000000"/>
      </right>
      <top style="thin">
        <color rgb="FF7F7F7F"/>
      </top>
      <bottom style="thin">
        <color rgb="FF000000"/>
      </bottom>
      <diagonal/>
    </border>
    <border>
      <left style="thin">
        <color rgb="FF000000"/>
      </left>
      <right style="thin">
        <color rgb="FF7F7F7F"/>
      </right>
      <top style="thin">
        <color rgb="FF000000"/>
      </top>
      <bottom style="thin">
        <color rgb="FF000000"/>
      </bottom>
      <diagonal/>
    </border>
    <border>
      <left style="thin">
        <color rgb="FF7F7F7F"/>
      </left>
      <right style="thin">
        <color rgb="FF000000"/>
      </right>
      <top style="thin">
        <color rgb="FF000000"/>
      </top>
      <bottom style="thin">
        <color rgb="FF000000"/>
      </bottom>
      <diagonal/>
    </border>
    <border>
      <left style="thin">
        <color rgb="FF000000"/>
      </left>
      <right style="thin">
        <color rgb="FFA5A5A5"/>
      </right>
      <top style="thin">
        <color rgb="FF000000"/>
      </top>
      <bottom style="thin">
        <color rgb="FF000000"/>
      </bottom>
      <diagonal/>
    </border>
    <border>
      <left style="thin">
        <color rgb="FFA5A5A5"/>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7F7F7F"/>
      </bottom>
      <diagonal/>
    </border>
    <border>
      <left style="thin">
        <color rgb="FF000000"/>
      </left>
      <right style="thin">
        <color rgb="FFA5A5A5"/>
      </right>
      <top style="thin">
        <color rgb="FF000000"/>
      </top>
      <bottom style="thin">
        <color rgb="FF7F7F7F"/>
      </bottom>
      <diagonal/>
    </border>
    <border>
      <left style="thin">
        <color rgb="FFA5A5A5"/>
      </left>
      <right style="thin">
        <color rgb="FFA5A5A5"/>
      </right>
      <top style="thin">
        <color rgb="FF000000"/>
      </top>
      <bottom style="thin">
        <color rgb="FF7F7F7F"/>
      </bottom>
      <diagonal/>
    </border>
    <border>
      <left style="thin">
        <color rgb="FFA5A5A5"/>
      </left>
      <right style="thin">
        <color rgb="FF000000"/>
      </right>
      <top style="thin">
        <color rgb="FF000000"/>
      </top>
      <bottom style="thin">
        <color rgb="FF7F7F7F"/>
      </bottom>
      <diagonal/>
    </border>
    <border>
      <left style="thin">
        <color rgb="FF000000"/>
      </left>
      <right/>
      <top style="thin">
        <color rgb="FF7F7F7F"/>
      </top>
      <bottom style="thin">
        <color rgb="FF000000"/>
      </bottom>
      <diagonal/>
    </border>
    <border>
      <left/>
      <right style="thin">
        <color rgb="FF000000"/>
      </right>
      <top style="thin">
        <color rgb="FF7F7F7F"/>
      </top>
      <bottom style="thin">
        <color rgb="FF000000"/>
      </bottom>
      <diagonal/>
    </border>
    <border>
      <left style="thin">
        <color rgb="FF000000"/>
      </left>
      <right style="thin">
        <color rgb="FFA5A5A5"/>
      </right>
      <top style="thin">
        <color rgb="FF7F7F7F"/>
      </top>
      <bottom style="thin">
        <color rgb="FF000000"/>
      </bottom>
      <diagonal/>
    </border>
    <border>
      <left style="thin">
        <color rgb="FFA5A5A5"/>
      </left>
      <right style="thin">
        <color rgb="FFA5A5A5"/>
      </right>
      <top style="thin">
        <color rgb="FF7F7F7F"/>
      </top>
      <bottom style="thin">
        <color rgb="FF000000"/>
      </bottom>
      <diagonal/>
    </border>
    <border>
      <left style="thin">
        <color rgb="FFA5A5A5"/>
      </left>
      <right style="thin">
        <color rgb="FF000000"/>
      </right>
      <top style="thin">
        <color rgb="FF7F7F7F"/>
      </top>
      <bottom style="thin">
        <color rgb="FF000000"/>
      </bottom>
      <diagonal/>
    </border>
    <border>
      <left style="thin">
        <color rgb="FFA5A5A5"/>
      </left>
      <right style="thin">
        <color rgb="FF7F7F7F"/>
      </right>
      <top style="thin">
        <color rgb="FF7F7F7F"/>
      </top>
      <bottom style="thin">
        <color rgb="FF000000"/>
      </bottom>
      <diagonal/>
    </border>
    <border>
      <left style="thin">
        <color rgb="FF7F7F7F"/>
      </left>
      <right style="thin">
        <color rgb="FF000000"/>
      </right>
      <top style="thin">
        <color rgb="FF7F7F7F"/>
      </top>
      <bottom style="thin">
        <color rgb="FF000000"/>
      </bottom>
      <diagonal/>
    </border>
    <border>
      <left style="thin">
        <color rgb="FF000000"/>
      </left>
      <right style="thin">
        <color rgb="FF000000"/>
      </right>
      <top style="thin">
        <color rgb="FF000000"/>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000000"/>
      </right>
      <top style="thin">
        <color rgb="FF000000"/>
      </top>
      <bottom style="thin">
        <color rgb="FFA5A5A5"/>
      </bottom>
      <diagonal/>
    </border>
    <border>
      <left style="thin">
        <color rgb="FF000000"/>
      </left>
      <right style="thin">
        <color rgb="FF000000"/>
      </right>
      <top style="thin">
        <color rgb="FFA5A5A5"/>
      </top>
      <bottom style="thin">
        <color rgb="FFA5A5A5"/>
      </bottom>
      <diagonal/>
    </border>
    <border>
      <left style="thin">
        <color rgb="FF000000"/>
      </left>
      <right style="thin">
        <color rgb="FF000000"/>
      </right>
      <top style="thin">
        <color rgb="FFA5A5A5"/>
      </top>
      <bottom style="thin">
        <color rgb="FF000000"/>
      </bottom>
      <diagonal/>
    </border>
    <border>
      <left style="thin">
        <color rgb="FF000000"/>
      </left>
      <right style="thin">
        <color rgb="FF000000"/>
      </right>
      <top style="thin">
        <color rgb="FF000000"/>
      </top>
      <bottom style="thin">
        <color rgb="FFAAAAAA"/>
      </bottom>
      <diagonal/>
    </border>
    <border>
      <left style="thin">
        <color rgb="FFAAAAAA"/>
      </left>
      <right style="thin">
        <color rgb="FF000000"/>
      </right>
      <top style="thin">
        <color rgb="FF000000"/>
      </top>
      <bottom style="thin">
        <color rgb="FF000000"/>
      </bottom>
      <diagonal/>
    </border>
    <border>
      <left style="thin">
        <color rgb="FF000000"/>
      </left>
      <right style="thin">
        <color rgb="FF000000"/>
      </right>
      <top style="thin">
        <color rgb="FFAAAAAA"/>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AAAAAA"/>
      </left>
      <right style="thin">
        <color rgb="FFAAAAAA"/>
      </right>
      <top style="thin">
        <color rgb="FF000000"/>
      </top>
      <bottom style="thin">
        <color rgb="FF000000"/>
      </bottom>
      <diagonal/>
    </border>
    <border>
      <left style="thin">
        <color rgb="FFAAAAAA"/>
      </left>
      <right style="thin">
        <color rgb="FFAAAAAA"/>
      </right>
      <top/>
      <bottom style="thin">
        <color rgb="FFAAAAAA"/>
      </bottom>
      <diagonal/>
    </border>
    <border>
      <left style="thin">
        <color rgb="FFAAAAAA"/>
      </left>
      <right/>
      <top/>
      <bottom style="thin">
        <color rgb="FFAAAAAA"/>
      </bottom>
      <diagonal/>
    </border>
    <border>
      <left/>
      <right/>
      <top style="thin">
        <color rgb="FF000000"/>
      </top>
      <bottom/>
      <diagonal/>
    </border>
  </borders>
  <cellStyleXfs count="8">
    <xf numFmtId="0" fontId="0" fillId="0" borderId="0">
      <alignment horizontal="center" vertical="top" wrapText="1"/>
    </xf>
    <xf numFmtId="0" fontId="1" fillId="2" borderId="0" applyNumberFormat="0" applyBorder="0" applyAlignment="0" applyProtection="0">
      <alignment horizontal="center" vertical="top" wrapText="1"/>
    </xf>
    <xf numFmtId="0" fontId="2" fillId="0" borderId="0" applyNumberFormat="0" applyFill="0" applyBorder="0" applyAlignment="0" applyProtection="0">
      <alignment horizontal="center" vertical="top" wrapText="1"/>
    </xf>
    <xf numFmtId="0" fontId="3" fillId="0" borderId="0" applyNumberFormat="0" applyFill="0" applyBorder="0" applyAlignment="0" applyProtection="0">
      <alignment horizontal="center" vertical="top" wrapText="1"/>
    </xf>
    <xf numFmtId="0" fontId="4" fillId="0" borderId="0" applyNumberFormat="0" applyFill="0" applyBorder="0" applyAlignment="0" applyProtection="0">
      <alignment horizontal="center" vertical="top" wrapText="1"/>
    </xf>
    <xf numFmtId="0" fontId="5" fillId="0" borderId="0" applyNumberFormat="0" applyFill="0" applyBorder="0" applyAlignment="0" applyProtection="0">
      <alignment horizontal="center" vertical="top" wrapText="1"/>
    </xf>
    <xf numFmtId="0" fontId="6" fillId="0" borderId="0" applyNumberFormat="0" applyFill="0" applyBorder="0" applyAlignment="0" applyProtection="0">
      <alignment horizontal="center" vertical="top" wrapText="1"/>
    </xf>
    <xf numFmtId="0" fontId="7" fillId="0" borderId="0" applyNumberFormat="0" applyFill="0" applyBorder="0" applyAlignment="0" applyProtection="0">
      <alignment horizontal="center" vertical="top" wrapText="1"/>
    </xf>
  </cellStyleXfs>
  <cellXfs count="317">
    <xf numFmtId="0" fontId="0" fillId="0" borderId="0" xfId="0">
      <alignment horizontal="center" vertical="top"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0" fillId="0" borderId="0" xfId="0" applyAlignment="1">
      <alignment horizontal="center" vertical="top" wrapText="1"/>
    </xf>
    <xf numFmtId="49" fontId="10" fillId="3" borderId="6" xfId="0" applyNumberFormat="1" applyFont="1" applyFill="1" applyBorder="1" applyAlignment="1">
      <alignment horizontal="center" vertical="center"/>
    </xf>
    <xf numFmtId="0" fontId="11" fillId="3" borderId="6" xfId="0" applyFont="1" applyFill="1" applyBorder="1" applyAlignment="1">
      <alignment horizontal="center" vertical="top" wrapText="1"/>
    </xf>
    <xf numFmtId="0" fontId="11" fillId="3" borderId="7" xfId="0" applyFont="1" applyFill="1" applyBorder="1" applyAlignment="1">
      <alignment horizontal="center" vertical="top" wrapText="1"/>
    </xf>
    <xf numFmtId="49" fontId="13" fillId="3" borderId="9" xfId="0" applyNumberFormat="1" applyFont="1" applyFill="1" applyBorder="1" applyAlignment="1">
      <alignment horizontal="center" vertical="center"/>
    </xf>
    <xf numFmtId="49" fontId="14" fillId="3" borderId="9" xfId="0" applyNumberFormat="1" applyFont="1" applyFill="1" applyBorder="1" applyAlignment="1">
      <alignment horizontal="center" vertical="center" wrapText="1"/>
    </xf>
    <xf numFmtId="49" fontId="14" fillId="3" borderId="9" xfId="0" applyNumberFormat="1" applyFont="1" applyFill="1" applyBorder="1" applyAlignment="1">
      <alignment horizontal="center" vertical="center"/>
    </xf>
    <xf numFmtId="49" fontId="14" fillId="3" borderId="10" xfId="0" applyNumberFormat="1" applyFont="1" applyFill="1" applyBorder="1" applyAlignment="1">
      <alignment horizontal="center" vertical="center" wrapText="1"/>
    </xf>
    <xf numFmtId="49" fontId="10" fillId="3" borderId="11" xfId="0" applyNumberFormat="1" applyFont="1" applyFill="1" applyBorder="1" applyAlignment="1">
      <alignment horizontal="center" vertical="center"/>
    </xf>
    <xf numFmtId="0" fontId="11" fillId="3" borderId="11" xfId="0" applyFont="1" applyFill="1" applyBorder="1" applyAlignment="1">
      <alignment horizontal="center" vertical="top" wrapText="1"/>
    </xf>
    <xf numFmtId="0" fontId="11" fillId="3" borderId="12" xfId="0" applyFont="1" applyFill="1" applyBorder="1" applyAlignment="1">
      <alignment horizontal="center" vertical="top" wrapText="1"/>
    </xf>
    <xf numFmtId="49" fontId="7" fillId="3" borderId="13" xfId="0" applyNumberFormat="1" applyFont="1" applyFill="1" applyBorder="1" applyAlignment="1">
      <alignment horizontal="right" vertical="center"/>
    </xf>
    <xf numFmtId="49" fontId="7" fillId="4" borderId="14" xfId="0" applyNumberFormat="1" applyFont="1" applyFill="1" applyBorder="1" applyAlignment="1" applyProtection="1">
      <alignment horizontal="center" vertical="center" wrapText="1"/>
      <protection locked="0"/>
    </xf>
    <xf numFmtId="49" fontId="14" fillId="3" borderId="15" xfId="0" applyNumberFormat="1"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15" xfId="0" applyFont="1" applyFill="1" applyBorder="1" applyAlignment="1">
      <alignment horizontal="center" vertical="center"/>
    </xf>
    <xf numFmtId="0" fontId="14" fillId="3" borderId="16" xfId="0" applyFont="1" applyFill="1" applyBorder="1" applyAlignment="1">
      <alignment horizontal="center" vertical="center" wrapText="1"/>
    </xf>
    <xf numFmtId="0" fontId="15" fillId="3" borderId="17"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49" fontId="16" fillId="3" borderId="19" xfId="0" applyNumberFormat="1" applyFont="1" applyFill="1" applyBorder="1" applyAlignment="1">
      <alignment horizontal="center" vertical="center"/>
    </xf>
    <xf numFmtId="49" fontId="12" fillId="3" borderId="20" xfId="0" applyNumberFormat="1" applyFont="1" applyFill="1" applyBorder="1" applyAlignment="1">
      <alignment horizontal="center" vertical="center"/>
    </xf>
    <xf numFmtId="49" fontId="1" fillId="3" borderId="20" xfId="0" applyNumberFormat="1" applyFont="1" applyFill="1" applyBorder="1" applyAlignment="1">
      <alignment horizontal="center" vertical="center"/>
    </xf>
    <xf numFmtId="49" fontId="14" fillId="3" borderId="20" xfId="0" applyNumberFormat="1" applyFont="1" applyFill="1" applyBorder="1" applyAlignment="1">
      <alignment horizontal="center" vertical="center"/>
    </xf>
    <xf numFmtId="49" fontId="1" fillId="3" borderId="21" xfId="0" applyNumberFormat="1" applyFont="1" applyFill="1" applyBorder="1" applyAlignment="1">
      <alignment horizontal="center" vertical="center"/>
    </xf>
    <xf numFmtId="49" fontId="17" fillId="3" borderId="17" xfId="0" applyNumberFormat="1" applyFont="1" applyFill="1" applyBorder="1" applyAlignment="1">
      <alignment horizontal="center" vertical="center"/>
    </xf>
    <xf numFmtId="49" fontId="17" fillId="3" borderId="18" xfId="0" applyNumberFormat="1" applyFont="1" applyFill="1" applyBorder="1" applyAlignment="1">
      <alignment horizontal="center" vertical="center"/>
    </xf>
    <xf numFmtId="49" fontId="16" fillId="3" borderId="22" xfId="0" applyNumberFormat="1" applyFont="1" applyFill="1" applyBorder="1" applyAlignment="1">
      <alignment horizontal="center" vertical="center"/>
    </xf>
    <xf numFmtId="49" fontId="12" fillId="3" borderId="23" xfId="0" applyNumberFormat="1" applyFont="1" applyFill="1" applyBorder="1" applyAlignment="1">
      <alignment horizontal="center" vertical="center" wrapText="1"/>
    </xf>
    <xf numFmtId="49" fontId="18" fillId="3" borderId="23" xfId="0" applyNumberFormat="1" applyFont="1" applyFill="1" applyBorder="1" applyAlignment="1">
      <alignment horizontal="center" vertical="center" wrapText="1"/>
    </xf>
    <xf numFmtId="2" fontId="16" fillId="3" borderId="23" xfId="0" applyNumberFormat="1" applyFont="1" applyFill="1" applyBorder="1" applyAlignment="1">
      <alignment horizontal="center" vertical="center" wrapText="1"/>
    </xf>
    <xf numFmtId="9" fontId="12" fillId="3" borderId="23" xfId="0" applyNumberFormat="1" applyFont="1" applyFill="1" applyBorder="1" applyAlignment="1">
      <alignment horizontal="center" vertical="center" wrapText="1"/>
    </xf>
    <xf numFmtId="9" fontId="19" fillId="3" borderId="23" xfId="0" applyNumberFormat="1" applyFont="1" applyFill="1" applyBorder="1" applyAlignment="1">
      <alignment horizontal="center" vertical="center"/>
    </xf>
    <xf numFmtId="9" fontId="20" fillId="3" borderId="23" xfId="0" applyNumberFormat="1" applyFont="1" applyFill="1" applyBorder="1" applyAlignment="1">
      <alignment horizontal="center" vertical="center"/>
    </xf>
    <xf numFmtId="49" fontId="14" fillId="3" borderId="23" xfId="0" applyNumberFormat="1" applyFont="1" applyFill="1" applyBorder="1" applyAlignment="1">
      <alignment horizontal="center" vertical="center"/>
    </xf>
    <xf numFmtId="165" fontId="21" fillId="3" borderId="23" xfId="0" applyNumberFormat="1" applyFont="1" applyFill="1" applyBorder="1" applyAlignment="1">
      <alignment horizontal="center" vertical="center"/>
    </xf>
    <xf numFmtId="49" fontId="0" fillId="3" borderId="24" xfId="0" applyNumberFormat="1" applyFill="1" applyBorder="1" applyAlignment="1">
      <alignment horizontal="center" vertical="center" wrapText="1"/>
    </xf>
    <xf numFmtId="2" fontId="13" fillId="3" borderId="17" xfId="0" applyNumberFormat="1" applyFont="1" applyFill="1" applyBorder="1" applyAlignment="1">
      <alignment horizontal="center" vertical="center" wrapText="1"/>
    </xf>
    <xf numFmtId="2" fontId="17" fillId="3" borderId="17" xfId="0" applyNumberFormat="1" applyFont="1" applyFill="1" applyBorder="1" applyAlignment="1">
      <alignment horizontal="center" vertical="center"/>
    </xf>
    <xf numFmtId="2" fontId="17" fillId="3" borderId="18" xfId="0" applyNumberFormat="1" applyFont="1" applyFill="1" applyBorder="1" applyAlignment="1">
      <alignment horizontal="center" vertical="center"/>
    </xf>
    <xf numFmtId="2" fontId="17" fillId="3" borderId="17" xfId="0" applyNumberFormat="1" applyFont="1" applyFill="1" applyBorder="1" applyAlignment="1">
      <alignment horizontal="center" vertical="center" wrapText="1"/>
    </xf>
    <xf numFmtId="49" fontId="16" fillId="3" borderId="25" xfId="0" applyNumberFormat="1" applyFont="1" applyFill="1" applyBorder="1" applyAlignment="1">
      <alignment horizontal="center" vertical="center"/>
    </xf>
    <xf numFmtId="49" fontId="12" fillId="3" borderId="26" xfId="0" applyNumberFormat="1" applyFont="1" applyFill="1" applyBorder="1" applyAlignment="1">
      <alignment horizontal="center" vertical="center" wrapText="1"/>
    </xf>
    <xf numFmtId="49" fontId="18" fillId="3" borderId="26" xfId="0" applyNumberFormat="1" applyFont="1" applyFill="1" applyBorder="1" applyAlignment="1">
      <alignment horizontal="center" vertical="center" wrapText="1"/>
    </xf>
    <xf numFmtId="2" fontId="16" fillId="3" borderId="27" xfId="0" applyNumberFormat="1" applyFont="1" applyFill="1" applyBorder="1" applyAlignment="1">
      <alignment horizontal="center" vertical="center" wrapText="1"/>
    </xf>
    <xf numFmtId="9" fontId="12" fillId="3" borderId="27" xfId="0" applyNumberFormat="1" applyFont="1" applyFill="1" applyBorder="1" applyAlignment="1">
      <alignment horizontal="center" vertical="center" wrapText="1"/>
    </xf>
    <xf numFmtId="9" fontId="19" fillId="3" borderId="27" xfId="0" applyNumberFormat="1" applyFont="1" applyFill="1" applyBorder="1" applyAlignment="1">
      <alignment horizontal="center" vertical="center"/>
    </xf>
    <xf numFmtId="9" fontId="20" fillId="3" borderId="27" xfId="0" applyNumberFormat="1" applyFont="1" applyFill="1" applyBorder="1" applyAlignment="1">
      <alignment horizontal="center" vertical="center"/>
    </xf>
    <xf numFmtId="49" fontId="14" fillId="3" borderId="27" xfId="0" applyNumberFormat="1" applyFont="1" applyFill="1" applyBorder="1" applyAlignment="1">
      <alignment horizontal="center" vertical="center"/>
    </xf>
    <xf numFmtId="165" fontId="21" fillId="3" borderId="27" xfId="0" applyNumberFormat="1" applyFont="1" applyFill="1" applyBorder="1" applyAlignment="1">
      <alignment horizontal="center" vertical="center"/>
    </xf>
    <xf numFmtId="49" fontId="0" fillId="3" borderId="28" xfId="0" applyNumberFormat="1" applyFill="1" applyBorder="1" applyAlignment="1">
      <alignment horizontal="center" vertical="center" wrapText="1"/>
    </xf>
    <xf numFmtId="2" fontId="17" fillId="3" borderId="29" xfId="0" applyNumberFormat="1" applyFont="1" applyFill="1" applyBorder="1" applyAlignment="1">
      <alignment horizontal="center" vertical="center" wrapText="1"/>
    </xf>
    <xf numFmtId="2" fontId="17" fillId="3" borderId="29" xfId="0" applyNumberFormat="1" applyFont="1" applyFill="1" applyBorder="1" applyAlignment="1">
      <alignment horizontal="center" vertical="center"/>
    </xf>
    <xf numFmtId="2" fontId="17" fillId="3" borderId="30" xfId="0" applyNumberFormat="1" applyFont="1" applyFill="1" applyBorder="1" applyAlignment="1">
      <alignment horizontal="center" vertical="center"/>
    </xf>
    <xf numFmtId="49" fontId="19" fillId="3" borderId="31" xfId="0" applyNumberFormat="1" applyFont="1" applyFill="1" applyBorder="1" applyAlignment="1">
      <alignment horizontal="center" vertical="center" wrapText="1"/>
    </xf>
    <xf numFmtId="49" fontId="19" fillId="3" borderId="32" xfId="0" applyNumberFormat="1" applyFont="1" applyFill="1" applyBorder="1" applyAlignment="1">
      <alignment horizontal="center" vertical="center" wrapText="1"/>
    </xf>
    <xf numFmtId="49" fontId="20" fillId="3" borderId="33" xfId="0" applyNumberFormat="1" applyFont="1" applyFill="1" applyBorder="1" applyAlignment="1">
      <alignment horizontal="center" vertical="center" wrapText="1"/>
    </xf>
    <xf numFmtId="49" fontId="7" fillId="3"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7" fillId="3" borderId="35" xfId="0" applyNumberFormat="1" applyFont="1" applyFill="1" applyBorder="1" applyAlignment="1" applyProtection="1">
      <alignment horizontal="center" vertical="center" wrapText="1"/>
      <protection locked="0"/>
    </xf>
    <xf numFmtId="49" fontId="7" fillId="3" borderId="35" xfId="0" applyNumberFormat="1" applyFont="1" applyFill="1" applyBorder="1" applyAlignment="1">
      <alignment horizontal="center" vertical="center"/>
    </xf>
    <xf numFmtId="49" fontId="7" fillId="3" borderId="36" xfId="0" applyNumberFormat="1" applyFont="1" applyFill="1" applyBorder="1" applyAlignment="1">
      <alignment horizontal="center" vertical="center" wrapText="1"/>
    </xf>
    <xf numFmtId="49" fontId="17" fillId="3" borderId="37" xfId="0" applyNumberFormat="1" applyFont="1" applyFill="1" applyBorder="1" applyAlignment="1">
      <alignment horizontal="center" vertical="center" wrapText="1"/>
    </xf>
    <xf numFmtId="49" fontId="7" fillId="3" borderId="37" xfId="0" applyNumberFormat="1" applyFont="1" applyFill="1" applyBorder="1" applyAlignment="1">
      <alignment horizontal="center" vertical="center" wrapText="1"/>
    </xf>
    <xf numFmtId="49" fontId="7" fillId="3" borderId="38" xfId="0" applyNumberFormat="1" applyFont="1" applyFill="1" applyBorder="1" applyAlignment="1">
      <alignment horizontal="center" vertical="center" wrapText="1"/>
    </xf>
    <xf numFmtId="49" fontId="7" fillId="3" borderId="39" xfId="0" applyNumberFormat="1" applyFont="1" applyFill="1" applyBorder="1" applyAlignment="1">
      <alignment horizontal="right" vertical="center" wrapText="1"/>
    </xf>
    <xf numFmtId="49" fontId="7" fillId="5" borderId="40" xfId="0" applyNumberFormat="1" applyFont="1" applyFill="1" applyBorder="1" applyAlignment="1" applyProtection="1">
      <alignment horizontal="center" vertical="center" wrapText="1"/>
      <protection locked="0"/>
    </xf>
    <xf numFmtId="49" fontId="22" fillId="3" borderId="40" xfId="0" applyNumberFormat="1" applyFont="1" applyFill="1" applyBorder="1" applyAlignment="1">
      <alignment horizontal="center" vertical="center"/>
    </xf>
    <xf numFmtId="0" fontId="23" fillId="3" borderId="41" xfId="0" applyFont="1" applyFill="1" applyBorder="1" applyAlignment="1" applyProtection="1">
      <alignment horizontal="center" vertical="center"/>
      <protection locked="0"/>
    </xf>
    <xf numFmtId="49" fontId="21" fillId="3" borderId="41" xfId="0" applyNumberFormat="1" applyFont="1" applyFill="1" applyBorder="1" applyAlignment="1">
      <alignment horizontal="center" vertical="center"/>
    </xf>
    <xf numFmtId="0" fontId="7" fillId="3" borderId="41" xfId="0" applyFont="1" applyFill="1" applyBorder="1" applyAlignment="1" applyProtection="1">
      <alignment horizontal="center" vertical="center" wrapText="1"/>
      <protection locked="0"/>
    </xf>
    <xf numFmtId="0" fontId="21" fillId="3" borderId="41" xfId="0" applyFont="1" applyFill="1" applyBorder="1" applyAlignment="1">
      <alignment horizontal="right" vertical="center" wrapText="1"/>
    </xf>
    <xf numFmtId="1" fontId="22" fillId="3" borderId="41" xfId="0" applyNumberFormat="1" applyFont="1" applyFill="1" applyBorder="1" applyAlignment="1">
      <alignment horizontal="center" vertical="center"/>
    </xf>
    <xf numFmtId="0" fontId="7" fillId="3" borderId="42" xfId="0" applyFont="1" applyFill="1" applyBorder="1" applyAlignment="1" applyProtection="1">
      <alignment horizontal="center" vertical="center" wrapText="1"/>
      <protection locked="0"/>
    </xf>
    <xf numFmtId="0" fontId="17" fillId="3" borderId="43" xfId="0" applyFont="1" applyFill="1" applyBorder="1" applyAlignment="1">
      <alignment horizontal="center" vertical="center" wrapText="1"/>
    </xf>
    <xf numFmtId="0" fontId="0" fillId="3" borderId="43" xfId="0" applyFill="1" applyBorder="1" applyAlignment="1">
      <alignment horizontal="center" vertical="top" wrapText="1"/>
    </xf>
    <xf numFmtId="0" fontId="0" fillId="3" borderId="44" xfId="0" applyFill="1" applyBorder="1" applyAlignment="1">
      <alignment horizontal="center" vertical="top" wrapText="1"/>
    </xf>
    <xf numFmtId="49" fontId="7" fillId="3" borderId="45" xfId="0" applyNumberFormat="1" applyFont="1" applyFill="1" applyBorder="1" applyAlignment="1">
      <alignment horizontal="right" vertical="center" wrapText="1"/>
    </xf>
    <xf numFmtId="49" fontId="7" fillId="6" borderId="46" xfId="0" applyNumberFormat="1" applyFont="1" applyFill="1" applyBorder="1" applyAlignment="1" applyProtection="1">
      <alignment horizontal="center" vertical="center" wrapText="1"/>
      <protection locked="0"/>
    </xf>
    <xf numFmtId="49" fontId="22" fillId="3" borderId="46" xfId="0" applyNumberFormat="1" applyFont="1" applyFill="1" applyBorder="1" applyAlignment="1">
      <alignment horizontal="center" vertical="center"/>
    </xf>
    <xf numFmtId="49" fontId="17" fillId="3" borderId="46" xfId="0" applyNumberFormat="1" applyFont="1" applyFill="1" applyBorder="1" applyAlignment="1">
      <alignment horizontal="center" vertical="center"/>
    </xf>
    <xf numFmtId="49" fontId="21" fillId="3" borderId="46" xfId="0" applyNumberFormat="1" applyFont="1" applyFill="1" applyBorder="1" applyAlignment="1">
      <alignment horizontal="center" vertical="center"/>
    </xf>
    <xf numFmtId="0" fontId="7" fillId="3" borderId="46" xfId="0" applyFont="1" applyFill="1" applyBorder="1" applyAlignment="1" applyProtection="1">
      <alignment horizontal="center" vertical="center" wrapText="1"/>
      <protection locked="0"/>
    </xf>
    <xf numFmtId="0" fontId="21" fillId="3" borderId="46" xfId="0" applyFont="1" applyFill="1" applyBorder="1" applyAlignment="1">
      <alignment horizontal="right" vertical="center" wrapText="1"/>
    </xf>
    <xf numFmtId="1" fontId="22" fillId="3" borderId="46" xfId="0" applyNumberFormat="1" applyFont="1" applyFill="1" applyBorder="1" applyAlignment="1">
      <alignment horizontal="center" vertical="center"/>
    </xf>
    <xf numFmtId="49" fontId="17" fillId="3" borderId="47" xfId="0" applyNumberFormat="1" applyFont="1" applyFill="1" applyBorder="1" applyAlignment="1">
      <alignment horizontal="center" vertical="center"/>
    </xf>
    <xf numFmtId="0" fontId="17" fillId="3" borderId="17" xfId="0" applyFont="1" applyFill="1" applyBorder="1" applyAlignment="1">
      <alignment horizontal="center" vertical="center" wrapText="1"/>
    </xf>
    <xf numFmtId="0" fontId="0" fillId="3" borderId="17" xfId="0" applyFill="1" applyBorder="1" applyAlignment="1">
      <alignment horizontal="center" vertical="top" wrapText="1"/>
    </xf>
    <xf numFmtId="0" fontId="0" fillId="3" borderId="18" xfId="0" applyFill="1" applyBorder="1" applyAlignment="1">
      <alignment horizontal="center" vertical="top" wrapText="1"/>
    </xf>
    <xf numFmtId="49" fontId="25" fillId="3" borderId="50" xfId="0" applyNumberFormat="1" applyFont="1" applyFill="1" applyBorder="1" applyAlignment="1">
      <alignment horizontal="center" vertical="center" wrapText="1"/>
    </xf>
    <xf numFmtId="49" fontId="19" fillId="3" borderId="51" xfId="0" applyNumberFormat="1" applyFont="1" applyFill="1" applyBorder="1" applyAlignment="1">
      <alignment horizontal="right" vertical="center" wrapText="1"/>
    </xf>
    <xf numFmtId="164" fontId="19" fillId="3" borderId="52" xfId="0" applyNumberFormat="1" applyFont="1" applyFill="1" applyBorder="1" applyAlignment="1">
      <alignment horizontal="right" vertical="center" wrapText="1"/>
    </xf>
    <xf numFmtId="165" fontId="19" fillId="3" borderId="53" xfId="0" applyNumberFormat="1" applyFont="1" applyFill="1" applyBorder="1" applyAlignment="1">
      <alignment horizontal="center" vertical="center"/>
    </xf>
    <xf numFmtId="49" fontId="19" fillId="3" borderId="51" xfId="0" applyNumberFormat="1" applyFont="1" applyFill="1" applyBorder="1" applyAlignment="1">
      <alignment horizontal="center" vertical="center"/>
    </xf>
    <xf numFmtId="2" fontId="19" fillId="3" borderId="54" xfId="0" applyNumberFormat="1" applyFont="1" applyFill="1" applyBorder="1" applyAlignment="1">
      <alignment horizontal="center" vertical="center" wrapText="1"/>
    </xf>
    <xf numFmtId="0" fontId="0" fillId="3" borderId="17" xfId="0" applyFill="1" applyBorder="1" applyAlignment="1">
      <alignment horizontal="right" vertical="top" wrapText="1"/>
    </xf>
    <xf numFmtId="0" fontId="26" fillId="3" borderId="17" xfId="0" applyFont="1" applyFill="1" applyBorder="1" applyAlignment="1">
      <alignment horizontal="center" vertical="center" wrapText="1"/>
    </xf>
    <xf numFmtId="0" fontId="26" fillId="3" borderId="18" xfId="0" applyFont="1" applyFill="1" applyBorder="1" applyAlignment="1">
      <alignment horizontal="center"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49" fontId="27" fillId="3" borderId="57" xfId="0" applyNumberFormat="1" applyFont="1" applyFill="1" applyBorder="1" applyAlignment="1">
      <alignment horizontal="center" vertical="center" wrapText="1"/>
    </xf>
    <xf numFmtId="49" fontId="12" fillId="3" borderId="57" xfId="0" applyNumberFormat="1" applyFont="1" applyFill="1" applyBorder="1" applyAlignment="1">
      <alignment horizontal="center" vertical="center"/>
    </xf>
    <xf numFmtId="49" fontId="12" fillId="3" borderId="57" xfId="0" applyNumberFormat="1" applyFont="1" applyFill="1" applyBorder="1" applyAlignment="1">
      <alignment horizontal="center" vertical="center" wrapText="1"/>
    </xf>
    <xf numFmtId="49" fontId="19" fillId="3" borderId="57" xfId="0" applyNumberFormat="1" applyFont="1" applyFill="1" applyBorder="1" applyAlignment="1">
      <alignment horizontal="center" vertical="center"/>
    </xf>
    <xf numFmtId="49" fontId="19" fillId="3" borderId="57" xfId="0" applyNumberFormat="1" applyFont="1" applyFill="1" applyBorder="1" applyAlignment="1">
      <alignment horizontal="center" vertical="center" wrapText="1"/>
    </xf>
    <xf numFmtId="49" fontId="21" fillId="3" borderId="58" xfId="0" applyNumberFormat="1" applyFont="1" applyFill="1" applyBorder="1" applyAlignment="1">
      <alignment horizontal="center" vertical="center"/>
    </xf>
    <xf numFmtId="49" fontId="21" fillId="3" borderId="59" xfId="0" applyNumberFormat="1" applyFont="1" applyFill="1" applyBorder="1" applyAlignment="1">
      <alignment horizontal="center" vertical="center"/>
    </xf>
    <xf numFmtId="49" fontId="28" fillId="3" borderId="23" xfId="0" applyNumberFormat="1" applyFont="1" applyFill="1" applyBorder="1" applyAlignment="1">
      <alignment horizontal="center" vertical="center" wrapText="1"/>
    </xf>
    <xf numFmtId="49" fontId="0" fillId="3" borderId="23" xfId="0" applyNumberFormat="1" applyFill="1" applyBorder="1" applyAlignment="1">
      <alignment horizontal="center" vertical="center"/>
    </xf>
    <xf numFmtId="9" fontId="16" fillId="3" borderId="23" xfId="0" applyNumberFormat="1" applyFont="1" applyFill="1" applyBorder="1" applyAlignment="1">
      <alignment horizontal="center" vertical="center" wrapText="1"/>
    </xf>
    <xf numFmtId="9" fontId="29" fillId="3" borderId="23" xfId="0" applyNumberFormat="1" applyFont="1" applyFill="1" applyBorder="1" applyAlignment="1">
      <alignment horizontal="center" vertical="center"/>
    </xf>
    <xf numFmtId="49" fontId="19" fillId="3" borderId="23" xfId="0" applyNumberFormat="1" applyFont="1" applyFill="1" applyBorder="1" applyAlignment="1">
      <alignment horizontal="center" vertical="center"/>
    </xf>
    <xf numFmtId="9" fontId="21" fillId="3" borderId="23" xfId="0" applyNumberFormat="1" applyFont="1" applyFill="1" applyBorder="1" applyAlignment="1">
      <alignment horizontal="center" vertical="center" wrapText="1"/>
    </xf>
    <xf numFmtId="9" fontId="21" fillId="3" borderId="23" xfId="0" applyNumberFormat="1" applyFont="1" applyFill="1" applyBorder="1" applyAlignment="1">
      <alignment horizontal="center" vertical="center"/>
    </xf>
    <xf numFmtId="49" fontId="21" fillId="3" borderId="24" xfId="0" applyNumberFormat="1" applyFont="1" applyFill="1" applyBorder="1" applyAlignment="1">
      <alignment horizontal="center" vertical="center"/>
    </xf>
    <xf numFmtId="49" fontId="21" fillId="3" borderId="37" xfId="0" applyNumberFormat="1" applyFont="1" applyFill="1" applyBorder="1" applyAlignment="1">
      <alignment horizontal="center" vertical="center"/>
    </xf>
    <xf numFmtId="9" fontId="30" fillId="3" borderId="17" xfId="0" applyNumberFormat="1" applyFont="1" applyFill="1" applyBorder="1" applyAlignment="1">
      <alignment horizontal="center" vertical="center"/>
    </xf>
    <xf numFmtId="9" fontId="13" fillId="3" borderId="17" xfId="0" applyNumberFormat="1" applyFont="1" applyFill="1" applyBorder="1" applyAlignment="1">
      <alignment horizontal="center" vertical="center"/>
    </xf>
    <xf numFmtId="0" fontId="13" fillId="3" borderId="17" xfId="0" applyFont="1" applyFill="1" applyBorder="1" applyAlignment="1">
      <alignment horizontal="left" vertical="center" wrapText="1"/>
    </xf>
    <xf numFmtId="0" fontId="17" fillId="3" borderId="17" xfId="0" applyFont="1" applyFill="1" applyBorder="1" applyAlignment="1">
      <alignment horizontal="left" vertical="center" wrapText="1"/>
    </xf>
    <xf numFmtId="49" fontId="28" fillId="3" borderId="60" xfId="0" applyNumberFormat="1" applyFont="1" applyFill="1" applyBorder="1" applyAlignment="1">
      <alignment horizontal="center" vertical="center" wrapText="1"/>
    </xf>
    <xf numFmtId="49" fontId="0" fillId="3" borderId="60" xfId="0" applyNumberFormat="1" applyFill="1" applyBorder="1" applyAlignment="1">
      <alignment horizontal="center" vertical="center"/>
    </xf>
    <xf numFmtId="9" fontId="16" fillId="3" borderId="60" xfId="0" applyNumberFormat="1" applyFont="1" applyFill="1" applyBorder="1" applyAlignment="1">
      <alignment horizontal="center" vertical="center" wrapText="1"/>
    </xf>
    <xf numFmtId="9" fontId="29" fillId="3" borderId="60" xfId="0" applyNumberFormat="1" applyFont="1" applyFill="1" applyBorder="1" applyAlignment="1">
      <alignment horizontal="center" vertical="center"/>
    </xf>
    <xf numFmtId="49" fontId="19" fillId="3" borderId="60" xfId="0" applyNumberFormat="1" applyFont="1" applyFill="1" applyBorder="1" applyAlignment="1">
      <alignment horizontal="center" vertical="center"/>
    </xf>
    <xf numFmtId="9" fontId="21" fillId="3" borderId="60" xfId="0" applyNumberFormat="1" applyFont="1" applyFill="1" applyBorder="1" applyAlignment="1">
      <alignment horizontal="center" vertical="center" wrapText="1"/>
    </xf>
    <xf numFmtId="9" fontId="21" fillId="3" borderId="60" xfId="0" applyNumberFormat="1" applyFont="1" applyFill="1" applyBorder="1" applyAlignment="1">
      <alignment horizontal="center" vertical="center"/>
    </xf>
    <xf numFmtId="49" fontId="21" fillId="3" borderId="61" xfId="0" applyNumberFormat="1" applyFont="1" applyFill="1" applyBorder="1" applyAlignment="1">
      <alignment horizontal="center" vertical="center"/>
    </xf>
    <xf numFmtId="49" fontId="21" fillId="3" borderId="62" xfId="0" applyNumberFormat="1" applyFont="1" applyFill="1" applyBorder="1" applyAlignment="1">
      <alignment horizontal="center" vertical="center"/>
    </xf>
    <xf numFmtId="2" fontId="7" fillId="3" borderId="63" xfId="0" applyNumberFormat="1" applyFont="1" applyFill="1" applyBorder="1" applyAlignment="1" applyProtection="1">
      <alignment horizontal="center" vertical="center"/>
      <protection locked="0"/>
    </xf>
    <xf numFmtId="49" fontId="31" fillId="3" borderId="17" xfId="0" applyNumberFormat="1" applyFont="1" applyFill="1" applyBorder="1" applyAlignment="1">
      <alignment horizontal="right" vertical="center"/>
    </xf>
    <xf numFmtId="0" fontId="7" fillId="3" borderId="66" xfId="0" applyFont="1" applyFill="1" applyBorder="1" applyAlignment="1">
      <alignment horizontal="center" vertical="center"/>
    </xf>
    <xf numFmtId="0" fontId="27" fillId="3" borderId="67" xfId="0" applyFont="1" applyFill="1" applyBorder="1" applyAlignment="1">
      <alignment horizontal="center" vertical="center"/>
    </xf>
    <xf numFmtId="0" fontId="0" fillId="3" borderId="17" xfId="0" applyFill="1" applyBorder="1" applyAlignment="1">
      <alignment horizontal="right" vertical="center"/>
    </xf>
    <xf numFmtId="49" fontId="12" fillId="3" borderId="19" xfId="0" applyNumberFormat="1" applyFont="1" applyFill="1" applyBorder="1" applyAlignment="1">
      <alignment horizontal="center" vertical="center" wrapText="1"/>
    </xf>
    <xf numFmtId="49" fontId="12" fillId="3" borderId="20" xfId="0" applyNumberFormat="1" applyFont="1" applyFill="1" applyBorder="1" applyAlignment="1">
      <alignment horizontal="center" vertical="center" wrapText="1"/>
    </xf>
    <xf numFmtId="49" fontId="12" fillId="3" borderId="21" xfId="0" applyNumberFormat="1" applyFont="1" applyFill="1" applyBorder="1" applyAlignment="1">
      <alignment horizontal="center" vertical="center" wrapText="1"/>
    </xf>
    <xf numFmtId="1" fontId="12" fillId="3" borderId="22" xfId="0" applyNumberFormat="1" applyFont="1" applyFill="1" applyBorder="1" applyAlignment="1">
      <alignment horizontal="center" vertical="center" wrapText="1"/>
    </xf>
    <xf numFmtId="49" fontId="16" fillId="3" borderId="23" xfId="0" applyNumberFormat="1" applyFont="1" applyFill="1" applyBorder="1" applyAlignment="1">
      <alignment horizontal="center" vertical="center" wrapText="1"/>
    </xf>
    <xf numFmtId="0" fontId="12" fillId="3" borderId="23" xfId="0" applyFont="1" applyFill="1" applyBorder="1" applyAlignment="1">
      <alignment horizontal="center" vertical="center" wrapText="1"/>
    </xf>
    <xf numFmtId="49" fontId="16" fillId="3" borderId="23" xfId="0" applyNumberFormat="1" applyFont="1" applyFill="1" applyBorder="1" applyAlignment="1">
      <alignment horizontal="center" vertical="center"/>
    </xf>
    <xf numFmtId="0" fontId="16" fillId="3" borderId="23" xfId="0" applyFont="1" applyFill="1" applyBorder="1" applyAlignment="1">
      <alignment horizontal="center" vertical="center" wrapText="1"/>
    </xf>
    <xf numFmtId="164" fontId="12" fillId="3" borderId="24" xfId="0" applyNumberFormat="1" applyFont="1" applyFill="1" applyBorder="1" applyAlignment="1">
      <alignment horizontal="center" vertical="center" wrapText="1"/>
    </xf>
    <xf numFmtId="0" fontId="32" fillId="3" borderId="17" xfId="0" applyFont="1" applyFill="1" applyBorder="1" applyAlignment="1">
      <alignment horizontal="center" vertical="center" wrapText="1"/>
    </xf>
    <xf numFmtId="49" fontId="29" fillId="3" borderId="23" xfId="0" applyNumberFormat="1" applyFont="1" applyFill="1" applyBorder="1" applyAlignment="1">
      <alignment horizontal="center" vertical="center"/>
    </xf>
    <xf numFmtId="1" fontId="12" fillId="3" borderId="68" xfId="0" applyNumberFormat="1" applyFont="1" applyFill="1" applyBorder="1" applyAlignment="1">
      <alignment horizontal="center" vertical="center" wrapText="1"/>
    </xf>
    <xf numFmtId="49" fontId="12" fillId="3" borderId="69" xfId="0" applyNumberFormat="1" applyFont="1" applyFill="1" applyBorder="1" applyAlignment="1">
      <alignment horizontal="center" vertical="center" wrapText="1"/>
    </xf>
    <xf numFmtId="49" fontId="16" fillId="3" borderId="69" xfId="0" applyNumberFormat="1" applyFont="1" applyFill="1" applyBorder="1" applyAlignment="1">
      <alignment horizontal="center" vertical="center" wrapText="1"/>
    </xf>
    <xf numFmtId="0" fontId="12" fillId="3" borderId="69" xfId="0" applyFont="1" applyFill="1" applyBorder="1" applyAlignment="1">
      <alignment horizontal="center" vertical="center" wrapText="1"/>
    </xf>
    <xf numFmtId="49" fontId="16" fillId="3" borderId="69" xfId="0" applyNumberFormat="1" applyFont="1" applyFill="1" applyBorder="1" applyAlignment="1">
      <alignment horizontal="center" vertical="center"/>
    </xf>
    <xf numFmtId="0" fontId="16" fillId="3" borderId="69" xfId="0" applyFont="1" applyFill="1" applyBorder="1" applyAlignment="1">
      <alignment horizontal="center" vertical="center" wrapText="1"/>
    </xf>
    <xf numFmtId="164" fontId="12" fillId="3" borderId="70" xfId="0" applyNumberFormat="1" applyFont="1" applyFill="1" applyBorder="1" applyAlignment="1">
      <alignment horizontal="center" vertical="center" wrapText="1"/>
    </xf>
    <xf numFmtId="1" fontId="12" fillId="3" borderId="8" xfId="0" applyNumberFormat="1" applyFont="1" applyFill="1" applyBorder="1" applyAlignment="1">
      <alignment horizontal="center" vertical="center" wrapText="1"/>
    </xf>
    <xf numFmtId="49" fontId="12" fillId="3" borderId="9" xfId="0" applyNumberFormat="1" applyFont="1" applyFill="1" applyBorder="1" applyAlignment="1">
      <alignment horizontal="center" vertical="center" wrapText="1"/>
    </xf>
    <xf numFmtId="49" fontId="7" fillId="3" borderId="9" xfId="0" applyNumberFormat="1"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49" fontId="7" fillId="3" borderId="9" xfId="0" applyNumberFormat="1" applyFont="1" applyFill="1" applyBorder="1" applyAlignment="1" applyProtection="1">
      <alignment horizontal="center" vertical="center"/>
      <protection locked="0"/>
    </xf>
    <xf numFmtId="1" fontId="12" fillId="3" borderId="9" xfId="0" applyNumberFormat="1" applyFont="1" applyFill="1" applyBorder="1" applyAlignment="1">
      <alignment horizontal="center" vertical="center" wrapText="1"/>
    </xf>
    <xf numFmtId="164" fontId="12" fillId="3" borderId="10" xfId="0" applyNumberFormat="1" applyFont="1" applyFill="1" applyBorder="1" applyAlignment="1">
      <alignment horizontal="center" vertical="center" wrapText="1"/>
    </xf>
    <xf numFmtId="49" fontId="7" fillId="3" borderId="69" xfId="0" applyNumberFormat="1" applyFont="1" applyFill="1" applyBorder="1" applyAlignment="1" applyProtection="1">
      <alignment horizontal="center" vertical="center" wrapText="1"/>
      <protection locked="0"/>
    </xf>
    <xf numFmtId="0" fontId="7" fillId="3" borderId="69" xfId="0" applyFont="1" applyFill="1" applyBorder="1" applyAlignment="1" applyProtection="1">
      <alignment horizontal="center" vertical="center" wrapText="1"/>
      <protection locked="0"/>
    </xf>
    <xf numFmtId="49" fontId="7" fillId="3" borderId="69" xfId="0" applyNumberFormat="1" applyFont="1" applyFill="1" applyBorder="1" applyAlignment="1" applyProtection="1">
      <alignment horizontal="center" vertical="center"/>
      <protection locked="0"/>
    </xf>
    <xf numFmtId="1" fontId="12" fillId="3" borderId="69" xfId="0" applyNumberFormat="1" applyFont="1" applyFill="1" applyBorder="1" applyAlignment="1">
      <alignment horizontal="center" vertical="center" wrapText="1"/>
    </xf>
    <xf numFmtId="0" fontId="0" fillId="3" borderId="71" xfId="0" applyFill="1" applyBorder="1" applyAlignment="1">
      <alignment horizontal="center" vertical="top" wrapText="1"/>
    </xf>
    <xf numFmtId="0" fontId="0" fillId="3" borderId="72" xfId="0" applyFill="1" applyBorder="1" applyAlignment="1">
      <alignment horizontal="center" vertical="top" wrapText="1"/>
    </xf>
    <xf numFmtId="49" fontId="33" fillId="3" borderId="73" xfId="0" applyNumberFormat="1" applyFont="1" applyFill="1" applyBorder="1" applyAlignment="1">
      <alignment horizontal="center" vertical="center" wrapText="1"/>
    </xf>
    <xf numFmtId="0" fontId="0" fillId="3" borderId="5" xfId="0" applyFill="1" applyBorder="1" applyAlignment="1">
      <alignment horizontal="center" vertical="top" wrapText="1"/>
    </xf>
    <xf numFmtId="0" fontId="0" fillId="3" borderId="74" xfId="0" applyFill="1" applyBorder="1" applyAlignment="1">
      <alignment horizontal="center" vertical="top" wrapText="1"/>
    </xf>
    <xf numFmtId="0" fontId="0" fillId="3" borderId="75" xfId="0" applyFill="1" applyBorder="1" applyAlignment="1">
      <alignment horizontal="center" vertical="top" wrapText="1"/>
    </xf>
    <xf numFmtId="0" fontId="0" fillId="3" borderId="76" xfId="0" applyFill="1" applyBorder="1" applyAlignment="1">
      <alignment horizontal="center" vertical="top" wrapText="1"/>
    </xf>
    <xf numFmtId="0" fontId="0" fillId="3" borderId="77" xfId="0" applyFill="1" applyBorder="1" applyAlignment="1">
      <alignment horizontal="center" vertical="top" wrapText="1"/>
    </xf>
    <xf numFmtId="0" fontId="0" fillId="3" borderId="78" xfId="0" applyFill="1" applyBorder="1" applyAlignment="1">
      <alignment horizontal="center" vertical="top" wrapText="1"/>
    </xf>
    <xf numFmtId="49" fontId="7" fillId="7" borderId="79" xfId="0" applyNumberFormat="1" applyFont="1" applyFill="1" applyBorder="1" applyAlignment="1">
      <alignment horizontal="center" vertical="center" wrapText="1"/>
    </xf>
    <xf numFmtId="49" fontId="7" fillId="7" borderId="23" xfId="0" applyNumberFormat="1" applyFont="1" applyFill="1" applyBorder="1" applyAlignment="1">
      <alignment horizontal="center" vertical="center" wrapText="1"/>
    </xf>
    <xf numFmtId="49" fontId="7" fillId="7" borderId="24" xfId="0" applyNumberFormat="1" applyFont="1" applyFill="1" applyBorder="1" applyAlignment="1">
      <alignment horizontal="center" vertical="center" wrapText="1"/>
    </xf>
    <xf numFmtId="49" fontId="7" fillId="7" borderId="37" xfId="0" applyNumberFormat="1" applyFont="1" applyFill="1" applyBorder="1" applyAlignment="1">
      <alignment horizontal="center" vertical="center" wrapText="1"/>
    </xf>
    <xf numFmtId="0" fontId="0" fillId="3" borderId="80" xfId="0" applyFill="1" applyBorder="1" applyAlignment="1">
      <alignment horizontal="center" vertical="top" wrapText="1"/>
    </xf>
    <xf numFmtId="0" fontId="0" fillId="3" borderId="81" xfId="0" applyFill="1" applyBorder="1" applyAlignment="1">
      <alignment horizontal="center" vertical="top" wrapText="1"/>
    </xf>
    <xf numFmtId="0" fontId="0" fillId="3" borderId="82" xfId="0" applyFill="1" applyBorder="1" applyAlignment="1">
      <alignment horizontal="center" vertical="top" wrapText="1"/>
    </xf>
    <xf numFmtId="49" fontId="0" fillId="3" borderId="79" xfId="0" applyNumberFormat="1" applyFill="1" applyBorder="1" applyAlignment="1">
      <alignment horizontal="center" vertical="center" wrapText="1"/>
    </xf>
    <xf numFmtId="49" fontId="0" fillId="3" borderId="23" xfId="0" applyNumberFormat="1" applyFill="1" applyBorder="1" applyAlignment="1">
      <alignment horizontal="center" vertical="center" wrapText="1"/>
    </xf>
    <xf numFmtId="2" fontId="0" fillId="8" borderId="24" xfId="0" applyNumberFormat="1" applyFill="1" applyBorder="1" applyAlignment="1">
      <alignment horizontal="right" vertical="center"/>
    </xf>
    <xf numFmtId="49" fontId="2" fillId="8" borderId="37" xfId="0" applyNumberFormat="1" applyFont="1" applyFill="1" applyBorder="1" applyAlignment="1">
      <alignment horizontal="center" vertical="center" wrapText="1"/>
    </xf>
    <xf numFmtId="2" fontId="0" fillId="3" borderId="24" xfId="0" applyNumberFormat="1" applyFill="1" applyBorder="1" applyAlignment="1">
      <alignment horizontal="right" vertical="center" wrapText="1"/>
    </xf>
    <xf numFmtId="0" fontId="0" fillId="3" borderId="83" xfId="0" applyFill="1" applyBorder="1" applyAlignment="1">
      <alignment horizontal="center" vertical="top" wrapText="1"/>
    </xf>
    <xf numFmtId="0" fontId="0" fillId="3" borderId="84" xfId="0" applyFill="1" applyBorder="1" applyAlignment="1">
      <alignment horizontal="center" vertical="top" wrapText="1"/>
    </xf>
    <xf numFmtId="0" fontId="0" fillId="3" borderId="85" xfId="0" applyFill="1" applyBorder="1" applyAlignment="1">
      <alignment horizontal="center" vertical="top" wrapText="1"/>
    </xf>
    <xf numFmtId="49" fontId="7" fillId="7" borderId="46" xfId="0" applyNumberFormat="1" applyFont="1" applyFill="1" applyBorder="1" applyAlignment="1">
      <alignment horizontal="center" vertical="center" wrapText="1"/>
    </xf>
    <xf numFmtId="49" fontId="7" fillId="7" borderId="47" xfId="0" applyNumberFormat="1" applyFont="1" applyFill="1" applyBorder="1" applyAlignment="1">
      <alignment horizontal="center" vertical="center" wrapText="1"/>
    </xf>
    <xf numFmtId="49" fontId="7" fillId="7" borderId="86" xfId="0" applyNumberFormat="1" applyFont="1" applyFill="1" applyBorder="1" applyAlignment="1">
      <alignment horizontal="center" vertical="center" wrapText="1"/>
    </xf>
    <xf numFmtId="49" fontId="34" fillId="3" borderId="87" xfId="0" applyNumberFormat="1" applyFont="1" applyFill="1" applyBorder="1" applyAlignment="1">
      <alignment horizontal="center" vertical="center"/>
    </xf>
    <xf numFmtId="49" fontId="19" fillId="8" borderId="87" xfId="0" applyNumberFormat="1" applyFont="1" applyFill="1" applyBorder="1" applyAlignment="1">
      <alignment horizontal="center" vertical="center" wrapText="1"/>
    </xf>
    <xf numFmtId="0" fontId="21" fillId="8" borderId="87" xfId="0" applyFont="1" applyFill="1" applyBorder="1" applyAlignment="1">
      <alignment horizontal="center" vertical="center"/>
    </xf>
    <xf numFmtId="49" fontId="21" fillId="8" borderId="87" xfId="0" applyNumberFormat="1" applyFont="1" applyFill="1" applyBorder="1" applyAlignment="1">
      <alignment horizontal="center" vertical="center" wrapText="1"/>
    </xf>
    <xf numFmtId="2" fontId="21" fillId="8" borderId="87" xfId="0" applyNumberFormat="1" applyFont="1" applyFill="1" applyBorder="1" applyAlignment="1">
      <alignment horizontal="center" vertical="center" wrapText="1"/>
    </xf>
    <xf numFmtId="165" fontId="21" fillId="8" borderId="87" xfId="0" applyNumberFormat="1" applyFont="1" applyFill="1" applyBorder="1" applyAlignment="1">
      <alignment horizontal="center" vertical="center" wrapText="1"/>
    </xf>
    <xf numFmtId="0" fontId="35" fillId="3" borderId="88" xfId="0" applyFont="1" applyFill="1" applyBorder="1" applyAlignment="1">
      <alignment horizontal="center" vertical="center" wrapText="1"/>
    </xf>
    <xf numFmtId="49" fontId="35" fillId="8" borderId="89" xfId="0" applyNumberFormat="1" applyFont="1" applyFill="1" applyBorder="1" applyAlignment="1">
      <alignment horizontal="center" vertical="center" wrapText="1"/>
    </xf>
    <xf numFmtId="2" fontId="35" fillId="8" borderId="89" xfId="0" applyNumberFormat="1" applyFont="1" applyFill="1" applyBorder="1" applyAlignment="1">
      <alignment horizontal="center" vertical="center"/>
    </xf>
    <xf numFmtId="1" fontId="35" fillId="8" borderId="89" xfId="0" applyNumberFormat="1" applyFont="1" applyFill="1" applyBorder="1" applyAlignment="1">
      <alignment horizontal="center" vertical="center" wrapText="1"/>
    </xf>
    <xf numFmtId="166" fontId="35" fillId="8" borderId="89" xfId="0" applyNumberFormat="1" applyFont="1" applyFill="1" applyBorder="1" applyAlignment="1">
      <alignment horizontal="center" vertical="center" wrapText="1"/>
    </xf>
    <xf numFmtId="2" fontId="35" fillId="8" borderId="89" xfId="0" applyNumberFormat="1" applyFont="1" applyFill="1" applyBorder="1" applyAlignment="1">
      <alignment horizontal="center" vertical="center" wrapText="1"/>
    </xf>
    <xf numFmtId="0" fontId="7" fillId="3" borderId="90" xfId="0" applyFont="1" applyFill="1" applyBorder="1" applyAlignment="1">
      <alignment horizontal="center" vertical="center" wrapText="1"/>
    </xf>
    <xf numFmtId="49" fontId="36" fillId="8" borderId="23" xfId="0" applyNumberFormat="1" applyFont="1" applyFill="1" applyBorder="1" applyAlignment="1">
      <alignment horizontal="center" vertical="center" wrapText="1"/>
    </xf>
    <xf numFmtId="49" fontId="0" fillId="8" borderId="23" xfId="0" applyNumberFormat="1" applyFill="1" applyBorder="1" applyAlignment="1">
      <alignment horizontal="center" vertical="center" wrapText="1"/>
    </xf>
    <xf numFmtId="2" fontId="0" fillId="8" borderId="23" xfId="0" applyNumberFormat="1" applyFill="1" applyBorder="1" applyAlignment="1">
      <alignment horizontal="center" vertical="center"/>
    </xf>
    <xf numFmtId="1" fontId="0" fillId="8" borderId="23" xfId="0" applyNumberFormat="1" applyFill="1" applyBorder="1" applyAlignment="1">
      <alignment horizontal="center" vertical="center" wrapText="1"/>
    </xf>
    <xf numFmtId="166" fontId="0" fillId="8" borderId="23" xfId="0" applyNumberFormat="1" applyFill="1" applyBorder="1" applyAlignment="1">
      <alignment horizontal="center" vertical="center" wrapText="1"/>
    </xf>
    <xf numFmtId="2" fontId="0" fillId="8" borderId="23" xfId="0" applyNumberFormat="1" applyFill="1" applyBorder="1" applyAlignment="1">
      <alignment horizontal="center" vertical="center" wrapText="1"/>
    </xf>
    <xf numFmtId="0" fontId="0" fillId="8" borderId="23" xfId="0" applyFill="1" applyBorder="1" applyAlignment="1">
      <alignment horizontal="center" vertical="center" wrapText="1"/>
    </xf>
    <xf numFmtId="0" fontId="7" fillId="3" borderId="91" xfId="0" applyFont="1" applyFill="1" applyBorder="1" applyAlignment="1">
      <alignment horizontal="center" vertical="center" wrapText="1"/>
    </xf>
    <xf numFmtId="49" fontId="7" fillId="8" borderId="23" xfId="0" applyNumberFormat="1" applyFont="1" applyFill="1" applyBorder="1" applyAlignment="1">
      <alignment horizontal="center" vertical="center" wrapText="1"/>
    </xf>
    <xf numFmtId="10" fontId="0" fillId="8" borderId="23" xfId="0" applyNumberFormat="1" applyFill="1" applyBorder="1" applyAlignment="1">
      <alignment horizontal="center" vertical="center" wrapText="1"/>
    </xf>
    <xf numFmtId="167" fontId="0" fillId="8" borderId="23" xfId="0" applyNumberFormat="1" applyFill="1" applyBorder="1" applyAlignment="1">
      <alignment horizontal="center" vertical="center" wrapText="1"/>
    </xf>
    <xf numFmtId="165" fontId="0" fillId="8" borderId="23" xfId="0" applyNumberFormat="1" applyFill="1" applyBorder="1" applyAlignment="1">
      <alignment horizontal="center" vertical="center" wrapText="1"/>
    </xf>
    <xf numFmtId="9" fontId="0" fillId="8" borderId="23" xfId="0" applyNumberFormat="1" applyFill="1" applyBorder="1" applyAlignment="1">
      <alignment horizontal="center" vertical="center" wrapText="1"/>
    </xf>
    <xf numFmtId="0" fontId="7" fillId="3" borderId="92" xfId="0" applyFont="1" applyFill="1" applyBorder="1" applyAlignment="1">
      <alignment horizontal="center" vertical="center" wrapText="1"/>
    </xf>
    <xf numFmtId="0" fontId="7" fillId="3" borderId="93" xfId="0" applyFont="1" applyFill="1" applyBorder="1" applyAlignment="1">
      <alignment horizontal="center" vertical="center" wrapText="1"/>
    </xf>
    <xf numFmtId="0" fontId="0" fillId="3" borderId="24" xfId="0" applyFill="1" applyBorder="1" applyAlignment="1">
      <alignment horizontal="right" vertical="top" wrapText="1"/>
    </xf>
    <xf numFmtId="49" fontId="37" fillId="7" borderId="23" xfId="0" applyNumberFormat="1" applyFont="1" applyFill="1" applyBorder="1" applyAlignment="1">
      <alignment horizontal="center" vertical="center" wrapText="1"/>
    </xf>
    <xf numFmtId="49" fontId="38" fillId="7" borderId="23" xfId="0" applyNumberFormat="1" applyFont="1" applyFill="1" applyBorder="1" applyAlignment="1">
      <alignment horizontal="center" vertical="center" wrapText="1"/>
    </xf>
    <xf numFmtId="49" fontId="0" fillId="3" borderId="94" xfId="0" applyNumberFormat="1" applyFill="1" applyBorder="1" applyAlignment="1">
      <alignment horizontal="center" vertical="center"/>
    </xf>
    <xf numFmtId="49" fontId="0" fillId="3" borderId="95" xfId="0" applyNumberFormat="1" applyFill="1" applyBorder="1" applyAlignment="1">
      <alignment horizontal="center" vertical="center"/>
    </xf>
    <xf numFmtId="2" fontId="39" fillId="8" borderId="23" xfId="0" applyNumberFormat="1" applyFont="1" applyFill="1" applyBorder="1" applyAlignment="1">
      <alignment horizontal="right" vertical="center"/>
    </xf>
    <xf numFmtId="2" fontId="0" fillId="3" borderId="23" xfId="0" applyNumberFormat="1" applyFill="1" applyBorder="1" applyAlignment="1">
      <alignment horizontal="center" vertical="center"/>
    </xf>
    <xf numFmtId="0" fontId="0" fillId="3" borderId="23" xfId="0" applyFill="1" applyBorder="1" applyAlignment="1">
      <alignment horizontal="center" vertical="center"/>
    </xf>
    <xf numFmtId="2" fontId="0" fillId="3" borderId="23" xfId="0" applyNumberFormat="1" applyFill="1" applyBorder="1" applyAlignment="1">
      <alignment horizontal="right" vertical="center"/>
    </xf>
    <xf numFmtId="2" fontId="40" fillId="3" borderId="23" xfId="0" applyNumberFormat="1" applyFont="1" applyFill="1" applyBorder="1" applyAlignment="1">
      <alignment horizontal="right" vertical="center"/>
    </xf>
    <xf numFmtId="165" fontId="40" fillId="3" borderId="23" xfId="0" applyNumberFormat="1" applyFont="1" applyFill="1" applyBorder="1" applyAlignment="1">
      <alignment horizontal="right" vertical="center"/>
    </xf>
    <xf numFmtId="49" fontId="0" fillId="3" borderId="96" xfId="0" applyNumberFormat="1" applyFill="1" applyBorder="1" applyAlignment="1">
      <alignment horizontal="center" vertical="center"/>
    </xf>
    <xf numFmtId="49" fontId="0" fillId="3" borderId="97" xfId="0" applyNumberFormat="1" applyFill="1" applyBorder="1" applyAlignment="1">
      <alignment horizontal="center" vertical="center"/>
    </xf>
    <xf numFmtId="2" fontId="39" fillId="3" borderId="23" xfId="0" applyNumberFormat="1" applyFont="1" applyFill="1" applyBorder="1" applyAlignment="1">
      <alignment horizontal="right" vertical="center"/>
    </xf>
    <xf numFmtId="165" fontId="0" fillId="3" borderId="23" xfId="0" applyNumberFormat="1" applyFill="1" applyBorder="1" applyAlignment="1">
      <alignment horizontal="center" vertical="center"/>
    </xf>
    <xf numFmtId="1" fontId="40" fillId="3" borderId="23" xfId="0" applyNumberFormat="1" applyFont="1" applyFill="1" applyBorder="1" applyAlignment="1">
      <alignment horizontal="right" vertical="center"/>
    </xf>
    <xf numFmtId="2" fontId="0" fillId="8" borderId="23" xfId="0" applyNumberFormat="1" applyFill="1" applyBorder="1" applyAlignment="1">
      <alignment horizontal="right" vertical="center"/>
    </xf>
    <xf numFmtId="1" fontId="40" fillId="8" borderId="23" xfId="0" applyNumberFormat="1" applyFont="1" applyFill="1" applyBorder="1" applyAlignment="1">
      <alignment horizontal="right" vertical="center"/>
    </xf>
    <xf numFmtId="49" fontId="7" fillId="9" borderId="99" xfId="0" applyNumberFormat="1" applyFont="1" applyFill="1" applyBorder="1" applyAlignment="1">
      <alignment horizontal="center" vertical="top" wrapText="1"/>
    </xf>
    <xf numFmtId="49" fontId="7" fillId="9" borderId="101" xfId="0" applyNumberFormat="1" applyFont="1" applyFill="1" applyBorder="1" applyAlignment="1">
      <alignment horizontal="center" vertical="top" wrapText="1"/>
    </xf>
    <xf numFmtId="49" fontId="7" fillId="9" borderId="102" xfId="0" applyNumberFormat="1" applyFont="1" applyFill="1" applyBorder="1" applyAlignment="1">
      <alignment horizontal="left" vertical="top" wrapText="1"/>
    </xf>
    <xf numFmtId="49" fontId="7" fillId="9" borderId="103" xfId="0" applyNumberFormat="1" applyFont="1" applyFill="1" applyBorder="1" applyAlignment="1">
      <alignment horizontal="center" vertical="top" wrapText="1"/>
    </xf>
    <xf numFmtId="49" fontId="7" fillId="9" borderId="104" xfId="0" applyNumberFormat="1" applyFont="1" applyFill="1" applyBorder="1" applyAlignment="1">
      <alignment horizontal="center" vertical="top" wrapText="1"/>
    </xf>
    <xf numFmtId="49" fontId="42" fillId="9" borderId="105" xfId="0" applyNumberFormat="1" applyFont="1" applyFill="1" applyBorder="1" applyAlignment="1">
      <alignment horizontal="left" vertical="top" wrapText="1"/>
    </xf>
    <xf numFmtId="49" fontId="42" fillId="9" borderId="106" xfId="0" applyNumberFormat="1" applyFont="1" applyFill="1" applyBorder="1" applyAlignment="1">
      <alignment horizontal="left" vertical="top" wrapText="1"/>
    </xf>
    <xf numFmtId="49" fontId="42" fillId="9" borderId="104" xfId="0" applyNumberFormat="1" applyFont="1" applyFill="1" applyBorder="1" applyAlignment="1">
      <alignment horizontal="left" vertical="top" wrapText="1"/>
    </xf>
    <xf numFmtId="49" fontId="43" fillId="9" borderId="105" xfId="0" applyNumberFormat="1" applyFont="1" applyFill="1" applyBorder="1" applyAlignment="1">
      <alignment horizontal="left" vertical="top" wrapText="1"/>
    </xf>
    <xf numFmtId="49" fontId="42" fillId="9" borderId="107" xfId="0" applyNumberFormat="1" applyFont="1" applyFill="1" applyBorder="1" applyAlignment="1">
      <alignment horizontal="left" vertical="top" wrapText="1"/>
    </xf>
    <xf numFmtId="49" fontId="42" fillId="9" borderId="108" xfId="0" applyNumberFormat="1" applyFont="1" applyFill="1" applyBorder="1" applyAlignment="1">
      <alignment horizontal="left" vertical="top" wrapText="1"/>
    </xf>
    <xf numFmtId="49" fontId="0" fillId="3" borderId="23" xfId="0" applyNumberFormat="1" applyFill="1" applyBorder="1" applyAlignment="1">
      <alignment horizontal="left" vertical="top" wrapText="1"/>
    </xf>
    <xf numFmtId="49" fontId="0" fillId="3" borderId="109" xfId="0" applyNumberFormat="1" applyFill="1" applyBorder="1" applyAlignment="1">
      <alignment horizontal="center" vertical="top" wrapText="1"/>
    </xf>
    <xf numFmtId="49" fontId="0" fillId="3" borderId="23" xfId="0" applyNumberFormat="1" applyFill="1" applyBorder="1" applyAlignment="1">
      <alignment horizontal="center" vertical="top" wrapText="1"/>
    </xf>
    <xf numFmtId="0" fontId="0" fillId="3" borderId="23" xfId="0" applyFill="1" applyBorder="1" applyAlignment="1">
      <alignment horizontal="center" vertical="top" wrapText="1"/>
    </xf>
    <xf numFmtId="2" fontId="0" fillId="3" borderId="23" xfId="0" applyNumberFormat="1" applyFill="1" applyBorder="1" applyAlignment="1">
      <alignment horizontal="center" vertical="top" wrapText="1"/>
    </xf>
    <xf numFmtId="165" fontId="44" fillId="3" borderId="23" xfId="0" applyNumberFormat="1" applyFont="1" applyFill="1" applyBorder="1" applyAlignment="1">
      <alignment horizontal="center" vertical="top" wrapText="1"/>
    </xf>
    <xf numFmtId="9" fontId="7" fillId="3" borderId="23" xfId="0" applyNumberFormat="1" applyFont="1" applyFill="1" applyBorder="1" applyAlignment="1">
      <alignment horizontal="center" vertical="top" wrapText="1"/>
    </xf>
    <xf numFmtId="165" fontId="7" fillId="3" borderId="23" xfId="0" applyNumberFormat="1" applyFont="1" applyFill="1" applyBorder="1" applyAlignment="1">
      <alignment horizontal="center" vertical="top" wrapText="1"/>
    </xf>
    <xf numFmtId="2" fontId="0" fillId="3" borderId="23" xfId="0" applyNumberFormat="1" applyFill="1" applyBorder="1" applyAlignment="1">
      <alignment horizontal="right" vertical="top" wrapText="1"/>
    </xf>
    <xf numFmtId="2" fontId="44" fillId="3" borderId="23" xfId="0" applyNumberFormat="1" applyFont="1" applyFill="1" applyBorder="1" applyAlignment="1">
      <alignment horizontal="right" vertical="top" wrapText="1"/>
    </xf>
    <xf numFmtId="9" fontId="7" fillId="3" borderId="23" xfId="0" applyNumberFormat="1" applyFont="1" applyFill="1" applyBorder="1" applyAlignment="1">
      <alignment horizontal="right" vertical="top" wrapText="1"/>
    </xf>
    <xf numFmtId="165" fontId="7" fillId="3" borderId="23" xfId="0" applyNumberFormat="1" applyFont="1" applyFill="1" applyBorder="1" applyAlignment="1">
      <alignment horizontal="right" vertical="top" wrapText="1"/>
    </xf>
    <xf numFmtId="49" fontId="0" fillId="3" borderId="109" xfId="0" applyNumberFormat="1" applyFill="1" applyBorder="1" applyAlignment="1">
      <alignment horizontal="left" vertical="top" wrapText="1"/>
    </xf>
    <xf numFmtId="49" fontId="0" fillId="3" borderId="91" xfId="0" applyNumberFormat="1" applyFill="1" applyBorder="1" applyAlignment="1">
      <alignment horizontal="center" vertical="top" wrapText="1"/>
    </xf>
    <xf numFmtId="49" fontId="0" fillId="3" borderId="110" xfId="0" applyNumberFormat="1" applyFill="1" applyBorder="1" applyAlignment="1">
      <alignment horizontal="left" vertical="top" wrapText="1"/>
    </xf>
    <xf numFmtId="49" fontId="0" fillId="3" borderId="110" xfId="0" applyNumberFormat="1" applyFill="1" applyBorder="1" applyAlignment="1">
      <alignment horizontal="center" vertical="top" wrapText="1"/>
    </xf>
    <xf numFmtId="49" fontId="0" fillId="3" borderId="111" xfId="0" applyNumberFormat="1" applyFill="1" applyBorder="1" applyAlignment="1">
      <alignment horizontal="left" vertical="top" wrapText="1"/>
    </xf>
    <xf numFmtId="49" fontId="0" fillId="3" borderId="111" xfId="0" applyNumberFormat="1" applyFill="1" applyBorder="1" applyAlignment="1">
      <alignment horizontal="center" vertical="top" wrapText="1"/>
    </xf>
    <xf numFmtId="1" fontId="44" fillId="3" borderId="23" xfId="0" applyNumberFormat="1" applyFont="1" applyFill="1" applyBorder="1" applyAlignment="1">
      <alignment horizontal="center" vertical="top" wrapText="1"/>
    </xf>
    <xf numFmtId="49" fontId="0" fillId="3" borderId="112" xfId="0" applyNumberFormat="1" applyFill="1" applyBorder="1" applyAlignment="1">
      <alignment horizontal="left" vertical="top" wrapText="1"/>
    </xf>
    <xf numFmtId="49" fontId="0" fillId="3" borderId="112" xfId="0" applyNumberFormat="1" applyFill="1" applyBorder="1" applyAlignment="1">
      <alignment horizontal="center" vertical="top" wrapText="1"/>
    </xf>
    <xf numFmtId="49" fontId="0" fillId="3" borderId="113" xfId="0" applyNumberFormat="1" applyFill="1" applyBorder="1" applyAlignment="1">
      <alignment horizontal="left" vertical="top" wrapText="1"/>
    </xf>
    <xf numFmtId="49" fontId="0" fillId="3" borderId="113" xfId="0" applyNumberFormat="1" applyFill="1" applyBorder="1" applyAlignment="1">
      <alignment horizontal="center" vertical="top" wrapText="1"/>
    </xf>
    <xf numFmtId="165" fontId="0" fillId="3" borderId="23" xfId="0" applyNumberFormat="1" applyFill="1" applyBorder="1" applyAlignment="1">
      <alignment horizontal="right" vertical="top" wrapText="1"/>
    </xf>
    <xf numFmtId="1" fontId="44" fillId="3" borderId="23" xfId="0" applyNumberFormat="1" applyFont="1" applyFill="1" applyBorder="1" applyAlignment="1">
      <alignment horizontal="right" vertical="top" wrapText="1"/>
    </xf>
    <xf numFmtId="168" fontId="44" fillId="3" borderId="23" xfId="0" applyNumberFormat="1" applyFont="1" applyFill="1" applyBorder="1" applyAlignment="1">
      <alignment horizontal="center" vertical="top" wrapText="1"/>
    </xf>
    <xf numFmtId="168" fontId="44" fillId="3" borderId="23" xfId="0" applyNumberFormat="1" applyFont="1" applyFill="1" applyBorder="1" applyAlignment="1">
      <alignment horizontal="right" vertical="top" wrapText="1"/>
    </xf>
    <xf numFmtId="11" fontId="44" fillId="3" borderId="23" xfId="0" applyNumberFormat="1" applyFont="1" applyFill="1" applyBorder="1" applyAlignment="1">
      <alignment horizontal="right" vertical="top" wrapText="1"/>
    </xf>
    <xf numFmtId="49" fontId="0" fillId="3" borderId="112" xfId="0" applyNumberFormat="1" applyFill="1" applyBorder="1" applyAlignment="1">
      <alignment horizontal="center" vertical="center" wrapText="1"/>
    </xf>
    <xf numFmtId="1" fontId="0" fillId="3" borderId="23" xfId="0" applyNumberFormat="1" applyFill="1" applyBorder="1" applyAlignment="1">
      <alignment horizontal="center" vertical="top" wrapText="1"/>
    </xf>
    <xf numFmtId="11" fontId="44" fillId="3" borderId="23" xfId="0" applyNumberFormat="1" applyFont="1" applyFill="1" applyBorder="1" applyAlignment="1">
      <alignment horizontal="center" vertical="top" wrapText="1"/>
    </xf>
    <xf numFmtId="1" fontId="0" fillId="3" borderId="23" xfId="0" applyNumberFormat="1" applyFill="1" applyBorder="1" applyAlignment="1">
      <alignment horizontal="right" vertical="top" wrapText="1"/>
    </xf>
    <xf numFmtId="49" fontId="0" fillId="3" borderId="113" xfId="0" applyNumberFormat="1" applyFill="1" applyBorder="1" applyAlignment="1">
      <alignment horizontal="center" vertical="center" wrapText="1"/>
    </xf>
    <xf numFmtId="49" fontId="9" fillId="3" borderId="115" xfId="0" applyNumberFormat="1" applyFont="1" applyFill="1" applyBorder="1" applyAlignment="1">
      <alignment horizontal="center" vertical="center"/>
    </xf>
    <xf numFmtId="0" fontId="0" fillId="3" borderId="116" xfId="0" applyFill="1" applyBorder="1" applyAlignment="1">
      <alignment horizontal="center" vertical="top" wrapText="1"/>
    </xf>
    <xf numFmtId="49" fontId="0" fillId="3" borderId="117" xfId="0" applyNumberFormat="1" applyFill="1" applyBorder="1" applyAlignment="1">
      <alignment horizontal="left" vertical="center" wrapText="1"/>
    </xf>
    <xf numFmtId="0" fontId="0" fillId="3" borderId="118" xfId="0" applyFill="1" applyBorder="1" applyAlignment="1">
      <alignment horizontal="center" vertical="top" wrapText="1"/>
    </xf>
    <xf numFmtId="49" fontId="0" fillId="3" borderId="118" xfId="0" applyNumberFormat="1" applyFill="1" applyBorder="1" applyAlignment="1">
      <alignment horizontal="left" vertical="center" wrapText="1"/>
    </xf>
    <xf numFmtId="49" fontId="0" fillId="3" borderId="119" xfId="0" applyNumberFormat="1" applyFill="1" applyBorder="1" applyAlignment="1">
      <alignment horizontal="left" vertical="center" wrapText="1"/>
    </xf>
    <xf numFmtId="49" fontId="46" fillId="3" borderId="120" xfId="0" applyNumberFormat="1" applyFont="1" applyFill="1" applyBorder="1" applyAlignment="1">
      <alignment horizontal="left" vertical="center" wrapText="1"/>
    </xf>
    <xf numFmtId="0" fontId="0" fillId="3" borderId="121" xfId="0" applyFill="1" applyBorder="1" applyAlignment="1">
      <alignment horizontal="center" vertical="top" wrapText="1"/>
    </xf>
    <xf numFmtId="0" fontId="0" fillId="3" borderId="122" xfId="0" applyFill="1" applyBorder="1" applyAlignment="1">
      <alignment horizontal="center" vertical="top" wrapText="1"/>
    </xf>
    <xf numFmtId="0" fontId="0" fillId="0" borderId="0" xfId="0" applyAlignment="1">
      <alignment horizontal="left" vertical="top" wrapText="1"/>
    </xf>
    <xf numFmtId="49" fontId="33" fillId="3" borderId="5" xfId="0" applyNumberFormat="1" applyFont="1" applyFill="1" applyBorder="1" applyAlignment="1">
      <alignment horizontal="left" vertical="center" wrapText="1"/>
    </xf>
    <xf numFmtId="49" fontId="8" fillId="3" borderId="1"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wrapText="1"/>
    </xf>
    <xf numFmtId="49" fontId="12" fillId="3" borderId="8" xfId="0" applyNumberFormat="1" applyFont="1" applyFill="1" applyBorder="1" applyAlignment="1">
      <alignment horizontal="center" vertical="center" wrapText="1"/>
    </xf>
    <xf numFmtId="49" fontId="24" fillId="3" borderId="48" xfId="0" applyNumberFormat="1" applyFont="1" applyFill="1" applyBorder="1" applyAlignment="1">
      <alignment horizontal="center" vertical="center" wrapText="1"/>
    </xf>
    <xf numFmtId="49" fontId="25" fillId="3" borderId="49" xfId="0" applyNumberFormat="1" applyFont="1" applyFill="1" applyBorder="1" applyAlignment="1">
      <alignment horizontal="center" vertical="center" wrapText="1"/>
    </xf>
    <xf numFmtId="0" fontId="0" fillId="3" borderId="55" xfId="0" applyFill="1" applyBorder="1">
      <alignment horizontal="center" vertical="top" wrapText="1"/>
    </xf>
    <xf numFmtId="49" fontId="27" fillId="3" borderId="56" xfId="0" applyNumberFormat="1" applyFont="1" applyFill="1" applyBorder="1" applyAlignment="1">
      <alignment horizontal="center" vertical="center" wrapText="1"/>
    </xf>
    <xf numFmtId="49" fontId="23" fillId="3" borderId="56" xfId="0" applyNumberFormat="1" applyFont="1" applyFill="1" applyBorder="1" applyAlignment="1">
      <alignment horizontal="right" vertical="center" wrapText="1"/>
    </xf>
    <xf numFmtId="49" fontId="27" fillId="3" borderId="64" xfId="0" applyNumberFormat="1" applyFont="1" applyFill="1" applyBorder="1" applyAlignment="1">
      <alignment horizontal="left" vertical="center"/>
    </xf>
    <xf numFmtId="0" fontId="0" fillId="3" borderId="65" xfId="0" applyFill="1" applyBorder="1">
      <alignment horizontal="center" vertical="top" wrapText="1"/>
    </xf>
    <xf numFmtId="0" fontId="0" fillId="3" borderId="66" xfId="0" applyFill="1" applyBorder="1">
      <alignment horizontal="center" vertical="top" wrapText="1"/>
    </xf>
    <xf numFmtId="49" fontId="9" fillId="3" borderId="37" xfId="0" applyNumberFormat="1" applyFont="1" applyFill="1" applyBorder="1" applyAlignment="1">
      <alignment horizontal="center" vertical="center"/>
    </xf>
    <xf numFmtId="49" fontId="0" fillId="3" borderId="23" xfId="0" applyNumberFormat="1" applyFill="1" applyBorder="1" applyAlignment="1">
      <alignment horizontal="justify" vertical="center" wrapText="1"/>
    </xf>
    <xf numFmtId="49" fontId="9" fillId="3" borderId="23" xfId="0" applyNumberFormat="1" applyFont="1" applyFill="1" applyBorder="1" applyAlignment="1">
      <alignment horizontal="center" vertical="center"/>
    </xf>
    <xf numFmtId="49" fontId="7" fillId="3" borderId="23" xfId="0" applyNumberFormat="1" applyFont="1" applyFill="1" applyBorder="1" applyAlignment="1">
      <alignment horizontal="center" vertical="center" wrapText="1"/>
    </xf>
    <xf numFmtId="49" fontId="7" fillId="8" borderId="79" xfId="0" applyNumberFormat="1" applyFont="1" applyFill="1" applyBorder="1" applyAlignment="1">
      <alignment horizontal="left" vertical="center" wrapText="1"/>
    </xf>
    <xf numFmtId="0" fontId="0" fillId="0" borderId="123" xfId="0" applyBorder="1" applyAlignment="1">
      <alignment horizontal="left" vertical="center" wrapText="1"/>
    </xf>
    <xf numFmtId="49" fontId="0" fillId="3" borderId="114" xfId="0" applyNumberFormat="1" applyFill="1" applyBorder="1" applyAlignment="1">
      <alignment horizontal="left" vertical="center" wrapText="1"/>
    </xf>
    <xf numFmtId="49" fontId="0" fillId="3" borderId="23" xfId="0" applyNumberFormat="1" applyFill="1" applyBorder="1" applyAlignment="1">
      <alignment horizontal="left" vertical="center" wrapText="1"/>
    </xf>
    <xf numFmtId="49" fontId="7" fillId="9" borderId="98" xfId="0" applyNumberFormat="1" applyFont="1" applyFill="1" applyBorder="1" applyAlignment="1">
      <alignment horizontal="left" vertical="top" wrapText="1"/>
    </xf>
    <xf numFmtId="49" fontId="7" fillId="9" borderId="100" xfId="0" applyNumberFormat="1" applyFont="1" applyFill="1" applyBorder="1" applyAlignment="1">
      <alignment horizontal="center" vertical="top" wrapText="1"/>
    </xf>
    <xf numFmtId="49" fontId="7" fillId="9" borderId="98" xfId="0" applyNumberFormat="1" applyFont="1" applyFill="1" applyBorder="1" applyAlignment="1">
      <alignment horizontal="center" vertical="top" wrapText="1"/>
    </xf>
  </cellXfs>
  <cellStyles count="8">
    <cellStyle name="cf1" xfId="1"/>
    <cellStyle name="cf2" xfId="2"/>
    <cellStyle name="cf3" xfId="3"/>
    <cellStyle name="cf4" xfId="4"/>
    <cellStyle name="cf5" xfId="5"/>
    <cellStyle name="cf6" xfId="6"/>
    <cellStyle name="cf7" xfId="7"/>
    <cellStyle name="Normal" xfId="0" builtinId="0" customBuiltin="1"/>
  </cellStyles>
  <dxfs count="15">
    <dxf>
      <font>
        <color rgb="FF669C35"/>
      </font>
    </dxf>
    <dxf>
      <font>
        <color rgb="FFE32400"/>
      </font>
    </dxf>
    <dxf>
      <font>
        <color rgb="FFE32400"/>
      </font>
    </dxf>
    <dxf>
      <font>
        <color rgb="FFE32400"/>
      </font>
    </dxf>
    <dxf>
      <font>
        <b/>
        <i/>
        <color rgb="FF0081CC"/>
      </font>
      <fill>
        <patternFill patternType="solid">
          <fgColor rgb="FF0432FF"/>
          <bgColor rgb="FF0432FF"/>
        </patternFill>
      </fill>
    </dxf>
    <dxf>
      <font>
        <b/>
        <color rgb="FF017000"/>
      </font>
    </dxf>
    <dxf>
      <font>
        <b/>
        <color rgb="FF017000"/>
      </font>
    </dxf>
    <dxf>
      <font>
        <b/>
        <color rgb="FF000000"/>
      </font>
    </dxf>
    <dxf>
      <font>
        <color rgb="FFE32400"/>
      </font>
    </dxf>
    <dxf>
      <font>
        <i/>
        <color rgb="FF000000"/>
      </font>
    </dxf>
    <dxf>
      <font>
        <color rgb="FFE32400"/>
      </font>
    </dxf>
    <dxf>
      <font>
        <color rgb="FFE32400"/>
      </font>
    </dxf>
    <dxf>
      <font>
        <color rgb="FFE32400"/>
      </font>
    </dxf>
    <dxf>
      <font>
        <b/>
        <color rgb="FFFFFFFF"/>
      </font>
    </dxf>
    <dxf>
      <font>
        <color rgb="FFE324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0</xdr:rowOff>
    </xdr:from>
    <xdr:ext cx="0" cy="10905728"/>
    <xdr:sp macro="" textlink="">
      <xdr:nvSpPr>
        <xdr:cNvPr id="2" name="Straight Connector 2"/>
        <xdr:cNvSpPr/>
      </xdr:nvSpPr>
      <xdr:spPr>
        <a:xfrm flipH="1">
          <a:off x="16925925" y="0"/>
          <a:ext cx="0" cy="10905728"/>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val f6"/>
            <a:gd name="f13" fmla="*/ f7 f0 1"/>
            <a:gd name="f14" fmla="*/ f8 f0 1"/>
            <a:gd name="f15" fmla="?: f9 f3 1"/>
            <a:gd name="f16" fmla="?: f10 f4 1"/>
            <a:gd name="f17" fmla="?: f11 f5 1"/>
            <a:gd name="f18" fmla="*/ f13 1 f2"/>
            <a:gd name="f19" fmla="*/ f14 1 f2"/>
            <a:gd name="f20" fmla="*/ f15 1 21600"/>
            <a:gd name="f21" fmla="*/ f16 1 21600"/>
            <a:gd name="f22" fmla="*/ 21600 f15 1"/>
            <a:gd name="f23" fmla="*/ 21600 f16 1"/>
            <a:gd name="f24" fmla="+- f18 0 f1"/>
            <a:gd name="f25" fmla="+- f19 0 f1"/>
            <a:gd name="f26" fmla="min f21 f20"/>
            <a:gd name="f27" fmla="*/ f22 1 f17"/>
            <a:gd name="f28" fmla="*/ f23 1 f17"/>
            <a:gd name="f29" fmla="val f27"/>
            <a:gd name="f30" fmla="val f28"/>
            <a:gd name="f31" fmla="*/ f6 f26 1"/>
            <a:gd name="f32" fmla="*/ f27 f26 1"/>
            <a:gd name="f33" fmla="*/ f28 f26 1"/>
            <a:gd name="f34" fmla="*/ f12 f26 1"/>
            <a:gd name="f35" fmla="*/ f29 f26 1"/>
            <a:gd name="f36" fmla="*/ f30 f26 1"/>
          </a:gdLst>
          <a:ahLst/>
          <a:cxnLst>
            <a:cxn ang="3cd4">
              <a:pos x="hc" y="t"/>
            </a:cxn>
            <a:cxn ang="0">
              <a:pos x="r" y="vc"/>
            </a:cxn>
            <a:cxn ang="cd4">
              <a:pos x="hc" y="b"/>
            </a:cxn>
            <a:cxn ang="cd2">
              <a:pos x="l" y="vc"/>
            </a:cxn>
            <a:cxn ang="f24">
              <a:pos x="f34" y="f34"/>
            </a:cxn>
            <a:cxn ang="f25">
              <a:pos x="f35" y="f36"/>
            </a:cxn>
          </a:cxnLst>
          <a:rect l="f31" t="f31" r="f32" b="f33"/>
          <a:pathLst>
            <a:path>
              <a:moveTo>
                <a:pt x="f34" y="f34"/>
              </a:moveTo>
              <a:lnTo>
                <a:pt x="f35" y="f36"/>
              </a:lnTo>
            </a:path>
          </a:pathLst>
        </a:custGeom>
        <a:noFill/>
        <a:ln w="9528" cap="flat">
          <a:solidFill>
            <a:srgbClr val="000000"/>
          </a:solidFill>
          <a:prstDash val="solid"/>
          <a:round/>
        </a:ln>
      </xdr:spPr>
      <xdr:txBody>
        <a:bodyPr lIns="0" tIns="0" rIns="0" bIns="0"/>
        <a:lstStyle/>
        <a:p>
          <a:endParaRPr lang="en-AU"/>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4" workbookViewId="0">
      <selection activeCell="C18" sqref="C18"/>
    </sheetView>
  </sheetViews>
  <sheetFormatPr defaultColWidth="0" defaultRowHeight="0" customHeight="1" zeroHeight="1"/>
  <cols>
    <col min="1" max="1" width="27" style="4" customWidth="1"/>
    <col min="2" max="2" width="24.5" style="4" customWidth="1"/>
    <col min="3" max="3" width="22.6875" style="4" customWidth="1"/>
    <col min="4" max="4" width="23.1875" style="4" customWidth="1"/>
    <col min="5" max="5" width="22.875" style="4" customWidth="1"/>
    <col min="6" max="6" width="23" style="4" customWidth="1"/>
    <col min="7" max="7" width="21" style="4" customWidth="1"/>
    <col min="8" max="8" width="23" style="4" customWidth="1"/>
    <col min="9" max="9" width="16.5" style="4" customWidth="1"/>
    <col min="10" max="10" width="18.375" style="4" customWidth="1"/>
    <col min="11" max="15" width="16.375" style="4" hidden="1" customWidth="1"/>
    <col min="16" max="16" width="8.875" style="4" hidden="1" customWidth="1"/>
    <col min="17" max="16384" width="8.875" style="4" hidden="1"/>
  </cols>
  <sheetData>
    <row r="1" spans="1:15" ht="39.4" customHeight="1" thickBot="1">
      <c r="A1" s="295" t="s">
        <v>0</v>
      </c>
      <c r="B1" s="295"/>
      <c r="C1" s="295"/>
      <c r="D1" s="295"/>
      <c r="E1" s="295"/>
      <c r="F1" s="295"/>
      <c r="G1" s="295"/>
      <c r="H1" s="295"/>
      <c r="I1" s="295"/>
      <c r="J1" s="295"/>
      <c r="K1" s="1"/>
      <c r="L1" s="2"/>
      <c r="M1" s="2"/>
      <c r="N1" s="2"/>
      <c r="O1" s="3"/>
    </row>
    <row r="2" spans="1:15" ht="27.95" customHeight="1" thickBot="1">
      <c r="A2" s="296" t="s">
        <v>1</v>
      </c>
      <c r="B2" s="296"/>
      <c r="C2" s="296"/>
      <c r="D2" s="296"/>
      <c r="E2" s="296"/>
      <c r="F2" s="296"/>
      <c r="G2" s="296"/>
      <c r="H2" s="296"/>
      <c r="I2" s="296"/>
      <c r="J2" s="296"/>
      <c r="K2" s="5"/>
      <c r="L2" s="5"/>
      <c r="M2" s="6"/>
      <c r="N2" s="6"/>
      <c r="O2" s="7"/>
    </row>
    <row r="3" spans="1:15" ht="25.05" customHeight="1">
      <c r="A3" s="297" t="s">
        <v>2</v>
      </c>
      <c r="B3" s="297"/>
      <c r="C3" s="8" t="s">
        <v>3</v>
      </c>
      <c r="D3" s="9" t="s">
        <v>4</v>
      </c>
      <c r="E3" s="9" t="s">
        <v>5</v>
      </c>
      <c r="F3" s="9" t="s">
        <v>6</v>
      </c>
      <c r="G3" s="9" t="s">
        <v>7</v>
      </c>
      <c r="H3" s="9" t="s">
        <v>8</v>
      </c>
      <c r="I3" s="10" t="s">
        <v>9</v>
      </c>
      <c r="J3" s="11" t="s">
        <v>10</v>
      </c>
      <c r="K3" s="12" t="s">
        <v>11</v>
      </c>
      <c r="L3" s="12" t="s">
        <v>12</v>
      </c>
      <c r="M3" s="13"/>
      <c r="N3" s="13"/>
      <c r="O3" s="14"/>
    </row>
    <row r="4" spans="1:15" ht="25.05" customHeight="1" thickBot="1">
      <c r="A4" s="15" t="s">
        <v>13</v>
      </c>
      <c r="B4" s="16" t="s">
        <v>14</v>
      </c>
      <c r="C4" s="17" t="str">
        <f>VLOOKUP(B4,B22:C32,2,FALSE)</f>
        <v>Aqueous</v>
      </c>
      <c r="D4" s="18">
        <f>VLOOKUP(B4,B22:D32,3,FALSE)</f>
        <v>35</v>
      </c>
      <c r="E4" s="17" t="str">
        <f>VLOOKUP(B4,B22:E32,4,FALSE)</f>
        <v>Dichloromethane</v>
      </c>
      <c r="F4" s="18">
        <f>VLOOKUP(B4,B22:F32,5,FALSE)</f>
        <v>2</v>
      </c>
      <c r="G4" s="18">
        <f>VLOOKUP(B4,B22:G32,6,FALSE)</f>
        <v>2</v>
      </c>
      <c r="H4" s="18">
        <f>IF(B4="Choose Method Name...","",(F4/G4))</f>
        <v>1</v>
      </c>
      <c r="I4" s="19">
        <f>VLOOKUP(B4,B22:I32,8,FALSE)</f>
        <v>5</v>
      </c>
      <c r="J4" s="20">
        <f>VLOOKUP(B4,B22:J30,9,FALSE)</f>
        <v>1.7500000000000002E-2</v>
      </c>
      <c r="K4" s="21">
        <f>MATCH(E4,AnalytesSolvents!A2:P2,0)</f>
        <v>4</v>
      </c>
      <c r="L4" s="22"/>
      <c r="M4" s="22"/>
      <c r="N4" s="22"/>
      <c r="O4" s="23"/>
    </row>
    <row r="5" spans="1:15" ht="25.05" customHeight="1">
      <c r="A5" s="24" t="s">
        <v>15</v>
      </c>
      <c r="B5" s="25" t="s">
        <v>16</v>
      </c>
      <c r="C5" s="25" t="s">
        <v>17</v>
      </c>
      <c r="D5" s="25" t="s">
        <v>18</v>
      </c>
      <c r="E5" s="25" t="s">
        <v>19</v>
      </c>
      <c r="F5" s="26" t="s">
        <v>20</v>
      </c>
      <c r="G5" s="26" t="s">
        <v>21</v>
      </c>
      <c r="H5" s="27" t="str">
        <f>"Conc. Factor = "&amp;$H$4</f>
        <v>Conc. Factor = 1</v>
      </c>
      <c r="I5" s="26" t="s">
        <v>22</v>
      </c>
      <c r="J5" s="28" t="s">
        <v>23</v>
      </c>
      <c r="K5" s="29" t="s">
        <v>24</v>
      </c>
      <c r="L5" s="29" t="s">
        <v>25</v>
      </c>
      <c r="M5" s="29" t="s">
        <v>26</v>
      </c>
      <c r="N5" s="29" t="s">
        <v>27</v>
      </c>
      <c r="O5" s="30" t="s">
        <v>28</v>
      </c>
    </row>
    <row r="6" spans="1:15" ht="25.05" customHeight="1">
      <c r="A6" s="31" t="s">
        <v>15</v>
      </c>
      <c r="B6" s="32" t="s">
        <v>29</v>
      </c>
      <c r="C6" s="33" t="str">
        <f>C4</f>
        <v>Aqueous</v>
      </c>
      <c r="D6" s="34">
        <f>IFERROR(VLOOKUP($B6,AnalytesSolvents!$A$4:$P$16,$K$4,FALSE),"")</f>
        <v>0.52</v>
      </c>
      <c r="E6" s="35">
        <f>IFERROR(((POWER(10,D6)*F4)/(D4+(POWER(10,D6)*F4))),"")</f>
        <v>0.15911112858986723</v>
      </c>
      <c r="F6" s="36">
        <f>IFERROR(((POWER(10,$O6)*$K$14)/($D$12+(POWER(10,$O6)*$K$14))),"")</f>
        <v>0.31815942495013078</v>
      </c>
      <c r="G6" s="37">
        <f>IFERROR(($F6/$E6),"")</f>
        <v>1.9996051047455918</v>
      </c>
      <c r="H6" s="38" t="s">
        <v>15</v>
      </c>
      <c r="I6" s="39">
        <f>IFERROR((((D4/G4)/(D12/I12)*I4)/(G6)),"")</f>
        <v>2.5004937165511718</v>
      </c>
      <c r="J6" s="40" t="s">
        <v>15</v>
      </c>
      <c r="K6" s="41">
        <f>IFERROR(VLOOKUP($B6,AnalytesSolvents!A$4:P$16,$K$12,FALSE),0)</f>
        <v>0.52</v>
      </c>
      <c r="L6" s="41">
        <f>IF($L13&gt;0,VLOOKUP($B6,AnalytesSolvents!A$4:P$16,$K$13,FALSE),0)</f>
        <v>1.5</v>
      </c>
      <c r="M6" s="42">
        <f>IFERROR(($K6*($L$12/($L$12+$L$13))),0)</f>
        <v>0.312</v>
      </c>
      <c r="N6" s="42">
        <f>IFERROR($L6*($F$13/($L$12+$L$13)),0)</f>
        <v>0.60000000000000009</v>
      </c>
      <c r="O6" s="43">
        <f>($M6+$N6)</f>
        <v>0.91200000000000014</v>
      </c>
    </row>
    <row r="7" spans="1:15" ht="25.05" customHeight="1">
      <c r="A7" s="31" t="s">
        <v>15</v>
      </c>
      <c r="B7" s="32" t="s">
        <v>30</v>
      </c>
      <c r="C7" s="33" t="str">
        <f>$C$4</f>
        <v>Aqueous</v>
      </c>
      <c r="D7" s="34">
        <f>IFERROR(VLOOKUP($B7,AnalytesSolvents!$A$4:$P$16,$K$4,FALSE),"")</f>
        <v>2.15</v>
      </c>
      <c r="E7" s="35">
        <f>IFERROR(((POWER(10,$D7)*$F$4)/($D$4+(POWER(10,$D7)*$F$4))),"")</f>
        <v>0.8897663865697204</v>
      </c>
      <c r="F7" s="36">
        <f>IFERROR(((POWER(10,$O7)*$K$14)/($D$12+(POWER(10,$O7)*$K$14))),"")</f>
        <v>0.91189826925901274</v>
      </c>
      <c r="G7" s="37">
        <f>IFERROR(($F7/$E7),"")</f>
        <v>1.024873812973107</v>
      </c>
      <c r="H7" s="38" t="s">
        <v>15</v>
      </c>
      <c r="I7" s="39">
        <f>IFERROR(((($D$4/$G$4)/($D$12/$I$12)*$I$4)/($G7)),"")</f>
        <v>4.8786493875721666</v>
      </c>
      <c r="J7" s="40" t="s">
        <v>15</v>
      </c>
      <c r="K7" s="44">
        <f>IFERROR(VLOOKUP($B7,AnalytesSolvents!$A$4:$P$16,$K$12,FALSE),0)</f>
        <v>2.15</v>
      </c>
      <c r="L7" s="44">
        <f>IF($L13&gt;0,VLOOKUP(B7,AnalytesSolvents!A$4:P$16,$K$13,FALSE),0)</f>
        <v>2.42</v>
      </c>
      <c r="M7" s="42">
        <f>IFERROR(($K7*($L$12/($L$12+$L$13))),0)</f>
        <v>1.2899999999999998</v>
      </c>
      <c r="N7" s="42">
        <f>IFERROR($L7*($F$13/($L$12+$L$13)),0)</f>
        <v>0.96799999999999997</v>
      </c>
      <c r="O7" s="43">
        <f>($M7+$N7)</f>
        <v>2.258</v>
      </c>
    </row>
    <row r="8" spans="1:15" ht="25.05" customHeight="1">
      <c r="A8" s="31" t="s">
        <v>15</v>
      </c>
      <c r="B8" s="32" t="s">
        <v>31</v>
      </c>
      <c r="C8" s="33" t="str">
        <f>C4</f>
        <v>Aqueous</v>
      </c>
      <c r="D8" s="34">
        <f>IFERROR(VLOOKUP($B8,AnalytesSolvents!$A$4:$P$16,$K$4,FALSE),"")</f>
        <v>2.46</v>
      </c>
      <c r="E8" s="35">
        <f>IFERROR(((POWER(10,$D8)*$F$4)/($D$4+(POWER(10,$D8)*$F$4))),"")</f>
        <v>0.94279235116698401</v>
      </c>
      <c r="F8" s="36">
        <f>IFERROR(((POWER(10,$O8)*$K$14)/($D$12+(POWER(10,$O8)*$K$14))),"")</f>
        <v>0.93023602721072873</v>
      </c>
      <c r="G8" s="37">
        <f>IFERROR(($F8/$E8),"")</f>
        <v>0.98668177150492031</v>
      </c>
      <c r="H8" s="38" t="s">
        <v>15</v>
      </c>
      <c r="I8" s="39">
        <f>IFERROR(((($D$4/$G$4)/($D$12/$I$12)*$I$4)/($G8)),"")</f>
        <v>5.0674899895777248</v>
      </c>
      <c r="J8" s="40" t="s">
        <v>15</v>
      </c>
      <c r="K8" s="44">
        <f>IFERROR(VLOOKUP($B8,AnalytesSolvents!$A$4:$P$16,$K$12,FALSE),0)</f>
        <v>2.46</v>
      </c>
      <c r="L8" s="44">
        <f>IF($L13&gt;0,VLOOKUP(B8,AnalytesSolvents!A$4:P$16,$K$13,FALSE),0)</f>
        <v>2.23</v>
      </c>
      <c r="M8" s="42">
        <f>IFERROR(($K8*($L$12/($L$12+$L$13))),0)</f>
        <v>1.476</v>
      </c>
      <c r="N8" s="42">
        <f>IFERROR($L8*($F$13/($L$12+$L$13)),0)</f>
        <v>0.89200000000000002</v>
      </c>
      <c r="O8" s="43">
        <f>($M8+$N8)</f>
        <v>2.3679999999999999</v>
      </c>
    </row>
    <row r="9" spans="1:15" ht="25.05" customHeight="1">
      <c r="A9" s="31" t="s">
        <v>15</v>
      </c>
      <c r="B9" s="32" t="s">
        <v>32</v>
      </c>
      <c r="C9" s="33" t="str">
        <f>C4</f>
        <v>Aqueous</v>
      </c>
      <c r="D9" s="34">
        <f>IFERROR(VLOOKUP($B9,AnalytesSolvents!$A$4:$P$16,$K$4,FALSE),"")</f>
        <v>4.16</v>
      </c>
      <c r="E9" s="35">
        <f>IFERROR(((POWER(10,$D9)*$F$4)/($D$4+(POWER(10,$D9)*$F$4))),"")</f>
        <v>0.99879075983303978</v>
      </c>
      <c r="F9" s="36">
        <f>IFERROR(((POWER(10,$O9)*$K$14)/($D$12+(POWER(10,$O9)*$K$14))),"")</f>
        <v>0.99849206484386732</v>
      </c>
      <c r="G9" s="37">
        <f>IFERROR(($F9/$E9),"")</f>
        <v>0.99970094337954996</v>
      </c>
      <c r="H9" s="38" t="s">
        <v>15</v>
      </c>
      <c r="I9" s="39">
        <f>IFERROR(((($D$4/$G$4)/($D$12/$I$12)*$I$4)/($G9)),"")</f>
        <v>5.0014957304103316</v>
      </c>
      <c r="J9" s="40" t="s">
        <v>15</v>
      </c>
      <c r="K9" s="44">
        <f>IFERROR(VLOOKUP($B9,AnalytesSolvents!$A$4:$P$16,$K$12,FALSE),0)</f>
        <v>4.16</v>
      </c>
      <c r="L9" s="44">
        <f>IF($L13&gt;0,VLOOKUP(B9,AnalytesSolvents!A$4:P$16,$K$13,FALSE),0)</f>
        <v>3.92</v>
      </c>
      <c r="M9" s="42">
        <f>IFERROR(($K9*($L$12/($L$12+$L$13))),0)</f>
        <v>2.496</v>
      </c>
      <c r="N9" s="42">
        <f>IFERROR($L9*($F$13/($L$12+$L$13)),0)</f>
        <v>1.5680000000000001</v>
      </c>
      <c r="O9" s="43">
        <f>($M9+$N9)</f>
        <v>4.0640000000000001</v>
      </c>
    </row>
    <row r="10" spans="1:15" ht="25.05" customHeight="1" thickBot="1">
      <c r="A10" s="45" t="s">
        <v>15</v>
      </c>
      <c r="B10" s="46" t="s">
        <v>33</v>
      </c>
      <c r="C10" s="47" t="str">
        <f>C4</f>
        <v>Aqueous</v>
      </c>
      <c r="D10" s="48">
        <f>IFERROR(VLOOKUP($B10,AnalytesSolvents!$A$4:$P$16,$K$4,FALSE),"")</f>
        <v>20.3</v>
      </c>
      <c r="E10" s="49">
        <f>IFERROR(((POWER(10,$D10)*$F$4)/($D$4+(POWER(10,$D10)*$F$4))),"")</f>
        <v>1</v>
      </c>
      <c r="F10" s="50">
        <f>IFERROR(((POWER(10,$O10)*$K$14)/($D$12+(POWER(10,$O10)*$K$14))),"")</f>
        <v>1</v>
      </c>
      <c r="G10" s="51">
        <f>IFERROR(($F10/$E10),"")</f>
        <v>1</v>
      </c>
      <c r="H10" s="52" t="s">
        <v>15</v>
      </c>
      <c r="I10" s="53">
        <f>IFERROR(((($D$4/$G$4)/($D$12/$I$12)*$I$4)/($G10)),"")</f>
        <v>5</v>
      </c>
      <c r="J10" s="54" t="s">
        <v>15</v>
      </c>
      <c r="K10" s="55">
        <f>IFERROR(VLOOKUP($B10,AnalytesSolvents!$A$4:$P$16,$K$12,FALSE),0)</f>
        <v>20.3</v>
      </c>
      <c r="L10" s="55">
        <f>IF($L13&gt;0,VLOOKUP(B10,AnalytesSolvents!A$4:P$16,$K$13,FALSE),0)</f>
        <v>18.690000000000001</v>
      </c>
      <c r="M10" s="56">
        <f>IFERROR(($K10*($L$12/($L$12+$L$13))),0)</f>
        <v>12.18</v>
      </c>
      <c r="N10" s="56">
        <f>IFERROR($L10*($F$13/($L$12+$L$13)),0)</f>
        <v>7.4760000000000009</v>
      </c>
      <c r="O10" s="57">
        <f>($M10+$N10)</f>
        <v>19.655999999999999</v>
      </c>
    </row>
    <row r="11" spans="1:15" ht="25.05" customHeight="1" thickTop="1" thickBot="1">
      <c r="A11" s="58" t="str">
        <f>"Using: "&amp;B4</f>
        <v>Using: EPA 3511</v>
      </c>
      <c r="B11" s="59" t="str">
        <f>$C$4</f>
        <v>Aqueous</v>
      </c>
      <c r="C11" s="60" t="str">
        <f>(B11)</f>
        <v>Aqueous</v>
      </c>
      <c r="D11" s="61" t="s">
        <v>4</v>
      </c>
      <c r="E11" s="62" t="s">
        <v>34</v>
      </c>
      <c r="F11" s="63" t="s">
        <v>6</v>
      </c>
      <c r="G11" s="62" t="s">
        <v>35</v>
      </c>
      <c r="H11" s="62" t="s">
        <v>36</v>
      </c>
      <c r="I11" s="64" t="s">
        <v>7</v>
      </c>
      <c r="J11" s="65" t="s">
        <v>37</v>
      </c>
      <c r="K11" s="66" t="s">
        <v>38</v>
      </c>
      <c r="L11" s="66" t="s">
        <v>39</v>
      </c>
      <c r="M11" s="67"/>
      <c r="N11" s="67"/>
      <c r="O11" s="68"/>
    </row>
    <row r="12" spans="1:15" ht="25.05" customHeight="1">
      <c r="A12" s="69" t="str">
        <f>IF(B12="Choose Main Solvent...","Choose Main Solvent :","Main Solvent Chosen is :")</f>
        <v>Main Solvent Chosen is :</v>
      </c>
      <c r="B12" s="70" t="s">
        <v>40</v>
      </c>
      <c r="C12" s="71" t="str">
        <f>IFERROR("BP: "&amp;VLOOKUP($B12,Solvents!$B$6:$E$19,4,FALSE)&amp;"C","")</f>
        <v>BP: 40C</v>
      </c>
      <c r="D12" s="72">
        <v>35</v>
      </c>
      <c r="E12" s="73" t="str">
        <f>IFERROR(VLOOKUP($B12,Solvents!$B$6:$F$19,5,FALSE),"")</f>
        <v>Moderately</v>
      </c>
      <c r="F12" s="74">
        <v>1.2</v>
      </c>
      <c r="G12" s="75">
        <f>IFERROR(VLOOKUP($B12,Solvents!$B$6:$D$19,3,FALSE),"")</f>
        <v>1.33</v>
      </c>
      <c r="H12" s="76">
        <f>IFERROR(VLOOKUP($B12,Solvents!$B$6:$I$19,8,FALSE),"")</f>
        <v>17.782794100389236</v>
      </c>
      <c r="I12" s="74">
        <v>2</v>
      </c>
      <c r="J12" s="77">
        <v>1</v>
      </c>
      <c r="K12" s="78">
        <f>IFERROR(MATCH(B12,AnalytesSolvents!A2:P2,0),"")</f>
        <v>4</v>
      </c>
      <c r="L12" s="78">
        <f>IF(B12="Choose Main Solvent...",0,IF(F12&gt;0,F12,0))</f>
        <v>1.2</v>
      </c>
      <c r="M12" s="79"/>
      <c r="N12" s="79"/>
      <c r="O12" s="80"/>
    </row>
    <row r="13" spans="1:15" ht="25.05" customHeight="1">
      <c r="A13" s="81" t="str">
        <f>IF(B12="Choose Main Solvent...","Main Solvent Not Chosen...",IF(B13="None...","Choose 2nd Solvent :","2nd Solvent Chosen is :"))</f>
        <v>2nd Solvent Chosen is :</v>
      </c>
      <c r="B13" s="82" t="s">
        <v>42</v>
      </c>
      <c r="C13" s="83" t="str">
        <f>IFERROR("BP: "&amp;VLOOKUP($B13,Solvents!$B$6:$E$19,4,FALSE)&amp;"C","")</f>
        <v>BP: 57C</v>
      </c>
      <c r="D13" s="84" t="s">
        <v>3</v>
      </c>
      <c r="E13" s="85" t="str">
        <f>IFERROR(VLOOKUP($B13,Solvents!$B$6:$F$19,5,FALSE),"")</f>
        <v>Moderately</v>
      </c>
      <c r="F13" s="86">
        <v>0.8</v>
      </c>
      <c r="G13" s="87">
        <f>IFERROR(VLOOKUP($B13,Solvents!$B$6:$D$19,3,FALSE),"")</f>
        <v>0.93</v>
      </c>
      <c r="H13" s="88">
        <f>IFERROR(VLOOKUP($B13,Solvents!$B$6:$I$19,8,FALSE),"")</f>
        <v>1.5135612484362082</v>
      </c>
      <c r="I13" s="84" t="s">
        <v>3</v>
      </c>
      <c r="J13" s="89" t="s">
        <v>3</v>
      </c>
      <c r="K13" s="90">
        <f>IFERROR(MATCH(B13,AnalytesSolvents!A2:P2,0),0)</f>
        <v>12</v>
      </c>
      <c r="L13" s="90">
        <f>IF(B12="Choose Main Solvent...",0,IF(B13="None...",0,IF(B13="Choose 2nd Solvent...",0,F13)))</f>
        <v>0.8</v>
      </c>
      <c r="M13" s="91"/>
      <c r="N13" s="91"/>
      <c r="O13" s="92"/>
    </row>
    <row r="14" spans="1:15" ht="25.05" customHeight="1" thickBot="1">
      <c r="A14" s="298" t="str">
        <f>IF(B12="Choose Main Solvent...","No Comparison Run...",IF(D4&lt;&gt;D12,"Different Matrix Amounts!",IF(C4="Aqueous",IF(E12="Yes",B12&amp;" Water Soluble!",""),"")))</f>
        <v/>
      </c>
      <c r="B14" s="298"/>
      <c r="C14" s="299" t="str">
        <f>IFERROR(IF(B12="Choose Main Solvent...","No Main Solvent Chosen...",(IF(K14&gt;F4,"Solvent Volume ("&amp;K14&amp;") is More than "&amp;F4&amp;"mL !",IF(K14&lt;F4,"Solvent Volume ("&amp;K14&amp;") is Less than "&amp;F4&amp;"mL !","")))),"")</f>
        <v/>
      </c>
      <c r="D14" s="299"/>
      <c r="E14" s="93" t="str">
        <f>IF(B12=B13,"",IF(B13="Choose 2nd Solvent...","",IF(B13="None...","","Will Solvent(s) Mix?")))</f>
        <v>Will Solvent(s) Mix?</v>
      </c>
      <c r="F14" s="94" t="s">
        <v>43</v>
      </c>
      <c r="G14" s="95">
        <f>IF(B12="Choose Main Solvent...","",IFERROR((G12*L12)/(L12+L13)+((G13*L13)/(L12+L13)),""))</f>
        <v>1.1700000000000002</v>
      </c>
      <c r="H14" s="96">
        <f>IF(B12="Choose Main Solvent...","",IFERROR((H12*L12)/(L12+L13)+((H13*L13)/(L12+L13)),""))</f>
        <v>11.275100959608025</v>
      </c>
      <c r="I14" s="97" t="str">
        <f>IF((J4*J12)&lt;1,"pg on Column :","ng on Column :")</f>
        <v>pg on Column :</v>
      </c>
      <c r="J14" s="98">
        <f>(IF((J4*J12)&lt;1,((J4*J12)*1000),(J4*J12))/I12)</f>
        <v>8.75</v>
      </c>
      <c r="K14" s="90">
        <f>IF(A3="Use Original Method...",0,(L12+L13))</f>
        <v>2</v>
      </c>
      <c r="L14" s="99"/>
      <c r="M14" s="100"/>
      <c r="N14" s="100"/>
      <c r="O14" s="101"/>
    </row>
    <row r="15" spans="1:15" ht="25.05" customHeight="1" thickBot="1">
      <c r="A15" s="300"/>
      <c r="B15" s="300"/>
      <c r="C15" s="300"/>
      <c r="D15" s="300"/>
      <c r="E15" s="300"/>
      <c r="F15" s="300"/>
      <c r="G15" s="300"/>
      <c r="H15" s="300"/>
      <c r="I15" s="300"/>
      <c r="J15" s="300"/>
      <c r="K15" s="102"/>
      <c r="L15" s="102"/>
      <c r="M15" s="102"/>
      <c r="N15" s="102"/>
      <c r="O15" s="103"/>
    </row>
    <row r="16" spans="1:15" ht="25.05" customHeight="1" thickBot="1">
      <c r="A16" s="301" t="s">
        <v>44</v>
      </c>
      <c r="B16" s="104" t="s">
        <v>45</v>
      </c>
      <c r="C16" s="105" t="s">
        <v>16</v>
      </c>
      <c r="D16" s="106" t="s">
        <v>46</v>
      </c>
      <c r="E16" s="106" t="s">
        <v>47</v>
      </c>
      <c r="F16" s="107" t="s">
        <v>16</v>
      </c>
      <c r="G16" s="108" t="s">
        <v>46</v>
      </c>
      <c r="H16" s="108" t="s">
        <v>47</v>
      </c>
      <c r="I16" s="109" t="s">
        <v>15</v>
      </c>
      <c r="J16" s="110" t="s">
        <v>15</v>
      </c>
      <c r="K16" s="91"/>
      <c r="L16" s="102"/>
      <c r="M16" s="102"/>
      <c r="N16" s="102"/>
      <c r="O16" s="103"/>
    </row>
    <row r="17" spans="1:15" ht="25.05" customHeight="1" thickBot="1">
      <c r="A17" s="301"/>
      <c r="B17" s="111" t="s">
        <v>48</v>
      </c>
      <c r="C17" s="112" t="str">
        <f>IFERROR(LOOKUP($D17,$E$6:$E$10,$B$6:$B$10),"")</f>
        <v>Phenol</v>
      </c>
      <c r="D17" s="113">
        <f>K17</f>
        <v>0.15911112858986723</v>
      </c>
      <c r="E17" s="114">
        <f>$D17+((1-$D17)*$D17)</f>
        <v>0.29290590593859323</v>
      </c>
      <c r="F17" s="115" t="str">
        <f>IFERROR(LOOKUP($G17,$F$6:$F$10,$B$6:$B$10),"")</f>
        <v>Phenol</v>
      </c>
      <c r="G17" s="116">
        <f>L17</f>
        <v>0.31815942495013078</v>
      </c>
      <c r="H17" s="117">
        <f>$G17+((1-$G17)*$G17)</f>
        <v>0.53509343021566369</v>
      </c>
      <c r="I17" s="118" t="s">
        <v>15</v>
      </c>
      <c r="J17" s="119" t="s">
        <v>15</v>
      </c>
      <c r="K17" s="120">
        <f>SMALL(E6:E10,1)</f>
        <v>0.15911112858986723</v>
      </c>
      <c r="L17" s="121">
        <f>IF(F6="",0,SMALL(F6:F10,1))</f>
        <v>0.31815942495013078</v>
      </c>
      <c r="M17" s="122">
        <f>IFERROR(VLOOKUP(C17,AnalytesSolvents!A$4:P$16,$K$4,FALSE),0)</f>
        <v>0.52</v>
      </c>
      <c r="N17" s="123">
        <f>VLOOKUP(G17,F6:N10,9,FALSE)</f>
        <v>0.60000000000000009</v>
      </c>
      <c r="O17" s="103"/>
    </row>
    <row r="18" spans="1:15" ht="25.05" customHeight="1" thickBot="1">
      <c r="A18" s="301"/>
      <c r="B18" s="124" t="s">
        <v>49</v>
      </c>
      <c r="C18" s="125" t="str">
        <f>IFERROR(LOOKUP($D18,$E$6:$E$10,$B$6:$B$10),"")</f>
        <v>Benzidine</v>
      </c>
      <c r="D18" s="126">
        <f>K18</f>
        <v>0.8897663865697204</v>
      </c>
      <c r="E18" s="127">
        <f>$D18+((1-$D18)*$D18)</f>
        <v>0.98784855047010367</v>
      </c>
      <c r="F18" s="128" t="str">
        <f>IFERROR(LOOKUP($G18,$F$6:$F$10,$B$6:$B$10),"")</f>
        <v>Benzidine</v>
      </c>
      <c r="G18" s="129">
        <f>L18</f>
        <v>0.91189826925901274</v>
      </c>
      <c r="H18" s="130">
        <f>$G18+((1-$G18)*$G18)</f>
        <v>0.99223808504044264</v>
      </c>
      <c r="I18" s="131" t="s">
        <v>15</v>
      </c>
      <c r="J18" s="132" t="s">
        <v>15</v>
      </c>
      <c r="K18" s="120">
        <f>SMALL(E6:E10,2)</f>
        <v>0.8897663865697204</v>
      </c>
      <c r="L18" s="121">
        <f>IF(F6="",0,SMALL(F6:F10,2))</f>
        <v>0.91189826925901274</v>
      </c>
      <c r="M18" s="122">
        <f>IFERROR(VLOOKUP(C18,AnalytesSolvents!A$4:P$16,$K$4,FALSE),0)</f>
        <v>2.15</v>
      </c>
      <c r="N18" s="123">
        <f>VLOOKUP(G18,F6:O10,10,FALSE)</f>
        <v>2.258</v>
      </c>
      <c r="O18" s="103"/>
    </row>
    <row r="19" spans="1:15" ht="25.05" customHeight="1" thickBot="1">
      <c r="A19" s="302" t="s">
        <v>50</v>
      </c>
      <c r="B19" s="302"/>
      <c r="C19" s="133">
        <v>5.0999999999999996</v>
      </c>
      <c r="D19" s="303" t="str">
        <f>"  "&amp;C19&amp;IF(C19&lt;-0.027," is very low",IF(C19&gt;18.2," is very high"," compares to "&amp;LOOKUP(C19,Analytes!C1:C16,Analytes!A1:A16)))&amp;" and may be expected to extract accordingly..."</f>
        <v xml:space="preserve">  5.1 compares to Naphthalene and may be expected to extract accordingly...</v>
      </c>
      <c r="E19" s="303"/>
      <c r="F19" s="303"/>
      <c r="G19" s="303"/>
      <c r="H19" s="303"/>
      <c r="I19" s="303"/>
      <c r="J19" s="303"/>
      <c r="K19" s="134" t="str">
        <f>IFERROR(INDEX(Analytes!A1:A16,MATCH($C$19,Analytes!C1:C16,1)),"very low")</f>
        <v>Naphthalene</v>
      </c>
      <c r="L19" s="134" t="str">
        <f>IFERROR(INDEX(Analytes!A1:A16,MATCH($C$19,Analytes!C1:C16,-1)),"very high")</f>
        <v>very high</v>
      </c>
      <c r="M19" s="91"/>
      <c r="N19" s="91"/>
      <c r="O19" s="92"/>
    </row>
    <row r="20" spans="1:15" ht="25.05" customHeight="1" thickBot="1">
      <c r="A20" s="304"/>
      <c r="B20" s="304"/>
      <c r="C20" s="135"/>
      <c r="D20" s="305"/>
      <c r="E20" s="305"/>
      <c r="F20" s="305"/>
      <c r="G20" s="305"/>
      <c r="H20" s="305"/>
      <c r="I20" s="305"/>
      <c r="J20" s="136"/>
      <c r="K20" s="137"/>
      <c r="L20" s="137"/>
      <c r="M20" s="91"/>
      <c r="N20" s="91"/>
      <c r="O20" s="92"/>
    </row>
    <row r="21" spans="1:15" ht="25.05" customHeight="1">
      <c r="A21" s="138" t="s">
        <v>52</v>
      </c>
      <c r="B21" s="139" t="s">
        <v>53</v>
      </c>
      <c r="C21" s="139" t="s">
        <v>17</v>
      </c>
      <c r="D21" s="139" t="s">
        <v>4</v>
      </c>
      <c r="E21" s="139" t="s">
        <v>5</v>
      </c>
      <c r="F21" s="139" t="s">
        <v>6</v>
      </c>
      <c r="G21" s="139" t="s">
        <v>7</v>
      </c>
      <c r="H21" s="139" t="s">
        <v>8</v>
      </c>
      <c r="I21" s="139" t="s">
        <v>9</v>
      </c>
      <c r="J21" s="140" t="s">
        <v>54</v>
      </c>
      <c r="K21" s="91"/>
      <c r="L21" s="91"/>
      <c r="M21" s="91"/>
      <c r="N21" s="91"/>
      <c r="O21" s="92"/>
    </row>
    <row r="22" spans="1:15" ht="25.05" customHeight="1">
      <c r="A22" s="141">
        <f>2</f>
        <v>2</v>
      </c>
      <c r="B22" s="32" t="s">
        <v>55</v>
      </c>
      <c r="C22" s="142" t="s">
        <v>56</v>
      </c>
      <c r="D22" s="143">
        <v>1000</v>
      </c>
      <c r="E22" s="144" t="s">
        <v>40</v>
      </c>
      <c r="F22" s="145">
        <v>60</v>
      </c>
      <c r="G22" s="145">
        <v>1</v>
      </c>
      <c r="H22" s="145">
        <f t="shared" ref="H22:H32" si="0">F22/G22</f>
        <v>60</v>
      </c>
      <c r="I22" s="145">
        <v>1</v>
      </c>
      <c r="J22" s="146">
        <f t="shared" ref="J22:J32" si="1">(($D22/$G22)*$K$22)</f>
        <v>1</v>
      </c>
      <c r="K22" s="147">
        <v>1E-3</v>
      </c>
      <c r="L22" s="91"/>
      <c r="M22" s="91"/>
      <c r="N22" s="91"/>
      <c r="O22" s="92"/>
    </row>
    <row r="23" spans="1:15" ht="25.05" customHeight="1">
      <c r="A23" s="141">
        <f t="shared" ref="A23:A32" si="2">A22+1</f>
        <v>3</v>
      </c>
      <c r="B23" s="32" t="s">
        <v>14</v>
      </c>
      <c r="C23" s="142" t="s">
        <v>56</v>
      </c>
      <c r="D23" s="143">
        <v>35</v>
      </c>
      <c r="E23" s="144" t="s">
        <v>40</v>
      </c>
      <c r="F23" s="145">
        <v>2</v>
      </c>
      <c r="G23" s="145">
        <v>2</v>
      </c>
      <c r="H23" s="145">
        <f t="shared" si="0"/>
        <v>1</v>
      </c>
      <c r="I23" s="145">
        <v>5</v>
      </c>
      <c r="J23" s="146">
        <f t="shared" si="1"/>
        <v>1.7500000000000002E-2</v>
      </c>
      <c r="K23" s="91"/>
      <c r="L23" s="91"/>
      <c r="M23" s="91"/>
      <c r="N23" s="91"/>
      <c r="O23" s="92"/>
    </row>
    <row r="24" spans="1:15" ht="25.05" customHeight="1">
      <c r="A24" s="141">
        <f t="shared" si="2"/>
        <v>4</v>
      </c>
      <c r="B24" s="32" t="s">
        <v>57</v>
      </c>
      <c r="C24" s="142" t="s">
        <v>56</v>
      </c>
      <c r="D24" s="143">
        <v>10</v>
      </c>
      <c r="E24" s="144" t="s">
        <v>58</v>
      </c>
      <c r="F24" s="145">
        <v>2</v>
      </c>
      <c r="G24" s="145">
        <v>2</v>
      </c>
      <c r="H24" s="145">
        <f t="shared" si="0"/>
        <v>1</v>
      </c>
      <c r="I24" s="145">
        <v>5</v>
      </c>
      <c r="J24" s="146">
        <f t="shared" si="1"/>
        <v>5.0000000000000001E-3</v>
      </c>
      <c r="K24" s="91"/>
      <c r="L24" s="91"/>
      <c r="M24" s="91"/>
      <c r="N24" s="91"/>
      <c r="O24" s="92"/>
    </row>
    <row r="25" spans="1:15" ht="25.05" customHeight="1">
      <c r="A25" s="141">
        <f t="shared" si="2"/>
        <v>5</v>
      </c>
      <c r="B25" s="32" t="s">
        <v>59</v>
      </c>
      <c r="C25" s="142" t="s">
        <v>60</v>
      </c>
      <c r="D25" s="143">
        <v>10</v>
      </c>
      <c r="E25" s="148" t="s">
        <v>61</v>
      </c>
      <c r="F25" s="145">
        <v>300</v>
      </c>
      <c r="G25" s="145">
        <v>1</v>
      </c>
      <c r="H25" s="145">
        <f t="shared" si="0"/>
        <v>300</v>
      </c>
      <c r="I25" s="145">
        <v>1</v>
      </c>
      <c r="J25" s="146">
        <f t="shared" si="1"/>
        <v>0.01</v>
      </c>
      <c r="K25" s="91"/>
      <c r="L25" s="91"/>
      <c r="M25" s="91"/>
      <c r="N25" s="91"/>
      <c r="O25" s="92"/>
    </row>
    <row r="26" spans="1:15" ht="25.05" customHeight="1">
      <c r="A26" s="141">
        <f t="shared" si="2"/>
        <v>6</v>
      </c>
      <c r="B26" s="32" t="s">
        <v>62</v>
      </c>
      <c r="C26" s="142" t="s">
        <v>60</v>
      </c>
      <c r="D26" s="143">
        <v>20</v>
      </c>
      <c r="E26" s="144" t="s">
        <v>63</v>
      </c>
      <c r="F26" s="145">
        <v>40</v>
      </c>
      <c r="G26" s="145">
        <v>20</v>
      </c>
      <c r="H26" s="145">
        <f t="shared" si="0"/>
        <v>2</v>
      </c>
      <c r="I26" s="145">
        <v>2</v>
      </c>
      <c r="J26" s="146">
        <f t="shared" si="1"/>
        <v>1E-3</v>
      </c>
      <c r="K26" s="91"/>
      <c r="L26" s="91"/>
      <c r="M26" s="91"/>
      <c r="N26" s="91"/>
      <c r="O26" s="92"/>
    </row>
    <row r="27" spans="1:15" ht="25.05" customHeight="1">
      <c r="A27" s="141">
        <f t="shared" si="2"/>
        <v>7</v>
      </c>
      <c r="B27" s="32" t="s">
        <v>64</v>
      </c>
      <c r="C27" s="142" t="s">
        <v>60</v>
      </c>
      <c r="D27" s="143">
        <v>10</v>
      </c>
      <c r="E27" s="144" t="s">
        <v>65</v>
      </c>
      <c r="F27" s="145">
        <v>10</v>
      </c>
      <c r="G27" s="145">
        <v>10</v>
      </c>
      <c r="H27" s="145">
        <f t="shared" si="0"/>
        <v>1</v>
      </c>
      <c r="I27" s="145">
        <v>2</v>
      </c>
      <c r="J27" s="146">
        <f t="shared" si="1"/>
        <v>1E-3</v>
      </c>
      <c r="K27" s="91"/>
      <c r="L27" s="91"/>
      <c r="M27" s="91"/>
      <c r="N27" s="91"/>
      <c r="O27" s="92"/>
    </row>
    <row r="28" spans="1:15" ht="25.05" customHeight="1">
      <c r="A28" s="141">
        <f t="shared" si="2"/>
        <v>8</v>
      </c>
      <c r="B28" s="32" t="s">
        <v>66</v>
      </c>
      <c r="C28" s="142" t="s">
        <v>60</v>
      </c>
      <c r="D28" s="143">
        <v>5</v>
      </c>
      <c r="E28" s="144" t="s">
        <v>65</v>
      </c>
      <c r="F28" s="145">
        <v>10</v>
      </c>
      <c r="G28" s="145">
        <v>10</v>
      </c>
      <c r="H28" s="145">
        <f t="shared" si="0"/>
        <v>1</v>
      </c>
      <c r="I28" s="145">
        <v>10</v>
      </c>
      <c r="J28" s="146">
        <f t="shared" si="1"/>
        <v>5.0000000000000001E-4</v>
      </c>
      <c r="K28" s="91"/>
      <c r="L28" s="91"/>
      <c r="M28" s="91"/>
      <c r="N28" s="91"/>
      <c r="O28" s="92"/>
    </row>
    <row r="29" spans="1:15" ht="25.05" customHeight="1">
      <c r="A29" s="141">
        <f t="shared" si="2"/>
        <v>9</v>
      </c>
      <c r="B29" s="32" t="s">
        <v>67</v>
      </c>
      <c r="C29" s="142" t="s">
        <v>56</v>
      </c>
      <c r="D29" s="143">
        <v>100</v>
      </c>
      <c r="E29" s="144" t="s">
        <v>40</v>
      </c>
      <c r="F29" s="145">
        <v>10</v>
      </c>
      <c r="G29" s="145">
        <v>10</v>
      </c>
      <c r="H29" s="145">
        <f t="shared" si="0"/>
        <v>1</v>
      </c>
      <c r="I29" s="145">
        <v>1</v>
      </c>
      <c r="J29" s="146">
        <f t="shared" si="1"/>
        <v>0.01</v>
      </c>
      <c r="K29" s="91"/>
      <c r="L29" s="91"/>
      <c r="M29" s="91"/>
      <c r="N29" s="91"/>
      <c r="O29" s="92"/>
    </row>
    <row r="30" spans="1:15" ht="25.05" customHeight="1" thickBot="1">
      <c r="A30" s="149">
        <f t="shared" si="2"/>
        <v>10</v>
      </c>
      <c r="B30" s="150" t="s">
        <v>68</v>
      </c>
      <c r="C30" s="151" t="s">
        <v>60</v>
      </c>
      <c r="D30" s="152">
        <v>5</v>
      </c>
      <c r="E30" s="153" t="s">
        <v>69</v>
      </c>
      <c r="F30" s="154">
        <v>10</v>
      </c>
      <c r="G30" s="154">
        <v>10</v>
      </c>
      <c r="H30" s="154">
        <f t="shared" si="0"/>
        <v>1</v>
      </c>
      <c r="I30" s="154">
        <v>1</v>
      </c>
      <c r="J30" s="155">
        <f t="shared" si="1"/>
        <v>5.0000000000000001E-4</v>
      </c>
      <c r="K30" s="91"/>
      <c r="L30" s="91"/>
      <c r="M30" s="91"/>
      <c r="N30" s="91"/>
      <c r="O30" s="92"/>
    </row>
    <row r="31" spans="1:15" ht="25.05" customHeight="1">
      <c r="A31" s="156">
        <f t="shared" si="2"/>
        <v>11</v>
      </c>
      <c r="B31" s="157" t="s">
        <v>70</v>
      </c>
      <c r="C31" s="158" t="s">
        <v>56</v>
      </c>
      <c r="D31" s="159">
        <v>100</v>
      </c>
      <c r="E31" s="160" t="s">
        <v>40</v>
      </c>
      <c r="F31" s="159">
        <v>10</v>
      </c>
      <c r="G31" s="159">
        <v>1</v>
      </c>
      <c r="H31" s="161">
        <f t="shared" si="0"/>
        <v>10</v>
      </c>
      <c r="I31" s="159">
        <v>1</v>
      </c>
      <c r="J31" s="162">
        <f t="shared" si="1"/>
        <v>0.1</v>
      </c>
      <c r="K31" s="91"/>
      <c r="L31" s="91"/>
      <c r="M31" s="91"/>
      <c r="N31" s="91"/>
      <c r="O31" s="92"/>
    </row>
    <row r="32" spans="1:15" ht="25.05" customHeight="1" thickBot="1">
      <c r="A32" s="149">
        <f t="shared" si="2"/>
        <v>12</v>
      </c>
      <c r="B32" s="150" t="s">
        <v>71</v>
      </c>
      <c r="C32" s="163" t="s">
        <v>60</v>
      </c>
      <c r="D32" s="164">
        <v>10</v>
      </c>
      <c r="E32" s="165" t="s">
        <v>63</v>
      </c>
      <c r="F32" s="164">
        <v>10</v>
      </c>
      <c r="G32" s="164">
        <v>9</v>
      </c>
      <c r="H32" s="166">
        <f t="shared" si="0"/>
        <v>1.1111111111111112</v>
      </c>
      <c r="I32" s="164">
        <v>1</v>
      </c>
      <c r="J32" s="155">
        <f t="shared" si="1"/>
        <v>1.1111111111111111E-3</v>
      </c>
      <c r="K32" s="167"/>
      <c r="L32" s="167"/>
      <c r="M32" s="167"/>
      <c r="N32" s="167"/>
      <c r="O32" s="168"/>
    </row>
    <row r="33" spans="1:15" ht="54.4" customHeight="1" thickBot="1">
      <c r="A33" s="294" t="s">
        <v>72</v>
      </c>
      <c r="B33" s="294"/>
      <c r="C33" s="294"/>
      <c r="D33" s="294"/>
      <c r="E33" s="294"/>
      <c r="F33" s="294"/>
      <c r="G33" s="294"/>
      <c r="H33" s="294"/>
      <c r="I33" s="294"/>
      <c r="J33" s="169" t="s">
        <v>73</v>
      </c>
      <c r="K33" s="170"/>
      <c r="L33" s="171"/>
      <c r="M33" s="171"/>
      <c r="N33" s="171"/>
      <c r="O33" s="172"/>
    </row>
  </sheetData>
  <sheetProtection sheet="1" objects="1" scenarios="1"/>
  <mergeCells count="12">
    <mergeCell ref="A33:I33"/>
    <mergeCell ref="A1:J1"/>
    <mergeCell ref="A2:J2"/>
    <mergeCell ref="A3:B3"/>
    <mergeCell ref="A14:B14"/>
    <mergeCell ref="C14:D14"/>
    <mergeCell ref="A15:J15"/>
    <mergeCell ref="A16:A18"/>
    <mergeCell ref="A19:B19"/>
    <mergeCell ref="D19:J19"/>
    <mergeCell ref="A20:B20"/>
    <mergeCell ref="D20:I20"/>
  </mergeCells>
  <conditionalFormatting sqref="F12 I12">
    <cfRule type="cellIs" dxfId="14" priority="13" stopIfTrue="1" operator="lessThan">
      <formula>0</formula>
    </cfRule>
  </conditionalFormatting>
  <conditionalFormatting sqref="E6:F9 F10 D17:E18 G17:H18">
    <cfRule type="cellIs" dxfId="13" priority="10" stopIfTrue="1" operator="equal">
      <formula>0</formula>
    </cfRule>
  </conditionalFormatting>
  <conditionalFormatting sqref="F12 I12">
    <cfRule type="cellIs" dxfId="12" priority="12" stopIfTrue="1" operator="greaterThan">
      <formula>100</formula>
    </cfRule>
  </conditionalFormatting>
  <conditionalFormatting sqref="A14">
    <cfRule type="expression" dxfId="11" priority="2" stopIfTrue="1">
      <formula>FIND(UPPER("!"),UPPER(RIGHT(A14,LEN("!"))))</formula>
    </cfRule>
  </conditionalFormatting>
  <conditionalFormatting sqref="C14">
    <cfRule type="expression" dxfId="10" priority="3" stopIfTrue="1">
      <formula>FIND(UPPER("!"),UPPER(RIGHT(C14,LEN("!"))))</formula>
    </cfRule>
  </conditionalFormatting>
  <conditionalFormatting sqref="B4">
    <cfRule type="expression" dxfId="9" priority="8" stopIfTrue="1">
      <formula>FIND(UPPER("No"),UPPER(B4))=1</formula>
    </cfRule>
  </conditionalFormatting>
  <conditionalFormatting sqref="I14">
    <cfRule type="expression" dxfId="8" priority="5" stopIfTrue="1">
      <formula>FIND(UPPER("pg"),UPPER(I14))=1</formula>
    </cfRule>
  </conditionalFormatting>
  <conditionalFormatting sqref="K14 M14:O14">
    <cfRule type="expression" dxfId="7" priority="6" stopIfTrue="1">
      <formula>FIND(UPPER("Will"),UPPER(K14))=1</formula>
    </cfRule>
  </conditionalFormatting>
  <conditionalFormatting sqref="A15 K15:O15 C16 F16 I16:J18 L16:O16 K17:O18">
    <cfRule type="expression" dxfId="6" priority="15" stopIfTrue="1">
      <formula>NOT(ISERROR(FIND(UPPER("2nd"),UPPER(A15))))</formula>
    </cfRule>
  </conditionalFormatting>
  <conditionalFormatting sqref="E6:F9 F10 D17:E18 G17:H18">
    <cfRule type="expression" dxfId="5" priority="9" stopIfTrue="1">
      <formula>NOT(ISERROR(FIND(UPPER("2nd"),UPPER(E6))))</formula>
    </cfRule>
  </conditionalFormatting>
  <conditionalFormatting sqref="A2">
    <cfRule type="expression" dxfId="4" priority="1" stopIfTrue="1">
      <formula>NOT(ISERROR(FIND(UPPER("Compare"),UPPER(A2))))</formula>
    </cfRule>
  </conditionalFormatting>
  <conditionalFormatting sqref="C14">
    <cfRule type="expression" dxfId="3" priority="4" stopIfTrue="1">
      <formula>NOT(ISERROR(FIND(UPPER("Is Miscible in Aqueous"),UPPER(C14))))</formula>
    </cfRule>
  </conditionalFormatting>
  <conditionalFormatting sqref="D4:H4">
    <cfRule type="expression" dxfId="2" priority="7" stopIfTrue="1">
      <formula>NOT(ISERROR(FIND(UPPER("Matrix Types"),UPPER(D4))))</formula>
    </cfRule>
  </conditionalFormatting>
  <conditionalFormatting sqref="B13">
    <cfRule type="expression" dxfId="1" priority="14" stopIfTrue="1">
      <formula>NOT(ISERROR(FIND(UPPER("Miscible in Aqueous"),UPPER(B13))))</formula>
    </cfRule>
  </conditionalFormatting>
  <conditionalFormatting sqref="A11">
    <cfRule type="expression" dxfId="0" priority="11" stopIfTrue="1">
      <formula>NOT(ISERROR(FIND(UPPER("Original"),UPPER(A11))))</formula>
    </cfRule>
  </conditionalFormatting>
  <dataValidations count="5">
    <dataValidation type="list" allowBlank="1" showInputMessage="1" showErrorMessage="1" sqref="B4">
      <formula1>"EPA 3510,EPA 3511,20 ml HS Water,EPA 3540,ISO 16703,QuEChERS,QuEChERS Soil,TRH/TPH &gt;C10 Water,TRH/TPH &gt;C10 Soil,My Method 1,My Method 2"</formula1>
    </dataValidation>
    <dataValidation type="list" allowBlank="1" showInputMessage="1" showErrorMessage="1" sqref="B12">
      <formula1>"Choose Main Solvent...,Dichloromethane,Acetone,Acetonitrile,Pentane,Hexane,Cyclohexane,Acetone,DCM/Acetone (1:1),Ether,Methyl Acetate,Ethyl Acetate,Methanol,Propan-2-ol,Toluene,Carbon Disulfide,Octanol"</formula1>
    </dataValidation>
    <dataValidation type="list" allowBlank="1" showInputMessage="1" showErrorMessage="1" sqref="B13">
      <formula1>"None...,Pentane,Hexane,Cyclohexane,Dichloromethane,Ether,Methyl Acetate,Ethyl Acetate,Toluene,Acetone,Methanol,Acetonitrile,Propan-2-ol,Carbon Disulfide"</formula1>
    </dataValidation>
    <dataValidation type="list" allowBlank="1" showInputMessage="1" showErrorMessage="1" sqref="C22:C32">
      <formula1>"Aqueous,Solids"</formula1>
    </dataValidation>
    <dataValidation type="list" allowBlank="1" showInputMessage="1" showErrorMessage="1" sqref="E22:E24 E26:E32">
      <formula1>"Dichloromethane,Acetone,DCM/Acetone (1:1),Pentane,Hexane,Acetonitrile"</formula1>
    </dataValidation>
  </dataValidations>
  <pageMargins left="1" right="1" top="1" bottom="1" header="0.25" footer="0.25"/>
  <pageSetup paperSize="0" fitToWidth="0" fitToHeight="0" orientation="landscape" horizontalDpi="0" verticalDpi="0" copies="0"/>
  <headerFooter>
    <oddFooter>&amp;C&amp;"Helvetica Neue,Regular"&amp;12&amp;P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0" defaultRowHeight="0" customHeight="1" zeroHeight="1"/>
  <cols>
    <col min="1" max="1" width="38.6875" style="4" customWidth="1"/>
    <col min="2" max="2" width="24.6875" style="4" customWidth="1"/>
    <col min="3" max="3" width="19.5" style="4" customWidth="1"/>
    <col min="4" max="4" width="35.1875" style="4" customWidth="1"/>
    <col min="5" max="5" width="8.8125" style="4" hidden="1" customWidth="1"/>
    <col min="6" max="6" width="8.875" style="4" hidden="1" customWidth="1"/>
    <col min="7" max="16384" width="8.875" style="4" hidden="1"/>
  </cols>
  <sheetData>
    <row r="1" spans="1:7" ht="29.45" customHeight="1">
      <c r="A1" s="306" t="s">
        <v>74</v>
      </c>
      <c r="B1" s="306"/>
      <c r="C1" s="306"/>
      <c r="D1" s="306"/>
      <c r="E1" s="173"/>
      <c r="F1" s="174"/>
      <c r="G1" s="175"/>
    </row>
    <row r="2" spans="1:7" ht="20.65" customHeight="1">
      <c r="A2" s="176" t="s">
        <v>75</v>
      </c>
      <c r="B2" s="177" t="s">
        <v>76</v>
      </c>
      <c r="C2" s="178" t="s">
        <v>77</v>
      </c>
      <c r="D2" s="179" t="s">
        <v>78</v>
      </c>
      <c r="E2" s="180"/>
      <c r="F2" s="181"/>
      <c r="G2" s="182"/>
    </row>
    <row r="3" spans="1:7" ht="25.05" customHeight="1">
      <c r="A3" s="183" t="s">
        <v>79</v>
      </c>
      <c r="B3" s="184" t="s">
        <v>80</v>
      </c>
      <c r="C3" s="185">
        <v>-0.27</v>
      </c>
      <c r="D3" s="186" t="s">
        <v>81</v>
      </c>
      <c r="E3" s="180"/>
      <c r="F3" s="181"/>
      <c r="G3" s="182"/>
    </row>
    <row r="4" spans="1:7" ht="25.05" customHeight="1">
      <c r="A4" s="183" t="s">
        <v>82</v>
      </c>
      <c r="B4" s="184" t="s">
        <v>83</v>
      </c>
      <c r="C4" s="185">
        <v>0.34</v>
      </c>
      <c r="D4" s="186" t="s">
        <v>81</v>
      </c>
      <c r="E4" s="180"/>
      <c r="F4" s="181"/>
      <c r="G4" s="182"/>
    </row>
    <row r="5" spans="1:7" ht="25.05" customHeight="1">
      <c r="A5" s="183" t="s">
        <v>84</v>
      </c>
      <c r="B5" s="184" t="s">
        <v>85</v>
      </c>
      <c r="C5" s="187">
        <v>0.78</v>
      </c>
      <c r="D5" s="186" t="s">
        <v>86</v>
      </c>
      <c r="E5" s="180"/>
      <c r="F5" s="181"/>
      <c r="G5" s="182"/>
    </row>
    <row r="6" spans="1:7" ht="25.05" customHeight="1">
      <c r="A6" s="183" t="s">
        <v>29</v>
      </c>
      <c r="B6" s="184" t="s">
        <v>87</v>
      </c>
      <c r="C6" s="185">
        <v>1.55</v>
      </c>
      <c r="D6" s="186" t="s">
        <v>41</v>
      </c>
      <c r="E6" s="180"/>
      <c r="F6" s="181"/>
      <c r="G6" s="182"/>
    </row>
    <row r="7" spans="1:7" ht="25.05" customHeight="1">
      <c r="A7" s="183" t="s">
        <v>31</v>
      </c>
      <c r="B7" s="184" t="s">
        <v>88</v>
      </c>
      <c r="C7" s="185">
        <v>1.57</v>
      </c>
      <c r="D7" s="186" t="s">
        <v>41</v>
      </c>
      <c r="E7" s="180"/>
      <c r="F7" s="181"/>
      <c r="G7" s="182"/>
    </row>
    <row r="8" spans="1:7" ht="25.05" customHeight="1">
      <c r="A8" s="183" t="s">
        <v>30</v>
      </c>
      <c r="B8" s="184" t="s">
        <v>89</v>
      </c>
      <c r="C8" s="187">
        <v>1.63</v>
      </c>
      <c r="D8" s="186" t="s">
        <v>86</v>
      </c>
      <c r="E8" s="180"/>
      <c r="F8" s="181"/>
      <c r="G8" s="182"/>
    </row>
    <row r="9" spans="1:7" ht="25.05" customHeight="1">
      <c r="A9" s="183" t="s">
        <v>32</v>
      </c>
      <c r="B9" s="184" t="s">
        <v>90</v>
      </c>
      <c r="C9" s="185">
        <v>3.32</v>
      </c>
      <c r="D9" s="186" t="s">
        <v>91</v>
      </c>
      <c r="E9" s="180"/>
      <c r="F9" s="181"/>
      <c r="G9" s="182"/>
    </row>
    <row r="10" spans="1:7" ht="25.05" customHeight="1">
      <c r="A10" s="183" t="s">
        <v>92</v>
      </c>
      <c r="B10" s="184" t="s">
        <v>93</v>
      </c>
      <c r="C10" s="185">
        <v>5.84</v>
      </c>
      <c r="D10" s="186" t="s">
        <v>91</v>
      </c>
      <c r="E10" s="180"/>
      <c r="F10" s="181"/>
      <c r="G10" s="182"/>
    </row>
    <row r="11" spans="1:7" ht="25.05" customHeight="1">
      <c r="A11" s="183" t="s">
        <v>51</v>
      </c>
      <c r="B11" s="184" t="s">
        <v>94</v>
      </c>
      <c r="C11" s="185">
        <v>6.01</v>
      </c>
      <c r="D11" s="186" t="s">
        <v>91</v>
      </c>
      <c r="E11" s="180"/>
      <c r="F11" s="181"/>
      <c r="G11" s="182"/>
    </row>
    <row r="12" spans="1:7" ht="25.05" customHeight="1">
      <c r="A12" s="183" t="s">
        <v>95</v>
      </c>
      <c r="B12" s="184" t="s">
        <v>96</v>
      </c>
      <c r="C12" s="187">
        <v>7.16</v>
      </c>
      <c r="D12" s="186" t="s">
        <v>91</v>
      </c>
      <c r="E12" s="180"/>
      <c r="F12" s="181"/>
      <c r="G12" s="182"/>
    </row>
    <row r="13" spans="1:7" ht="25.05" customHeight="1">
      <c r="A13" s="183" t="s">
        <v>97</v>
      </c>
      <c r="B13" s="184" t="s">
        <v>98</v>
      </c>
      <c r="C13" s="185">
        <v>9.33</v>
      </c>
      <c r="D13" s="186" t="s">
        <v>91</v>
      </c>
      <c r="E13" s="180"/>
      <c r="F13" s="181"/>
      <c r="G13" s="182"/>
    </row>
    <row r="14" spans="1:7" ht="25.05" customHeight="1">
      <c r="A14" s="183" t="s">
        <v>99</v>
      </c>
      <c r="B14" s="184" t="s">
        <v>100</v>
      </c>
      <c r="C14" s="185">
        <v>13.8</v>
      </c>
      <c r="D14" s="186" t="s">
        <v>91</v>
      </c>
      <c r="E14" s="180"/>
      <c r="F14" s="181"/>
      <c r="G14" s="182"/>
    </row>
    <row r="15" spans="1:7" ht="25.05" customHeight="1">
      <c r="A15" s="183" t="s">
        <v>33</v>
      </c>
      <c r="B15" s="184" t="s">
        <v>101</v>
      </c>
      <c r="C15" s="185">
        <v>18.2</v>
      </c>
      <c r="D15" s="186" t="s">
        <v>91</v>
      </c>
      <c r="E15" s="180"/>
      <c r="F15" s="181"/>
      <c r="G15" s="182"/>
    </row>
    <row r="16" spans="1:7" ht="32.65" customHeight="1">
      <c r="A16" s="307" t="s">
        <v>102</v>
      </c>
      <c r="B16" s="307"/>
      <c r="C16" s="307"/>
      <c r="D16" s="307"/>
      <c r="E16" s="188"/>
      <c r="F16" s="189"/>
      <c r="G16" s="190"/>
    </row>
  </sheetData>
  <sheetProtection sheet="1" objects="1" scenarios="1"/>
  <mergeCells count="2">
    <mergeCell ref="A1:D1"/>
    <mergeCell ref="A16:D16"/>
  </mergeCells>
  <dataValidations count="1">
    <dataValidation type="list" allowBlank="1" showInputMessage="1" showErrorMessage="1" sqref="D3:D15">
      <formula1>"Not Water Soluble,Sparingly,Moderately,Yes"</formula1>
    </dataValidation>
  </dataValidations>
  <pageMargins left="1" right="1" top="1" bottom="1" header="0.25" footer="0.25"/>
  <pageSetup paperSize="0" fitToWidth="0" fitToHeight="0" orientation="landscape" horizontalDpi="0" verticalDpi="0" copies="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sqref="A1:J1"/>
    </sheetView>
  </sheetViews>
  <sheetFormatPr defaultColWidth="0" defaultRowHeight="0" customHeight="1" zeroHeight="1"/>
  <cols>
    <col min="1" max="1" width="10.6875" style="4" customWidth="1"/>
    <col min="2" max="2" width="27.6875" style="4" customWidth="1"/>
    <col min="3" max="3" width="13" style="4" customWidth="1"/>
    <col min="4" max="4" width="11.375" style="4" customWidth="1"/>
    <col min="5" max="5" width="17.1875" style="4" customWidth="1"/>
    <col min="6" max="6" width="17.6875" style="4" customWidth="1"/>
    <col min="7" max="7" width="20" style="4" customWidth="1"/>
    <col min="8" max="9" width="10.6875" style="4" customWidth="1"/>
    <col min="10" max="10" width="24.5" style="4" customWidth="1"/>
    <col min="11" max="11" width="8.875" style="4" hidden="1" customWidth="1"/>
    <col min="12" max="16384" width="8.875" style="4" hidden="1"/>
  </cols>
  <sheetData>
    <row r="1" spans="1:10" ht="29.45" customHeight="1">
      <c r="A1" s="308" t="s">
        <v>103</v>
      </c>
      <c r="B1" s="308"/>
      <c r="C1" s="308"/>
      <c r="D1" s="308"/>
      <c r="E1" s="308"/>
      <c r="F1" s="308"/>
      <c r="G1" s="308"/>
      <c r="H1" s="308"/>
      <c r="I1" s="308"/>
      <c r="J1" s="308"/>
    </row>
    <row r="2" spans="1:10" ht="30.4" customHeight="1">
      <c r="A2" s="309" t="s">
        <v>104</v>
      </c>
      <c r="B2" s="309"/>
      <c r="C2" s="309"/>
      <c r="D2" s="309"/>
      <c r="E2" s="309"/>
      <c r="F2" s="309"/>
      <c r="G2" s="309"/>
      <c r="H2" s="309"/>
      <c r="I2" s="309"/>
      <c r="J2" s="309"/>
    </row>
    <row r="3" spans="1:10" ht="20.65" customHeight="1">
      <c r="A3" s="191" t="s">
        <v>105</v>
      </c>
      <c r="B3" s="192" t="s">
        <v>106</v>
      </c>
      <c r="C3" s="193" t="s">
        <v>107</v>
      </c>
      <c r="D3" s="191" t="s">
        <v>108</v>
      </c>
      <c r="E3" s="191" t="s">
        <v>109</v>
      </c>
      <c r="F3" s="191" t="s">
        <v>110</v>
      </c>
      <c r="G3" s="191" t="s">
        <v>111</v>
      </c>
      <c r="H3" s="191" t="s">
        <v>112</v>
      </c>
      <c r="I3" s="191" t="s">
        <v>113</v>
      </c>
      <c r="J3" s="191" t="s">
        <v>0</v>
      </c>
    </row>
    <row r="4" spans="1:10" ht="25.05" customHeight="1">
      <c r="A4" s="194" t="s">
        <v>114</v>
      </c>
      <c r="B4" s="195" t="s">
        <v>115</v>
      </c>
      <c r="C4" s="195" t="s">
        <v>15</v>
      </c>
      <c r="D4" s="196">
        <f>Methods!G14</f>
        <v>1.1700000000000002</v>
      </c>
      <c r="E4" s="197" t="s">
        <v>116</v>
      </c>
      <c r="F4" s="197" t="s">
        <v>117</v>
      </c>
      <c r="G4" s="197" t="s">
        <v>117</v>
      </c>
      <c r="H4" s="198">
        <f>IFERROR(LOG10(Methods!H14),"")</f>
        <v>1.0521204393308723</v>
      </c>
      <c r="I4" s="199">
        <f>Methods!H14</f>
        <v>11.275100959608025</v>
      </c>
      <c r="J4" s="195" t="s">
        <v>115</v>
      </c>
    </row>
    <row r="5" spans="1:10" ht="25.05" customHeight="1">
      <c r="A5" s="200">
        <f t="shared" ref="A5:A19" si="0">(A4+1)</f>
        <v>1</v>
      </c>
      <c r="B5" s="201" t="s">
        <v>118</v>
      </c>
      <c r="C5" s="201" t="s">
        <v>119</v>
      </c>
      <c r="D5" s="202">
        <v>0.83</v>
      </c>
      <c r="E5" s="203">
        <v>195</v>
      </c>
      <c r="F5" s="201" t="s">
        <v>86</v>
      </c>
      <c r="G5" s="204">
        <v>5.4000000000000001E-4</v>
      </c>
      <c r="H5" s="205">
        <v>3</v>
      </c>
      <c r="I5" s="203">
        <f t="shared" ref="I5:I19" si="1">POWER(10,H5)</f>
        <v>1000</v>
      </c>
      <c r="J5" s="201" t="s">
        <v>120</v>
      </c>
    </row>
    <row r="6" spans="1:10" ht="25.05" customHeight="1">
      <c r="A6" s="206">
        <f t="shared" si="0"/>
        <v>2</v>
      </c>
      <c r="B6" s="207" t="s">
        <v>121</v>
      </c>
      <c r="C6" s="208" t="s">
        <v>122</v>
      </c>
      <c r="D6" s="209">
        <v>0.66</v>
      </c>
      <c r="E6" s="210">
        <v>69</v>
      </c>
      <c r="F6" s="208" t="s">
        <v>123</v>
      </c>
      <c r="G6" s="211">
        <v>9.5000000000000005E-6</v>
      </c>
      <c r="H6" s="212">
        <v>3.9</v>
      </c>
      <c r="I6" s="210">
        <f t="shared" si="1"/>
        <v>7943.2823472428154</v>
      </c>
      <c r="J6" s="213"/>
    </row>
    <row r="7" spans="1:10" ht="25.05" customHeight="1">
      <c r="A7" s="214">
        <f t="shared" si="0"/>
        <v>3</v>
      </c>
      <c r="B7" s="215" t="s">
        <v>124</v>
      </c>
      <c r="C7" s="208" t="s">
        <v>125</v>
      </c>
      <c r="D7" s="212">
        <v>0.77</v>
      </c>
      <c r="E7" s="210">
        <v>81</v>
      </c>
      <c r="F7" s="208" t="s">
        <v>123</v>
      </c>
      <c r="G7" s="211">
        <v>5.5000000000000002E-5</v>
      </c>
      <c r="H7" s="212">
        <v>3.44</v>
      </c>
      <c r="I7" s="210">
        <f t="shared" si="1"/>
        <v>2754.228703338169</v>
      </c>
      <c r="J7" s="212"/>
    </row>
    <row r="8" spans="1:10" ht="25.05" customHeight="1">
      <c r="A8" s="214">
        <f t="shared" si="0"/>
        <v>4</v>
      </c>
      <c r="B8" s="207" t="s">
        <v>58</v>
      </c>
      <c r="C8" s="208" t="s">
        <v>126</v>
      </c>
      <c r="D8" s="209">
        <v>0.63</v>
      </c>
      <c r="E8" s="210">
        <v>36</v>
      </c>
      <c r="F8" s="208" t="s">
        <v>123</v>
      </c>
      <c r="G8" s="211">
        <v>3.8000000000000002E-5</v>
      </c>
      <c r="H8" s="212">
        <v>3.39</v>
      </c>
      <c r="I8" s="210">
        <f t="shared" si="1"/>
        <v>2454.7089156850338</v>
      </c>
      <c r="J8" s="184" t="s">
        <v>57</v>
      </c>
    </row>
    <row r="9" spans="1:10" ht="25.05" customHeight="1">
      <c r="A9" s="214">
        <f t="shared" si="0"/>
        <v>5</v>
      </c>
      <c r="B9" s="215" t="s">
        <v>127</v>
      </c>
      <c r="C9" s="208" t="s">
        <v>128</v>
      </c>
      <c r="D9" s="209">
        <v>0.87</v>
      </c>
      <c r="E9" s="210">
        <v>111</v>
      </c>
      <c r="F9" s="208" t="s">
        <v>86</v>
      </c>
      <c r="G9" s="216">
        <v>5.2999999999999998E-4</v>
      </c>
      <c r="H9" s="212">
        <v>2.73</v>
      </c>
      <c r="I9" s="210">
        <f t="shared" si="1"/>
        <v>537.03179637025301</v>
      </c>
      <c r="J9" s="212"/>
    </row>
    <row r="10" spans="1:10" ht="25.05" customHeight="1">
      <c r="A10" s="214">
        <f t="shared" si="0"/>
        <v>6</v>
      </c>
      <c r="B10" s="215" t="s">
        <v>129</v>
      </c>
      <c r="C10" s="208" t="s">
        <v>130</v>
      </c>
      <c r="D10" s="209">
        <v>1.54</v>
      </c>
      <c r="E10" s="210">
        <v>47</v>
      </c>
      <c r="F10" s="208" t="s">
        <v>41</v>
      </c>
      <c r="G10" s="216">
        <v>2.16E-3</v>
      </c>
      <c r="H10" s="212">
        <v>1.94</v>
      </c>
      <c r="I10" s="210">
        <f t="shared" si="1"/>
        <v>87.096358995608071</v>
      </c>
      <c r="J10" s="212"/>
    </row>
    <row r="11" spans="1:10" ht="25.05" customHeight="1">
      <c r="A11" s="214">
        <f t="shared" si="0"/>
        <v>7</v>
      </c>
      <c r="B11" s="207" t="s">
        <v>40</v>
      </c>
      <c r="C11" s="208" t="s">
        <v>131</v>
      </c>
      <c r="D11" s="209">
        <v>1.33</v>
      </c>
      <c r="E11" s="210">
        <v>40</v>
      </c>
      <c r="F11" s="208" t="s">
        <v>41</v>
      </c>
      <c r="G11" s="216">
        <v>1.32E-2</v>
      </c>
      <c r="H11" s="212">
        <v>1.25</v>
      </c>
      <c r="I11" s="210">
        <f t="shared" si="1"/>
        <v>17.782794100389236</v>
      </c>
      <c r="J11" s="208" t="s">
        <v>132</v>
      </c>
    </row>
    <row r="12" spans="1:10" ht="25.05" customHeight="1">
      <c r="A12" s="214">
        <f t="shared" si="0"/>
        <v>8</v>
      </c>
      <c r="B12" s="207" t="s">
        <v>61</v>
      </c>
      <c r="C12" s="208" t="s">
        <v>15</v>
      </c>
      <c r="D12" s="212">
        <v>1</v>
      </c>
      <c r="E12" s="210">
        <v>50</v>
      </c>
      <c r="F12" s="208" t="s">
        <v>133</v>
      </c>
      <c r="G12" s="217">
        <v>0.5</v>
      </c>
      <c r="H12" s="212">
        <v>1</v>
      </c>
      <c r="I12" s="218">
        <f t="shared" si="1"/>
        <v>10</v>
      </c>
      <c r="J12" s="208" t="s">
        <v>134</v>
      </c>
    </row>
    <row r="13" spans="1:10" ht="25.05" customHeight="1">
      <c r="A13" s="214">
        <f t="shared" si="0"/>
        <v>9</v>
      </c>
      <c r="B13" s="215" t="s">
        <v>135</v>
      </c>
      <c r="C13" s="208" t="s">
        <v>136</v>
      </c>
      <c r="D13" s="212">
        <v>0.71</v>
      </c>
      <c r="E13" s="210">
        <v>35</v>
      </c>
      <c r="F13" s="208" t="s">
        <v>41</v>
      </c>
      <c r="G13" s="217">
        <v>6.9000000000000006E-2</v>
      </c>
      <c r="H13" s="212">
        <v>0.89</v>
      </c>
      <c r="I13" s="218">
        <f t="shared" si="1"/>
        <v>7.7624711662869199</v>
      </c>
      <c r="J13" s="212"/>
    </row>
    <row r="14" spans="1:10" ht="25.05" customHeight="1">
      <c r="A14" s="214">
        <f t="shared" si="0"/>
        <v>10</v>
      </c>
      <c r="B14" s="215" t="s">
        <v>137</v>
      </c>
      <c r="C14" s="208" t="s">
        <v>138</v>
      </c>
      <c r="D14" s="212">
        <v>0.9</v>
      </c>
      <c r="E14" s="210">
        <v>77</v>
      </c>
      <c r="F14" s="208" t="s">
        <v>86</v>
      </c>
      <c r="G14" s="216">
        <v>6.4000000000000005E-4</v>
      </c>
      <c r="H14" s="212">
        <v>0.73</v>
      </c>
      <c r="I14" s="218">
        <f t="shared" si="1"/>
        <v>5.3703179637025285</v>
      </c>
      <c r="J14" s="212"/>
    </row>
    <row r="15" spans="1:10" ht="25.05" customHeight="1">
      <c r="A15" s="214">
        <f t="shared" si="0"/>
        <v>11</v>
      </c>
      <c r="B15" s="215" t="s">
        <v>42</v>
      </c>
      <c r="C15" s="208" t="s">
        <v>139</v>
      </c>
      <c r="D15" s="209">
        <v>0.93</v>
      </c>
      <c r="E15" s="210">
        <v>57</v>
      </c>
      <c r="F15" s="208" t="s">
        <v>41</v>
      </c>
      <c r="G15" s="216">
        <v>2.4399999999999999E-3</v>
      </c>
      <c r="H15" s="212">
        <v>0.18</v>
      </c>
      <c r="I15" s="218">
        <f t="shared" si="1"/>
        <v>1.5135612484362082</v>
      </c>
      <c r="J15" s="212"/>
    </row>
    <row r="16" spans="1:10" ht="25.05" customHeight="1">
      <c r="A16" s="214">
        <f t="shared" si="0"/>
        <v>12</v>
      </c>
      <c r="B16" s="215" t="s">
        <v>140</v>
      </c>
      <c r="C16" s="208" t="s">
        <v>141</v>
      </c>
      <c r="D16" s="209">
        <v>0.78600000000000003</v>
      </c>
      <c r="E16" s="210">
        <v>83</v>
      </c>
      <c r="F16" s="208" t="s">
        <v>81</v>
      </c>
      <c r="G16" s="219">
        <v>1</v>
      </c>
      <c r="H16" s="212">
        <v>0.05</v>
      </c>
      <c r="I16" s="218">
        <f t="shared" si="1"/>
        <v>1.1220184543019636</v>
      </c>
      <c r="J16" s="212"/>
    </row>
    <row r="17" spans="1:10" ht="25.05" customHeight="1">
      <c r="A17" s="214">
        <f t="shared" si="0"/>
        <v>13</v>
      </c>
      <c r="B17" s="207" t="s">
        <v>63</v>
      </c>
      <c r="C17" s="208" t="s">
        <v>142</v>
      </c>
      <c r="D17" s="209">
        <v>0.78500000000000003</v>
      </c>
      <c r="E17" s="210">
        <v>56</v>
      </c>
      <c r="F17" s="208" t="s">
        <v>81</v>
      </c>
      <c r="G17" s="219">
        <v>1</v>
      </c>
      <c r="H17" s="212">
        <v>-0.24</v>
      </c>
      <c r="I17" s="218">
        <f t="shared" si="1"/>
        <v>0.57543993733715693</v>
      </c>
      <c r="J17" s="208" t="s">
        <v>62</v>
      </c>
    </row>
    <row r="18" spans="1:10" ht="25.05" customHeight="1">
      <c r="A18" s="220">
        <f t="shared" si="0"/>
        <v>14</v>
      </c>
      <c r="B18" s="207" t="s">
        <v>65</v>
      </c>
      <c r="C18" s="208" t="s">
        <v>143</v>
      </c>
      <c r="D18" s="209">
        <v>0.77600000000000002</v>
      </c>
      <c r="E18" s="210">
        <v>81</v>
      </c>
      <c r="F18" s="208" t="s">
        <v>81</v>
      </c>
      <c r="G18" s="219">
        <v>1</v>
      </c>
      <c r="H18" s="212">
        <v>-0.33400000000000002</v>
      </c>
      <c r="I18" s="218">
        <f t="shared" si="1"/>
        <v>0.46344691973628799</v>
      </c>
      <c r="J18" s="208" t="s">
        <v>64</v>
      </c>
    </row>
    <row r="19" spans="1:10" ht="25.05" customHeight="1">
      <c r="A19" s="221">
        <f t="shared" si="0"/>
        <v>15</v>
      </c>
      <c r="B19" s="215" t="s">
        <v>144</v>
      </c>
      <c r="C19" s="208" t="s">
        <v>145</v>
      </c>
      <c r="D19" s="209">
        <v>0.79200000000000004</v>
      </c>
      <c r="E19" s="210">
        <v>65</v>
      </c>
      <c r="F19" s="208" t="s">
        <v>81</v>
      </c>
      <c r="G19" s="219">
        <v>1</v>
      </c>
      <c r="H19" s="212">
        <v>-0.77</v>
      </c>
      <c r="I19" s="218">
        <f t="shared" si="1"/>
        <v>0.16982436524617442</v>
      </c>
      <c r="J19" s="212"/>
    </row>
    <row r="20" spans="1:10" ht="28.9" customHeight="1">
      <c r="A20" s="222"/>
      <c r="B20" s="310" t="s">
        <v>146</v>
      </c>
      <c r="C20" s="310"/>
      <c r="D20" s="310"/>
      <c r="E20" s="310"/>
      <c r="F20" s="310"/>
      <c r="G20" s="310"/>
      <c r="H20" s="310"/>
      <c r="I20" s="310"/>
      <c r="J20" s="310"/>
    </row>
  </sheetData>
  <sheetProtection sheet="1" objects="1" scenarios="1"/>
  <mergeCells count="3">
    <mergeCell ref="A1:J1"/>
    <mergeCell ref="A2:J2"/>
    <mergeCell ref="B20:J20"/>
  </mergeCells>
  <dataValidations count="1">
    <dataValidation type="list" allowBlank="1" showInputMessage="1" showErrorMessage="1" sqref="F5 F16:F19">
      <formula1>"Not Water Soluble,Sparingly,Moderately,Yes"</formula1>
    </dataValidation>
  </dataValidations>
  <pageMargins left="1" right="1" top="1" bottom="1" header="0.25" footer="0.25"/>
  <pageSetup paperSize="0" fitToWidth="0" fitToHeight="0" orientation="landscape" horizontalDpi="0" verticalDpi="0" copies="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sqref="A1:P1"/>
    </sheetView>
  </sheetViews>
  <sheetFormatPr defaultColWidth="0" defaultRowHeight="0" customHeight="1" zeroHeight="1"/>
  <cols>
    <col min="1" max="1" width="23" style="4" customWidth="1"/>
    <col min="2" max="2" width="16.875" style="4" customWidth="1"/>
    <col min="3" max="3" width="14" style="4" customWidth="1"/>
    <col min="4" max="4" width="16.5" style="4" customWidth="1"/>
    <col min="5" max="5" width="11.875" style="4" customWidth="1"/>
    <col min="6" max="6" width="12.5" style="4" customWidth="1"/>
    <col min="7" max="7" width="18.375" style="4" customWidth="1"/>
    <col min="8" max="8" width="12.5" style="4" customWidth="1"/>
    <col min="9" max="9" width="11" style="4" customWidth="1"/>
    <col min="10" max="10" width="12.375" style="4" customWidth="1"/>
    <col min="11" max="11" width="12.1875" style="4" customWidth="1"/>
    <col min="12" max="12" width="14" style="4" customWidth="1"/>
    <col min="13" max="13" width="14.375" style="4" customWidth="1"/>
    <col min="14" max="14" width="10.5" style="4" customWidth="1"/>
    <col min="15" max="15" width="9.375" style="4" customWidth="1"/>
    <col min="16" max="16" width="14.1875" style="4" customWidth="1"/>
    <col min="17" max="17" width="8.875" style="4" hidden="1" customWidth="1"/>
    <col min="18" max="16384" width="8.875" style="4" hidden="1"/>
  </cols>
  <sheetData>
    <row r="1" spans="1:16" ht="35.85" customHeight="1">
      <c r="A1" s="308" t="s">
        <v>147</v>
      </c>
      <c r="B1" s="308"/>
      <c r="C1" s="308"/>
      <c r="D1" s="308"/>
      <c r="E1" s="308"/>
      <c r="F1" s="308"/>
      <c r="G1" s="308"/>
      <c r="H1" s="308"/>
      <c r="I1" s="308"/>
      <c r="J1" s="308"/>
      <c r="K1" s="308"/>
      <c r="L1" s="308"/>
      <c r="M1" s="308"/>
      <c r="N1" s="308"/>
      <c r="O1" s="308"/>
      <c r="P1" s="308"/>
    </row>
    <row r="2" spans="1:16" ht="25.9" customHeight="1">
      <c r="A2" s="178" t="s">
        <v>16</v>
      </c>
      <c r="B2" s="176"/>
      <c r="C2" s="223" t="s">
        <v>118</v>
      </c>
      <c r="D2" s="177" t="s">
        <v>40</v>
      </c>
      <c r="E2" s="177" t="s">
        <v>58</v>
      </c>
      <c r="F2" s="177" t="s">
        <v>65</v>
      </c>
      <c r="G2" s="224" t="s">
        <v>61</v>
      </c>
      <c r="H2" s="177" t="s">
        <v>63</v>
      </c>
      <c r="I2" s="177" t="s">
        <v>121</v>
      </c>
      <c r="J2" s="177" t="s">
        <v>124</v>
      </c>
      <c r="K2" s="177" t="s">
        <v>135</v>
      </c>
      <c r="L2" s="177" t="s">
        <v>42</v>
      </c>
      <c r="M2" s="177" t="s">
        <v>137</v>
      </c>
      <c r="N2" s="177" t="s">
        <v>144</v>
      </c>
      <c r="O2" s="177" t="s">
        <v>127</v>
      </c>
      <c r="P2" s="177" t="s">
        <v>129</v>
      </c>
    </row>
    <row r="3" spans="1:16" ht="25.9" customHeight="1">
      <c r="A3" s="177" t="s">
        <v>148</v>
      </c>
      <c r="B3" s="177" t="s">
        <v>76</v>
      </c>
      <c r="C3" s="223" t="s">
        <v>77</v>
      </c>
      <c r="D3" s="177" t="s">
        <v>149</v>
      </c>
      <c r="E3" s="177" t="s">
        <v>150</v>
      </c>
      <c r="F3" s="177" t="s">
        <v>151</v>
      </c>
      <c r="G3" s="224" t="s">
        <v>152</v>
      </c>
      <c r="H3" s="177" t="s">
        <v>153</v>
      </c>
      <c r="I3" s="177" t="s">
        <v>154</v>
      </c>
      <c r="J3" s="177" t="s">
        <v>155</v>
      </c>
      <c r="K3" s="177" t="s">
        <v>153</v>
      </c>
      <c r="L3" s="177" t="s">
        <v>156</v>
      </c>
      <c r="M3" s="177" t="s">
        <v>157</v>
      </c>
      <c r="N3" s="177"/>
      <c r="O3" s="177" t="s">
        <v>158</v>
      </c>
      <c r="P3" s="177" t="s">
        <v>159</v>
      </c>
    </row>
    <row r="4" spans="1:16" ht="25.05" customHeight="1">
      <c r="A4" s="225" t="s">
        <v>79</v>
      </c>
      <c r="B4" s="226" t="s">
        <v>80</v>
      </c>
      <c r="C4" s="227">
        <v>-0.27</v>
      </c>
      <c r="D4" s="228">
        <v>-0.13</v>
      </c>
      <c r="E4" s="229">
        <v>0.54</v>
      </c>
      <c r="F4" s="230">
        <v>0.16</v>
      </c>
      <c r="G4" s="231">
        <v>-0.01</v>
      </c>
      <c r="H4" s="230">
        <v>-0.03</v>
      </c>
      <c r="I4" s="230">
        <v>-0.94</v>
      </c>
      <c r="J4" s="229">
        <v>-0.89</v>
      </c>
      <c r="K4" s="229">
        <v>-0.88</v>
      </c>
      <c r="L4" s="229">
        <v>-0.36</v>
      </c>
      <c r="M4" s="229">
        <v>0.12</v>
      </c>
      <c r="N4" s="230">
        <v>0.14000000000000001</v>
      </c>
      <c r="O4" s="229">
        <v>-0.1</v>
      </c>
      <c r="P4" s="229">
        <v>-0.17</v>
      </c>
    </row>
    <row r="5" spans="1:16" ht="25.05" customHeight="1">
      <c r="A5" s="225" t="s">
        <v>82</v>
      </c>
      <c r="B5" s="226" t="s">
        <v>83</v>
      </c>
      <c r="C5" s="227">
        <v>0.34</v>
      </c>
      <c r="D5" s="228">
        <v>1.02</v>
      </c>
      <c r="E5" s="229">
        <v>-0.37</v>
      </c>
      <c r="F5" s="230">
        <v>0.72</v>
      </c>
      <c r="G5" s="232">
        <v>0.1</v>
      </c>
      <c r="H5" s="230">
        <v>0.6</v>
      </c>
      <c r="I5" s="230">
        <v>-0.31</v>
      </c>
      <c r="J5" s="229">
        <v>-0.23</v>
      </c>
      <c r="K5" s="229">
        <v>0.13</v>
      </c>
      <c r="L5" s="229">
        <v>0.69</v>
      </c>
      <c r="M5" s="229">
        <v>0.51</v>
      </c>
      <c r="N5" s="230">
        <v>0.56000000000000005</v>
      </c>
      <c r="O5" s="229">
        <v>0.43</v>
      </c>
      <c r="P5" s="229">
        <v>-0.02</v>
      </c>
    </row>
    <row r="6" spans="1:16" ht="25.05" customHeight="1">
      <c r="A6" s="233" t="s">
        <v>84</v>
      </c>
      <c r="B6" s="234" t="s">
        <v>85</v>
      </c>
      <c r="C6" s="235">
        <v>0.78</v>
      </c>
      <c r="D6" s="228">
        <v>2.12</v>
      </c>
      <c r="E6" s="229">
        <v>-0.63</v>
      </c>
      <c r="F6" s="230">
        <v>1.05</v>
      </c>
      <c r="G6" s="232">
        <v>1.5</v>
      </c>
      <c r="H6" s="230">
        <v>0.9</v>
      </c>
      <c r="I6" s="230">
        <v>-0.56999999999999995</v>
      </c>
      <c r="J6" s="229">
        <v>-0.45</v>
      </c>
      <c r="K6" s="229">
        <v>0.13</v>
      </c>
      <c r="L6" s="236">
        <v>1.18</v>
      </c>
      <c r="M6" s="229">
        <v>0.5</v>
      </c>
      <c r="N6" s="230">
        <v>1.1100000000000001</v>
      </c>
      <c r="O6" s="229">
        <v>0.84</v>
      </c>
      <c r="P6" s="229">
        <v>-0.08</v>
      </c>
    </row>
    <row r="7" spans="1:16" ht="25.05" customHeight="1">
      <c r="A7" s="225" t="s">
        <v>29</v>
      </c>
      <c r="B7" s="226" t="s">
        <v>87</v>
      </c>
      <c r="C7" s="227">
        <v>1.55</v>
      </c>
      <c r="D7" s="228">
        <v>0.52</v>
      </c>
      <c r="E7" s="229">
        <v>-0.9</v>
      </c>
      <c r="F7" s="230">
        <v>1.1200000000000001</v>
      </c>
      <c r="G7" s="237">
        <v>1</v>
      </c>
      <c r="H7" s="230">
        <v>1.72</v>
      </c>
      <c r="I7" s="230">
        <v>-0.9</v>
      </c>
      <c r="J7" s="229">
        <v>-0.87</v>
      </c>
      <c r="K7" s="229">
        <v>1.46</v>
      </c>
      <c r="L7" s="236">
        <v>1.5</v>
      </c>
      <c r="M7" s="236">
        <v>1.69</v>
      </c>
      <c r="N7" s="230">
        <v>1.81</v>
      </c>
      <c r="O7" s="228">
        <v>0.2</v>
      </c>
      <c r="P7" s="228">
        <v>-0.33</v>
      </c>
    </row>
    <row r="8" spans="1:16" ht="25.05" customHeight="1">
      <c r="A8" s="225" t="s">
        <v>31</v>
      </c>
      <c r="B8" s="226" t="s">
        <v>88</v>
      </c>
      <c r="C8" s="227">
        <v>1.57</v>
      </c>
      <c r="D8" s="236">
        <v>2.46</v>
      </c>
      <c r="E8" s="229">
        <v>0.33</v>
      </c>
      <c r="F8" s="230">
        <v>2.17</v>
      </c>
      <c r="G8" s="237">
        <v>2</v>
      </c>
      <c r="H8" s="230">
        <v>2.2200000000000002</v>
      </c>
      <c r="I8" s="230">
        <v>0.38</v>
      </c>
      <c r="J8" s="229">
        <v>0.64</v>
      </c>
      <c r="K8" s="229">
        <v>1.42</v>
      </c>
      <c r="L8" s="236">
        <v>2.23</v>
      </c>
      <c r="M8" s="236">
        <v>1.86</v>
      </c>
      <c r="N8" s="230">
        <v>1.76</v>
      </c>
      <c r="O8" s="228">
        <v>1.84</v>
      </c>
      <c r="P8" s="228">
        <v>1.41</v>
      </c>
    </row>
    <row r="9" spans="1:16" ht="25.05" customHeight="1">
      <c r="A9" s="225" t="s">
        <v>30</v>
      </c>
      <c r="B9" s="226" t="s">
        <v>89</v>
      </c>
      <c r="C9" s="235">
        <v>1.63</v>
      </c>
      <c r="D9" s="228">
        <v>2.15</v>
      </c>
      <c r="E9" s="229">
        <v>-1.45</v>
      </c>
      <c r="F9" s="230">
        <v>2.34</v>
      </c>
      <c r="G9" s="237">
        <v>2</v>
      </c>
      <c r="H9" s="230">
        <v>2.56</v>
      </c>
      <c r="I9" s="230">
        <v>-1.39</v>
      </c>
      <c r="J9" s="229">
        <v>-0.94</v>
      </c>
      <c r="K9" s="229">
        <v>1.29</v>
      </c>
      <c r="L9" s="236">
        <v>2.42</v>
      </c>
      <c r="M9" s="236">
        <v>1.96</v>
      </c>
      <c r="N9" s="230">
        <v>2</v>
      </c>
      <c r="O9" s="229">
        <v>1.23</v>
      </c>
      <c r="P9" s="229">
        <v>0.43</v>
      </c>
    </row>
    <row r="10" spans="1:16" ht="25.05" customHeight="1">
      <c r="A10" s="225" t="s">
        <v>32</v>
      </c>
      <c r="B10" s="226" t="s">
        <v>90</v>
      </c>
      <c r="C10" s="227">
        <v>3.32</v>
      </c>
      <c r="D10" s="228">
        <v>4.16</v>
      </c>
      <c r="E10" s="229">
        <v>3.3</v>
      </c>
      <c r="F10" s="238">
        <v>3.59</v>
      </c>
      <c r="G10" s="239">
        <v>4</v>
      </c>
      <c r="H10" s="238">
        <v>3.95</v>
      </c>
      <c r="I10" s="238">
        <v>3.37</v>
      </c>
      <c r="J10" s="229">
        <v>3.65</v>
      </c>
      <c r="K10" s="229">
        <v>3.58</v>
      </c>
      <c r="L10" s="236">
        <v>3.92</v>
      </c>
      <c r="M10" s="236">
        <v>3.74</v>
      </c>
      <c r="N10" s="238">
        <v>3.25</v>
      </c>
      <c r="O10" s="229">
        <v>4.16</v>
      </c>
      <c r="P10" s="229">
        <v>4.28</v>
      </c>
    </row>
    <row r="11" spans="1:16" ht="25.05" customHeight="1">
      <c r="A11" s="225" t="s">
        <v>92</v>
      </c>
      <c r="B11" s="226" t="s">
        <v>93</v>
      </c>
      <c r="C11" s="227">
        <v>5.84</v>
      </c>
      <c r="D11" s="228">
        <v>7.01</v>
      </c>
      <c r="E11" s="229">
        <v>5.26</v>
      </c>
      <c r="F11" s="238">
        <v>6.28</v>
      </c>
      <c r="G11" s="239">
        <v>7</v>
      </c>
      <c r="H11" s="238">
        <v>7.15</v>
      </c>
      <c r="I11" s="238">
        <v>5.51</v>
      </c>
      <c r="J11" s="229">
        <v>6.29</v>
      </c>
      <c r="K11" s="229">
        <v>6.11</v>
      </c>
      <c r="L11" s="236">
        <v>6.61</v>
      </c>
      <c r="M11" s="236">
        <v>6.36</v>
      </c>
      <c r="N11" s="238">
        <v>5.79</v>
      </c>
      <c r="O11" s="229">
        <v>7.26</v>
      </c>
      <c r="P11" s="229">
        <v>7.54</v>
      </c>
    </row>
    <row r="12" spans="1:16" ht="25.05" customHeight="1">
      <c r="A12" s="225" t="s">
        <v>51</v>
      </c>
      <c r="B12" s="226" t="s">
        <v>94</v>
      </c>
      <c r="C12" s="227">
        <v>6.01</v>
      </c>
      <c r="D12" s="228">
        <v>6.6</v>
      </c>
      <c r="E12" s="229">
        <v>7.04</v>
      </c>
      <c r="F12" s="230">
        <v>5.52</v>
      </c>
      <c r="G12" s="237">
        <v>6</v>
      </c>
      <c r="H12" s="230">
        <v>6.3</v>
      </c>
      <c r="I12" s="230">
        <v>7.11</v>
      </c>
      <c r="J12" s="229">
        <v>7.11</v>
      </c>
      <c r="K12" s="229">
        <v>6.95</v>
      </c>
      <c r="L12" s="229">
        <v>6.38</v>
      </c>
      <c r="M12" s="229">
        <v>6.63</v>
      </c>
      <c r="N12" s="230">
        <v>5.66</v>
      </c>
      <c r="O12" s="229">
        <v>7.04</v>
      </c>
      <c r="P12" s="229">
        <v>7.52</v>
      </c>
    </row>
    <row r="13" spans="1:16" ht="25.05" customHeight="1">
      <c r="A13" s="233" t="s">
        <v>160</v>
      </c>
      <c r="B13" s="234" t="s">
        <v>96</v>
      </c>
      <c r="C13" s="235">
        <v>7.16</v>
      </c>
      <c r="D13" s="228">
        <v>9.11</v>
      </c>
      <c r="E13" s="229">
        <v>7.49</v>
      </c>
      <c r="F13" s="230">
        <v>7.88</v>
      </c>
      <c r="G13" s="237">
        <v>9</v>
      </c>
      <c r="H13" s="230">
        <v>8.65</v>
      </c>
      <c r="I13" s="230">
        <v>7.45</v>
      </c>
      <c r="J13" s="229">
        <v>7.99</v>
      </c>
      <c r="K13" s="229">
        <v>7.79</v>
      </c>
      <c r="L13" s="236">
        <v>8.58</v>
      </c>
      <c r="M13" s="236">
        <v>7.78</v>
      </c>
      <c r="N13" s="230">
        <v>6.96</v>
      </c>
      <c r="O13" s="229">
        <v>9.14</v>
      </c>
      <c r="P13" s="229">
        <v>9.61</v>
      </c>
    </row>
    <row r="14" spans="1:16" ht="25.05" customHeight="1">
      <c r="A14" s="225" t="s">
        <v>97</v>
      </c>
      <c r="B14" s="226" t="s">
        <v>98</v>
      </c>
      <c r="C14" s="227">
        <v>9.33</v>
      </c>
      <c r="D14" s="228">
        <v>10.5</v>
      </c>
      <c r="E14" s="229">
        <v>10.9</v>
      </c>
      <c r="F14" s="230">
        <v>8.36</v>
      </c>
      <c r="G14" s="237">
        <v>10</v>
      </c>
      <c r="H14" s="230">
        <v>9.6300000000000008</v>
      </c>
      <c r="I14" s="230">
        <v>10.88</v>
      </c>
      <c r="J14" s="229">
        <v>10.97</v>
      </c>
      <c r="K14" s="229">
        <v>10.63</v>
      </c>
      <c r="L14" s="229">
        <v>9.74</v>
      </c>
      <c r="M14" s="229">
        <v>10.130000000000001</v>
      </c>
      <c r="N14" s="230">
        <v>8.66</v>
      </c>
      <c r="O14" s="229">
        <v>20.88</v>
      </c>
      <c r="P14" s="229">
        <v>11.68</v>
      </c>
    </row>
    <row r="15" spans="1:16" ht="25.05" customHeight="1">
      <c r="A15" s="225" t="s">
        <v>99</v>
      </c>
      <c r="B15" s="226" t="s">
        <v>100</v>
      </c>
      <c r="C15" s="227">
        <v>13.8</v>
      </c>
      <c r="D15" s="228">
        <v>15.4</v>
      </c>
      <c r="E15" s="229">
        <v>16</v>
      </c>
      <c r="F15" s="230">
        <v>12.14</v>
      </c>
      <c r="G15" s="237">
        <v>15</v>
      </c>
      <c r="H15" s="230">
        <v>14.07</v>
      </c>
      <c r="I15" s="230">
        <v>15.9</v>
      </c>
      <c r="J15" s="229">
        <v>16.13</v>
      </c>
      <c r="K15" s="229">
        <v>15.53</v>
      </c>
      <c r="L15" s="229">
        <v>14.21</v>
      </c>
      <c r="M15" s="229">
        <v>14.81</v>
      </c>
      <c r="N15" s="230">
        <v>12.66</v>
      </c>
      <c r="O15" s="229">
        <v>16.010000000000002</v>
      </c>
      <c r="P15" s="229">
        <v>17.22</v>
      </c>
    </row>
    <row r="16" spans="1:16" ht="25.05" customHeight="1">
      <c r="A16" s="225" t="s">
        <v>33</v>
      </c>
      <c r="B16" s="226" t="s">
        <v>101</v>
      </c>
      <c r="C16" s="227">
        <v>18.2</v>
      </c>
      <c r="D16" s="228">
        <v>20.3</v>
      </c>
      <c r="E16" s="229">
        <v>21.3</v>
      </c>
      <c r="F16" s="230">
        <v>15.95</v>
      </c>
      <c r="G16" s="237">
        <v>20</v>
      </c>
      <c r="H16" s="230">
        <v>18.510000000000002</v>
      </c>
      <c r="I16" s="230">
        <v>20.9</v>
      </c>
      <c r="J16" s="229">
        <v>21.29</v>
      </c>
      <c r="K16" s="229">
        <v>20.440000000000001</v>
      </c>
      <c r="L16" s="229">
        <v>18.690000000000001</v>
      </c>
      <c r="M16" s="229">
        <v>19.489999999999998</v>
      </c>
      <c r="N16" s="230">
        <v>16.66</v>
      </c>
      <c r="O16" s="229">
        <v>21.13</v>
      </c>
      <c r="P16" s="229">
        <v>22.77</v>
      </c>
    </row>
    <row r="17" spans="1:16" s="293" customFormat="1" ht="31.9" customHeight="1">
      <c r="A17" s="311" t="s">
        <v>191</v>
      </c>
      <c r="B17" s="311"/>
      <c r="C17" s="311"/>
      <c r="D17" s="311"/>
      <c r="E17" s="311"/>
      <c r="F17" s="311"/>
      <c r="G17" s="311"/>
      <c r="H17" s="311"/>
      <c r="I17" s="311"/>
      <c r="J17" s="311"/>
      <c r="K17" s="311"/>
      <c r="L17" s="311"/>
      <c r="M17" s="311"/>
      <c r="N17" s="311"/>
      <c r="O17" s="311"/>
      <c r="P17" s="311"/>
    </row>
  </sheetData>
  <sheetProtection algorithmName="SHA-512" hashValue="zXTJTUhzvOqktELkV/gX5eSLIyoxzOqB19epNqwJxzag4nCCVPhvHctYL6a4r1G69jWTRLrwbEMa0zh9RxTuDw==" saltValue="cuOZJMlMOde1t0KDyemSPQ==" spinCount="100000" sheet="1" objects="1" scenarios="1"/>
  <mergeCells count="2">
    <mergeCell ref="A1:P1"/>
    <mergeCell ref="A17:P17"/>
  </mergeCells>
  <pageMargins left="1" right="1" top="1" bottom="1" header="0.25" footer="0.25"/>
  <pageSetup paperSize="9" fitToWidth="0" fitToHeight="0" orientation="landscape" r:id="rId1"/>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heetViews>
  <sheetFormatPr defaultColWidth="0" defaultRowHeight="0" customHeight="1" zeroHeight="1"/>
  <cols>
    <col min="1" max="1" width="20.375" style="4" customWidth="1"/>
    <col min="2" max="2" width="11.875" style="4" customWidth="1"/>
    <col min="3" max="3" width="19.6875" style="4" customWidth="1"/>
    <col min="4" max="4" width="12.5" style="4" customWidth="1"/>
    <col min="5" max="5" width="10.5" style="4" customWidth="1"/>
    <col min="6" max="6" width="10.875" style="4" customWidth="1"/>
    <col min="7" max="7" width="12.6875" style="4" customWidth="1"/>
    <col min="8" max="8" width="11" style="4" customWidth="1"/>
    <col min="9" max="9" width="12.5" style="4" customWidth="1"/>
    <col min="10" max="10" width="12" style="4" customWidth="1"/>
    <col min="11" max="11" width="12.375" style="4" customWidth="1"/>
    <col min="12" max="12" width="12.5" style="4" customWidth="1"/>
    <col min="13" max="13" width="12" style="4" customWidth="1"/>
    <col min="14" max="14" width="13.375" style="4" customWidth="1"/>
    <col min="15" max="15" width="8.875" style="4" hidden="1" customWidth="1"/>
    <col min="16" max="16384" width="8.875" style="4" hidden="1"/>
  </cols>
  <sheetData>
    <row r="1" spans="1:14" ht="31.35" customHeight="1">
      <c r="A1" s="308" t="s">
        <v>161</v>
      </c>
      <c r="B1" s="308"/>
      <c r="C1" s="308"/>
      <c r="D1" s="308"/>
      <c r="E1" s="308"/>
      <c r="F1" s="308"/>
      <c r="G1" s="308"/>
      <c r="H1" s="308"/>
      <c r="I1" s="308"/>
      <c r="J1" s="308"/>
      <c r="K1" s="308"/>
      <c r="L1" s="308"/>
      <c r="M1" s="308"/>
      <c r="N1" s="308"/>
    </row>
    <row r="2" spans="1:14" ht="50.85" customHeight="1">
      <c r="A2" s="313" t="s">
        <v>162</v>
      </c>
      <c r="B2" s="313"/>
      <c r="C2" s="313"/>
      <c r="D2" s="313"/>
      <c r="E2" s="313"/>
      <c r="F2" s="313"/>
      <c r="G2" s="313"/>
      <c r="H2" s="313"/>
      <c r="I2" s="313"/>
      <c r="J2" s="313"/>
      <c r="K2" s="313"/>
      <c r="L2" s="313"/>
      <c r="M2" s="313"/>
      <c r="N2" s="313"/>
    </row>
    <row r="3" spans="1:14" ht="25.05" customHeight="1">
      <c r="A3" s="314" t="s">
        <v>16</v>
      </c>
      <c r="B3" s="314"/>
      <c r="C3" s="240" t="s">
        <v>163</v>
      </c>
      <c r="D3" s="315" t="s">
        <v>164</v>
      </c>
      <c r="E3" s="315"/>
      <c r="F3" s="241" t="s">
        <v>165</v>
      </c>
      <c r="G3" s="316" t="s">
        <v>40</v>
      </c>
      <c r="H3" s="316"/>
      <c r="I3" s="316"/>
      <c r="J3" s="316"/>
      <c r="K3" s="316" t="s">
        <v>58</v>
      </c>
      <c r="L3" s="316"/>
      <c r="M3" s="316"/>
      <c r="N3" s="316"/>
    </row>
    <row r="4" spans="1:14" ht="25.05" customHeight="1">
      <c r="A4" s="242" t="s">
        <v>148</v>
      </c>
      <c r="B4" s="243" t="s">
        <v>107</v>
      </c>
      <c r="C4" s="244" t="s">
        <v>166</v>
      </c>
      <c r="D4" s="245" t="s">
        <v>167</v>
      </c>
      <c r="E4" s="245" t="s">
        <v>168</v>
      </c>
      <c r="F4" s="246" t="s">
        <v>169</v>
      </c>
      <c r="G4" s="247" t="s">
        <v>170</v>
      </c>
      <c r="H4" s="248" t="s">
        <v>171</v>
      </c>
      <c r="I4" s="249" t="s">
        <v>172</v>
      </c>
      <c r="J4" s="250" t="s">
        <v>173</v>
      </c>
      <c r="K4" s="247" t="s">
        <v>150</v>
      </c>
      <c r="L4" s="248" t="s">
        <v>174</v>
      </c>
      <c r="M4" s="249" t="s">
        <v>172</v>
      </c>
      <c r="N4" s="250" t="s">
        <v>173</v>
      </c>
    </row>
    <row r="5" spans="1:14" ht="25.05" customHeight="1">
      <c r="A5" s="251" t="s">
        <v>29</v>
      </c>
      <c r="B5" s="252" t="s">
        <v>87</v>
      </c>
      <c r="C5" s="253" t="s">
        <v>175</v>
      </c>
      <c r="D5" s="254">
        <v>1000</v>
      </c>
      <c r="E5" s="254">
        <v>60</v>
      </c>
      <c r="F5" s="254">
        <v>1</v>
      </c>
      <c r="G5" s="255">
        <v>0.52</v>
      </c>
      <c r="H5" s="256">
        <f t="shared" ref="H5:H31" si="0">POWER(10,G5)</f>
        <v>3.3113112148259116</v>
      </c>
      <c r="I5" s="257">
        <f t="shared" ref="I5:I31" si="1">(H5*E5)/(D5+(H5*E5))</f>
        <v>0.16574806691989988</v>
      </c>
      <c r="J5" s="258">
        <f t="shared" ref="J5:J31" si="2">(D5/F5)</f>
        <v>1000</v>
      </c>
      <c r="K5" s="259">
        <v>-0.9</v>
      </c>
      <c r="L5" s="260">
        <f t="shared" ref="L5:L31" si="3">POWER(10,K5)</f>
        <v>0.12589254117941667</v>
      </c>
      <c r="M5" s="261">
        <f t="shared" ref="M5:M31" si="4">(L5*E5)/(D5+(L5*E5))</f>
        <v>7.496924061497141E-3</v>
      </c>
      <c r="N5" s="262">
        <f t="shared" ref="N5:N31" si="5">(D5/F5)</f>
        <v>1000</v>
      </c>
    </row>
    <row r="6" spans="1:14" ht="25.05" customHeight="1">
      <c r="A6" s="263" t="s">
        <v>29</v>
      </c>
      <c r="B6" s="264" t="s">
        <v>87</v>
      </c>
      <c r="C6" s="253" t="s">
        <v>176</v>
      </c>
      <c r="D6" s="254">
        <v>35</v>
      </c>
      <c r="E6" s="254">
        <v>2</v>
      </c>
      <c r="F6" s="254">
        <v>2</v>
      </c>
      <c r="G6" s="255">
        <f>G5</f>
        <v>0.52</v>
      </c>
      <c r="H6" s="256">
        <f t="shared" si="0"/>
        <v>3.3113112148259116</v>
      </c>
      <c r="I6" s="257">
        <f t="shared" si="1"/>
        <v>0.15911112858986723</v>
      </c>
      <c r="J6" s="258">
        <f t="shared" si="2"/>
        <v>17.5</v>
      </c>
      <c r="K6" s="259">
        <v>-0.9</v>
      </c>
      <c r="L6" s="260">
        <f t="shared" si="3"/>
        <v>0.12589254117941667</v>
      </c>
      <c r="M6" s="261">
        <f t="shared" si="4"/>
        <v>7.1424775162615799E-3</v>
      </c>
      <c r="N6" s="262">
        <f t="shared" si="5"/>
        <v>17.5</v>
      </c>
    </row>
    <row r="7" spans="1:14" ht="25.05" customHeight="1">
      <c r="A7" s="265" t="s">
        <v>29</v>
      </c>
      <c r="B7" s="266" t="s">
        <v>87</v>
      </c>
      <c r="C7" s="253" t="s">
        <v>177</v>
      </c>
      <c r="D7" s="254">
        <v>10</v>
      </c>
      <c r="E7" s="254">
        <v>2</v>
      </c>
      <c r="F7" s="254">
        <v>2</v>
      </c>
      <c r="G7" s="255">
        <f>G5</f>
        <v>0.52</v>
      </c>
      <c r="H7" s="256">
        <f t="shared" si="0"/>
        <v>3.3113112148259116</v>
      </c>
      <c r="I7" s="257">
        <f t="shared" si="1"/>
        <v>0.39841020619214895</v>
      </c>
      <c r="J7" s="258">
        <f t="shared" si="2"/>
        <v>5</v>
      </c>
      <c r="K7" s="259">
        <v>0.1</v>
      </c>
      <c r="L7" s="260">
        <f t="shared" si="3"/>
        <v>1.2589254117941673</v>
      </c>
      <c r="M7" s="261">
        <f t="shared" si="4"/>
        <v>0.20114082353847496</v>
      </c>
      <c r="N7" s="262">
        <f t="shared" si="5"/>
        <v>5</v>
      </c>
    </row>
    <row r="8" spans="1:14" ht="25.05" customHeight="1">
      <c r="A8" s="267" t="s">
        <v>31</v>
      </c>
      <c r="B8" s="268" t="s">
        <v>88</v>
      </c>
      <c r="C8" s="253" t="s">
        <v>175</v>
      </c>
      <c r="D8" s="254">
        <v>1000</v>
      </c>
      <c r="E8" s="254">
        <v>60</v>
      </c>
      <c r="F8" s="254">
        <v>1</v>
      </c>
      <c r="G8" s="255">
        <v>2.46</v>
      </c>
      <c r="H8" s="269">
        <f t="shared" si="0"/>
        <v>288.40315031266073</v>
      </c>
      <c r="I8" s="257">
        <f t="shared" si="1"/>
        <v>0.94536769703508206</v>
      </c>
      <c r="J8" s="258">
        <f t="shared" si="2"/>
        <v>1000</v>
      </c>
      <c r="K8" s="259">
        <v>0.33</v>
      </c>
      <c r="L8" s="260">
        <f t="shared" si="3"/>
        <v>2.1379620895022322</v>
      </c>
      <c r="M8" s="261">
        <f t="shared" si="4"/>
        <v>0.11369339523923699</v>
      </c>
      <c r="N8" s="262">
        <f t="shared" si="5"/>
        <v>1000</v>
      </c>
    </row>
    <row r="9" spans="1:14" ht="25.05" customHeight="1">
      <c r="A9" s="270" t="s">
        <v>31</v>
      </c>
      <c r="B9" s="271" t="s">
        <v>88</v>
      </c>
      <c r="C9" s="253" t="s">
        <v>176</v>
      </c>
      <c r="D9" s="254">
        <v>35</v>
      </c>
      <c r="E9" s="254">
        <v>2</v>
      </c>
      <c r="F9" s="254">
        <v>2</v>
      </c>
      <c r="G9" s="255">
        <f>G8</f>
        <v>2.46</v>
      </c>
      <c r="H9" s="269">
        <f t="shared" si="0"/>
        <v>288.40315031266073</v>
      </c>
      <c r="I9" s="257">
        <f t="shared" si="1"/>
        <v>0.94279235116698401</v>
      </c>
      <c r="J9" s="258">
        <f t="shared" si="2"/>
        <v>17.5</v>
      </c>
      <c r="K9" s="259">
        <f>K8</f>
        <v>0.33</v>
      </c>
      <c r="L9" s="260">
        <f t="shared" si="3"/>
        <v>2.1379620895022322</v>
      </c>
      <c r="M9" s="261">
        <f t="shared" si="4"/>
        <v>0.10886883678450078</v>
      </c>
      <c r="N9" s="262">
        <f t="shared" si="5"/>
        <v>17.5</v>
      </c>
    </row>
    <row r="10" spans="1:14" ht="25.05" customHeight="1">
      <c r="A10" s="272" t="s">
        <v>31</v>
      </c>
      <c r="B10" s="273" t="s">
        <v>88</v>
      </c>
      <c r="C10" s="253" t="s">
        <v>177</v>
      </c>
      <c r="D10" s="254">
        <v>10</v>
      </c>
      <c r="E10" s="254">
        <v>2</v>
      </c>
      <c r="F10" s="254">
        <v>2</v>
      </c>
      <c r="G10" s="255">
        <f>G8</f>
        <v>2.46</v>
      </c>
      <c r="H10" s="269">
        <f t="shared" si="0"/>
        <v>288.40315031266073</v>
      </c>
      <c r="I10" s="257">
        <f t="shared" si="1"/>
        <v>0.98295860151920034</v>
      </c>
      <c r="J10" s="258">
        <f t="shared" si="2"/>
        <v>5</v>
      </c>
      <c r="K10" s="259">
        <f>K8</f>
        <v>0.33</v>
      </c>
      <c r="L10" s="260">
        <f t="shared" si="3"/>
        <v>2.1379620895022322</v>
      </c>
      <c r="M10" s="261">
        <f t="shared" si="4"/>
        <v>0.29951995579333818</v>
      </c>
      <c r="N10" s="262">
        <f t="shared" si="5"/>
        <v>5</v>
      </c>
    </row>
    <row r="11" spans="1:14" ht="25.05" customHeight="1">
      <c r="A11" s="267" t="s">
        <v>32</v>
      </c>
      <c r="B11" s="268" t="s">
        <v>90</v>
      </c>
      <c r="C11" s="253" t="s">
        <v>175</v>
      </c>
      <c r="D11" s="254">
        <v>1000</v>
      </c>
      <c r="E11" s="254">
        <v>60</v>
      </c>
      <c r="F11" s="254">
        <v>1</v>
      </c>
      <c r="G11" s="255">
        <v>4.16</v>
      </c>
      <c r="H11" s="269">
        <f t="shared" si="0"/>
        <v>14454.397707459291</v>
      </c>
      <c r="I11" s="257">
        <f t="shared" si="1"/>
        <v>0.9988482763785872</v>
      </c>
      <c r="J11" s="258">
        <f t="shared" si="2"/>
        <v>1000</v>
      </c>
      <c r="K11" s="274">
        <v>3.3</v>
      </c>
      <c r="L11" s="275">
        <f t="shared" si="3"/>
        <v>1995.2623149688804</v>
      </c>
      <c r="M11" s="261">
        <f t="shared" si="4"/>
        <v>0.99171607605497192</v>
      </c>
      <c r="N11" s="262">
        <f t="shared" si="5"/>
        <v>1000</v>
      </c>
    </row>
    <row r="12" spans="1:14" ht="25.05" customHeight="1">
      <c r="A12" s="270" t="s">
        <v>32</v>
      </c>
      <c r="B12" s="271" t="s">
        <v>90</v>
      </c>
      <c r="C12" s="253" t="s">
        <v>176</v>
      </c>
      <c r="D12" s="254">
        <v>35</v>
      </c>
      <c r="E12" s="254">
        <v>2</v>
      </c>
      <c r="F12" s="254">
        <v>2</v>
      </c>
      <c r="G12" s="255">
        <f>G11</f>
        <v>4.16</v>
      </c>
      <c r="H12" s="269">
        <f t="shared" si="0"/>
        <v>14454.397707459291</v>
      </c>
      <c r="I12" s="257">
        <f t="shared" si="1"/>
        <v>0.99879075983303978</v>
      </c>
      <c r="J12" s="258">
        <f t="shared" si="2"/>
        <v>17.5</v>
      </c>
      <c r="K12" s="274">
        <f>K11</f>
        <v>3.3</v>
      </c>
      <c r="L12" s="275">
        <f t="shared" si="3"/>
        <v>1995.2623149688804</v>
      </c>
      <c r="M12" s="261">
        <f t="shared" si="4"/>
        <v>0.9913054810943881</v>
      </c>
      <c r="N12" s="262">
        <f t="shared" si="5"/>
        <v>17.5</v>
      </c>
    </row>
    <row r="13" spans="1:14" ht="25.05" customHeight="1">
      <c r="A13" s="270" t="s">
        <v>32</v>
      </c>
      <c r="B13" s="273" t="s">
        <v>90</v>
      </c>
      <c r="C13" s="253" t="s">
        <v>177</v>
      </c>
      <c r="D13" s="254">
        <v>10</v>
      </c>
      <c r="E13" s="254">
        <v>2</v>
      </c>
      <c r="F13" s="254">
        <v>2</v>
      </c>
      <c r="G13" s="255">
        <f>G11</f>
        <v>4.16</v>
      </c>
      <c r="H13" s="269">
        <f t="shared" si="0"/>
        <v>14454.397707459291</v>
      </c>
      <c r="I13" s="257">
        <f t="shared" si="1"/>
        <v>0.99965420413068651</v>
      </c>
      <c r="J13" s="258">
        <f t="shared" si="2"/>
        <v>5</v>
      </c>
      <c r="K13" s="274">
        <f>K11</f>
        <v>3.3</v>
      </c>
      <c r="L13" s="275">
        <f t="shared" si="3"/>
        <v>1995.2623149688804</v>
      </c>
      <c r="M13" s="261">
        <f t="shared" si="4"/>
        <v>0.99750032785071108</v>
      </c>
      <c r="N13" s="262">
        <f t="shared" si="5"/>
        <v>5</v>
      </c>
    </row>
    <row r="14" spans="1:14" ht="25.05" customHeight="1">
      <c r="A14" s="270" t="s">
        <v>92</v>
      </c>
      <c r="B14" s="268" t="s">
        <v>93</v>
      </c>
      <c r="C14" s="253" t="s">
        <v>175</v>
      </c>
      <c r="D14" s="254">
        <v>1000</v>
      </c>
      <c r="E14" s="254">
        <v>60</v>
      </c>
      <c r="F14" s="254">
        <v>1</v>
      </c>
      <c r="G14" s="255">
        <v>7.01</v>
      </c>
      <c r="H14" s="276">
        <f t="shared" si="0"/>
        <v>10232929.922807546</v>
      </c>
      <c r="I14" s="257">
        <f t="shared" si="1"/>
        <v>0.99999837127395119</v>
      </c>
      <c r="J14" s="258">
        <f t="shared" si="2"/>
        <v>1000</v>
      </c>
      <c r="K14" s="274">
        <v>5.19</v>
      </c>
      <c r="L14" s="277">
        <f t="shared" si="3"/>
        <v>154881.66189124843</v>
      </c>
      <c r="M14" s="261">
        <f t="shared" si="4"/>
        <v>0.99989240254028666</v>
      </c>
      <c r="N14" s="262">
        <f t="shared" si="5"/>
        <v>1000</v>
      </c>
    </row>
    <row r="15" spans="1:14" ht="25.05" customHeight="1">
      <c r="A15" s="270" t="s">
        <v>92</v>
      </c>
      <c r="B15" s="271" t="s">
        <v>93</v>
      </c>
      <c r="C15" s="253" t="s">
        <v>176</v>
      </c>
      <c r="D15" s="254">
        <v>35</v>
      </c>
      <c r="E15" s="254">
        <v>2</v>
      </c>
      <c r="F15" s="254">
        <v>2</v>
      </c>
      <c r="G15" s="255">
        <f>G14</f>
        <v>7.01</v>
      </c>
      <c r="H15" s="276">
        <f t="shared" si="0"/>
        <v>10232929.922807546</v>
      </c>
      <c r="I15" s="257">
        <f t="shared" si="1"/>
        <v>0.99999828983778793</v>
      </c>
      <c r="J15" s="258">
        <f t="shared" si="2"/>
        <v>17.5</v>
      </c>
      <c r="K15" s="274">
        <v>5.19</v>
      </c>
      <c r="L15" s="277">
        <f t="shared" si="3"/>
        <v>154881.66189124843</v>
      </c>
      <c r="M15" s="261">
        <f t="shared" si="4"/>
        <v>0.99988702327510148</v>
      </c>
      <c r="N15" s="262">
        <f t="shared" si="5"/>
        <v>17.5</v>
      </c>
    </row>
    <row r="16" spans="1:14" ht="25.05" customHeight="1">
      <c r="A16" s="272" t="s">
        <v>92</v>
      </c>
      <c r="B16" s="273" t="s">
        <v>93</v>
      </c>
      <c r="C16" s="253" t="s">
        <v>177</v>
      </c>
      <c r="D16" s="254">
        <v>10</v>
      </c>
      <c r="E16" s="254">
        <v>2</v>
      </c>
      <c r="F16" s="254">
        <v>2</v>
      </c>
      <c r="G16" s="255">
        <f>G14</f>
        <v>7.01</v>
      </c>
      <c r="H16" s="276">
        <f t="shared" si="0"/>
        <v>10232929.922807546</v>
      </c>
      <c r="I16" s="257">
        <f t="shared" si="1"/>
        <v>0.99999951138162824</v>
      </c>
      <c r="J16" s="258">
        <f t="shared" si="2"/>
        <v>5</v>
      </c>
      <c r="K16" s="274">
        <v>5.19</v>
      </c>
      <c r="L16" s="277">
        <f t="shared" si="3"/>
        <v>154881.66189124843</v>
      </c>
      <c r="M16" s="261">
        <f t="shared" si="4"/>
        <v>0.99996771833068809</v>
      </c>
      <c r="N16" s="262">
        <f t="shared" si="5"/>
        <v>5</v>
      </c>
    </row>
    <row r="17" spans="1:14" ht="25.05" customHeight="1">
      <c r="A17" s="267" t="s">
        <v>178</v>
      </c>
      <c r="B17" s="268" t="s">
        <v>96</v>
      </c>
      <c r="C17" s="253" t="s">
        <v>175</v>
      </c>
      <c r="D17" s="254">
        <v>1000</v>
      </c>
      <c r="E17" s="254">
        <v>60</v>
      </c>
      <c r="F17" s="254">
        <v>1</v>
      </c>
      <c r="G17" s="255">
        <v>9.11</v>
      </c>
      <c r="H17" s="276">
        <f t="shared" si="0"/>
        <v>1288249551.6931362</v>
      </c>
      <c r="I17" s="257">
        <f t="shared" si="1"/>
        <v>0.99999998706254822</v>
      </c>
      <c r="J17" s="258">
        <f t="shared" si="2"/>
        <v>1000</v>
      </c>
      <c r="K17" s="274">
        <v>7.49</v>
      </c>
      <c r="L17" s="278">
        <f t="shared" si="3"/>
        <v>30902954.325135998</v>
      </c>
      <c r="M17" s="261">
        <f t="shared" si="4"/>
        <v>0.99999946067752932</v>
      </c>
      <c r="N17" s="262">
        <f t="shared" si="5"/>
        <v>1000</v>
      </c>
    </row>
    <row r="18" spans="1:14" ht="25.05" customHeight="1">
      <c r="A18" s="270" t="s">
        <v>178</v>
      </c>
      <c r="B18" s="271" t="s">
        <v>96</v>
      </c>
      <c r="C18" s="253" t="s">
        <v>176</v>
      </c>
      <c r="D18" s="254">
        <v>35</v>
      </c>
      <c r="E18" s="254">
        <v>2</v>
      </c>
      <c r="F18" s="254">
        <v>2</v>
      </c>
      <c r="G18" s="255">
        <f>G17</f>
        <v>9.11</v>
      </c>
      <c r="H18" s="276">
        <f t="shared" si="0"/>
        <v>1288249551.6931362</v>
      </c>
      <c r="I18" s="257">
        <f t="shared" si="1"/>
        <v>0.99999998641567567</v>
      </c>
      <c r="J18" s="258">
        <f t="shared" si="2"/>
        <v>17.5</v>
      </c>
      <c r="K18" s="274">
        <v>7.49</v>
      </c>
      <c r="L18" s="278">
        <f t="shared" si="3"/>
        <v>30902954.325135998</v>
      </c>
      <c r="M18" s="261">
        <f t="shared" si="4"/>
        <v>0.99999943371142108</v>
      </c>
      <c r="N18" s="262">
        <f t="shared" si="5"/>
        <v>17.5</v>
      </c>
    </row>
    <row r="19" spans="1:14" ht="25.05" customHeight="1">
      <c r="A19" s="272" t="s">
        <v>178</v>
      </c>
      <c r="B19" s="273" t="s">
        <v>96</v>
      </c>
      <c r="C19" s="253" t="s">
        <v>177</v>
      </c>
      <c r="D19" s="254">
        <v>10</v>
      </c>
      <c r="E19" s="254">
        <v>2</v>
      </c>
      <c r="F19" s="254">
        <v>2</v>
      </c>
      <c r="G19" s="255">
        <f>G17</f>
        <v>9.11</v>
      </c>
      <c r="H19" s="276">
        <f t="shared" si="0"/>
        <v>1288249551.6931362</v>
      </c>
      <c r="I19" s="257">
        <f t="shared" si="1"/>
        <v>0.99999999611876444</v>
      </c>
      <c r="J19" s="258">
        <f t="shared" si="2"/>
        <v>5</v>
      </c>
      <c r="K19" s="274">
        <v>7.49</v>
      </c>
      <c r="L19" s="278">
        <f t="shared" si="3"/>
        <v>30902954.325135998</v>
      </c>
      <c r="M19" s="261">
        <f t="shared" si="4"/>
        <v>0.99999983820319771</v>
      </c>
      <c r="N19" s="262">
        <f t="shared" si="5"/>
        <v>5</v>
      </c>
    </row>
    <row r="20" spans="1:14" ht="25.05" customHeight="1">
      <c r="A20" s="267" t="s">
        <v>84</v>
      </c>
      <c r="B20" s="268" t="s">
        <v>85</v>
      </c>
      <c r="C20" s="253" t="s">
        <v>175</v>
      </c>
      <c r="D20" s="254">
        <v>1000</v>
      </c>
      <c r="E20" s="254">
        <v>60</v>
      </c>
      <c r="F20" s="254">
        <v>1</v>
      </c>
      <c r="G20" s="255">
        <v>2.12</v>
      </c>
      <c r="H20" s="269">
        <f t="shared" si="0"/>
        <v>131.82567385564084</v>
      </c>
      <c r="I20" s="257">
        <f t="shared" si="1"/>
        <v>0.8877607652486097</v>
      </c>
      <c r="J20" s="258">
        <f t="shared" si="2"/>
        <v>1000</v>
      </c>
      <c r="K20" s="274">
        <v>-0.63</v>
      </c>
      <c r="L20" s="260">
        <f t="shared" si="3"/>
        <v>0.23442288153199217</v>
      </c>
      <c r="M20" s="261">
        <f t="shared" si="4"/>
        <v>1.3870282200651217E-2</v>
      </c>
      <c r="N20" s="262">
        <f t="shared" si="5"/>
        <v>1000</v>
      </c>
    </row>
    <row r="21" spans="1:14" ht="25.05" customHeight="1">
      <c r="A21" s="270" t="s">
        <v>84</v>
      </c>
      <c r="B21" s="271" t="s">
        <v>85</v>
      </c>
      <c r="C21" s="253" t="s">
        <v>176</v>
      </c>
      <c r="D21" s="254">
        <v>35</v>
      </c>
      <c r="E21" s="254">
        <v>2</v>
      </c>
      <c r="F21" s="254">
        <v>2</v>
      </c>
      <c r="G21" s="255">
        <f>G20</f>
        <v>2.12</v>
      </c>
      <c r="H21" s="269">
        <f t="shared" si="0"/>
        <v>131.82567385564084</v>
      </c>
      <c r="I21" s="257">
        <f t="shared" si="1"/>
        <v>0.8828064890106041</v>
      </c>
      <c r="J21" s="258">
        <f t="shared" si="2"/>
        <v>17.5</v>
      </c>
      <c r="K21" s="274">
        <v>-0.63</v>
      </c>
      <c r="L21" s="260">
        <f t="shared" si="3"/>
        <v>0.23442288153199217</v>
      </c>
      <c r="M21" s="261">
        <f t="shared" si="4"/>
        <v>1.3218523269573772E-2</v>
      </c>
      <c r="N21" s="262">
        <f t="shared" si="5"/>
        <v>17.5</v>
      </c>
    </row>
    <row r="22" spans="1:14" ht="25.05" customHeight="1">
      <c r="A22" s="272" t="s">
        <v>84</v>
      </c>
      <c r="B22" s="273" t="s">
        <v>85</v>
      </c>
      <c r="C22" s="253" t="s">
        <v>177</v>
      </c>
      <c r="D22" s="254">
        <v>10</v>
      </c>
      <c r="E22" s="254">
        <v>2</v>
      </c>
      <c r="F22" s="254">
        <v>2</v>
      </c>
      <c r="G22" s="255">
        <f>G20</f>
        <v>2.12</v>
      </c>
      <c r="H22" s="269">
        <f t="shared" si="0"/>
        <v>131.82567385564084</v>
      </c>
      <c r="I22" s="257">
        <f t="shared" si="1"/>
        <v>0.96345715055439596</v>
      </c>
      <c r="J22" s="258">
        <f t="shared" si="2"/>
        <v>5</v>
      </c>
      <c r="K22" s="274">
        <v>-0.63</v>
      </c>
      <c r="L22" s="260">
        <f t="shared" si="3"/>
        <v>0.23442288153199217</v>
      </c>
      <c r="M22" s="261">
        <f t="shared" si="4"/>
        <v>4.4784857249321464E-2</v>
      </c>
      <c r="N22" s="262">
        <f t="shared" si="5"/>
        <v>5</v>
      </c>
    </row>
    <row r="23" spans="1:14" ht="25.05" customHeight="1">
      <c r="A23" s="267" t="s">
        <v>82</v>
      </c>
      <c r="B23" s="268" t="s">
        <v>83</v>
      </c>
      <c r="C23" s="253" t="s">
        <v>175</v>
      </c>
      <c r="D23" s="254">
        <v>1000</v>
      </c>
      <c r="E23" s="254">
        <v>60</v>
      </c>
      <c r="F23" s="254">
        <v>1</v>
      </c>
      <c r="G23" s="255">
        <v>0.34</v>
      </c>
      <c r="H23" s="256">
        <f t="shared" si="0"/>
        <v>2.1877616239495525</v>
      </c>
      <c r="I23" s="257">
        <f t="shared" si="1"/>
        <v>0.11603436552029496</v>
      </c>
      <c r="J23" s="258">
        <f t="shared" si="2"/>
        <v>1000</v>
      </c>
      <c r="K23" s="274">
        <v>-0.37</v>
      </c>
      <c r="L23" s="260">
        <f t="shared" si="3"/>
        <v>0.42657951880159267</v>
      </c>
      <c r="M23" s="261">
        <f t="shared" si="4"/>
        <v>2.4956027320559342E-2</v>
      </c>
      <c r="N23" s="262">
        <f t="shared" si="5"/>
        <v>1000</v>
      </c>
    </row>
    <row r="24" spans="1:14" ht="25.05" customHeight="1">
      <c r="A24" s="270" t="s">
        <v>82</v>
      </c>
      <c r="B24" s="271" t="s">
        <v>83</v>
      </c>
      <c r="C24" s="253" t="s">
        <v>176</v>
      </c>
      <c r="D24" s="254">
        <v>35</v>
      </c>
      <c r="E24" s="254">
        <v>2</v>
      </c>
      <c r="F24" s="254">
        <v>2</v>
      </c>
      <c r="G24" s="255">
        <f>G23</f>
        <v>0.34</v>
      </c>
      <c r="H24" s="256">
        <f t="shared" si="0"/>
        <v>2.1877616239495525</v>
      </c>
      <c r="I24" s="257">
        <f t="shared" si="1"/>
        <v>0.11112292325239291</v>
      </c>
      <c r="J24" s="258">
        <f t="shared" si="2"/>
        <v>17.5</v>
      </c>
      <c r="K24" s="274">
        <v>-0.37</v>
      </c>
      <c r="L24" s="260">
        <f t="shared" si="3"/>
        <v>0.42657951880159267</v>
      </c>
      <c r="M24" s="261">
        <f t="shared" si="4"/>
        <v>2.3795923720651306E-2</v>
      </c>
      <c r="N24" s="262">
        <f t="shared" si="5"/>
        <v>17.5</v>
      </c>
    </row>
    <row r="25" spans="1:14" ht="25.05" customHeight="1">
      <c r="A25" s="272" t="s">
        <v>82</v>
      </c>
      <c r="B25" s="271" t="s">
        <v>83</v>
      </c>
      <c r="C25" s="253" t="s">
        <v>177</v>
      </c>
      <c r="D25" s="254">
        <v>10</v>
      </c>
      <c r="E25" s="254">
        <v>2</v>
      </c>
      <c r="F25" s="254">
        <v>2</v>
      </c>
      <c r="G25" s="255">
        <f>G23</f>
        <v>0.34</v>
      </c>
      <c r="H25" s="256">
        <f t="shared" si="0"/>
        <v>2.1877616239495525</v>
      </c>
      <c r="I25" s="257">
        <f t="shared" si="1"/>
        <v>0.30437314680274757</v>
      </c>
      <c r="J25" s="258">
        <f t="shared" si="2"/>
        <v>5</v>
      </c>
      <c r="K25" s="274">
        <v>-0.37</v>
      </c>
      <c r="L25" s="260">
        <f t="shared" si="3"/>
        <v>0.42657951880159267</v>
      </c>
      <c r="M25" s="261">
        <f t="shared" si="4"/>
        <v>7.8609281836488881E-2</v>
      </c>
      <c r="N25" s="262">
        <f t="shared" si="5"/>
        <v>5</v>
      </c>
    </row>
    <row r="26" spans="1:14" ht="25.05" customHeight="1">
      <c r="A26" s="251" t="s">
        <v>179</v>
      </c>
      <c r="B26" s="279" t="s">
        <v>94</v>
      </c>
      <c r="C26" s="253" t="s">
        <v>175</v>
      </c>
      <c r="D26" s="280">
        <v>1000</v>
      </c>
      <c r="E26" s="254">
        <v>60</v>
      </c>
      <c r="F26" s="254">
        <v>1</v>
      </c>
      <c r="G26" s="238">
        <v>6.01</v>
      </c>
      <c r="H26" s="281">
        <f t="shared" si="0"/>
        <v>1023292.9922807553</v>
      </c>
      <c r="I26" s="257">
        <f t="shared" si="1"/>
        <v>0.9999837129782555</v>
      </c>
      <c r="J26" s="258">
        <f t="shared" si="2"/>
        <v>1000</v>
      </c>
      <c r="K26" s="274">
        <v>7.04</v>
      </c>
      <c r="L26" s="278">
        <f t="shared" si="3"/>
        <v>10964781.961431853</v>
      </c>
      <c r="M26" s="261">
        <f t="shared" si="4"/>
        <v>0.99999847998424485</v>
      </c>
      <c r="N26" s="262">
        <f t="shared" si="5"/>
        <v>1000</v>
      </c>
    </row>
    <row r="27" spans="1:14" ht="25.05" customHeight="1">
      <c r="A27" s="251" t="s">
        <v>51</v>
      </c>
      <c r="B27" s="279" t="s">
        <v>94</v>
      </c>
      <c r="C27" s="253" t="s">
        <v>176</v>
      </c>
      <c r="D27" s="280">
        <v>35</v>
      </c>
      <c r="E27" s="254">
        <v>2</v>
      </c>
      <c r="F27" s="254">
        <v>2</v>
      </c>
      <c r="G27" s="238">
        <v>6.01</v>
      </c>
      <c r="H27" s="281">
        <f t="shared" si="0"/>
        <v>1023292.9922807553</v>
      </c>
      <c r="I27" s="257">
        <f t="shared" si="1"/>
        <v>0.9999828986410948</v>
      </c>
      <c r="J27" s="258">
        <f t="shared" si="2"/>
        <v>17.5</v>
      </c>
      <c r="K27" s="274">
        <v>7.04</v>
      </c>
      <c r="L27" s="278">
        <f t="shared" si="3"/>
        <v>10964781.961431853</v>
      </c>
      <c r="M27" s="261">
        <f t="shared" si="4"/>
        <v>0.99999840398357842</v>
      </c>
      <c r="N27" s="262">
        <f t="shared" si="5"/>
        <v>17.5</v>
      </c>
    </row>
    <row r="28" spans="1:14" ht="25.05" customHeight="1">
      <c r="A28" s="251" t="s">
        <v>51</v>
      </c>
      <c r="B28" s="279" t="s">
        <v>94</v>
      </c>
      <c r="C28" s="253" t="s">
        <v>177</v>
      </c>
      <c r="D28" s="280">
        <v>10</v>
      </c>
      <c r="E28" s="254">
        <v>2</v>
      </c>
      <c r="F28" s="254">
        <v>2</v>
      </c>
      <c r="G28" s="259">
        <v>6.01</v>
      </c>
      <c r="H28" s="281">
        <f t="shared" si="0"/>
        <v>1023292.9922807553</v>
      </c>
      <c r="I28" s="257">
        <f t="shared" si="1"/>
        <v>0.99999511383776996</v>
      </c>
      <c r="J28" s="258">
        <f t="shared" si="2"/>
        <v>5</v>
      </c>
      <c r="K28" s="274">
        <v>7.04</v>
      </c>
      <c r="L28" s="278">
        <f t="shared" si="3"/>
        <v>10964781.961431853</v>
      </c>
      <c r="M28" s="261">
        <f t="shared" si="4"/>
        <v>0.9999995439947883</v>
      </c>
      <c r="N28" s="262">
        <f t="shared" si="5"/>
        <v>5</v>
      </c>
    </row>
    <row r="29" spans="1:14" ht="25.05" customHeight="1">
      <c r="A29" s="251" t="s">
        <v>33</v>
      </c>
      <c r="B29" s="279" t="s">
        <v>101</v>
      </c>
      <c r="C29" s="253" t="s">
        <v>175</v>
      </c>
      <c r="D29" s="254">
        <v>1000</v>
      </c>
      <c r="E29" s="254">
        <v>60</v>
      </c>
      <c r="F29" s="254">
        <v>1</v>
      </c>
      <c r="G29" s="255">
        <v>18.2</v>
      </c>
      <c r="H29" s="281">
        <f t="shared" si="0"/>
        <v>1.5848931924611195E+18</v>
      </c>
      <c r="I29" s="257">
        <f t="shared" si="1"/>
        <v>1</v>
      </c>
      <c r="J29" s="258">
        <f t="shared" si="2"/>
        <v>1000</v>
      </c>
      <c r="K29" s="282">
        <v>21.3</v>
      </c>
      <c r="L29" s="278">
        <f t="shared" si="3"/>
        <v>1.9952623149688989E+21</v>
      </c>
      <c r="M29" s="261">
        <f t="shared" si="4"/>
        <v>1</v>
      </c>
      <c r="N29" s="262">
        <f t="shared" si="5"/>
        <v>1000</v>
      </c>
    </row>
    <row r="30" spans="1:14" ht="25.05" customHeight="1">
      <c r="A30" s="251" t="s">
        <v>33</v>
      </c>
      <c r="B30" s="279" t="s">
        <v>101</v>
      </c>
      <c r="C30" s="253" t="s">
        <v>176</v>
      </c>
      <c r="D30" s="254">
        <v>35</v>
      </c>
      <c r="E30" s="254">
        <v>2</v>
      </c>
      <c r="F30" s="254">
        <v>2</v>
      </c>
      <c r="G30" s="255">
        <v>18.2</v>
      </c>
      <c r="H30" s="281">
        <f t="shared" si="0"/>
        <v>1.5848931924611195E+18</v>
      </c>
      <c r="I30" s="257">
        <f t="shared" si="1"/>
        <v>1</v>
      </c>
      <c r="J30" s="258">
        <f t="shared" si="2"/>
        <v>17.5</v>
      </c>
      <c r="K30" s="282">
        <v>21.3</v>
      </c>
      <c r="L30" s="278">
        <f t="shared" si="3"/>
        <v>1.9952623149688989E+21</v>
      </c>
      <c r="M30" s="261">
        <f t="shared" si="4"/>
        <v>1</v>
      </c>
      <c r="N30" s="262">
        <f t="shared" si="5"/>
        <v>17.5</v>
      </c>
    </row>
    <row r="31" spans="1:14" ht="25.05" customHeight="1">
      <c r="A31" s="251" t="s">
        <v>33</v>
      </c>
      <c r="B31" s="283" t="s">
        <v>101</v>
      </c>
      <c r="C31" s="253" t="s">
        <v>177</v>
      </c>
      <c r="D31" s="254">
        <v>10</v>
      </c>
      <c r="E31" s="254">
        <v>2</v>
      </c>
      <c r="F31" s="254">
        <v>2</v>
      </c>
      <c r="G31" s="255">
        <v>18.2</v>
      </c>
      <c r="H31" s="281">
        <f t="shared" si="0"/>
        <v>1.5848931924611195E+18</v>
      </c>
      <c r="I31" s="257">
        <f t="shared" si="1"/>
        <v>1</v>
      </c>
      <c r="J31" s="258">
        <f t="shared" si="2"/>
        <v>5</v>
      </c>
      <c r="K31" s="282">
        <v>21.3</v>
      </c>
      <c r="L31" s="278">
        <f t="shared" si="3"/>
        <v>1.9952623149688989E+21</v>
      </c>
      <c r="M31" s="261">
        <f t="shared" si="4"/>
        <v>1</v>
      </c>
      <c r="N31" s="262">
        <f t="shared" si="5"/>
        <v>5</v>
      </c>
    </row>
    <row r="32" spans="1:14" ht="57.2" customHeight="1">
      <c r="A32" s="312" t="s">
        <v>180</v>
      </c>
      <c r="B32" s="312"/>
      <c r="C32" s="312"/>
      <c r="D32" s="312"/>
      <c r="E32" s="312"/>
      <c r="F32" s="312"/>
      <c r="G32" s="312"/>
      <c r="H32" s="312"/>
      <c r="I32" s="312"/>
      <c r="J32" s="312"/>
      <c r="K32" s="312"/>
      <c r="L32" s="312"/>
      <c r="M32" s="312"/>
      <c r="N32" s="312"/>
    </row>
  </sheetData>
  <sheetProtection sheet="1" objects="1" scenarios="1"/>
  <mergeCells count="7">
    <mergeCell ref="A32:N32"/>
    <mergeCell ref="A1:N1"/>
    <mergeCell ref="A2:N2"/>
    <mergeCell ref="A3:B3"/>
    <mergeCell ref="D3:E3"/>
    <mergeCell ref="G3:J3"/>
    <mergeCell ref="K3:N3"/>
  </mergeCells>
  <pageMargins left="1" right="1" top="1" bottom="1" header="0.25" footer="0.25"/>
  <pageSetup paperSize="0" fitToWidth="0" fitToHeight="0" orientation="landscape" horizontalDpi="0" verticalDpi="0" copies="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A3" sqref="A3"/>
    </sheetView>
  </sheetViews>
  <sheetFormatPr defaultColWidth="0" defaultRowHeight="0" customHeight="1" zeroHeight="1"/>
  <cols>
    <col min="1" max="1" width="162.5" style="4" customWidth="1"/>
    <col min="2" max="5" width="8.8125" style="4" hidden="1" customWidth="1"/>
    <col min="6" max="6" width="8.875" style="4" hidden="1" customWidth="1"/>
    <col min="7" max="16384" width="8.875" style="4" hidden="1"/>
  </cols>
  <sheetData>
    <row r="1" spans="1:7" ht="35.549999999999997" customHeight="1">
      <c r="A1" s="284" t="s">
        <v>181</v>
      </c>
      <c r="B1" s="285"/>
      <c r="C1" s="285"/>
      <c r="D1" s="285"/>
      <c r="E1" s="285"/>
      <c r="F1" s="174"/>
      <c r="G1" s="175"/>
    </row>
    <row r="2" spans="1:7" ht="55.15" customHeight="1">
      <c r="A2" s="286" t="s">
        <v>192</v>
      </c>
      <c r="B2" s="287"/>
      <c r="C2" s="287"/>
      <c r="D2" s="287"/>
      <c r="E2" s="287"/>
      <c r="F2" s="181"/>
      <c r="G2" s="182"/>
    </row>
    <row r="3" spans="1:7" ht="192" customHeight="1">
      <c r="A3" s="288" t="s">
        <v>182</v>
      </c>
      <c r="B3" s="287"/>
      <c r="C3" s="287"/>
      <c r="D3" s="287"/>
      <c r="E3" s="287"/>
      <c r="F3" s="181"/>
      <c r="G3" s="182"/>
    </row>
    <row r="4" spans="1:7" ht="114.75" customHeight="1">
      <c r="A4" s="288" t="s">
        <v>183</v>
      </c>
      <c r="B4" s="287"/>
      <c r="C4" s="287"/>
      <c r="D4" s="287"/>
      <c r="E4" s="287"/>
      <c r="F4" s="181"/>
      <c r="G4" s="182"/>
    </row>
    <row r="5" spans="1:7" ht="143.25" customHeight="1">
      <c r="A5" s="288" t="s">
        <v>184</v>
      </c>
      <c r="B5" s="287"/>
      <c r="C5" s="287"/>
      <c r="D5" s="287"/>
      <c r="E5" s="287"/>
      <c r="F5" s="181"/>
      <c r="G5" s="182"/>
    </row>
    <row r="6" spans="1:7" ht="171.4" customHeight="1">
      <c r="A6" s="288" t="s">
        <v>185</v>
      </c>
      <c r="B6" s="287"/>
      <c r="C6" s="287"/>
      <c r="D6" s="287"/>
      <c r="E6" s="287"/>
      <c r="F6" s="181"/>
      <c r="G6" s="182"/>
    </row>
    <row r="7" spans="1:7" ht="194.25" customHeight="1">
      <c r="A7" s="288" t="s">
        <v>186</v>
      </c>
      <c r="B7" s="287"/>
      <c r="C7" s="287"/>
      <c r="D7" s="287"/>
      <c r="E7" s="287"/>
      <c r="F7" s="181"/>
      <c r="G7" s="182"/>
    </row>
    <row r="8" spans="1:7" ht="99.4" customHeight="1">
      <c r="A8" s="288" t="s">
        <v>187</v>
      </c>
      <c r="B8" s="287"/>
      <c r="C8" s="287"/>
      <c r="D8" s="287"/>
      <c r="E8" s="287"/>
      <c r="F8" s="181"/>
      <c r="G8" s="182"/>
    </row>
    <row r="9" spans="1:7" ht="88.9" customHeight="1">
      <c r="A9" s="288" t="s">
        <v>188</v>
      </c>
      <c r="B9" s="287"/>
      <c r="C9" s="287"/>
      <c r="D9" s="287"/>
      <c r="E9" s="287"/>
      <c r="F9" s="181"/>
      <c r="G9" s="182"/>
    </row>
    <row r="10" spans="1:7" ht="108.4" customHeight="1">
      <c r="A10" s="289" t="s">
        <v>189</v>
      </c>
      <c r="B10" s="287"/>
      <c r="C10" s="287"/>
      <c r="D10" s="287"/>
      <c r="E10" s="287"/>
      <c r="F10" s="181"/>
      <c r="G10" s="182"/>
    </row>
    <row r="11" spans="1:7" ht="28.15" customHeight="1">
      <c r="A11" s="290" t="s">
        <v>190</v>
      </c>
      <c r="B11" s="291"/>
      <c r="C11" s="291"/>
      <c r="D11" s="291"/>
      <c r="E11" s="291"/>
      <c r="F11" s="292"/>
      <c r="G11" s="190"/>
    </row>
  </sheetData>
  <sheetProtection algorithmName="SHA-512" hashValue="ZfJkw/rPWiaAysWiBBPx4JLKYaIyfDDeWoiDJXMTt5adfaKA1IYu0bnS1/BIUP9hIwhugaqkOXMZmT4HOtN83Q==" saltValue="aUq8uc6HyDn7xkKft+VYjw==" spinCount="100000" sheet="1" objects="1" scenarios="1"/>
  <pageMargins left="1" right="1" top="1" bottom="1" header="0.25" footer="0.25"/>
  <pageSetup paperSize="0" fitToWidth="0" fitToHeight="0" orientation="portrait" horizontalDpi="0" verticalDpi="0" copies="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Methods</vt:lpstr>
      <vt:lpstr>Analytes</vt:lpstr>
      <vt:lpstr>Solvents</vt:lpstr>
      <vt:lpstr>AnalytesSolvents</vt:lpstr>
      <vt:lpstr>TypicalAqueousData</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 strutt</cp:lastModifiedBy>
  <dcterms:created xsi:type="dcterms:W3CDTF">2022-11-27T15:56:02Z</dcterms:created>
  <dcterms:modified xsi:type="dcterms:W3CDTF">2022-11-30T01:09:37Z</dcterms:modified>
</cp:coreProperties>
</file>