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Desktop\"/>
    </mc:Choice>
  </mc:AlternateContent>
  <bookViews>
    <workbookView xWindow="0" yWindow="0" windowWidth="21255" windowHeight="11408"/>
  </bookViews>
  <sheets>
    <sheet name="MainTable" sheetId="1" r:id="rId1"/>
    <sheet name="SampleResults" sheetId="2" r:id="rId2"/>
    <sheet name="Distributions" sheetId="3" r:id="rId3"/>
    <sheet name="Units" sheetId="4" r:id="rId4"/>
    <sheet name="Notes" sheetId="5" r:id="rId5"/>
  </sheets>
  <calcPr calcId="152511"/>
</workbook>
</file>

<file path=xl/calcChain.xml><?xml version="1.0" encoding="utf-8"?>
<calcChain xmlns="http://schemas.openxmlformats.org/spreadsheetml/2006/main">
  <c r="AK16" i="1" l="1"/>
  <c r="AJ16" i="1"/>
  <c r="AI16" i="1"/>
  <c r="AH16" i="1"/>
  <c r="AG16" i="1"/>
  <c r="AF16" i="1"/>
  <c r="AE16" i="1"/>
  <c r="AD16" i="1"/>
  <c r="AC16" i="1"/>
  <c r="AB16" i="1"/>
  <c r="AA16" i="1"/>
  <c r="Z16" i="1"/>
  <c r="Y16" i="1"/>
  <c r="X16" i="1"/>
  <c r="B43" i="1"/>
  <c r="C36" i="1"/>
  <c r="C41" i="1" s="1"/>
  <c r="B36" i="1"/>
  <c r="B37" i="1"/>
  <c r="B42" i="1" s="1"/>
  <c r="B15" i="1"/>
  <c r="W34" i="1"/>
  <c r="V34" i="1"/>
  <c r="U34" i="1"/>
  <c r="T34" i="1"/>
  <c r="S34" i="1"/>
  <c r="R34" i="1"/>
  <c r="Q34" i="1"/>
  <c r="P34" i="1"/>
  <c r="O34" i="1"/>
  <c r="N34" i="1"/>
  <c r="M34" i="1"/>
  <c r="L34" i="1"/>
  <c r="K34" i="1"/>
  <c r="J34" i="1"/>
  <c r="I34" i="1"/>
  <c r="H34" i="1"/>
  <c r="G34" i="1"/>
  <c r="F34" i="1"/>
  <c r="E34" i="1"/>
  <c r="D34" i="1"/>
  <c r="D8" i="1" s="1"/>
  <c r="C34" i="1"/>
  <c r="B34" i="1"/>
  <c r="W26" i="1"/>
  <c r="V26" i="1"/>
  <c r="U26" i="1"/>
  <c r="T26" i="1"/>
  <c r="T32" i="1"/>
  <c r="S26" i="1"/>
  <c r="R26" i="1"/>
  <c r="Q26" i="1"/>
  <c r="P26" i="1"/>
  <c r="P32" i="1"/>
  <c r="O26" i="1"/>
  <c r="N26" i="1"/>
  <c r="M26" i="1"/>
  <c r="L26" i="1"/>
  <c r="L32" i="1"/>
  <c r="K26" i="1"/>
  <c r="J26" i="1"/>
  <c r="I26" i="1"/>
  <c r="I8" i="1" s="1"/>
  <c r="H26" i="1"/>
  <c r="H32" i="1"/>
  <c r="G26" i="1"/>
  <c r="F26" i="1"/>
  <c r="E26" i="1"/>
  <c r="D26" i="1"/>
  <c r="D32" i="1"/>
  <c r="C26" i="1"/>
  <c r="B26" i="1"/>
  <c r="B24" i="1"/>
  <c r="B25" i="1" s="1"/>
  <c r="W19" i="1"/>
  <c r="V19" i="1"/>
  <c r="U19" i="1"/>
  <c r="T19" i="1"/>
  <c r="S19" i="1"/>
  <c r="R19" i="1"/>
  <c r="Q19" i="1"/>
  <c r="P19" i="1"/>
  <c r="O19" i="1"/>
  <c r="N19" i="1"/>
  <c r="M19" i="1"/>
  <c r="L19" i="1"/>
  <c r="K19" i="1"/>
  <c r="J19" i="1"/>
  <c r="I19" i="1"/>
  <c r="H19" i="1"/>
  <c r="G19" i="1"/>
  <c r="F19" i="1"/>
  <c r="E19" i="1"/>
  <c r="D19" i="1"/>
  <c r="C19" i="1"/>
  <c r="B19" i="1"/>
  <c r="W18" i="1"/>
  <c r="V18" i="1"/>
  <c r="U18" i="1"/>
  <c r="T18" i="1"/>
  <c r="S18" i="1"/>
  <c r="R18" i="1"/>
  <c r="Q18" i="1"/>
  <c r="P18" i="1"/>
  <c r="O18" i="1"/>
  <c r="N18" i="1"/>
  <c r="M18" i="1"/>
  <c r="L18" i="1"/>
  <c r="K18" i="1"/>
  <c r="J18" i="1"/>
  <c r="I18" i="1"/>
  <c r="H18" i="1"/>
  <c r="G18" i="1"/>
  <c r="F18" i="1"/>
  <c r="E18" i="1"/>
  <c r="D18" i="1"/>
  <c r="C18" i="1"/>
  <c r="B18" i="1"/>
  <c r="B17" i="1"/>
  <c r="A13" i="1"/>
  <c r="U8" i="1"/>
  <c r="M8" i="1"/>
  <c r="W7" i="1"/>
  <c r="W43" i="1"/>
  <c r="V7" i="1"/>
  <c r="V43" i="1"/>
  <c r="U7" i="1"/>
  <c r="U43" i="1"/>
  <c r="T7" i="1"/>
  <c r="T43" i="1"/>
  <c r="S7" i="1"/>
  <c r="S43" i="1"/>
  <c r="R7" i="1"/>
  <c r="R43" i="1"/>
  <c r="Q7" i="1"/>
  <c r="Q43" i="1"/>
  <c r="P7" i="1"/>
  <c r="P43" i="1"/>
  <c r="O7" i="1"/>
  <c r="O43" i="1"/>
  <c r="N7" i="1"/>
  <c r="N43" i="1"/>
  <c r="M7" i="1"/>
  <c r="M43" i="1"/>
  <c r="L7" i="1"/>
  <c r="L43" i="1"/>
  <c r="K7" i="1"/>
  <c r="K43" i="1"/>
  <c r="J7" i="1"/>
  <c r="J43" i="1"/>
  <c r="I7" i="1"/>
  <c r="I43" i="1"/>
  <c r="H7" i="1"/>
  <c r="H43" i="1"/>
  <c r="G7" i="1"/>
  <c r="G43" i="1"/>
  <c r="F7" i="1"/>
  <c r="F43" i="1"/>
  <c r="E7" i="1"/>
  <c r="E43" i="1"/>
  <c r="D7" i="1"/>
  <c r="D43" i="1"/>
  <c r="C7" i="1"/>
  <c r="C43" i="1"/>
  <c r="A6" i="1"/>
  <c r="A5" i="1"/>
  <c r="C4" i="1"/>
  <c r="C3" i="1"/>
  <c r="W2" i="1"/>
  <c r="V2" i="1"/>
  <c r="U2" i="1"/>
  <c r="T2" i="1"/>
  <c r="S2" i="1"/>
  <c r="R2" i="1"/>
  <c r="Q2" i="1"/>
  <c r="P2" i="1"/>
  <c r="O2" i="1"/>
  <c r="N2" i="1"/>
  <c r="M2" i="1"/>
  <c r="L2" i="1"/>
  <c r="K2" i="1"/>
  <c r="J2" i="1"/>
  <c r="I2" i="1"/>
  <c r="H2" i="1"/>
  <c r="G2" i="1"/>
  <c r="F2" i="1"/>
  <c r="E2" i="1"/>
  <c r="D2" i="1"/>
  <c r="C2" i="1"/>
  <c r="B2" i="1"/>
  <c r="W1" i="1"/>
  <c r="V1" i="1"/>
  <c r="U1" i="1"/>
  <c r="T1" i="1"/>
  <c r="S1" i="1"/>
  <c r="R1" i="1"/>
  <c r="Q1" i="1"/>
  <c r="P1" i="1"/>
  <c r="O1" i="1"/>
  <c r="N1" i="1"/>
  <c r="M1" i="1"/>
  <c r="L1" i="1"/>
  <c r="K1" i="1"/>
  <c r="J1" i="1"/>
  <c r="I1" i="1"/>
  <c r="H1" i="1"/>
  <c r="G1" i="1"/>
  <c r="F1" i="1"/>
  <c r="E1" i="1"/>
  <c r="D1" i="1"/>
  <c r="C1" i="1"/>
  <c r="B1" i="1"/>
  <c r="S20" i="1"/>
  <c r="S28" i="1" s="1"/>
  <c r="O21" i="1"/>
  <c r="O35" i="1"/>
  <c r="O38" i="1" s="1"/>
  <c r="I20" i="1"/>
  <c r="E21" i="1"/>
  <c r="E35" i="1" s="1"/>
  <c r="E38" i="1" s="1"/>
  <c r="E23" i="1"/>
  <c r="M23" i="1"/>
  <c r="B41" i="1"/>
  <c r="B14" i="1" s="1"/>
  <c r="B20" i="1"/>
  <c r="D20" i="1"/>
  <c r="F20" i="1"/>
  <c r="H20" i="1"/>
  <c r="J20" i="1"/>
  <c r="L20" i="1"/>
  <c r="N20" i="1"/>
  <c r="P20" i="1"/>
  <c r="R20" i="1"/>
  <c r="T20" i="1"/>
  <c r="V20" i="1"/>
  <c r="D21" i="1"/>
  <c r="H21" i="1"/>
  <c r="H30" i="1" s="1"/>
  <c r="L21" i="1"/>
  <c r="L35" i="1" s="1"/>
  <c r="L38" i="1"/>
  <c r="P21" i="1"/>
  <c r="P35" i="1" s="1"/>
  <c r="P38" i="1"/>
  <c r="T21" i="1"/>
  <c r="B23" i="1"/>
  <c r="D23" i="1"/>
  <c r="F23" i="1"/>
  <c r="H23" i="1"/>
  <c r="L23" i="1"/>
  <c r="N23" i="1"/>
  <c r="P23" i="1"/>
  <c r="P36" i="1" s="1"/>
  <c r="P37" i="1" s="1"/>
  <c r="R23" i="1"/>
  <c r="T23" i="1"/>
  <c r="S39" i="1"/>
  <c r="C29" i="1"/>
  <c r="G29" i="1"/>
  <c r="K29" i="1"/>
  <c r="O29" i="1"/>
  <c r="S29" i="1"/>
  <c r="W29" i="1"/>
  <c r="B28" i="1"/>
  <c r="D29" i="1"/>
  <c r="H29" i="1"/>
  <c r="L29" i="1"/>
  <c r="P29" i="1"/>
  <c r="T29" i="1"/>
  <c r="C37" i="1"/>
  <c r="C42" i="1" s="1"/>
  <c r="C15" i="1"/>
  <c r="B27" i="1"/>
  <c r="T30" i="1"/>
  <c r="P28" i="1"/>
  <c r="H28" i="1"/>
  <c r="P9" i="1"/>
  <c r="L13" i="1"/>
  <c r="P27" i="1"/>
  <c r="H27" i="1"/>
  <c r="B39" i="1"/>
  <c r="L9" i="1"/>
  <c r="P42" i="1"/>
  <c r="T35" i="1"/>
  <c r="T38" i="1" s="1"/>
  <c r="T9" i="1"/>
  <c r="V39" i="1"/>
  <c r="V13" i="1"/>
  <c r="R28" i="1"/>
  <c r="R27" i="1"/>
  <c r="N39" i="1"/>
  <c r="J39" i="1"/>
  <c r="J27" i="1"/>
  <c r="F27" i="1"/>
  <c r="I27" i="1"/>
  <c r="C24" i="1"/>
  <c r="C25" i="1"/>
  <c r="D4" i="1"/>
  <c r="D13" i="1"/>
  <c r="T13" i="1"/>
  <c r="D31" i="1"/>
  <c r="D30" i="1"/>
  <c r="V27" i="1"/>
  <c r="I28" i="1"/>
  <c r="N13" i="1"/>
  <c r="F28" i="1"/>
  <c r="R13" i="1"/>
  <c r="J28" i="1"/>
  <c r="J13" i="1"/>
  <c r="T36" i="1"/>
  <c r="P41" i="1"/>
  <c r="L36" i="1"/>
  <c r="D36" i="1"/>
  <c r="H35" i="1"/>
  <c r="H38" i="1" s="1"/>
  <c r="H9" i="1"/>
  <c r="T39" i="1"/>
  <c r="T28" i="1"/>
  <c r="T31" i="1"/>
  <c r="T27" i="1"/>
  <c r="P39" i="1"/>
  <c r="P31" i="1"/>
  <c r="P30" i="1"/>
  <c r="P13" i="1"/>
  <c r="L39" i="1"/>
  <c r="L30" i="1"/>
  <c r="L28" i="1"/>
  <c r="L31" i="1"/>
  <c r="L27" i="1"/>
  <c r="H39" i="1"/>
  <c r="H31" i="1"/>
  <c r="H33" i="1"/>
  <c r="H13" i="1"/>
  <c r="D39" i="1"/>
  <c r="D28" i="1"/>
  <c r="D27" i="1"/>
  <c r="S13" i="1"/>
  <c r="C32" i="1"/>
  <c r="C8" i="1"/>
  <c r="C20" i="1"/>
  <c r="C23" i="1"/>
  <c r="C21" i="1"/>
  <c r="C35" i="1"/>
  <c r="C38" i="1" s="1"/>
  <c r="C9" i="1"/>
  <c r="C11" i="1" s="1"/>
  <c r="E32" i="1"/>
  <c r="E8" i="1"/>
  <c r="E20" i="1"/>
  <c r="E29" i="1"/>
  <c r="G32" i="1"/>
  <c r="G20" i="1"/>
  <c r="G21" i="1"/>
  <c r="G8" i="1"/>
  <c r="G23" i="1"/>
  <c r="G36" i="1" s="1"/>
  <c r="I32" i="1"/>
  <c r="I21" i="1"/>
  <c r="I23" i="1"/>
  <c r="I36" i="1" s="1"/>
  <c r="I29" i="1"/>
  <c r="I9" i="1"/>
  <c r="K32" i="1"/>
  <c r="K20" i="1"/>
  <c r="K23" i="1"/>
  <c r="K8" i="1"/>
  <c r="K21" i="1"/>
  <c r="K35" i="1" s="1"/>
  <c r="K38" i="1" s="1"/>
  <c r="M32" i="1"/>
  <c r="M20" i="1"/>
  <c r="M21" i="1"/>
  <c r="M29" i="1"/>
  <c r="O32" i="1"/>
  <c r="O20" i="1"/>
  <c r="O23" i="1"/>
  <c r="O36" i="1" s="1"/>
  <c r="O8" i="1"/>
  <c r="Q32" i="1"/>
  <c r="Q23" i="1"/>
  <c r="Q29" i="1"/>
  <c r="S32" i="1"/>
  <c r="S21" i="1"/>
  <c r="S8" i="1"/>
  <c r="S23" i="1"/>
  <c r="S36" i="1" s="1"/>
  <c r="U32" i="1"/>
  <c r="U20" i="1"/>
  <c r="U21" i="1"/>
  <c r="U35" i="1" s="1"/>
  <c r="U38" i="1" s="1"/>
  <c r="U23" i="1"/>
  <c r="U36" i="1"/>
  <c r="U37" i="1" s="1"/>
  <c r="U42" i="1" s="1"/>
  <c r="U29" i="1"/>
  <c r="W32" i="1"/>
  <c r="W20" i="1"/>
  <c r="W21" i="1"/>
  <c r="W35" i="1" s="1"/>
  <c r="W38" i="1" s="1"/>
  <c r="W23" i="1"/>
  <c r="W36" i="1"/>
  <c r="W41" i="1" s="1"/>
  <c r="W8" i="1"/>
  <c r="W9" i="1"/>
  <c r="B8" i="1"/>
  <c r="F8" i="1"/>
  <c r="H8" i="1"/>
  <c r="J8" i="1"/>
  <c r="L8" i="1"/>
  <c r="N8" i="1"/>
  <c r="P8" i="1"/>
  <c r="R8" i="1"/>
  <c r="T8" i="1"/>
  <c r="V8" i="1"/>
  <c r="W37" i="1"/>
  <c r="W42" i="1" s="1"/>
  <c r="W27" i="1"/>
  <c r="W39" i="1"/>
  <c r="W13" i="1"/>
  <c r="W28" i="1"/>
  <c r="U41" i="1"/>
  <c r="U13" i="1"/>
  <c r="U39" i="1"/>
  <c r="U27" i="1"/>
  <c r="U30" i="1"/>
  <c r="U28" i="1"/>
  <c r="U31" i="1"/>
  <c r="S35" i="1"/>
  <c r="S38" i="1" s="1"/>
  <c r="S9" i="1"/>
  <c r="O13" i="1"/>
  <c r="O27" i="1"/>
  <c r="O31" i="1"/>
  <c r="O39" i="1"/>
  <c r="O30" i="1"/>
  <c r="O28" i="1"/>
  <c r="M13" i="1"/>
  <c r="M28" i="1"/>
  <c r="M27" i="1"/>
  <c r="M31" i="1"/>
  <c r="M39" i="1"/>
  <c r="M30" i="1"/>
  <c r="K13" i="1"/>
  <c r="K39" i="1"/>
  <c r="K28" i="1"/>
  <c r="K31" i="1"/>
  <c r="K30" i="1"/>
  <c r="K27" i="1"/>
  <c r="G28" i="1"/>
  <c r="G31" i="1"/>
  <c r="G13" i="1"/>
  <c r="G39" i="1"/>
  <c r="G27" i="1"/>
  <c r="G30" i="1"/>
  <c r="S31" i="1"/>
  <c r="P12" i="1"/>
  <c r="P33" i="1"/>
  <c r="T33" i="1"/>
  <c r="T12" i="1"/>
  <c r="L37" i="1"/>
  <c r="L42" i="1"/>
  <c r="L41" i="1"/>
  <c r="T37" i="1"/>
  <c r="T42" i="1" s="1"/>
  <c r="T41" i="1"/>
  <c r="D33" i="1"/>
  <c r="D12" i="1"/>
  <c r="D24" i="1"/>
  <c r="D25" i="1"/>
  <c r="E4" i="1"/>
  <c r="U9" i="1"/>
  <c r="O9" i="1"/>
  <c r="M9" i="1"/>
  <c r="M35" i="1"/>
  <c r="M38" i="1"/>
  <c r="M36" i="1"/>
  <c r="K36" i="1"/>
  <c r="K37" i="1" s="1"/>
  <c r="I35" i="1"/>
  <c r="I38" i="1"/>
  <c r="I30" i="1"/>
  <c r="I31" i="1"/>
  <c r="G35" i="1"/>
  <c r="G38" i="1" s="1"/>
  <c r="G9" i="1"/>
  <c r="E13" i="1"/>
  <c r="E28" i="1"/>
  <c r="E27" i="1"/>
  <c r="E31" i="1"/>
  <c r="E12" i="1" s="1"/>
  <c r="E30" i="1"/>
  <c r="E39" i="1"/>
  <c r="E9" i="1"/>
  <c r="C16" i="1"/>
  <c r="C10" i="1" s="1"/>
  <c r="C30" i="1"/>
  <c r="C39" i="1"/>
  <c r="C13" i="1"/>
  <c r="C27" i="1"/>
  <c r="C31" i="1"/>
  <c r="C28" i="1"/>
  <c r="S30" i="1"/>
  <c r="L33" i="1"/>
  <c r="L12" i="1"/>
  <c r="D37" i="1"/>
  <c r="D42" i="1" s="1"/>
  <c r="D41" i="1"/>
  <c r="H12" i="1"/>
  <c r="C22" i="1"/>
  <c r="I33" i="1"/>
  <c r="I12" i="1"/>
  <c r="K41" i="1"/>
  <c r="K42" i="1"/>
  <c r="E24" i="1"/>
  <c r="E25" i="1" s="1"/>
  <c r="E11" i="1"/>
  <c r="F4" i="1"/>
  <c r="K12" i="1"/>
  <c r="K33" i="1"/>
  <c r="M12" i="1"/>
  <c r="M33" i="1"/>
  <c r="S12" i="1"/>
  <c r="S33" i="1"/>
  <c r="C12" i="1"/>
  <c r="C33" i="1"/>
  <c r="E33" i="1"/>
  <c r="M41" i="1"/>
  <c r="M37" i="1"/>
  <c r="M42" i="1"/>
  <c r="G12" i="1"/>
  <c r="G33" i="1"/>
  <c r="O12" i="1"/>
  <c r="O33" i="1"/>
  <c r="U12" i="1"/>
  <c r="U33" i="1"/>
  <c r="F24" i="1"/>
  <c r="F25" i="1"/>
  <c r="G4" i="1"/>
  <c r="H4" i="1" s="1"/>
  <c r="H24" i="1" s="1"/>
  <c r="G24" i="1"/>
  <c r="G25" i="1" s="1"/>
  <c r="G11" i="1"/>
  <c r="H25" i="1"/>
  <c r="H11" i="1" s="1"/>
  <c r="I4" i="1"/>
  <c r="I24" i="1" s="1"/>
  <c r="J4" i="1"/>
  <c r="K4" i="1" s="1"/>
  <c r="K24" i="1" s="1"/>
  <c r="I25" i="1"/>
  <c r="I11" i="1" s="1"/>
  <c r="J24" i="1"/>
  <c r="J25" i="1" s="1"/>
  <c r="L4" i="1"/>
  <c r="M4" i="1" s="1"/>
  <c r="N4" i="1" s="1"/>
  <c r="N24" i="1" s="1"/>
  <c r="K25" i="1"/>
  <c r="L24" i="1"/>
  <c r="L25" i="1" s="1"/>
  <c r="L11" i="1"/>
  <c r="M24" i="1"/>
  <c r="M25" i="1" s="1"/>
  <c r="M11" i="1" s="1"/>
  <c r="N25" i="1"/>
  <c r="O4" i="1"/>
  <c r="O24" i="1" s="1"/>
  <c r="P4" i="1"/>
  <c r="P24" i="1" s="1"/>
  <c r="O25" i="1"/>
  <c r="O11" i="1" s="1"/>
  <c r="P25" i="1"/>
  <c r="P11" i="1" s="1"/>
  <c r="Q4" i="1"/>
  <c r="R4" i="1" s="1"/>
  <c r="S4" i="1" s="1"/>
  <c r="S24" i="1" s="1"/>
  <c r="Q24" i="1"/>
  <c r="Q25" i="1" s="1"/>
  <c r="R24" i="1"/>
  <c r="R25" i="1" s="1"/>
  <c r="T4" i="1"/>
  <c r="U4" i="1" s="1"/>
  <c r="V4" i="1" s="1"/>
  <c r="V24" i="1" s="1"/>
  <c r="V25" i="1" s="1"/>
  <c r="S25" i="1"/>
  <c r="S11" i="1" s="1"/>
  <c r="T24" i="1"/>
  <c r="T25" i="1" s="1"/>
  <c r="T11" i="1" s="1"/>
  <c r="U24" i="1"/>
  <c r="U25" i="1" s="1"/>
  <c r="U11" i="1" s="1"/>
  <c r="W4" i="1"/>
  <c r="W24" i="1" s="1"/>
  <c r="W25" i="1" s="1"/>
  <c r="W11" i="1" s="1"/>
  <c r="S37" i="1" l="1"/>
  <c r="S42" i="1" s="1"/>
  <c r="S41" i="1"/>
  <c r="O41" i="1"/>
  <c r="O37" i="1"/>
  <c r="O42" i="1" s="1"/>
  <c r="I37" i="1"/>
  <c r="I42" i="1" s="1"/>
  <c r="I41" i="1"/>
  <c r="G37" i="1"/>
  <c r="G42" i="1" s="1"/>
  <c r="G41" i="1"/>
  <c r="N36" i="1"/>
  <c r="V28" i="1"/>
  <c r="R39" i="1"/>
  <c r="N27" i="1"/>
  <c r="N28" i="1"/>
  <c r="J31" i="1"/>
  <c r="F39" i="1"/>
  <c r="F13" i="1"/>
  <c r="B16" i="1"/>
  <c r="B13" i="1"/>
  <c r="F32" i="1"/>
  <c r="F21" i="1"/>
  <c r="F29" i="1"/>
  <c r="N32" i="1"/>
  <c r="N21" i="1"/>
  <c r="N29" i="1"/>
  <c r="Q8" i="1"/>
  <c r="Q20" i="1"/>
  <c r="Q21" i="1"/>
  <c r="V32" i="1"/>
  <c r="V21" i="1"/>
  <c r="V23" i="1"/>
  <c r="V36" i="1" s="1"/>
  <c r="V29" i="1"/>
  <c r="C40" i="1"/>
  <c r="C44" i="1" s="1"/>
  <c r="C45" i="1" s="1"/>
  <c r="W30" i="1"/>
  <c r="W31" i="1"/>
  <c r="K9" i="1"/>
  <c r="K11" i="1" s="1"/>
  <c r="H36" i="1"/>
  <c r="D35" i="1"/>
  <c r="D38" i="1" s="1"/>
  <c r="D9" i="1"/>
  <c r="D11" i="1" s="1"/>
  <c r="E36" i="1"/>
  <c r="I13" i="1"/>
  <c r="I39" i="1"/>
  <c r="D3" i="1"/>
  <c r="C17" i="1"/>
  <c r="S27" i="1"/>
  <c r="B32" i="1"/>
  <c r="B21" i="1"/>
  <c r="B29" i="1"/>
  <c r="J32" i="1"/>
  <c r="J21" i="1"/>
  <c r="J23" i="1"/>
  <c r="J36" i="1" s="1"/>
  <c r="J29" i="1"/>
  <c r="R32" i="1"/>
  <c r="R21" i="1"/>
  <c r="R29" i="1"/>
  <c r="R9" i="1"/>
  <c r="R11" i="1" s="1"/>
  <c r="C14" i="1"/>
  <c r="J37" i="1" l="1"/>
  <c r="J42" i="1" s="1"/>
  <c r="J41" i="1"/>
  <c r="B31" i="1"/>
  <c r="B35" i="1"/>
  <c r="B38" i="1" s="1"/>
  <c r="B9" i="1"/>
  <c r="B11" i="1" s="1"/>
  <c r="B30" i="1"/>
  <c r="D10" i="1"/>
  <c r="D22" i="1" s="1"/>
  <c r="D17" i="1"/>
  <c r="D45" i="1"/>
  <c r="D16" i="1"/>
  <c r="D40" i="1" s="1"/>
  <c r="D44" i="1" s="1"/>
  <c r="E3" i="1"/>
  <c r="D15" i="1"/>
  <c r="D14" i="1"/>
  <c r="H37" i="1"/>
  <c r="H42" i="1" s="1"/>
  <c r="H41" i="1"/>
  <c r="V37" i="1"/>
  <c r="V42" i="1" s="1"/>
  <c r="V41" i="1"/>
  <c r="Q13" i="1"/>
  <c r="Q27" i="1"/>
  <c r="Q30" i="1"/>
  <c r="Q31" i="1"/>
  <c r="Q28" i="1"/>
  <c r="Q39" i="1"/>
  <c r="F35" i="1"/>
  <c r="F38" i="1" s="1"/>
  <c r="F30" i="1"/>
  <c r="F9" i="1"/>
  <c r="F11" i="1" s="1"/>
  <c r="F31" i="1"/>
  <c r="N37" i="1"/>
  <c r="N42" i="1" s="1"/>
  <c r="N41" i="1"/>
  <c r="R31" i="1"/>
  <c r="R35" i="1"/>
  <c r="R38" i="1" s="1"/>
  <c r="J35" i="1"/>
  <c r="J38" i="1" s="1"/>
  <c r="J9" i="1"/>
  <c r="J11" i="1" s="1"/>
  <c r="E37" i="1"/>
  <c r="E42" i="1" s="1"/>
  <c r="E41" i="1"/>
  <c r="W12" i="1"/>
  <c r="W33" i="1"/>
  <c r="V35" i="1"/>
  <c r="V38" i="1" s="1"/>
  <c r="V9" i="1"/>
  <c r="V11" i="1" s="1"/>
  <c r="V31" i="1"/>
  <c r="Q9" i="1"/>
  <c r="Q11" i="1" s="1"/>
  <c r="Q35" i="1"/>
  <c r="Q38" i="1" s="1"/>
  <c r="N35" i="1"/>
  <c r="N38" i="1" s="1"/>
  <c r="N9" i="1"/>
  <c r="N11" i="1" s="1"/>
  <c r="N30" i="1"/>
  <c r="B10" i="1"/>
  <c r="B40" i="1"/>
  <c r="B44" i="1" s="1"/>
  <c r="B45" i="1" s="1"/>
  <c r="J30" i="1"/>
  <c r="N31" i="1"/>
  <c r="R30" i="1"/>
  <c r="V30" i="1"/>
  <c r="F36" i="1"/>
  <c r="R36" i="1"/>
  <c r="Q36" i="1"/>
  <c r="R41" i="1" l="1"/>
  <c r="R37" i="1"/>
  <c r="R42" i="1" s="1"/>
  <c r="V12" i="1"/>
  <c r="V33" i="1"/>
  <c r="N33" i="1"/>
  <c r="N12" i="1"/>
  <c r="F33" i="1"/>
  <c r="F12" i="1"/>
  <c r="E16" i="1"/>
  <c r="E40" i="1" s="1"/>
  <c r="E44" i="1" s="1"/>
  <c r="E45" i="1" s="1"/>
  <c r="E15" i="1"/>
  <c r="E14" i="1"/>
  <c r="E17" i="1"/>
  <c r="F3" i="1"/>
  <c r="Q37" i="1"/>
  <c r="Q42" i="1" s="1"/>
  <c r="Q41" i="1"/>
  <c r="F37" i="1"/>
  <c r="F42" i="1" s="1"/>
  <c r="F41" i="1"/>
  <c r="R12" i="1"/>
  <c r="R33" i="1"/>
  <c r="J33" i="1"/>
  <c r="J12" i="1"/>
  <c r="B22" i="1"/>
  <c r="Q12" i="1"/>
  <c r="Q33" i="1"/>
  <c r="B33" i="1"/>
  <c r="B12" i="1"/>
  <c r="A19" i="1" l="1"/>
  <c r="A18" i="1"/>
  <c r="F16" i="1"/>
  <c r="F40" i="1" s="1"/>
  <c r="F44" i="1" s="1"/>
  <c r="G3" i="1"/>
  <c r="F14" i="1"/>
  <c r="F45" i="1"/>
  <c r="F10" i="1"/>
  <c r="F22" i="1" s="1"/>
  <c r="F15" i="1"/>
  <c r="F17" i="1"/>
  <c r="E10" i="1"/>
  <c r="E22" i="1" s="1"/>
  <c r="H3" i="1" l="1"/>
  <c r="G14" i="1"/>
  <c r="G16" i="1"/>
  <c r="G40" i="1" s="1"/>
  <c r="G44" i="1" s="1"/>
  <c r="G45" i="1" s="1"/>
  <c r="G17" i="1"/>
  <c r="G15" i="1"/>
  <c r="H14" i="1" l="1"/>
  <c r="H15" i="1"/>
  <c r="H16" i="1"/>
  <c r="H40" i="1" s="1"/>
  <c r="H44" i="1" s="1"/>
  <c r="H45" i="1" s="1"/>
  <c r="I3" i="1"/>
  <c r="H17" i="1"/>
  <c r="G10" i="1"/>
  <c r="G22" i="1" s="1"/>
  <c r="H10" i="1" l="1"/>
  <c r="H22" i="1" s="1"/>
  <c r="I17" i="1"/>
  <c r="J3" i="1"/>
  <c r="I14" i="1"/>
  <c r="I15" i="1"/>
  <c r="I16" i="1"/>
  <c r="I40" i="1" s="1"/>
  <c r="I44" i="1" s="1"/>
  <c r="I45" i="1" s="1"/>
  <c r="J14" i="1" l="1"/>
  <c r="J15" i="1"/>
  <c r="J10" i="1"/>
  <c r="J22" i="1" s="1"/>
  <c r="J17" i="1"/>
  <c r="J16" i="1"/>
  <c r="J40" i="1" s="1"/>
  <c r="J44" i="1" s="1"/>
  <c r="J45" i="1" s="1"/>
  <c r="K3" i="1"/>
  <c r="I10" i="1"/>
  <c r="I22" i="1" s="1"/>
  <c r="K17" i="1" l="1"/>
  <c r="K15" i="1"/>
  <c r="L3" i="1"/>
  <c r="K16" i="1"/>
  <c r="K40" i="1" s="1"/>
  <c r="K44" i="1" s="1"/>
  <c r="K45" i="1" s="1"/>
  <c r="K14" i="1"/>
  <c r="L17" i="1" l="1"/>
  <c r="M3" i="1"/>
  <c r="L15" i="1"/>
  <c r="L16" i="1"/>
  <c r="L40" i="1" s="1"/>
  <c r="L44" i="1" s="1"/>
  <c r="L14" i="1"/>
  <c r="L10" i="1"/>
  <c r="L22" i="1" s="1"/>
  <c r="L45" i="1"/>
  <c r="K10" i="1"/>
  <c r="K22" i="1" s="1"/>
  <c r="M17" i="1" l="1"/>
  <c r="N3" i="1"/>
  <c r="M15" i="1"/>
  <c r="M14" i="1"/>
  <c r="M16" i="1"/>
  <c r="M40" i="1" s="1"/>
  <c r="M44" i="1" s="1"/>
  <c r="M45" i="1" s="1"/>
  <c r="M10" i="1" l="1"/>
  <c r="M22" i="1" s="1"/>
  <c r="N17" i="1"/>
  <c r="N15" i="1"/>
  <c r="N45" i="1"/>
  <c r="N16" i="1"/>
  <c r="N40" i="1" s="1"/>
  <c r="N44" i="1" s="1"/>
  <c r="N14" i="1"/>
  <c r="O3" i="1"/>
  <c r="N10" i="1"/>
  <c r="N22" i="1" s="1"/>
  <c r="O45" i="1" l="1"/>
  <c r="P3" i="1"/>
  <c r="O14" i="1"/>
  <c r="O15" i="1"/>
  <c r="O16" i="1"/>
  <c r="O40" i="1" s="1"/>
  <c r="O44" i="1" s="1"/>
  <c r="O17" i="1"/>
  <c r="O10" i="1" l="1"/>
  <c r="O22" i="1" s="1"/>
  <c r="P14" i="1"/>
  <c r="Q3" i="1"/>
  <c r="P15" i="1"/>
  <c r="P17" i="1"/>
  <c r="P10" i="1"/>
  <c r="P22" i="1" s="1"/>
  <c r="P16" i="1"/>
  <c r="P40" i="1" s="1"/>
  <c r="P44" i="1" s="1"/>
  <c r="P45" i="1"/>
  <c r="Q17" i="1" l="1"/>
  <c r="Q15" i="1"/>
  <c r="Q10" i="1"/>
  <c r="Q22" i="1" s="1"/>
  <c r="Q14" i="1"/>
  <c r="Q45" i="1"/>
  <c r="Q16" i="1"/>
  <c r="Q40" i="1" s="1"/>
  <c r="Q44" i="1" s="1"/>
  <c r="R3" i="1"/>
  <c r="R17" i="1" l="1"/>
  <c r="R16" i="1"/>
  <c r="R40" i="1" s="1"/>
  <c r="R44" i="1" s="1"/>
  <c r="R45" i="1" s="1"/>
  <c r="S3" i="1"/>
  <c r="R14" i="1"/>
  <c r="R15" i="1"/>
  <c r="S16" i="1" l="1"/>
  <c r="S40" i="1" s="1"/>
  <c r="S44" i="1" s="1"/>
  <c r="S10" i="1"/>
  <c r="S22" i="1" s="1"/>
  <c r="S17" i="1"/>
  <c r="S14" i="1"/>
  <c r="S15" i="1"/>
  <c r="S45" i="1"/>
  <c r="T3" i="1"/>
  <c r="R10" i="1"/>
  <c r="R22" i="1" s="1"/>
  <c r="T17" i="1" l="1"/>
  <c r="U3" i="1"/>
  <c r="T15" i="1"/>
  <c r="T16" i="1"/>
  <c r="T40" i="1" s="1"/>
  <c r="T44" i="1" s="1"/>
  <c r="T10" i="1"/>
  <c r="T22" i="1" s="1"/>
  <c r="T14" i="1"/>
  <c r="T45" i="1"/>
  <c r="U16" i="1" l="1"/>
  <c r="U40" i="1" s="1"/>
  <c r="U44" i="1" s="1"/>
  <c r="U45" i="1"/>
  <c r="U15" i="1"/>
  <c r="U10" i="1"/>
  <c r="U22" i="1" s="1"/>
  <c r="V3" i="1"/>
  <c r="U17" i="1"/>
  <c r="U14" i="1"/>
  <c r="V17" i="1" l="1"/>
  <c r="V16" i="1"/>
  <c r="V40" i="1" s="1"/>
  <c r="V44" i="1" s="1"/>
  <c r="V10" i="1"/>
  <c r="V22" i="1" s="1"/>
  <c r="V45" i="1"/>
  <c r="V14" i="1"/>
  <c r="V15" i="1"/>
  <c r="W3" i="1"/>
  <c r="W16" i="1" l="1"/>
  <c r="W40" i="1" s="1"/>
  <c r="W44" i="1" s="1"/>
  <c r="W14" i="1"/>
  <c r="W17" i="1"/>
  <c r="W10" i="1"/>
  <c r="W22" i="1" s="1"/>
  <c r="W15" i="1"/>
  <c r="W45" i="1"/>
</calcChain>
</file>

<file path=xl/sharedStrings.xml><?xml version="1.0" encoding="utf-8"?>
<sst xmlns="http://schemas.openxmlformats.org/spreadsheetml/2006/main" count="105" uniqueCount="103">
  <si>
    <r>
      <rPr>
        <b/>
        <sz val="11"/>
        <color indexed="8"/>
        <rFont val="Arial"/>
      </rPr>
      <t xml:space="preserve">Test Name </t>
    </r>
    <r>
      <rPr>
        <sz val="11"/>
        <color indexed="8"/>
        <rFont val="Arial"/>
      </rPr>
      <t>(TopRow, 1stColumn in SampleResults)</t>
    </r>
  </si>
  <si>
    <r>
      <rPr>
        <b/>
        <sz val="11"/>
        <color indexed="8"/>
        <rFont val="Arial"/>
      </rPr>
      <t xml:space="preserve">Analyte </t>
    </r>
    <r>
      <rPr>
        <sz val="11"/>
        <color indexed="8"/>
        <rFont val="Arial"/>
      </rPr>
      <t>(TopRow in SampleResults)</t>
    </r>
  </si>
  <si>
    <r>
      <rPr>
        <b/>
        <sz val="11"/>
        <color indexed="11"/>
        <rFont val="Arial"/>
      </rPr>
      <t>Report Type</t>
    </r>
    <r>
      <rPr>
        <sz val="11"/>
        <color indexed="8"/>
        <rFont val="Arial"/>
      </rPr>
      <t xml:space="preserve"> (Spike, Blank, Ref…)</t>
    </r>
  </si>
  <si>
    <t>Units</t>
  </si>
  <si>
    <t>µg/kg</t>
  </si>
  <si>
    <t>Number of Significant figures</t>
  </si>
  <si>
    <t>Total Number of Results for Analyte</t>
  </si>
  <si>
    <t>RSD% (CV)</t>
  </si>
  <si>
    <t>bias as %age (100 - Recovery)</t>
  </si>
  <si>
    <t xml:space="preserve">Horwitz Ratio (Ideally 0.3≤ HorRat ≤1)   </t>
  </si>
  <si>
    <t>Outlier?</t>
  </si>
  <si>
    <t>MDL = (MDL Factor x SD)</t>
  </si>
  <si>
    <t>PQL (Practical Quantitation limit)</t>
  </si>
  <si>
    <t>% Recovery</t>
  </si>
  <si>
    <t>Result Corrected for Recovery</t>
  </si>
  <si>
    <t>Mean of Samples (Ymv)</t>
  </si>
  <si>
    <t>ST DEV σ of Results</t>
  </si>
  <si>
    <t>Uncertainty% at 95%</t>
  </si>
  <si>
    <t>MDL  Factor (n-1 Degrees Freedom)</t>
  </si>
  <si>
    <t>Units  - 1 Part in This Value</t>
  </si>
  <si>
    <t xml:space="preserve">Predicted Horwitz "Expected Value" as RSD% </t>
  </si>
  <si>
    <t>Number of Results included in Calculations</t>
  </si>
  <si>
    <t>Ymax - Ymv</t>
  </si>
  <si>
    <t>Ymv - Ymin</t>
  </si>
  <si>
    <t>Sig Value: 1-sided</t>
  </si>
  <si>
    <t>G (min)</t>
  </si>
  <si>
    <t>G (max)</t>
  </si>
  <si>
    <t>G Critical</t>
  </si>
  <si>
    <t>Check if This Result is an Outlier</t>
  </si>
  <si>
    <t>Number of Excluded Results</t>
  </si>
  <si>
    <t>uncertainty at 95Conf - u</t>
  </si>
  <si>
    <t>PLQ</t>
  </si>
  <si>
    <t>Bias</t>
  </si>
  <si>
    <t>Raw bias (Mean - Spike)</t>
  </si>
  <si>
    <t>MDL Corrected</t>
  </si>
  <si>
    <t>MDL rounded</t>
  </si>
  <si>
    <t>PQL rounded</t>
  </si>
  <si>
    <t>Spike Level to correct Sig. Figs</t>
  </si>
  <si>
    <t>MDL Corrected rounded</t>
  </si>
  <si>
    <r>
      <rPr>
        <b/>
        <sz val="11"/>
        <color indexed="20"/>
        <rFont val="Arial"/>
      </rPr>
      <t>Corrected for Recovery with Uncertainy</t>
    </r>
  </si>
  <si>
    <t>ICP-MS</t>
  </si>
  <si>
    <t>Al</t>
  </si>
  <si>
    <t>As</t>
  </si>
  <si>
    <t>B</t>
  </si>
  <si>
    <t>Ba</t>
  </si>
  <si>
    <t>Be</t>
  </si>
  <si>
    <t>Cd</t>
  </si>
  <si>
    <t>Co</t>
  </si>
  <si>
    <t>Cr</t>
  </si>
  <si>
    <t>Cu</t>
  </si>
  <si>
    <t>Fe</t>
  </si>
  <si>
    <t>Hg</t>
  </si>
  <si>
    <t>Mn</t>
  </si>
  <si>
    <t>Mo</t>
  </si>
  <si>
    <t>Ni</t>
  </si>
  <si>
    <t>Pb</t>
  </si>
  <si>
    <t>Sb</t>
  </si>
  <si>
    <t>Se</t>
  </si>
  <si>
    <t>Sn</t>
  </si>
  <si>
    <t>Sr</t>
  </si>
  <si>
    <t>Ti</t>
  </si>
  <si>
    <t>V</t>
  </si>
  <si>
    <t>Zn</t>
  </si>
  <si>
    <t>S1</t>
  </si>
  <si>
    <t>S2</t>
  </si>
  <si>
    <t>S3</t>
  </si>
  <si>
    <t>S4</t>
  </si>
  <si>
    <t>S5 Duplicate S3</t>
  </si>
  <si>
    <t>S6</t>
  </si>
  <si>
    <t>S7</t>
  </si>
  <si>
    <t>S8</t>
  </si>
  <si>
    <t>S9</t>
  </si>
  <si>
    <t>Student’s t-test</t>
  </si>
  <si>
    <t>Grubbs’ test</t>
  </si>
  <si>
    <t>Limit</t>
  </si>
  <si>
    <t>𝜶 0.05 1-sided</t>
  </si>
  <si>
    <t>Unit</t>
  </si>
  <si>
    <t>NumericValue</t>
  </si>
  <si>
    <t>ppm</t>
  </si>
  <si>
    <t>ppb</t>
  </si>
  <si>
    <t>ppt</t>
  </si>
  <si>
    <t>mg/kg</t>
  </si>
  <si>
    <t>ng/kg</t>
  </si>
  <si>
    <t>mg/L</t>
  </si>
  <si>
    <t>µg/L</t>
  </si>
  <si>
    <t>ng/L</t>
  </si>
  <si>
    <t>pg/L</t>
  </si>
  <si>
    <t>g/L</t>
  </si>
  <si>
    <t>percent</t>
  </si>
  <si>
    <t>drops/floz</t>
  </si>
  <si>
    <t>This spreadsheet may be useful to assist Laboratory Analysts and Assessors ensure compliance with ISO/ IEC 17025:2017. The revised standard requires Measurement Uncertainty (MU) of chemical test results to be available. It is designed to help produce necessary information by using sample blanks, spikes, and comparisons with reference materials. Sample "Low Spikes" could be used to determine Recoveries and Method Detection Limits. Spikes establish MUs at different concentrations with different matrices. It may be helpful when developing new methods or for "novel" analytes and matrices.</t>
  </si>
  <si>
    <r>
      <rPr>
        <sz val="10"/>
        <color indexed="8"/>
        <rFont val="Arial"/>
      </rPr>
      <t>Created with Apple "Numbers" Version 12.0, and Microsoft "Excel" 2013, spreadsheet programs - Using only "Cell Functions".  No "Code", Macros, or Hyperlinks are used -</t>
    </r>
    <r>
      <rPr>
        <sz val="10"/>
        <color indexed="38"/>
        <rFont val="Arial"/>
      </rPr>
      <t xml:space="preserve"> </t>
    </r>
    <r>
      <rPr>
        <b/>
        <sz val="10"/>
        <color indexed="20"/>
        <rFont val="Arial"/>
      </rPr>
      <t>It should be “Safe” to distribute…</t>
    </r>
  </si>
  <si>
    <r>
      <rPr>
        <sz val="10"/>
        <color indexed="8"/>
        <rFont val="Arial"/>
      </rPr>
      <t xml:space="preserve">The spreadsheet uses some </t>
    </r>
    <r>
      <rPr>
        <b/>
        <sz val="10"/>
        <color indexed="8"/>
        <rFont val="Arial"/>
      </rPr>
      <t>conventions</t>
    </r>
    <r>
      <rPr>
        <sz val="10"/>
        <color indexed="8"/>
        <rFont val="Arial"/>
      </rPr>
      <t xml:space="preserve">: In [MainTable] cells where the user is expected to input data have </t>
    </r>
    <r>
      <rPr>
        <sz val="10"/>
        <color indexed="39"/>
        <rFont val="Arial"/>
      </rPr>
      <t>blue text</t>
    </r>
    <r>
      <rPr>
        <sz val="10"/>
        <color indexed="40"/>
        <rFont val="Arial"/>
      </rPr>
      <t xml:space="preserve"> </t>
    </r>
    <r>
      <rPr>
        <sz val="10"/>
        <color indexed="8"/>
        <rFont val="Arial"/>
      </rPr>
      <t xml:space="preserve">on a white background, </t>
    </r>
    <r>
      <rPr>
        <b/>
        <sz val="10"/>
        <color indexed="41"/>
        <rFont val="Arial"/>
      </rPr>
      <t xml:space="preserve">bold blue </t>
    </r>
    <r>
      <rPr>
        <sz val="10"/>
        <color indexed="8"/>
        <rFont val="Arial"/>
      </rPr>
      <t>indicates that a selection is made from a list</t>
    </r>
    <r>
      <rPr>
        <b/>
        <sz val="10"/>
        <color indexed="8"/>
        <rFont val="Arial"/>
      </rPr>
      <t xml:space="preserve">. </t>
    </r>
    <r>
      <rPr>
        <sz val="10"/>
        <color indexed="8"/>
        <rFont val="Arial"/>
      </rPr>
      <t xml:space="preserve"> Default look-ups are </t>
    </r>
    <r>
      <rPr>
        <b/>
        <sz val="10"/>
        <color indexed="42"/>
        <rFont val="Arial"/>
      </rPr>
      <t>grey</t>
    </r>
    <r>
      <rPr>
        <sz val="10"/>
        <color indexed="8"/>
        <rFont val="Arial"/>
      </rPr>
      <t>. Warnings are highlighted with an [</t>
    </r>
    <r>
      <rPr>
        <b/>
        <sz val="10"/>
        <color indexed="43"/>
        <rFont val="Arial"/>
      </rPr>
      <t>orange background</t>
    </r>
    <r>
      <rPr>
        <sz val="10"/>
        <color indexed="8"/>
        <rFont val="Arial"/>
      </rPr>
      <t>]; and critical/failure/out-of-range warnings are highlighted with [</t>
    </r>
    <r>
      <rPr>
        <b/>
        <sz val="10"/>
        <color indexed="25"/>
        <rFont val="Arial"/>
      </rPr>
      <t>red backgrounds</t>
    </r>
    <r>
      <rPr>
        <sz val="10"/>
        <color indexed="8"/>
        <rFont val="Arial"/>
      </rPr>
      <t xml:space="preserve">]. </t>
    </r>
    <r>
      <rPr>
        <b/>
        <sz val="10"/>
        <color indexed="20"/>
        <rFont val="Arial"/>
      </rPr>
      <t>Important</t>
    </r>
    <r>
      <rPr>
        <sz val="10"/>
        <color indexed="20"/>
        <rFont val="Arial"/>
      </rPr>
      <t xml:space="preserve"> data is purple.</t>
    </r>
  </si>
  <si>
    <r>
      <rPr>
        <b/>
        <sz val="10"/>
        <color indexed="8"/>
        <rFont val="Arial"/>
      </rPr>
      <t>Getting Started</t>
    </r>
    <r>
      <rPr>
        <sz val="10"/>
        <color indexed="8"/>
        <rFont val="Arial"/>
      </rPr>
      <t xml:space="preserve">: The sheets are [MainTable], [SampleResults], [Distributions], [Units], and </t>
    </r>
    <r>
      <rPr>
        <b/>
        <sz val="10"/>
        <color indexed="8"/>
        <rFont val="Arial"/>
      </rPr>
      <t>[Notes</t>
    </r>
    <r>
      <rPr>
        <sz val="10"/>
        <color indexed="8"/>
        <rFont val="Arial"/>
      </rPr>
      <t xml:space="preserve">]. The last three are "look-ups" or information. </t>
    </r>
    <r>
      <rPr>
        <b/>
        <sz val="10"/>
        <color indexed="8"/>
        <rFont val="Arial"/>
      </rPr>
      <t>Data should be added or changed as outlined below…</t>
    </r>
  </si>
  <si>
    <r>
      <rPr>
        <sz val="11"/>
        <color indexed="8"/>
        <rFont val="Helvetica Neue"/>
      </rPr>
      <t>[</t>
    </r>
    <r>
      <rPr>
        <b/>
        <sz val="10"/>
        <color indexed="8"/>
        <rFont val="Arial"/>
      </rPr>
      <t>MainTable]</t>
    </r>
    <r>
      <rPr>
        <sz val="10"/>
        <color indexed="8"/>
        <rFont val="Arial"/>
      </rPr>
      <t xml:space="preserve">: Used to set the parameters of the Test:-
</t>
    </r>
    <r>
      <rPr>
        <sz val="10"/>
        <color indexed="8"/>
        <rFont val="Arial"/>
      </rPr>
      <t xml:space="preserve">The Test Name that was used to create the results is a "look-up" from the [SamplesResults] sheet.
</t>
    </r>
    <r>
      <rPr>
        <sz val="10"/>
        <color indexed="8"/>
        <rFont val="Arial"/>
      </rPr>
      <t xml:space="preserve">The Analyte Name is a "look-up" from the [SamplesResults] sheet.
</t>
    </r>
    <r>
      <rPr>
        <sz val="10"/>
        <color indexed="8"/>
        <rFont val="Arial"/>
      </rPr>
      <t>Select</t>
    </r>
    <r>
      <rPr>
        <sz val="10"/>
        <color indexed="11"/>
        <rFont val="Arial"/>
      </rPr>
      <t xml:space="preserve"> Report Type</t>
    </r>
    <r>
      <rPr>
        <sz val="10"/>
        <color indexed="8"/>
        <rFont val="Arial"/>
      </rPr>
      <t xml:space="preserve"> from the drop-down - This will produce different a different [Report] for each type.
</t>
    </r>
    <r>
      <rPr>
        <sz val="10"/>
        <color indexed="8"/>
        <rFont val="Arial"/>
      </rPr>
      <t xml:space="preserve">Select </t>
    </r>
    <r>
      <rPr>
        <sz val="10"/>
        <color indexed="11"/>
        <rFont val="Arial"/>
      </rPr>
      <t xml:space="preserve">Units </t>
    </r>
    <r>
      <rPr>
        <sz val="10"/>
        <color indexed="8"/>
        <rFont val="Arial"/>
      </rPr>
      <t xml:space="preserve">from the drop-down - This will change the Horwitz Ratio (larger concentrations should give higher precision).
</t>
    </r>
    <r>
      <rPr>
        <sz val="10"/>
        <color indexed="8"/>
        <rFont val="Arial"/>
      </rPr>
      <t>Enter '</t>
    </r>
    <r>
      <rPr>
        <sz val="10"/>
        <color indexed="39"/>
        <rFont val="Arial"/>
      </rPr>
      <t>Spike Value</t>
    </r>
    <r>
      <rPr>
        <sz val="10"/>
        <color indexed="8"/>
        <rFont val="Arial"/>
      </rPr>
      <t xml:space="preserve">' for each column (Values between 0.00001 and 10,000,000).
</t>
    </r>
    <r>
      <rPr>
        <sz val="10"/>
        <color indexed="8"/>
        <rFont val="Arial"/>
      </rPr>
      <t xml:space="preserve">MDL (From Mean of Previous Low Spikes) - If a value is entered, it will be used instead of the Results calculation.
</t>
    </r>
    <r>
      <rPr>
        <sz val="10"/>
        <color indexed="8"/>
        <rFont val="Arial"/>
      </rPr>
      <t xml:space="preserve">Select </t>
    </r>
    <r>
      <rPr>
        <sz val="10"/>
        <color indexed="11"/>
        <rFont val="Arial"/>
      </rPr>
      <t>Number of Significant figures</t>
    </r>
    <r>
      <rPr>
        <sz val="10"/>
        <color indexed="8"/>
        <rFont val="Arial"/>
      </rPr>
      <t xml:space="preserve"> - Usually </t>
    </r>
    <r>
      <rPr>
        <b/>
        <sz val="10"/>
        <color indexed="11"/>
        <rFont val="Arial"/>
      </rPr>
      <t>2</t>
    </r>
    <r>
      <rPr>
        <sz val="10"/>
        <color indexed="8"/>
        <rFont val="Arial"/>
      </rPr>
      <t xml:space="preserve"> - 1 may be useful if near Quantitation limits, 3 for special precision.
</t>
    </r>
    <r>
      <rPr>
        <sz val="10"/>
        <color indexed="8"/>
        <rFont val="Arial"/>
      </rPr>
      <t xml:space="preserve">Horwitz and Outlier fields with coloured backgrounds are not editable, but require consideration - Outliers or errors may well be the cause…
</t>
    </r>
    <r>
      <rPr>
        <b/>
        <sz val="10"/>
        <color indexed="8"/>
        <rFont val="Arial"/>
      </rPr>
      <t xml:space="preserve">Now go to the [SampleResults] Sheet to check/update outliers as below…
</t>
    </r>
    <r>
      <rPr>
        <b/>
        <sz val="10"/>
        <color indexed="8"/>
        <rFont val="Arial"/>
      </rPr>
      <t xml:space="preserve">
</t>
    </r>
    <r>
      <rPr>
        <b/>
        <sz val="10"/>
        <color indexed="8"/>
        <rFont val="Arial"/>
      </rPr>
      <t>[SampleResults]</t>
    </r>
    <r>
      <rPr>
        <sz val="10"/>
        <color indexed="8"/>
        <rFont val="Arial"/>
      </rPr>
      <t xml:space="preserve">: Used to add SampleID and Results. There are a number of columns:-.
</t>
    </r>
    <r>
      <rPr>
        <sz val="10"/>
        <color indexed="8"/>
        <rFont val="Arial"/>
      </rPr>
      <t xml:space="preserve">The First Column is used to Add/Edit </t>
    </r>
    <r>
      <rPr>
        <b/>
        <sz val="10"/>
        <color indexed="8"/>
        <rFont val="Arial"/>
      </rPr>
      <t>SampleID</t>
    </r>
    <r>
      <rPr>
        <sz val="10"/>
        <color indexed="8"/>
        <rFont val="Arial"/>
      </rPr>
      <t xml:space="preserve"> (or Paste from another application). </t>
    </r>
    <r>
      <rPr>
        <b/>
        <i/>
        <sz val="10"/>
        <color indexed="8"/>
        <rFont val="Arial"/>
      </rPr>
      <t>The 1st Top (Header) row must contain the Test Name.</t>
    </r>
    <r>
      <rPr>
        <sz val="10"/>
        <color indexed="8"/>
        <rFont val="Arial"/>
      </rPr>
      <t xml:space="preserve">
</t>
    </r>
    <r>
      <rPr>
        <b/>
        <i/>
        <sz val="10"/>
        <color indexed="8"/>
        <rFont val="Arial"/>
      </rPr>
      <t xml:space="preserve">Other Header rows must contain the Analyte Name. </t>
    </r>
    <r>
      <rPr>
        <sz val="10"/>
        <color indexed="8"/>
        <rFont val="Arial"/>
      </rPr>
      <t xml:space="preserve">The other columns are for </t>
    </r>
    <r>
      <rPr>
        <b/>
        <i/>
        <sz val="10"/>
        <color indexed="8"/>
        <rFont val="Arial"/>
      </rPr>
      <t>plain</t>
    </r>
    <r>
      <rPr>
        <i/>
        <sz val="10"/>
        <color indexed="8"/>
        <rFont val="Arial"/>
      </rPr>
      <t xml:space="preserve"> </t>
    </r>
    <r>
      <rPr>
        <b/>
        <i/>
        <sz val="10"/>
        <color indexed="8"/>
        <rFont val="Arial"/>
      </rPr>
      <t>numerical</t>
    </r>
    <r>
      <rPr>
        <sz val="10"/>
        <color indexed="8"/>
        <rFont val="Arial"/>
      </rPr>
      <t xml:space="preserve"> </t>
    </r>
    <r>
      <rPr>
        <b/>
        <sz val="10"/>
        <color indexed="8"/>
        <rFont val="Arial"/>
      </rPr>
      <t>Results</t>
    </r>
    <r>
      <rPr>
        <sz val="10"/>
        <color indexed="8"/>
        <rFont val="Arial"/>
      </rPr>
      <t xml:space="preserve"> (or Paste from another application).</t>
    </r>
    <r>
      <rPr>
        <b/>
        <sz val="10"/>
        <color indexed="8"/>
        <rFont val="Arial"/>
      </rPr>
      <t xml:space="preserve">
</t>
    </r>
    <r>
      <rPr>
        <sz val="10"/>
        <color indexed="8"/>
        <rFont val="Arial"/>
      </rPr>
      <t xml:space="preserve">Possible result </t>
    </r>
    <r>
      <rPr>
        <b/>
        <sz val="10"/>
        <color indexed="8"/>
        <rFont val="Arial"/>
      </rPr>
      <t>Outliers</t>
    </r>
    <r>
      <rPr>
        <sz val="10"/>
        <color indexed="8"/>
        <rFont val="Arial"/>
      </rPr>
      <t xml:space="preserve"> can be indicated by adding text e.g. Changing 77 to  ?77  or  77!  Adding text to Outliers will cause it to be ignored by the Horwitz and Grubbs calculations. If pasted results are not plain numbers, cell formatting will be lost.
</t>
    </r>
    <r>
      <rPr>
        <sz val="10"/>
        <color indexed="8"/>
        <rFont val="Arial"/>
      </rPr>
      <t xml:space="preserve">The sheet can have many rows, but normally 3-11 are used (5, or more recommended).
</t>
    </r>
    <r>
      <rPr>
        <sz val="10"/>
        <color indexed="8"/>
        <rFont val="Arial"/>
      </rPr>
      <t xml:space="preserve">
</t>
    </r>
    <r>
      <rPr>
        <b/>
        <sz val="10"/>
        <color indexed="8"/>
        <rFont val="Arial"/>
      </rPr>
      <t>[Distributions]</t>
    </r>
    <r>
      <rPr>
        <sz val="10"/>
        <color indexed="8"/>
        <rFont val="Arial"/>
      </rPr>
      <t xml:space="preserve">: Used to calculate Method Detection Limit (t-test) and Grubbs’ critical value for 0.05 (95%) level for 1-tail.
</t>
    </r>
    <r>
      <rPr>
        <sz val="10"/>
        <color indexed="8"/>
        <rFont val="Arial"/>
      </rPr>
      <t xml:space="preserve">This is not editable. It is recommended that the user consults the NIST and RSC papers, referenced in the text at the bottom of the sheet, for further background information.
</t>
    </r>
    <r>
      <rPr>
        <sz val="10"/>
        <color indexed="8"/>
        <rFont val="Arial"/>
      </rPr>
      <t xml:space="preserve">
</t>
    </r>
    <r>
      <rPr>
        <b/>
        <sz val="10"/>
        <color indexed="8"/>
        <rFont val="Arial"/>
      </rPr>
      <t>[Units]</t>
    </r>
    <r>
      <rPr>
        <sz val="10"/>
        <color indexed="8"/>
        <rFont val="Arial"/>
      </rPr>
      <t xml:space="preserve">: Used to calculate scale of Horwitz values, and in </t>
    </r>
    <r>
      <rPr>
        <b/>
        <sz val="10"/>
        <color indexed="8"/>
        <rFont val="Arial"/>
      </rPr>
      <t>[Report]</t>
    </r>
    <r>
      <rPr>
        <sz val="10"/>
        <color indexed="8"/>
        <rFont val="Arial"/>
      </rPr>
      <t xml:space="preserve"> and </t>
    </r>
    <r>
      <rPr>
        <b/>
        <sz val="10"/>
        <color indexed="8"/>
        <rFont val="Arial"/>
      </rPr>
      <t>[Calculations - Main Table]</t>
    </r>
    <r>
      <rPr>
        <sz val="10"/>
        <color indexed="8"/>
        <rFont val="Arial"/>
      </rPr>
      <t xml:space="preserve">:-
</t>
    </r>
    <r>
      <rPr>
        <sz val="10"/>
        <color indexed="8"/>
        <rFont val="Arial"/>
      </rPr>
      <t>It is normally Locked, but any changes must be reflected in</t>
    </r>
    <r>
      <rPr>
        <b/>
        <sz val="10"/>
        <color indexed="8"/>
        <rFont val="Arial"/>
      </rPr>
      <t xml:space="preserve"> [MU Calculations]</t>
    </r>
    <r>
      <rPr>
        <sz val="10"/>
        <color indexed="8"/>
        <rFont val="Arial"/>
      </rPr>
      <t xml:space="preserve"> "</t>
    </r>
    <r>
      <rPr>
        <b/>
        <sz val="10"/>
        <color indexed="11"/>
        <rFont val="Arial"/>
      </rPr>
      <t>Units</t>
    </r>
    <r>
      <rPr>
        <sz val="10"/>
        <color indexed="8"/>
        <rFont val="Arial"/>
      </rPr>
      <t>" drop-down.</t>
    </r>
  </si>
  <si>
    <r>
      <rPr>
        <b/>
        <sz val="10"/>
        <color indexed="8"/>
        <rFont val="Arial"/>
      </rPr>
      <t xml:space="preserve">For further information, please consult these References:-
</t>
    </r>
    <r>
      <rPr>
        <sz val="10"/>
        <color indexed="8"/>
        <rFont val="Arial"/>
      </rPr>
      <t xml:space="preserve">Planning and Reporting Method Validation Studies; Supplement to EURACHEM Guide on the Fitness for Purpose of Analytical Methods, First edition 2019 
</t>
    </r>
    <r>
      <rPr>
        <sz val="10"/>
        <color indexed="8"/>
        <rFont val="Arial"/>
      </rPr>
      <t>Blanks in Method Validation, Supplement to EURACHEM Guide The Fitness for Purpose of Analytical Methods, First Edition 2019</t>
    </r>
  </si>
  <si>
    <r>
      <rPr>
        <sz val="10"/>
        <color indexed="8"/>
        <rFont val="Arial"/>
      </rPr>
      <t xml:space="preserve">The </t>
    </r>
    <r>
      <rPr>
        <b/>
        <sz val="10"/>
        <color indexed="8"/>
        <rFont val="Arial"/>
      </rPr>
      <t>password</t>
    </r>
    <r>
      <rPr>
        <sz val="10"/>
        <color indexed="8"/>
        <rFont val="Arial"/>
      </rPr>
      <t xml:space="preserve"> to unlock individual MS Excel sheets and cells is "timstrutt" (no "quotes"). Apple Sheets use Locked "Shapes".</t>
    </r>
  </si>
  <si>
    <r>
      <rPr>
        <sz val="10"/>
        <color indexed="8"/>
        <rFont val="Arial"/>
      </rPr>
      <t>The</t>
    </r>
    <r>
      <rPr>
        <b/>
        <sz val="10"/>
        <color indexed="8"/>
        <rFont val="Arial"/>
      </rPr>
      <t xml:space="preserve"> [MainTable] </t>
    </r>
    <r>
      <rPr>
        <sz val="10"/>
        <color indexed="8"/>
        <rFont val="Arial"/>
      </rPr>
      <t xml:space="preserve">uses "hidden" rows with a  </t>
    </r>
    <r>
      <rPr>
        <i/>
        <sz val="10"/>
        <color indexed="23"/>
        <rFont val="Arial"/>
      </rPr>
      <t>red font</t>
    </r>
    <r>
      <rPr>
        <sz val="10"/>
        <color indexed="8"/>
        <rFont val="Arial"/>
      </rPr>
      <t xml:space="preserve"> - </t>
    </r>
    <r>
      <rPr>
        <sz val="10"/>
        <color indexed="25"/>
        <rFont val="Arial"/>
      </rPr>
      <t>Changing or deleting them will cause breakages...</t>
    </r>
  </si>
  <si>
    <t>This spread-sheet is "Public Domain". Anyone is free to copy, modify, publish, use, or distribute it for any purpose, commercial or non-commercial, and by any means. The author is retired; carries out "Pro Bono" work only; and does not accept any responsibility for any loss caused by the use of, or failure to use, this spreadsheet.   Please do not remove my name, copyright &amp; version information.</t>
  </si>
  <si>
    <t>Spike</t>
  </si>
  <si>
    <t>!58.97</t>
  </si>
  <si>
    <t>Version:  2022-10-20   -   ©Tim Strutt</t>
  </si>
  <si>
    <r>
      <rPr>
        <b/>
        <sz val="10"/>
        <color indexed="25"/>
        <rFont val="Arial"/>
      </rPr>
      <t>Warning</t>
    </r>
    <r>
      <rPr>
        <sz val="10"/>
        <color indexed="8"/>
        <rFont val="Arial"/>
      </rPr>
      <t>: The calculations are based upon standard literature methods, but some approximations have been used. See the references for background information.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</si>
</sst>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00"/>
    <numFmt numFmtId="166" formatCode="0.0000000"/>
    <numFmt numFmtId="167" formatCode="0.0"/>
  </numFmts>
  <fonts count="38">
    <font>
      <sz val="11"/>
      <color indexed="8"/>
      <name val="Helvetica Neue"/>
    </font>
    <font>
      <b/>
      <sz val="11"/>
      <color indexed="8"/>
      <name val="Arial"/>
    </font>
    <font>
      <sz val="11"/>
      <color indexed="8"/>
      <name val="Arial"/>
    </font>
    <font>
      <b/>
      <sz val="11"/>
      <color indexed="11"/>
      <name val="Arial"/>
    </font>
    <font>
      <b/>
      <sz val="11"/>
      <color indexed="12"/>
      <name val="Arial"/>
    </font>
    <font>
      <sz val="11"/>
      <color indexed="11"/>
      <name val="Arial"/>
    </font>
    <font>
      <sz val="11"/>
      <color indexed="17"/>
      <name val="Arial"/>
    </font>
    <font>
      <sz val="11"/>
      <color indexed="20"/>
      <name val="Arial"/>
    </font>
    <font>
      <sz val="11"/>
      <color indexed="23"/>
      <name val="Arial"/>
    </font>
    <font>
      <sz val="11"/>
      <color indexed="25"/>
      <name val="Arial"/>
    </font>
    <font>
      <sz val="11"/>
      <color indexed="25"/>
      <name val="Helvetica Neue"/>
    </font>
    <font>
      <sz val="11"/>
      <color indexed="26"/>
      <name val="Arial"/>
    </font>
    <font>
      <i/>
      <sz val="11"/>
      <color indexed="25"/>
      <name val="Arial"/>
    </font>
    <font>
      <i/>
      <sz val="11"/>
      <color indexed="23"/>
      <name val="Arial"/>
    </font>
    <font>
      <i/>
      <sz val="11"/>
      <color indexed="25"/>
      <name val="Helvetica Neue"/>
    </font>
    <font>
      <i/>
      <sz val="11"/>
      <color indexed="23"/>
      <name val="Helvetica Neue"/>
    </font>
    <font>
      <b/>
      <sz val="11"/>
      <color indexed="20"/>
      <name val="Arial"/>
    </font>
    <font>
      <b/>
      <sz val="10"/>
      <color indexed="8"/>
      <name val="Arial"/>
    </font>
    <font>
      <b/>
      <sz val="11"/>
      <color indexed="8"/>
      <name val="Helvetica Neue"/>
    </font>
    <font>
      <sz val="10"/>
      <color indexed="8"/>
      <name val="Arial"/>
    </font>
    <font>
      <sz val="10"/>
      <color indexed="34"/>
      <name val="Arial"/>
    </font>
    <font>
      <i/>
      <sz val="10"/>
      <color indexed="8"/>
      <name val="Arial"/>
    </font>
    <font>
      <sz val="12"/>
      <color indexed="8"/>
      <name val="Arial"/>
    </font>
    <font>
      <sz val="10"/>
      <color indexed="38"/>
      <name val="Arial"/>
    </font>
    <font>
      <b/>
      <sz val="10"/>
      <color indexed="20"/>
      <name val="Arial"/>
    </font>
    <font>
      <sz val="10"/>
      <color indexed="39"/>
      <name val="Arial"/>
    </font>
    <font>
      <sz val="10"/>
      <color indexed="40"/>
      <name val="Arial"/>
    </font>
    <font>
      <b/>
      <sz val="10"/>
      <color indexed="41"/>
      <name val="Arial"/>
    </font>
    <font>
      <b/>
      <sz val="10"/>
      <color indexed="42"/>
      <name val="Arial"/>
    </font>
    <font>
      <b/>
      <sz val="10"/>
      <color indexed="43"/>
      <name val="Arial"/>
    </font>
    <font>
      <b/>
      <sz val="10"/>
      <color indexed="25"/>
      <name val="Arial"/>
    </font>
    <font>
      <sz val="10"/>
      <color indexed="20"/>
      <name val="Arial"/>
    </font>
    <font>
      <sz val="10"/>
      <color indexed="11"/>
      <name val="Arial"/>
    </font>
    <font>
      <b/>
      <sz val="10"/>
      <color indexed="11"/>
      <name val="Arial"/>
    </font>
    <font>
      <b/>
      <i/>
      <sz val="10"/>
      <color indexed="8"/>
      <name val="Arial"/>
    </font>
    <font>
      <i/>
      <sz val="10"/>
      <color indexed="23"/>
      <name val="Arial"/>
    </font>
    <font>
      <sz val="10"/>
      <color indexed="25"/>
      <name val="Arial"/>
    </font>
    <font>
      <sz val="11"/>
      <color indexed="8"/>
      <name val="Arial"/>
      <family val="2"/>
    </font>
  </fonts>
  <fills count="7">
    <fill>
      <patternFill patternType="none"/>
    </fill>
    <fill>
      <patternFill patternType="gray125"/>
    </fill>
    <fill>
      <patternFill patternType="solid">
        <fgColor indexed="16"/>
      </patternFill>
    </fill>
    <fill>
      <patternFill patternType="solid">
        <fgColor indexed="30"/>
      </patternFill>
    </fill>
    <fill>
      <patternFill patternType="solid">
        <fgColor indexed="35"/>
      </patternFill>
    </fill>
    <fill>
      <patternFill patternType="solid">
        <fgColor indexed="9"/>
      </patternFill>
    </fill>
    <fill>
      <patternFill patternType="solid">
        <fgColor indexed="29"/>
      </patternFill>
    </fill>
  </fills>
  <borders count="52">
    <border>
      <left/>
      <right/>
      <top/>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10"/>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4"/>
      </left>
      <right style="thin">
        <color indexed="24"/>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31"/>
      </top>
      <bottom/>
      <diagonal/>
    </border>
    <border>
      <left style="thin">
        <color indexed="32"/>
      </left>
      <right style="thin">
        <color indexed="33"/>
      </right>
      <top style="thin">
        <color indexed="8"/>
      </top>
      <bottom style="thin">
        <color indexed="32"/>
      </bottom>
      <diagonal/>
    </border>
    <border>
      <left style="thin">
        <color indexed="33"/>
      </left>
      <right style="medium">
        <color indexed="8"/>
      </right>
      <top style="thin">
        <color indexed="8"/>
      </top>
      <bottom style="thin">
        <color indexed="32"/>
      </bottom>
      <diagonal/>
    </border>
    <border>
      <left style="medium">
        <color indexed="8"/>
      </left>
      <right style="thin">
        <color indexed="8"/>
      </right>
      <top style="thin">
        <color indexed="8"/>
      </top>
      <bottom style="thin">
        <color indexed="32"/>
      </bottom>
      <diagonal/>
    </border>
    <border>
      <left style="thin">
        <color indexed="32"/>
      </left>
      <right style="thin">
        <color indexed="33"/>
      </right>
      <top style="thin">
        <color indexed="32"/>
      </top>
      <bottom style="thin">
        <color indexed="24"/>
      </bottom>
      <diagonal/>
    </border>
    <border>
      <left style="thin">
        <color indexed="33"/>
      </left>
      <right style="medium">
        <color indexed="32"/>
      </right>
      <top style="thin">
        <color indexed="32"/>
      </top>
      <bottom style="thin">
        <color indexed="24"/>
      </bottom>
      <diagonal/>
    </border>
    <border>
      <left style="medium">
        <color indexed="32"/>
      </left>
      <right style="thin">
        <color indexed="8"/>
      </right>
      <top style="thin">
        <color indexed="32"/>
      </top>
      <bottom style="thin">
        <color indexed="24"/>
      </bottom>
      <diagonal/>
    </border>
    <border>
      <left style="thin">
        <color indexed="32"/>
      </left>
      <right style="thin">
        <color indexed="33"/>
      </right>
      <top style="thin">
        <color indexed="24"/>
      </top>
      <bottom style="thin">
        <color indexed="24"/>
      </bottom>
      <diagonal/>
    </border>
    <border>
      <left style="thin">
        <color indexed="33"/>
      </left>
      <right style="medium">
        <color indexed="32"/>
      </right>
      <top style="thin">
        <color indexed="24"/>
      </top>
      <bottom style="thin">
        <color indexed="24"/>
      </bottom>
      <diagonal/>
    </border>
    <border>
      <left style="medium">
        <color indexed="32"/>
      </left>
      <right style="thin">
        <color indexed="8"/>
      </right>
      <top style="thin">
        <color indexed="24"/>
      </top>
      <bottom style="thin">
        <color indexed="24"/>
      </bottom>
      <diagonal/>
    </border>
    <border>
      <left style="thin">
        <color indexed="32"/>
      </left>
      <right style="thin">
        <color indexed="33"/>
      </right>
      <top style="thin">
        <color indexed="24"/>
      </top>
      <bottom style="medium">
        <color indexed="8"/>
      </bottom>
      <diagonal/>
    </border>
    <border>
      <left style="thin">
        <color indexed="33"/>
      </left>
      <right style="medium">
        <color indexed="32"/>
      </right>
      <top style="thin">
        <color indexed="24"/>
      </top>
      <bottom style="medium">
        <color indexed="8"/>
      </bottom>
      <diagonal/>
    </border>
    <border>
      <left style="medium">
        <color indexed="32"/>
      </left>
      <right style="thin">
        <color indexed="8"/>
      </right>
      <top style="thin">
        <color indexed="24"/>
      </top>
      <bottom style="medium">
        <color indexed="8"/>
      </bottom>
      <diagonal/>
    </border>
    <border>
      <left style="thin">
        <color indexed="31"/>
      </left>
      <right/>
      <top style="medium">
        <color indexed="8"/>
      </top>
      <bottom/>
      <diagonal/>
    </border>
    <border>
      <left/>
      <right/>
      <top style="medium">
        <color indexed="8"/>
      </top>
      <bottom/>
      <diagonal/>
    </border>
    <border>
      <left/>
      <right style="thin">
        <color indexed="31"/>
      </right>
      <top style="medium">
        <color indexed="8"/>
      </top>
      <bottom/>
      <diagonal/>
    </border>
    <border>
      <left style="thin">
        <color indexed="31"/>
      </left>
      <right style="thin">
        <color indexed="31"/>
      </right>
      <top/>
      <bottom/>
      <diagonal/>
    </border>
    <border>
      <left style="thin">
        <color indexed="31"/>
      </left>
      <right/>
      <top/>
      <bottom style="thin">
        <color indexed="31"/>
      </bottom>
      <diagonal/>
    </border>
    <border>
      <left/>
      <right/>
      <top/>
      <bottom style="thin">
        <color indexed="31"/>
      </bottom>
      <diagonal/>
    </border>
    <border>
      <left/>
      <right style="thin">
        <color indexed="31"/>
      </right>
      <top/>
      <bottom style="thin">
        <color indexed="31"/>
      </bottom>
      <diagonal/>
    </border>
    <border>
      <left style="thin">
        <color indexed="31"/>
      </left>
      <right style="thin">
        <color indexed="31"/>
      </right>
      <top/>
      <bottom style="thin">
        <color indexed="31"/>
      </bottom>
      <diagonal/>
    </border>
    <border>
      <left style="thin">
        <color indexed="8"/>
      </left>
      <right style="thin">
        <color indexed="8"/>
      </right>
      <top style="thin">
        <color indexed="8"/>
      </top>
      <bottom style="thin">
        <color indexed="33"/>
      </bottom>
      <diagonal/>
    </border>
    <border>
      <left style="thin">
        <color indexed="8"/>
      </left>
      <right style="thin">
        <color indexed="8"/>
      </right>
      <top style="thin">
        <color indexed="33"/>
      </top>
      <bottom style="thin">
        <color indexed="33"/>
      </bottom>
      <diagonal/>
    </border>
    <border>
      <left style="thin">
        <color indexed="8"/>
      </left>
      <right style="thin">
        <color indexed="8"/>
      </right>
      <top style="thin">
        <color indexed="10"/>
      </top>
      <bottom style="thin">
        <color indexed="33"/>
      </bottom>
      <diagonal/>
    </border>
    <border>
      <left style="thin">
        <color indexed="8"/>
      </left>
      <right style="thin">
        <color indexed="8"/>
      </right>
      <top style="thin">
        <color indexed="33"/>
      </top>
      <bottom style="thin">
        <color indexed="22"/>
      </bottom>
      <diagonal/>
    </border>
    <border>
      <left style="thin">
        <color indexed="8"/>
      </left>
      <right style="thin">
        <color indexed="8"/>
      </right>
      <top style="thin">
        <color indexed="22"/>
      </top>
      <bottom style="thin">
        <color indexed="22"/>
      </bottom>
      <diagonal/>
    </border>
    <border>
      <left style="thin">
        <color indexed="8"/>
      </left>
      <right style="thin">
        <color indexed="8"/>
      </right>
      <top style="thin">
        <color indexed="33"/>
      </top>
      <bottom style="thin">
        <color indexed="10"/>
      </bottom>
      <diagonal/>
    </border>
    <border>
      <left style="thin">
        <color indexed="8"/>
      </left>
      <right style="thin">
        <color indexed="8"/>
      </right>
      <top style="thin">
        <color indexed="22"/>
      </top>
      <bottom style="thin">
        <color indexed="8"/>
      </bottom>
      <diagonal/>
    </border>
    <border>
      <left style="thin">
        <color indexed="8"/>
      </left>
      <right style="thin">
        <color indexed="8"/>
      </right>
      <top style="thin">
        <color indexed="33"/>
      </top>
      <bottom style="thin">
        <color indexed="8"/>
      </bottom>
      <diagonal/>
    </border>
    <border>
      <left style="thin">
        <color indexed="31"/>
      </left>
      <right/>
      <top style="thin">
        <color indexed="8"/>
      </top>
      <bottom/>
      <diagonal/>
    </border>
    <border>
      <left/>
      <right style="thin">
        <color indexed="31"/>
      </right>
      <top style="thin">
        <color indexed="8"/>
      </top>
      <bottom/>
      <diagonal/>
    </border>
    <border>
      <left style="thin">
        <color indexed="31"/>
      </left>
      <right/>
      <top/>
      <bottom/>
      <diagonal/>
    </border>
    <border>
      <left/>
      <right style="thin">
        <color indexed="31"/>
      </right>
      <top/>
      <bottom/>
      <diagonal/>
    </border>
    <border>
      <left style="thin">
        <color indexed="31"/>
      </left>
      <right style="thin">
        <color indexed="31"/>
      </right>
      <top style="thin">
        <color indexed="8"/>
      </top>
      <bottom/>
      <diagonal/>
    </border>
    <border>
      <left style="thin">
        <color indexed="31"/>
      </left>
      <right style="thin">
        <color indexed="31"/>
      </right>
      <top style="thin">
        <color indexed="31"/>
      </top>
      <bottom/>
      <diagonal/>
    </border>
    <border>
      <left style="thin">
        <color indexed="31"/>
      </left>
      <right style="thin">
        <color indexed="31"/>
      </right>
      <top/>
      <bottom style="thin">
        <color indexed="8"/>
      </bottom>
      <diagonal/>
    </border>
    <border>
      <left style="thin">
        <color indexed="31"/>
      </left>
      <right style="thin">
        <color indexed="31"/>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27"/>
      </left>
      <right style="thin">
        <color indexed="27"/>
      </right>
      <top style="thin">
        <color indexed="8"/>
      </top>
      <bottom style="thin">
        <color indexed="8"/>
      </bottom>
      <diagonal/>
    </border>
    <border>
      <left style="thin">
        <color indexed="8"/>
      </left>
      <right style="thin">
        <color indexed="8"/>
      </right>
      <top/>
      <bottom style="thin">
        <color indexed="28"/>
      </bottom>
      <diagonal/>
    </border>
    <border>
      <left style="thin">
        <color indexed="8"/>
      </left>
      <right style="thin">
        <color indexed="27"/>
      </right>
      <top style="thin">
        <color indexed="8"/>
      </top>
      <bottom style="thin">
        <color indexed="8"/>
      </bottom>
      <diagonal/>
    </border>
    <border>
      <left style="thin">
        <color indexed="8"/>
      </left>
      <right style="medium">
        <color indexed="8"/>
      </right>
      <top style="thin">
        <color indexed="8"/>
      </top>
      <bottom style="thin">
        <color indexed="8"/>
      </bottom>
      <diagonal/>
    </border>
  </borders>
  <cellStyleXfs count="1">
    <xf numFmtId="0" fontId="0" fillId="0" borderId="0" applyNumberFormat="0" applyFill="0" applyBorder="0" applyProtection="0"/>
  </cellStyleXfs>
  <cellXfs count="129">
    <xf numFmtId="0" fontId="0" fillId="0" borderId="0" xfId="0"/>
    <xf numFmtId="0" fontId="0" fillId="0" borderId="0" xfId="0" applyNumberFormat="1"/>
    <xf numFmtId="49" fontId="1" fillId="5" borderId="1" xfId="0" applyNumberFormat="1" applyFont="1" applyFill="1" applyBorder="1" applyAlignment="1">
      <alignment horizontal="left" vertical="center"/>
    </xf>
    <xf numFmtId="49" fontId="1" fillId="5" borderId="2" xfId="0" applyNumberFormat="1" applyFont="1" applyFill="1" applyBorder="1" applyAlignment="1">
      <alignment horizontal="left" vertical="center"/>
    </xf>
    <xf numFmtId="49" fontId="4" fillId="5" borderId="3" xfId="0" applyNumberFormat="1" applyFont="1" applyFill="1" applyBorder="1" applyAlignment="1">
      <alignment horizontal="right" vertical="center"/>
    </xf>
    <xf numFmtId="49" fontId="4" fillId="5" borderId="4" xfId="0" applyNumberFormat="1" applyFont="1" applyFill="1" applyBorder="1" applyAlignment="1">
      <alignment horizontal="right" vertical="center"/>
    </xf>
    <xf numFmtId="0" fontId="4" fillId="5" borderId="2" xfId="0" applyNumberFormat="1" applyFont="1" applyFill="1" applyBorder="1" applyAlignment="1">
      <alignment vertical="center"/>
    </xf>
    <xf numFmtId="2" fontId="6" fillId="5" borderId="5" xfId="0" applyNumberFormat="1" applyFont="1" applyFill="1" applyBorder="1" applyAlignment="1">
      <alignment vertical="center"/>
    </xf>
    <xf numFmtId="0" fontId="2" fillId="5" borderId="6" xfId="0" applyNumberFormat="1" applyFont="1" applyFill="1" applyBorder="1" applyAlignment="1">
      <alignment vertical="center"/>
    </xf>
    <xf numFmtId="0" fontId="9" fillId="5" borderId="7" xfId="0" applyNumberFormat="1" applyFont="1" applyFill="1" applyBorder="1" applyAlignment="1">
      <alignment vertical="center"/>
    </xf>
    <xf numFmtId="165" fontId="10" fillId="5" borderId="7" xfId="0" applyNumberFormat="1" applyFont="1" applyFill="1" applyBorder="1" applyAlignment="1">
      <alignment horizontal="right" vertical="center"/>
    </xf>
    <xf numFmtId="166" fontId="9" fillId="5" borderId="7" xfId="0" applyNumberFormat="1" applyFont="1" applyFill="1" applyBorder="1" applyAlignment="1">
      <alignment horizontal="right" vertical="center"/>
    </xf>
    <xf numFmtId="167" fontId="9" fillId="5" borderId="7" xfId="0" applyNumberFormat="1" applyFont="1" applyFill="1" applyBorder="1" applyAlignment="1">
      <alignment vertical="center"/>
    </xf>
    <xf numFmtId="11" fontId="9" fillId="5" borderId="7" xfId="0" applyNumberFormat="1" applyFont="1" applyFill="1" applyBorder="1" applyAlignment="1">
      <alignment vertical="center"/>
    </xf>
    <xf numFmtId="4" fontId="9" fillId="5" borderId="7" xfId="0" applyNumberFormat="1" applyFont="1" applyFill="1" applyBorder="1" applyAlignment="1">
      <alignment vertical="center"/>
    </xf>
    <xf numFmtId="0" fontId="12" fillId="5" borderId="7" xfId="0" applyNumberFormat="1" applyFont="1" applyFill="1" applyBorder="1" applyAlignment="1">
      <alignment vertical="center"/>
    </xf>
    <xf numFmtId="166" fontId="13" fillId="5" borderId="7" xfId="0" applyNumberFormat="1" applyFont="1" applyFill="1" applyBorder="1" applyAlignment="1">
      <alignment horizontal="right" vertical="center" wrapText="1"/>
    </xf>
    <xf numFmtId="166" fontId="14" fillId="5" borderId="7" xfId="0" applyNumberFormat="1" applyFont="1" applyFill="1" applyBorder="1" applyAlignment="1">
      <alignment vertical="center"/>
    </xf>
    <xf numFmtId="166" fontId="15" fillId="5" borderId="7" xfId="0" applyNumberFormat="1" applyFont="1" applyFill="1" applyBorder="1" applyAlignment="1">
      <alignment vertical="center"/>
    </xf>
    <xf numFmtId="166" fontId="15" fillId="5" borderId="7" xfId="0" applyNumberFormat="1" applyFont="1" applyFill="1" applyBorder="1" applyAlignment="1">
      <alignment horizontal="right" vertical="center"/>
    </xf>
    <xf numFmtId="0" fontId="15" fillId="5" borderId="7" xfId="0" applyNumberFormat="1" applyFont="1" applyFill="1" applyBorder="1" applyAlignment="1">
      <alignment horizontal="right" vertical="center"/>
    </xf>
    <xf numFmtId="166" fontId="13" fillId="5" borderId="7" xfId="0" applyNumberFormat="1" applyFont="1" applyFill="1" applyBorder="1" applyAlignment="1">
      <alignment vertical="center"/>
    </xf>
    <xf numFmtId="0" fontId="13" fillId="5" borderId="7" xfId="0" applyNumberFormat="1" applyFont="1" applyFill="1" applyBorder="1" applyAlignment="1">
      <alignment horizontal="right" vertical="center"/>
    </xf>
    <xf numFmtId="49" fontId="13" fillId="5" borderId="7" xfId="0" applyNumberFormat="1" applyFont="1" applyFill="1" applyBorder="1" applyAlignment="1">
      <alignment horizontal="right" vertical="center"/>
    </xf>
    <xf numFmtId="49" fontId="13" fillId="0" borderId="7" xfId="0" applyNumberFormat="1" applyFont="1" applyBorder="1" applyAlignment="1">
      <alignment horizontal="right" vertical="center"/>
    </xf>
    <xf numFmtId="49" fontId="16" fillId="5" borderId="8" xfId="0" applyNumberFormat="1" applyFont="1" applyFill="1" applyBorder="1" applyAlignment="1">
      <alignment horizontal="right" vertical="center"/>
    </xf>
    <xf numFmtId="49" fontId="17" fillId="6" borderId="9" xfId="0" applyNumberFormat="1" applyFont="1" applyFill="1" applyBorder="1" applyAlignment="1">
      <alignment horizontal="center" vertical="center"/>
    </xf>
    <xf numFmtId="0" fontId="18" fillId="3" borderId="10" xfId="0" applyFont="1" applyFill="1" applyBorder="1"/>
    <xf numFmtId="49" fontId="17" fillId="2" borderId="11" xfId="0" applyNumberFormat="1" applyFont="1" applyFill="1" applyBorder="1" applyAlignment="1">
      <alignment horizontal="center" vertical="center"/>
    </xf>
    <xf numFmtId="9" fontId="17" fillId="2" borderId="12" xfId="0" applyNumberFormat="1" applyFont="1" applyFill="1" applyBorder="1" applyAlignment="1">
      <alignment horizontal="center" vertical="center"/>
    </xf>
    <xf numFmtId="49" fontId="17" fillId="2" borderId="13" xfId="0" applyNumberFormat="1" applyFont="1" applyFill="1" applyBorder="1" applyAlignment="1">
      <alignment horizontal="center" vertical="center"/>
    </xf>
    <xf numFmtId="0" fontId="19" fillId="2" borderId="14" xfId="0" applyNumberFormat="1" applyFont="1" applyFill="1" applyBorder="1" applyAlignment="1">
      <alignment horizontal="left"/>
    </xf>
    <xf numFmtId="0" fontId="19" fillId="2" borderId="15" xfId="0" applyNumberFormat="1" applyFont="1" applyFill="1" applyBorder="1" applyAlignment="1">
      <alignment horizontal="left" vertical="center"/>
    </xf>
    <xf numFmtId="0" fontId="20" fillId="2" borderId="16" xfId="0" applyFont="1" applyFill="1" applyBorder="1" applyAlignment="1">
      <alignment horizontal="left" vertical="center"/>
    </xf>
    <xf numFmtId="0" fontId="19" fillId="5" borderId="17" xfId="0" applyNumberFormat="1" applyFont="1" applyFill="1" applyBorder="1" applyAlignment="1">
      <alignment horizontal="left"/>
    </xf>
    <xf numFmtId="0" fontId="19" fillId="5" borderId="18" xfId="0" applyNumberFormat="1" applyFont="1" applyFill="1" applyBorder="1" applyAlignment="1">
      <alignment horizontal="left" vertical="center"/>
    </xf>
    <xf numFmtId="0" fontId="20" fillId="5" borderId="19" xfId="0" applyFont="1" applyFill="1" applyBorder="1" applyAlignment="1">
      <alignment horizontal="left" vertical="center"/>
    </xf>
    <xf numFmtId="0" fontId="19" fillId="2" borderId="17" xfId="0" applyNumberFormat="1" applyFont="1" applyFill="1" applyBorder="1" applyAlignment="1">
      <alignment horizontal="left"/>
    </xf>
    <xf numFmtId="0" fontId="19" fillId="2" borderId="18" xfId="0" applyNumberFormat="1" applyFont="1" applyFill="1" applyBorder="1" applyAlignment="1">
      <alignment horizontal="left" vertical="center"/>
    </xf>
    <xf numFmtId="0" fontId="20" fillId="2" borderId="19" xfId="0" applyNumberFormat="1" applyFont="1" applyFill="1" applyBorder="1" applyAlignment="1">
      <alignment horizontal="left" vertical="center"/>
    </xf>
    <xf numFmtId="0" fontId="20" fillId="5" borderId="19" xfId="0" applyNumberFormat="1" applyFont="1" applyFill="1" applyBorder="1" applyAlignment="1">
      <alignment horizontal="left" vertical="center"/>
    </xf>
    <xf numFmtId="0" fontId="19" fillId="5" borderId="20" xfId="0" applyNumberFormat="1" applyFont="1" applyFill="1" applyBorder="1" applyAlignment="1">
      <alignment horizontal="left" vertical="center"/>
    </xf>
    <xf numFmtId="0" fontId="19" fillId="5" borderId="21" xfId="0" applyNumberFormat="1" applyFont="1" applyFill="1" applyBorder="1" applyAlignment="1">
      <alignment horizontal="left" vertical="center"/>
    </xf>
    <xf numFmtId="0" fontId="20" fillId="5" borderId="22" xfId="0" applyNumberFormat="1" applyFont="1" applyFill="1" applyBorder="1" applyAlignment="1">
      <alignment horizontal="left" vertical="center"/>
    </xf>
    <xf numFmtId="0" fontId="19" fillId="5" borderId="23" xfId="0" applyFont="1" applyFill="1" applyBorder="1" applyAlignment="1">
      <alignment horizontal="left"/>
    </xf>
    <xf numFmtId="0" fontId="19" fillId="5" borderId="24" xfId="0" applyFont="1" applyFill="1" applyBorder="1" applyAlignment="1">
      <alignment horizontal="left"/>
    </xf>
    <xf numFmtId="0" fontId="20" fillId="5" borderId="25" xfId="0" applyFont="1" applyFill="1" applyBorder="1" applyAlignment="1">
      <alignment horizontal="left"/>
    </xf>
    <xf numFmtId="0" fontId="0" fillId="5" borderId="26" xfId="0" applyFill="1" applyBorder="1"/>
    <xf numFmtId="0" fontId="19" fillId="5" borderId="27" xfId="0" applyFont="1" applyFill="1" applyBorder="1" applyAlignment="1">
      <alignment horizontal="left"/>
    </xf>
    <xf numFmtId="0" fontId="19" fillId="5" borderId="28" xfId="0" applyFont="1" applyFill="1" applyBorder="1" applyAlignment="1">
      <alignment horizontal="left" vertical="center"/>
    </xf>
    <xf numFmtId="0" fontId="20" fillId="5" borderId="29" xfId="0" applyFont="1" applyFill="1" applyBorder="1" applyAlignment="1">
      <alignment horizontal="left" vertical="center"/>
    </xf>
    <xf numFmtId="0" fontId="0" fillId="5" borderId="30" xfId="0" applyFill="1" applyBorder="1"/>
    <xf numFmtId="49" fontId="1" fillId="3" borderId="8" xfId="0" applyNumberFormat="1" applyFont="1" applyFill="1" applyBorder="1" applyAlignment="1">
      <alignment horizontal="left" vertical="center"/>
    </xf>
    <xf numFmtId="49" fontId="1" fillId="3" borderId="8" xfId="0" applyNumberFormat="1" applyFont="1" applyFill="1" applyBorder="1" applyAlignment="1">
      <alignment horizontal="center" vertical="center"/>
    </xf>
    <xf numFmtId="49" fontId="1" fillId="2" borderId="31" xfId="0" applyNumberFormat="1" applyFont="1" applyFill="1" applyBorder="1" applyAlignment="1">
      <alignment horizontal="left"/>
    </xf>
    <xf numFmtId="3" fontId="2" fillId="5" borderId="1" xfId="0" applyNumberFormat="1" applyFont="1" applyFill="1" applyBorder="1" applyAlignment="1">
      <alignment horizontal="right"/>
    </xf>
    <xf numFmtId="49" fontId="1" fillId="2" borderId="32" xfId="0" applyNumberFormat="1" applyFont="1" applyFill="1" applyBorder="1" applyAlignment="1">
      <alignment horizontal="left"/>
    </xf>
    <xf numFmtId="3" fontId="2" fillId="5" borderId="33" xfId="0" applyNumberFormat="1" applyFont="1" applyFill="1" applyBorder="1" applyAlignment="1">
      <alignment horizontal="right"/>
    </xf>
    <xf numFmtId="3" fontId="2" fillId="5" borderId="32" xfId="0" applyNumberFormat="1" applyFont="1" applyFill="1" applyBorder="1" applyAlignment="1">
      <alignment horizontal="right"/>
    </xf>
    <xf numFmtId="49" fontId="1" fillId="2" borderId="34" xfId="0" applyNumberFormat="1" applyFont="1" applyFill="1" applyBorder="1" applyAlignment="1">
      <alignment horizontal="left"/>
    </xf>
    <xf numFmtId="49" fontId="1" fillId="2" borderId="35" xfId="0" applyNumberFormat="1" applyFont="1" applyFill="1" applyBorder="1" applyAlignment="1">
      <alignment horizontal="left"/>
    </xf>
    <xf numFmtId="3" fontId="2" fillId="5" borderId="36" xfId="0" applyNumberFormat="1" applyFont="1" applyFill="1" applyBorder="1" applyAlignment="1">
      <alignment horizontal="right"/>
    </xf>
    <xf numFmtId="3" fontId="22" fillId="5" borderId="33" xfId="0" applyNumberFormat="1" applyFont="1" applyFill="1" applyBorder="1" applyAlignment="1">
      <alignment horizontal="right"/>
    </xf>
    <xf numFmtId="49" fontId="1" fillId="2" borderId="37" xfId="0" applyNumberFormat="1" applyFont="1" applyFill="1" applyBorder="1" applyAlignment="1">
      <alignment horizontal="left"/>
    </xf>
    <xf numFmtId="0" fontId="0" fillId="5" borderId="38" xfId="0" applyFill="1" applyBorder="1"/>
    <xf numFmtId="0" fontId="18" fillId="5" borderId="39" xfId="0" applyFont="1" applyFill="1" applyBorder="1"/>
    <xf numFmtId="0" fontId="0" fillId="5" borderId="40" xfId="0" applyFill="1" applyBorder="1"/>
    <xf numFmtId="0" fontId="18" fillId="5" borderId="41" xfId="0" applyFont="1" applyFill="1" applyBorder="1"/>
    <xf numFmtId="0" fontId="0" fillId="5" borderId="42" xfId="0" applyFill="1" applyBorder="1"/>
    <xf numFmtId="0" fontId="18" fillId="4" borderId="41" xfId="0" applyFont="1" applyFill="1" applyBorder="1"/>
    <xf numFmtId="49" fontId="19" fillId="5" borderId="43" xfId="0" applyNumberFormat="1" applyFont="1" applyFill="1" applyBorder="1" applyAlignment="1">
      <alignment horizontal="left" vertical="center" wrapText="1"/>
    </xf>
    <xf numFmtId="0" fontId="0" fillId="5" borderId="44" xfId="0" applyFill="1" applyBorder="1"/>
    <xf numFmtId="49" fontId="19" fillId="5" borderId="26" xfId="0" applyNumberFormat="1" applyFont="1" applyFill="1" applyBorder="1" applyAlignment="1">
      <alignment horizontal="left" vertical="center" wrapText="1"/>
    </xf>
    <xf numFmtId="49" fontId="19" fillId="5" borderId="45" xfId="0" applyNumberFormat="1" applyFont="1" applyFill="1" applyBorder="1" applyAlignment="1">
      <alignment horizontal="left" vertical="center" wrapText="1"/>
    </xf>
    <xf numFmtId="49" fontId="19" fillId="5" borderId="46" xfId="0" applyNumberFormat="1" applyFont="1" applyFill="1" applyBorder="1" applyAlignment="1">
      <alignment horizontal="left" vertical="center" wrapText="1"/>
    </xf>
    <xf numFmtId="49" fontId="17" fillId="5" borderId="45" xfId="0" applyNumberFormat="1" applyFont="1" applyFill="1" applyBorder="1" applyAlignment="1">
      <alignment horizontal="left" vertical="center" wrapText="1"/>
    </xf>
    <xf numFmtId="49" fontId="24" fillId="5" borderId="26" xfId="0" applyNumberFormat="1" applyFont="1" applyFill="1" applyBorder="1" applyAlignment="1">
      <alignment horizontal="left" vertical="center" wrapText="1"/>
    </xf>
    <xf numFmtId="0" fontId="18" fillId="5" borderId="45" xfId="0" applyFont="1" applyFill="1" applyBorder="1"/>
    <xf numFmtId="0" fontId="18" fillId="5" borderId="30" xfId="0" applyFont="1" applyFill="1" applyBorder="1"/>
    <xf numFmtId="0" fontId="5" fillId="5" borderId="47" xfId="0" applyNumberFormat="1" applyFont="1" applyFill="1" applyBorder="1" applyAlignment="1" applyProtection="1">
      <alignment horizontal="right" vertical="center"/>
      <protection locked="0"/>
    </xf>
    <xf numFmtId="0" fontId="5" fillId="5" borderId="47" xfId="0" applyFont="1" applyFill="1" applyBorder="1" applyAlignment="1" applyProtection="1">
      <alignment horizontal="right" vertical="center"/>
      <protection locked="0"/>
    </xf>
    <xf numFmtId="0" fontId="0" fillId="0" borderId="0" xfId="0" applyNumberFormat="1" applyProtection="1">
      <protection locked="0"/>
    </xf>
    <xf numFmtId="49" fontId="2" fillId="0" borderId="48" xfId="0" applyNumberFormat="1" applyFont="1" applyBorder="1" applyAlignment="1" applyProtection="1">
      <alignment horizontal="left" vertical="center" readingOrder="1"/>
      <protection locked="0"/>
    </xf>
    <xf numFmtId="49" fontId="2" fillId="0" borderId="48" xfId="0" applyNumberFormat="1" applyFont="1" applyBorder="1" applyAlignment="1" applyProtection="1">
      <alignment horizontal="left" vertical="center"/>
      <protection locked="0"/>
    </xf>
    <xf numFmtId="0" fontId="2" fillId="0" borderId="49" xfId="0" applyFont="1" applyBorder="1" applyAlignment="1" applyProtection="1">
      <alignment horizontal="left" vertical="center"/>
      <protection locked="0"/>
    </xf>
    <xf numFmtId="0" fontId="2" fillId="5" borderId="49" xfId="0" applyNumberFormat="1" applyFont="1" applyFill="1" applyBorder="1" applyAlignment="1" applyProtection="1">
      <alignment horizontal="right" vertical="top"/>
      <protection locked="0"/>
    </xf>
    <xf numFmtId="49" fontId="3" fillId="5" borderId="1" xfId="0" applyNumberFormat="1" applyFont="1" applyFill="1" applyBorder="1" applyAlignment="1" applyProtection="1">
      <alignment horizontal="right" vertical="center"/>
      <protection locked="0"/>
    </xf>
    <xf numFmtId="49" fontId="3" fillId="5" borderId="47" xfId="0" applyNumberFormat="1" applyFont="1" applyFill="1" applyBorder="1" applyAlignment="1" applyProtection="1">
      <alignment horizontal="right" vertical="center"/>
      <protection locked="0"/>
    </xf>
    <xf numFmtId="0" fontId="3" fillId="5" borderId="2" xfId="0" applyNumberFormat="1" applyFont="1" applyFill="1" applyBorder="1" applyAlignment="1" applyProtection="1">
      <alignment vertical="center"/>
      <protection locked="0"/>
    </xf>
    <xf numFmtId="0" fontId="2" fillId="5" borderId="3" xfId="0" applyNumberFormat="1" applyFont="1" applyFill="1" applyBorder="1" applyAlignment="1">
      <alignment horizontal="right" vertical="center"/>
    </xf>
    <xf numFmtId="164" fontId="2" fillId="5" borderId="5" xfId="0" applyNumberFormat="1" applyFont="1" applyFill="1" applyBorder="1" applyAlignment="1">
      <alignment vertical="center"/>
    </xf>
    <xf numFmtId="49" fontId="7" fillId="5" borderId="3" xfId="0" applyNumberFormat="1" applyFont="1" applyFill="1" applyBorder="1" applyAlignment="1">
      <alignment horizontal="right" vertical="center"/>
    </xf>
    <xf numFmtId="49" fontId="7" fillId="5" borderId="5" xfId="0" applyNumberFormat="1" applyFont="1" applyFill="1" applyBorder="1" applyAlignment="1">
      <alignment horizontal="right" vertical="center"/>
    </xf>
    <xf numFmtId="9" fontId="7" fillId="5" borderId="5" xfId="0" applyNumberFormat="1" applyFont="1" applyFill="1" applyBorder="1" applyAlignment="1">
      <alignment horizontal="right" vertical="center"/>
    </xf>
    <xf numFmtId="49" fontId="7" fillId="5" borderId="6" xfId="0" applyNumberFormat="1" applyFont="1" applyFill="1" applyBorder="1" applyAlignment="1">
      <alignment horizontal="right" vertical="center"/>
    </xf>
    <xf numFmtId="49" fontId="2" fillId="0" borderId="3" xfId="0" applyNumberFormat="1" applyFont="1" applyBorder="1" applyAlignment="1" applyProtection="1">
      <alignment horizontal="left" vertical="center"/>
      <protection locked="0"/>
    </xf>
    <xf numFmtId="0" fontId="2" fillId="5" borderId="3" xfId="0" applyNumberFormat="1" applyFont="1" applyFill="1" applyBorder="1" applyAlignment="1" applyProtection="1">
      <alignment horizontal="right" vertical="top"/>
      <protection locked="0"/>
    </xf>
    <xf numFmtId="49" fontId="2" fillId="0" borderId="5" xfId="0" applyNumberFormat="1" applyFont="1" applyBorder="1" applyAlignment="1" applyProtection="1">
      <alignment horizontal="left" vertical="center"/>
      <protection locked="0"/>
    </xf>
    <xf numFmtId="0" fontId="2" fillId="5" borderId="5" xfId="0" applyNumberFormat="1" applyFont="1" applyFill="1" applyBorder="1" applyAlignment="1" applyProtection="1">
      <alignment horizontal="right" vertical="top"/>
      <protection locked="0"/>
    </xf>
    <xf numFmtId="0" fontId="2" fillId="0" borderId="5" xfId="0" applyFont="1" applyBorder="1" applyAlignment="1" applyProtection="1">
      <alignment horizontal="left" vertical="center"/>
      <protection locked="0"/>
    </xf>
    <xf numFmtId="0" fontId="18" fillId="3" borderId="5" xfId="0" applyFont="1" applyFill="1" applyBorder="1"/>
    <xf numFmtId="0" fontId="0" fillId="5" borderId="5" xfId="0" applyFill="1" applyBorder="1"/>
    <xf numFmtId="49" fontId="5" fillId="5" borderId="5" xfId="0" applyNumberFormat="1" applyFont="1" applyFill="1" applyBorder="1" applyAlignment="1" applyProtection="1">
      <alignment vertical="center"/>
    </xf>
    <xf numFmtId="49" fontId="1" fillId="5" borderId="1" xfId="0" applyNumberFormat="1" applyFont="1" applyFill="1" applyBorder="1" applyAlignment="1" applyProtection="1">
      <alignment horizontal="left" vertical="center"/>
    </xf>
    <xf numFmtId="49" fontId="1" fillId="5" borderId="2" xfId="0" applyNumberFormat="1" applyFont="1" applyFill="1" applyBorder="1" applyAlignment="1" applyProtection="1">
      <alignment horizontal="left" vertical="center"/>
    </xf>
    <xf numFmtId="49" fontId="3" fillId="5" borderId="3" xfId="0" applyNumberFormat="1" applyFont="1" applyFill="1" applyBorder="1" applyAlignment="1" applyProtection="1">
      <alignment horizontal="left" vertical="center"/>
    </xf>
    <xf numFmtId="49" fontId="3" fillId="5" borderId="5" xfId="0" applyNumberFormat="1" applyFont="1" applyFill="1" applyBorder="1" applyAlignment="1" applyProtection="1">
      <alignment vertical="center"/>
    </xf>
    <xf numFmtId="49" fontId="3" fillId="5" borderId="6" xfId="0" applyNumberFormat="1" applyFont="1" applyFill="1" applyBorder="1" applyAlignment="1" applyProtection="1">
      <alignment vertical="center"/>
    </xf>
    <xf numFmtId="49" fontId="2" fillId="5" borderId="3" xfId="0" applyNumberFormat="1" applyFont="1" applyFill="1" applyBorder="1" applyAlignment="1" applyProtection="1">
      <alignment vertical="center"/>
    </xf>
    <xf numFmtId="49" fontId="2" fillId="5" borderId="5" xfId="0" applyNumberFormat="1" applyFont="1" applyFill="1" applyBorder="1" applyAlignment="1" applyProtection="1">
      <alignment vertical="center"/>
    </xf>
    <xf numFmtId="49" fontId="6" fillId="5" borderId="5" xfId="0" applyNumberFormat="1" applyFont="1" applyFill="1" applyBorder="1" applyAlignment="1" applyProtection="1">
      <alignment vertical="center"/>
    </xf>
    <xf numFmtId="49" fontId="2" fillId="5" borderId="6" xfId="0" applyNumberFormat="1" applyFont="1" applyFill="1" applyBorder="1" applyAlignment="1" applyProtection="1">
      <alignment vertical="center" wrapText="1"/>
    </xf>
    <xf numFmtId="49" fontId="7" fillId="5" borderId="3" xfId="0" applyNumberFormat="1" applyFont="1" applyFill="1" applyBorder="1" applyAlignment="1" applyProtection="1">
      <alignment vertical="center"/>
    </xf>
    <xf numFmtId="49" fontId="7" fillId="5" borderId="5" xfId="0" applyNumberFormat="1" applyFont="1" applyFill="1" applyBorder="1" applyAlignment="1" applyProtection="1">
      <alignment vertical="center"/>
    </xf>
    <xf numFmtId="49" fontId="7" fillId="5" borderId="6" xfId="0" applyNumberFormat="1" applyFont="1" applyFill="1" applyBorder="1" applyAlignment="1" applyProtection="1">
      <alignment horizontal="left" vertical="center"/>
    </xf>
    <xf numFmtId="49" fontId="8" fillId="5" borderId="7" xfId="0" applyNumberFormat="1" applyFont="1" applyFill="1" applyBorder="1" applyAlignment="1" applyProtection="1">
      <alignment vertical="center" wrapText="1"/>
    </xf>
    <xf numFmtId="49" fontId="8" fillId="5" borderId="7" xfId="0" applyNumberFormat="1" applyFont="1" applyFill="1" applyBorder="1" applyAlignment="1" applyProtection="1">
      <alignment vertical="center"/>
    </xf>
    <xf numFmtId="49" fontId="11" fillId="5" borderId="7" xfId="0" applyNumberFormat="1" applyFont="1" applyFill="1" applyBorder="1" applyAlignment="1" applyProtection="1">
      <alignment vertical="center"/>
    </xf>
    <xf numFmtId="49" fontId="12" fillId="5" borderId="7" xfId="0" applyNumberFormat="1" applyFont="1" applyFill="1" applyBorder="1" applyAlignment="1" applyProtection="1">
      <alignment vertical="center"/>
    </xf>
    <xf numFmtId="49" fontId="13" fillId="5" borderId="7" xfId="0" applyNumberFormat="1" applyFont="1" applyFill="1" applyBorder="1" applyAlignment="1" applyProtection="1">
      <alignment vertical="center" wrapText="1"/>
    </xf>
    <xf numFmtId="49" fontId="13" fillId="5" borderId="7" xfId="0" applyNumberFormat="1" applyFont="1" applyFill="1" applyBorder="1" applyAlignment="1" applyProtection="1">
      <alignment vertical="center"/>
    </xf>
    <xf numFmtId="49" fontId="13" fillId="5" borderId="7" xfId="0" applyNumberFormat="1" applyFont="1" applyFill="1" applyBorder="1" applyAlignment="1" applyProtection="1">
      <alignment horizontal="left" vertical="center"/>
    </xf>
    <xf numFmtId="49" fontId="13" fillId="0" borderId="7" xfId="0" applyNumberFormat="1" applyFont="1" applyBorder="1" applyAlignment="1" applyProtection="1">
      <alignment horizontal="left" vertical="center"/>
    </xf>
    <xf numFmtId="49" fontId="16" fillId="5" borderId="8" xfId="0" applyNumberFormat="1" applyFont="1" applyFill="1" applyBorder="1" applyAlignment="1" applyProtection="1">
      <alignment horizontal="left" vertical="center"/>
    </xf>
    <xf numFmtId="0" fontId="37" fillId="5" borderId="5" xfId="0" applyNumberFormat="1" applyFont="1" applyFill="1" applyBorder="1" applyAlignment="1" applyProtection="1">
      <alignment horizontal="right" vertical="top"/>
      <protection locked="0"/>
    </xf>
    <xf numFmtId="49" fontId="37" fillId="0" borderId="48" xfId="0" applyNumberFormat="1" applyFont="1" applyBorder="1" applyAlignment="1" applyProtection="1">
      <alignment horizontal="left" vertical="center"/>
      <protection locked="0"/>
    </xf>
    <xf numFmtId="49" fontId="37" fillId="0" borderId="50" xfId="0" applyNumberFormat="1" applyFont="1" applyBorder="1" applyAlignment="1" applyProtection="1">
      <alignment horizontal="left" vertical="center"/>
      <protection locked="0"/>
    </xf>
    <xf numFmtId="49" fontId="17" fillId="6" borderId="8" xfId="0" applyNumberFormat="1" applyFont="1" applyFill="1" applyBorder="1" applyAlignment="1">
      <alignment horizontal="center" vertical="center"/>
    </xf>
    <xf numFmtId="49" fontId="17" fillId="6" borderId="51" xfId="0" applyNumberFormat="1" applyFont="1" applyFill="1" applyBorder="1" applyAlignment="1">
      <alignment horizontal="center" vertical="center"/>
    </xf>
  </cellXfs>
  <cellStyles count="1">
    <cellStyle name="Normal" xfId="0" builtinId="0"/>
  </cellStyles>
  <dxfs count="21">
    <dxf>
      <font>
        <color rgb="FF000000"/>
      </font>
      <fill>
        <patternFill patternType="solid">
          <fgColor indexed="13"/>
          <bgColor indexed="14"/>
        </patternFill>
      </fill>
    </dxf>
    <dxf>
      <font>
        <color rgb="FF000000"/>
      </font>
      <fill>
        <patternFill patternType="solid">
          <fgColor indexed="13"/>
          <bgColor indexed="9"/>
        </patternFill>
      </fill>
    </dxf>
    <dxf>
      <font>
        <color rgb="FF000000"/>
      </font>
      <fill>
        <patternFill patternType="solid">
          <fgColor indexed="13"/>
          <bgColor indexed="9"/>
        </patternFill>
      </fill>
    </dxf>
    <dxf>
      <font>
        <color rgb="FF000000"/>
      </font>
      <fill>
        <patternFill patternType="solid">
          <bgColor rgb="FFFF8C78"/>
        </patternFill>
      </fill>
    </dxf>
    <dxf>
      <font>
        <color rgb="FFAEAAAA"/>
      </font>
    </dxf>
    <dxf>
      <font>
        <color rgb="FF000000"/>
      </font>
      <fill>
        <patternFill patternType="solid">
          <fgColor indexed="13"/>
          <bgColor indexed="14"/>
        </patternFill>
      </fill>
    </dxf>
    <dxf>
      <font>
        <color rgb="FF000000"/>
      </font>
      <fill>
        <patternFill patternType="solid">
          <fgColor indexed="13"/>
          <bgColor indexed="14"/>
        </patternFill>
      </fill>
    </dxf>
    <dxf>
      <font>
        <color rgb="FFA7A7A7"/>
      </font>
    </dxf>
    <dxf>
      <font>
        <color rgb="FF929292"/>
      </font>
    </dxf>
    <dxf>
      <font>
        <color rgb="FFDDDDDD"/>
      </font>
    </dxf>
    <dxf>
      <font>
        <color rgb="FF000000"/>
      </font>
      <fill>
        <patternFill patternType="solid">
          <fgColor indexed="13"/>
          <bgColor indexed="14"/>
        </patternFill>
      </fill>
    </dxf>
    <dxf>
      <font>
        <color rgb="FF000000"/>
      </font>
      <fill>
        <patternFill patternType="solid">
          <fgColor indexed="13"/>
          <bgColor indexed="19"/>
        </patternFill>
      </fill>
    </dxf>
    <dxf>
      <font>
        <color rgb="FF000000"/>
      </font>
      <fill>
        <patternFill patternType="solid">
          <fgColor indexed="13"/>
          <bgColor indexed="18"/>
        </patternFill>
      </fill>
    </dxf>
    <dxf>
      <font>
        <color auto="1"/>
      </font>
      <fill>
        <patternFill>
          <bgColor rgb="FFFF968C"/>
        </patternFill>
      </fill>
    </dxf>
    <dxf>
      <font>
        <color rgb="FFDDDDDD"/>
      </font>
    </dxf>
    <dxf>
      <font>
        <color rgb="FFDDDDDD"/>
      </font>
    </dxf>
    <dxf>
      <font>
        <color rgb="FF000000"/>
      </font>
      <fill>
        <patternFill patternType="solid">
          <fgColor indexed="13"/>
          <bgColor indexed="14"/>
        </patternFill>
      </fill>
    </dxf>
    <dxf>
      <font>
        <color rgb="FF000000"/>
      </font>
      <fill>
        <patternFill patternType="solid">
          <fgColor indexed="13"/>
          <bgColor indexed="14"/>
        </patternFill>
      </fill>
    </dxf>
    <dxf>
      <font>
        <color rgb="FF000000"/>
      </font>
      <fill>
        <patternFill patternType="solid">
          <fgColor indexed="13"/>
          <bgColor indexed="14"/>
        </patternFill>
      </fill>
    </dxf>
    <dxf>
      <font>
        <color rgb="FF929292"/>
      </font>
    </dxf>
    <dxf>
      <font>
        <color rgb="FF000000"/>
      </font>
      <fill>
        <patternFill patternType="solid">
          <fgColor indexed="13"/>
          <bgColor indexed="14"/>
        </patternFill>
      </fill>
    </dxf>
  </dxfs>
  <tableStyles count="0"/>
  <colors>
    <indexedColors>
      <rgbColor rgb="00000000"/>
      <rgbColor rgb="00FFFFFF"/>
      <rgbColor rgb="00FF0000"/>
      <rgbColor rgb="0000FF00"/>
      <rgbColor rgb="000000FF"/>
      <rgbColor rgb="00FFFF00"/>
      <rgbColor rgb="00FF00FF"/>
      <rgbColor rgb="0000FFFF"/>
      <rgbColor rgb="00000000"/>
      <rgbColor rgb="00FFFFFF"/>
      <rgbColor rgb="00BFBFBF"/>
      <rgbColor rgb="000432FF"/>
      <rgbColor rgb="00C2C2C2"/>
      <rgbColor rgb="00000000"/>
      <rgbColor rgb="00FFD38A"/>
      <rgbColor rgb="00929292"/>
      <rgbColor rgb="00DDDDDD"/>
      <rgbColor rgb="00525252"/>
      <rgbColor rgb="00FF9781"/>
      <rgbColor rgb="00FFD38A"/>
      <rgbColor rgb="00932092"/>
      <rgbColor rgb="00D2D2D2"/>
      <rgbColor rgb="00A7A7A7"/>
      <rgbColor rgb="00FF2600"/>
      <rgbColor rgb="007F7F7F"/>
      <rgbColor rgb="00FF0000"/>
      <rgbColor rgb="00FF0004"/>
      <rgbColor rgb="004D22B2"/>
      <rgbColor rgb="00D4D4D4"/>
      <rgbColor rgb="00D6D6D6"/>
      <rgbColor rgb="00BDC0BF"/>
      <rgbColor rgb="00AAAAAA"/>
      <rgbColor rgb="003F3F3F"/>
      <rgbColor rgb="00A5A5A5"/>
      <rgbColor rgb="00525252"/>
      <rgbColor rgb="00DBDBDB"/>
      <rgbColor rgb="00002EFF"/>
      <rgbColor rgb="000433FF"/>
      <rgbColor rgb="00C00000"/>
      <rgbColor rgb="00002EFF"/>
      <rgbColor rgb="000056D6"/>
      <rgbColor rgb="000230FF"/>
      <rgbColor rgb="00848484"/>
      <rgbColor rgb="00FF9300"/>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3343275</xdr:colOff>
      <xdr:row>0</xdr:row>
      <xdr:rowOff>0</xdr:rowOff>
    </xdr:from>
    <xdr:to>
      <xdr:col>2</xdr:col>
      <xdr:colOff>66675</xdr:colOff>
      <xdr:row>2</xdr:row>
      <xdr:rowOff>0</xdr:rowOff>
    </xdr:to>
    <xdr:sp macro="" textlink="">
      <xdr:nvSpPr>
        <xdr:cNvPr id="1025" name="Rectangle"/>
        <xdr:cNvSpPr>
          <a:spLocks noChangeArrowheads="1"/>
        </xdr:cNvSpPr>
      </xdr:nvSpPr>
      <xdr:spPr bwMode="auto">
        <a:xfrm>
          <a:off x="3343275" y="0"/>
          <a:ext cx="1371600" cy="390525"/>
        </a:xfrm>
        <a:prstGeom prst="rect">
          <a:avLst/>
        </a:prstGeom>
        <a:noFill/>
        <a:ln w="12700">
          <a:solidFill>
            <a:srgbClr val="000000">
              <a:alpha val="392"/>
            </a:srgbClr>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188903</xdr:rowOff>
    </xdr:from>
    <xdr:to>
      <xdr:col>9</xdr:col>
      <xdr:colOff>84015</xdr:colOff>
      <xdr:row>41</xdr:row>
      <xdr:rowOff>2593315</xdr:rowOff>
    </xdr:to>
    <xdr:sp macro="" textlink="">
      <xdr:nvSpPr>
        <xdr:cNvPr id="10" name="Shape 3">
          <a:extLst>
            <a:ext uri="{FF2B5EF4-FFF2-40B4-BE49-F238E27FC236}"/>
          </a:extLst>
        </xdr:cNvPr>
        <xdr:cNvSpPr txBox="1"/>
      </xdr:nvSpPr>
      <xdr:spPr>
        <a:xfrm>
          <a:off x="-17586" y="7894628"/>
          <a:ext cx="4732216" cy="3047668"/>
        </a:xfrm>
        <a:prstGeom prst="rect">
          <a:avLst/>
        </a:prstGeom>
        <a:noFill/>
        <a:ln w="12700" cap="flat">
          <a:noFill/>
          <a:miter lim="400000"/>
        </a:ln>
        <a:effectLst/>
        <a:extLst>
          <a:ext uri="{C572A759-6A51-4108-AA02-DFA0A04FC94B}"/>
        </a:extLst>
      </xdr:spPr>
      <xdr:txBody>
        <a:bodyPr wrap="square" lIns="0" tIns="0" rIns="0" bIns="0" numCol="1" anchor="ctr">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Student’s </a:t>
          </a:r>
          <a:r>
            <a:rPr sz="1000" b="0" i="1" u="none" strike="noStrike" cap="none" spc="0" baseline="0">
              <a:solidFill>
                <a:srgbClr val="000000"/>
              </a:solidFill>
              <a:uFillTx/>
              <a:latin typeface="Arial"/>
              <a:ea typeface="Arial"/>
              <a:cs typeface="Arial"/>
              <a:sym typeface="Arial"/>
            </a:rPr>
            <a:t>t</a:t>
          </a:r>
          <a:r>
            <a:rPr sz="1000" b="0" i="0" u="none" strike="noStrike" cap="none" spc="0" baseline="0">
              <a:solidFill>
                <a:srgbClr val="000000"/>
              </a:solidFill>
              <a:uFillTx/>
              <a:latin typeface="Arial"/>
              <a:ea typeface="Arial"/>
              <a:cs typeface="Arial"/>
              <a:sym typeface="Arial"/>
            </a:rPr>
            <a:t>-distributions have ν degrees of freedom for regions.</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See www.itl.nist.gov/div898/handbook/, 2012.</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Horwitz Ratio - Ref: RSC, M Thompson AMC Technical Brief No.17 July 2004</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https://www.rsc.org/images/horwitz-function-technica.l-brief-17_tcm18-214859.pdf   The "Ideal" Ratio is between 03-1.0. Note that  0.1 is possible for automated sample preparation and handling with modern equipment, but is unlikely for inter-laboratory trials. </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Grubbs’ statistic values are at the 0.05 (95%) level for 1-tail. To remove a result, add text (e.g. 123.4?). Removing 2 results from data sets of &lt;7 is not recommended.  The method is suspect if outliers are in the same tail. </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endParaRPr sz="1000" b="0" i="0" u="none" strike="noStrike" cap="none" spc="0" baseline="0">
            <a:solidFill>
              <a:srgbClr val="000000"/>
            </a:solidFill>
            <a:uFillTx/>
            <a:latin typeface="Arial"/>
            <a:ea typeface="Arial"/>
            <a:cs typeface="Arial"/>
            <a:sym typeface="Arial"/>
          </a:endParaRP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Ref: RSC - Analytical Methods Committee, AMCTB No. 69</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https://pubs.rsc.org/en/content/articlehtml/2015/ay/c5ay90053k    and</a:t>
          </a:r>
        </a:p>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Arial"/>
              <a:ea typeface="Arial"/>
              <a:cs typeface="Arial"/>
              <a:sym typeface="Arial"/>
            </a:defRPr>
          </a:pPr>
          <a:r>
            <a:rPr sz="1000" b="0" i="0" u="none" strike="noStrike" cap="none" spc="0" baseline="0">
              <a:solidFill>
                <a:srgbClr val="000000"/>
              </a:solidFill>
              <a:uFillTx/>
              <a:latin typeface="Arial"/>
              <a:ea typeface="Arial"/>
              <a:cs typeface="Arial"/>
              <a:sym typeface="Arial"/>
            </a:rPr>
            <a:t>Frank E. Grubbs and Glenn Beck, "Extension of Sample Sizes and Percentage Points for Significance Tests of Outlying Observations", Technometrics, 14(4), 847-854 (1972).</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18164</xdr:rowOff>
    </xdr:from>
    <xdr:to>
      <xdr:col>2</xdr:col>
      <xdr:colOff>0</xdr:colOff>
      <xdr:row>19</xdr:row>
      <xdr:rowOff>57056</xdr:rowOff>
    </xdr:to>
    <xdr:sp macro="" textlink="">
      <xdr:nvSpPr>
        <xdr:cNvPr id="12" name="Shape 4">
          <a:extLst>
            <a:ext uri="{FF2B5EF4-FFF2-40B4-BE49-F238E27FC236}"/>
          </a:extLst>
        </xdr:cNvPr>
        <xdr:cNvSpPr txBox="1"/>
      </xdr:nvSpPr>
      <xdr:spPr>
        <a:xfrm>
          <a:off x="-19050" y="2828039"/>
          <a:ext cx="3054839" cy="800893"/>
        </a:xfrm>
        <a:prstGeom prst="rect">
          <a:avLst/>
        </a:prstGeom>
        <a:noFill/>
        <a:ln w="12700" cap="flat">
          <a:noFill/>
          <a:miter lim="400000"/>
        </a:ln>
        <a:effectLst/>
        <a:extLst>
          <a:ext uri="{C572A759-6A51-4108-AA02-DFA0A04FC94B}"/>
        </a:extLst>
      </xdr:spPr>
      <xdr:txBody>
        <a:bodyPr wrap="square" lIns="45699" tIns="45699" rIns="45699" bIns="4569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Arial"/>
              <a:ea typeface="Arial"/>
              <a:cs typeface="Arial"/>
              <a:sym typeface="Arial"/>
            </a:defRPr>
          </a:pPr>
          <a:r>
            <a:rPr sz="1100" b="0" i="0" u="none" strike="noStrike" cap="none" spc="0" baseline="0">
              <a:solidFill>
                <a:srgbClr val="000000"/>
              </a:solidFill>
              <a:uFillTx/>
              <a:latin typeface="Arial"/>
              <a:ea typeface="Arial"/>
              <a:cs typeface="Arial"/>
              <a:sym typeface="Arial"/>
            </a:rPr>
            <a:t>If a Unit is added, changed, or deleted - Check that changes to the Unit are in the [MainTable] </a:t>
          </a:r>
          <a:r>
            <a:rPr sz="1100" b="1" i="0" u="none" strike="noStrike" cap="none" spc="0" baseline="0">
              <a:solidFill>
                <a:srgbClr val="002FFF"/>
              </a:solidFill>
              <a:uFillTx/>
              <a:latin typeface="Arial"/>
              <a:ea typeface="Arial"/>
              <a:cs typeface="Arial"/>
              <a:sym typeface="Arial"/>
            </a:rPr>
            <a:t>Units</a:t>
          </a:r>
          <a:r>
            <a:rPr sz="1100" b="0" i="0" u="none" strike="noStrike" cap="none" spc="0" baseline="0">
              <a:solidFill>
                <a:srgbClr val="0433FF"/>
              </a:solidFill>
              <a:uFillTx/>
              <a:latin typeface="Arial"/>
              <a:ea typeface="Arial"/>
              <a:cs typeface="Arial"/>
              <a:sym typeface="Arial"/>
            </a:rPr>
            <a:t> </a:t>
          </a:r>
          <a:r>
            <a:rPr sz="1100" b="0" i="0" u="none" strike="noStrike" cap="none" spc="0" baseline="0">
              <a:solidFill>
                <a:srgbClr val="000000"/>
              </a:solidFill>
              <a:uFillTx/>
              <a:latin typeface="Arial"/>
              <a:ea typeface="Arial"/>
              <a:cs typeface="Arial"/>
              <a:sym typeface="Arial"/>
            </a:rPr>
            <a:t>Pop-Up Menu.  If there is a mismatch Error Warnings will be displayed…</a:t>
          </a: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
  <sheetViews>
    <sheetView showGridLines="0" showRowColHeaders="0" tabSelected="1" workbookViewId="0">
      <pane xSplit="1" topLeftCell="B1" activePane="topRight" state="frozen"/>
      <selection pane="topRight" activeCell="H5" sqref="H5"/>
    </sheetView>
  </sheetViews>
  <sheetFormatPr defaultColWidth="0" defaultRowHeight="15.2" customHeight="1" zeroHeight="1"/>
  <cols>
    <col min="1" max="1" width="44" style="1" customWidth="1"/>
    <col min="2" max="2" width="17" style="1" customWidth="1"/>
    <col min="3" max="3" width="16.875" style="1" customWidth="1"/>
    <col min="4" max="4" width="16.75" style="1" customWidth="1"/>
    <col min="5" max="5" width="17.375" style="1" customWidth="1"/>
    <col min="6" max="6" width="17.25" style="1" customWidth="1"/>
    <col min="7" max="7" width="17.5" style="1" customWidth="1"/>
    <col min="8" max="8" width="19.375" style="1" customWidth="1"/>
    <col min="9" max="9" width="20.75" style="1" customWidth="1"/>
    <col min="10" max="10" width="18.375" style="1" customWidth="1"/>
    <col min="11" max="11" width="19.25" style="1" customWidth="1"/>
    <col min="12" max="12" width="18.25" style="1" customWidth="1"/>
    <col min="13" max="13" width="19.5" style="1" customWidth="1"/>
    <col min="14" max="14" width="19.375" style="1" customWidth="1"/>
    <col min="15" max="15" width="17.875" style="1" customWidth="1"/>
    <col min="16" max="16" width="18.375" style="1" customWidth="1"/>
    <col min="17" max="17" width="20.375" style="1" customWidth="1"/>
    <col min="18" max="18" width="18.875" style="1" customWidth="1"/>
    <col min="19" max="19" width="18" style="1" customWidth="1"/>
    <col min="20" max="20" width="18.25" style="1" customWidth="1"/>
    <col min="21" max="23" width="18.5" style="1" customWidth="1"/>
    <col min="24" max="16384" width="8.875" style="1" hidden="1"/>
  </cols>
  <sheetData>
    <row r="1" spans="1:37" ht="15.75" customHeight="1">
      <c r="A1" s="103" t="s">
        <v>0</v>
      </c>
      <c r="B1" s="2" t="str">
        <f>IF(ISTEXT(SampleResults!$A$1),SampleResults!$A$1,"TestName")</f>
        <v>ICP-MS</v>
      </c>
      <c r="C1" s="2" t="str">
        <f>IF(ISTEXT(SampleResults!$A$1),SampleResults!$A$1,"TestName")</f>
        <v>ICP-MS</v>
      </c>
      <c r="D1" s="2" t="str">
        <f>IF(ISTEXT(SampleResults!$A$1),SampleResults!$A$1,"TestName")</f>
        <v>ICP-MS</v>
      </c>
      <c r="E1" s="2" t="str">
        <f>IF(ISTEXT(SampleResults!$A$1),SampleResults!$A$1,"TestName")</f>
        <v>ICP-MS</v>
      </c>
      <c r="F1" s="2" t="str">
        <f>IF(ISTEXT(SampleResults!$A$1),SampleResults!$A$1,"TestName")</f>
        <v>ICP-MS</v>
      </c>
      <c r="G1" s="2" t="str">
        <f>IF(ISTEXT(SampleResults!$A$1),SampleResults!$A$1,"TestName")</f>
        <v>ICP-MS</v>
      </c>
      <c r="H1" s="2" t="str">
        <f>IF(ISTEXT(SampleResults!$A$1),SampleResults!$A$1,"TestName")</f>
        <v>ICP-MS</v>
      </c>
      <c r="I1" s="2" t="str">
        <f>IF(ISTEXT(SampleResults!$A$1),SampleResults!$A$1,"TestName")</f>
        <v>ICP-MS</v>
      </c>
      <c r="J1" s="2" t="str">
        <f>IF(ISTEXT(SampleResults!$A$1),SampleResults!$A$1,"TestName")</f>
        <v>ICP-MS</v>
      </c>
      <c r="K1" s="2" t="str">
        <f>IF(ISTEXT(SampleResults!$A$1),SampleResults!$A$1,"TestName")</f>
        <v>ICP-MS</v>
      </c>
      <c r="L1" s="2" t="str">
        <f>IF(ISTEXT(SampleResults!$A$1),SampleResults!$A$1,"TestName")</f>
        <v>ICP-MS</v>
      </c>
      <c r="M1" s="2" t="str">
        <f>IF(ISTEXT(SampleResults!$A$1),SampleResults!$A$1,"TestName")</f>
        <v>ICP-MS</v>
      </c>
      <c r="N1" s="2" t="str">
        <f>IF(ISTEXT(SampleResults!$A$1),SampleResults!$A$1,"TestName")</f>
        <v>ICP-MS</v>
      </c>
      <c r="O1" s="2" t="str">
        <f>IF(ISTEXT(SampleResults!$A$1),SampleResults!$A$1,"TestName")</f>
        <v>ICP-MS</v>
      </c>
      <c r="P1" s="2" t="str">
        <f>IF(ISTEXT(SampleResults!$A$1),SampleResults!$A$1,"TestName")</f>
        <v>ICP-MS</v>
      </c>
      <c r="Q1" s="2" t="str">
        <f>IF(ISTEXT(SampleResults!$A$1),SampleResults!$A$1,"TestName")</f>
        <v>ICP-MS</v>
      </c>
      <c r="R1" s="2" t="str">
        <f>IF(ISTEXT(SampleResults!$A$1),SampleResults!$A$1,"TestName")</f>
        <v>ICP-MS</v>
      </c>
      <c r="S1" s="2" t="str">
        <f>IF(ISTEXT(SampleResults!$A$1),SampleResults!$A$1,"TestName")</f>
        <v>ICP-MS</v>
      </c>
      <c r="T1" s="2" t="str">
        <f>IF(ISTEXT(SampleResults!$A$1),SampleResults!$A$1,"TestName")</f>
        <v>ICP-MS</v>
      </c>
      <c r="U1" s="2" t="str">
        <f>IF(ISTEXT(SampleResults!$A$1),SampleResults!$A$1,"TestName")</f>
        <v>ICP-MS</v>
      </c>
      <c r="V1" s="2" t="str">
        <f>IF(ISTEXT(SampleResults!$A$1),SampleResults!$A$1,"TestName")</f>
        <v>ICP-MS</v>
      </c>
      <c r="W1" s="2" t="str">
        <f>IF(ISTEXT(SampleResults!$A$1),SampleResults!$A$1,"TestName")</f>
        <v>ICP-MS</v>
      </c>
    </row>
    <row r="2" spans="1:37" ht="15" customHeight="1">
      <c r="A2" s="104" t="s">
        <v>1</v>
      </c>
      <c r="B2" s="3" t="str">
        <f>SampleResults!B1</f>
        <v>Al</v>
      </c>
      <c r="C2" s="3" t="str">
        <f>SampleResults!C1</f>
        <v>As</v>
      </c>
      <c r="D2" s="3" t="str">
        <f>SampleResults!D1</f>
        <v>B</v>
      </c>
      <c r="E2" s="3" t="str">
        <f>SampleResults!E1</f>
        <v>Ba</v>
      </c>
      <c r="F2" s="3" t="str">
        <f>SampleResults!F1</f>
        <v>Be</v>
      </c>
      <c r="G2" s="3" t="str">
        <f>SampleResults!G1</f>
        <v>Cd</v>
      </c>
      <c r="H2" s="3" t="str">
        <f>SampleResults!H1</f>
        <v>Co</v>
      </c>
      <c r="I2" s="3" t="str">
        <f>SampleResults!I1</f>
        <v>Cr</v>
      </c>
      <c r="J2" s="3" t="str">
        <f>SampleResults!J1</f>
        <v>Cu</v>
      </c>
      <c r="K2" s="3" t="str">
        <f>SampleResults!K1</f>
        <v>Fe</v>
      </c>
      <c r="L2" s="3" t="str">
        <f>SampleResults!L1</f>
        <v>Hg</v>
      </c>
      <c r="M2" s="3" t="str">
        <f>SampleResults!M1</f>
        <v>Mn</v>
      </c>
      <c r="N2" s="3" t="str">
        <f>SampleResults!N1</f>
        <v>Mo</v>
      </c>
      <c r="O2" s="3" t="str">
        <f>SampleResults!O1</f>
        <v>Ni</v>
      </c>
      <c r="P2" s="3" t="str">
        <f>SampleResults!P1</f>
        <v>Pb</v>
      </c>
      <c r="Q2" s="3" t="str">
        <f>SampleResults!Q1</f>
        <v>Sb</v>
      </c>
      <c r="R2" s="3" t="str">
        <f>SampleResults!R1</f>
        <v>Se</v>
      </c>
      <c r="S2" s="3" t="str">
        <f>SampleResults!S1</f>
        <v>Sn</v>
      </c>
      <c r="T2" s="3" t="str">
        <f>SampleResults!T1</f>
        <v>Sr</v>
      </c>
      <c r="U2" s="3" t="str">
        <f>SampleResults!U1</f>
        <v>Ti</v>
      </c>
      <c r="V2" s="3" t="str">
        <f>SampleResults!V1</f>
        <v>V</v>
      </c>
      <c r="W2" s="3" t="str">
        <f>SampleResults!W1</f>
        <v>Zn</v>
      </c>
    </row>
    <row r="3" spans="1:37" ht="15" customHeight="1">
      <c r="A3" s="105" t="s">
        <v>2</v>
      </c>
      <c r="B3" s="86" t="s">
        <v>99</v>
      </c>
      <c r="C3" s="4" t="str">
        <f t="shared" ref="C3:W3" si="0">B3</f>
        <v>Spike</v>
      </c>
      <c r="D3" s="4" t="str">
        <f t="shared" si="0"/>
        <v>Spike</v>
      </c>
      <c r="E3" s="4" t="str">
        <f t="shared" si="0"/>
        <v>Spike</v>
      </c>
      <c r="F3" s="4" t="str">
        <f t="shared" si="0"/>
        <v>Spike</v>
      </c>
      <c r="G3" s="4" t="str">
        <f t="shared" si="0"/>
        <v>Spike</v>
      </c>
      <c r="H3" s="4" t="str">
        <f t="shared" si="0"/>
        <v>Spike</v>
      </c>
      <c r="I3" s="4" t="str">
        <f t="shared" si="0"/>
        <v>Spike</v>
      </c>
      <c r="J3" s="4" t="str">
        <f t="shared" si="0"/>
        <v>Spike</v>
      </c>
      <c r="K3" s="4" t="str">
        <f t="shared" si="0"/>
        <v>Spike</v>
      </c>
      <c r="L3" s="4" t="str">
        <f t="shared" si="0"/>
        <v>Spike</v>
      </c>
      <c r="M3" s="4" t="str">
        <f t="shared" si="0"/>
        <v>Spike</v>
      </c>
      <c r="N3" s="4" t="str">
        <f t="shared" si="0"/>
        <v>Spike</v>
      </c>
      <c r="O3" s="4" t="str">
        <f t="shared" si="0"/>
        <v>Spike</v>
      </c>
      <c r="P3" s="4" t="str">
        <f t="shared" si="0"/>
        <v>Spike</v>
      </c>
      <c r="Q3" s="4" t="str">
        <f t="shared" si="0"/>
        <v>Spike</v>
      </c>
      <c r="R3" s="4" t="str">
        <f t="shared" si="0"/>
        <v>Spike</v>
      </c>
      <c r="S3" s="4" t="str">
        <f t="shared" si="0"/>
        <v>Spike</v>
      </c>
      <c r="T3" s="4" t="str">
        <f t="shared" si="0"/>
        <v>Spike</v>
      </c>
      <c r="U3" s="4" t="str">
        <f t="shared" si="0"/>
        <v>Spike</v>
      </c>
      <c r="V3" s="4" t="str">
        <f t="shared" si="0"/>
        <v>Spike</v>
      </c>
      <c r="W3" s="4" t="str">
        <f t="shared" si="0"/>
        <v>Spike</v>
      </c>
    </row>
    <row r="4" spans="1:37" ht="15" customHeight="1">
      <c r="A4" s="106" t="s">
        <v>3</v>
      </c>
      <c r="B4" s="87" t="s">
        <v>4</v>
      </c>
      <c r="C4" s="5" t="str">
        <f t="shared" ref="C4:W4" si="1">B4</f>
        <v>µg/kg</v>
      </c>
      <c r="D4" s="5" t="str">
        <f t="shared" si="1"/>
        <v>µg/kg</v>
      </c>
      <c r="E4" s="5" t="str">
        <f t="shared" si="1"/>
        <v>µg/kg</v>
      </c>
      <c r="F4" s="5" t="str">
        <f t="shared" si="1"/>
        <v>µg/kg</v>
      </c>
      <c r="G4" s="5" t="str">
        <f t="shared" si="1"/>
        <v>µg/kg</v>
      </c>
      <c r="H4" s="5" t="str">
        <f t="shared" si="1"/>
        <v>µg/kg</v>
      </c>
      <c r="I4" s="5" t="str">
        <f t="shared" si="1"/>
        <v>µg/kg</v>
      </c>
      <c r="J4" s="5" t="str">
        <f t="shared" si="1"/>
        <v>µg/kg</v>
      </c>
      <c r="K4" s="5" t="str">
        <f t="shared" si="1"/>
        <v>µg/kg</v>
      </c>
      <c r="L4" s="5" t="str">
        <f t="shared" si="1"/>
        <v>µg/kg</v>
      </c>
      <c r="M4" s="5" t="str">
        <f t="shared" si="1"/>
        <v>µg/kg</v>
      </c>
      <c r="N4" s="5" t="str">
        <f t="shared" si="1"/>
        <v>µg/kg</v>
      </c>
      <c r="O4" s="5" t="str">
        <f t="shared" si="1"/>
        <v>µg/kg</v>
      </c>
      <c r="P4" s="5" t="str">
        <f t="shared" si="1"/>
        <v>µg/kg</v>
      </c>
      <c r="Q4" s="5" t="str">
        <f t="shared" si="1"/>
        <v>µg/kg</v>
      </c>
      <c r="R4" s="5" t="str">
        <f t="shared" si="1"/>
        <v>µg/kg</v>
      </c>
      <c r="S4" s="5" t="str">
        <f t="shared" si="1"/>
        <v>µg/kg</v>
      </c>
      <c r="T4" s="5" t="str">
        <f t="shared" si="1"/>
        <v>µg/kg</v>
      </c>
      <c r="U4" s="5" t="str">
        <f t="shared" si="1"/>
        <v>µg/kg</v>
      </c>
      <c r="V4" s="5" t="str">
        <f t="shared" si="1"/>
        <v>µg/kg</v>
      </c>
      <c r="W4" s="5" t="str">
        <f t="shared" si="1"/>
        <v>µg/kg</v>
      </c>
    </row>
    <row r="5" spans="1:37" s="81" customFormat="1" ht="14.25" customHeight="1">
      <c r="A5" s="102" t="str">
        <f>B3&amp;" Concentration"</f>
        <v>Spike Concentration</v>
      </c>
      <c r="B5" s="79">
        <v>95.14</v>
      </c>
      <c r="C5" s="79">
        <v>2.2000000000000002</v>
      </c>
      <c r="D5" s="79">
        <v>99</v>
      </c>
      <c r="E5" s="79">
        <v>90</v>
      </c>
      <c r="F5" s="79">
        <v>92</v>
      </c>
      <c r="G5" s="79">
        <v>9</v>
      </c>
      <c r="H5" s="79">
        <v>95</v>
      </c>
      <c r="I5" s="79">
        <v>90</v>
      </c>
      <c r="J5" s="79">
        <v>90</v>
      </c>
      <c r="K5" s="79">
        <v>90</v>
      </c>
      <c r="L5" s="79">
        <v>1</v>
      </c>
      <c r="M5" s="79">
        <v>90</v>
      </c>
      <c r="N5" s="79">
        <v>93</v>
      </c>
      <c r="O5" s="79">
        <v>99</v>
      </c>
      <c r="P5" s="79">
        <v>90</v>
      </c>
      <c r="Q5" s="79">
        <v>93</v>
      </c>
      <c r="R5" s="79">
        <v>99</v>
      </c>
      <c r="S5" s="79">
        <v>90</v>
      </c>
      <c r="T5" s="79">
        <v>93</v>
      </c>
      <c r="U5" s="79">
        <v>99</v>
      </c>
      <c r="V5" s="79">
        <v>100</v>
      </c>
      <c r="W5" s="79">
        <v>50</v>
      </c>
    </row>
    <row r="6" spans="1:37" s="81" customFormat="1" ht="14.25" customHeight="1">
      <c r="A6" s="102" t="str">
        <f>IF(B6&gt;B5,"MDL Must be &lt; 'Spike' Value","MDL - Optional (From Mean of Previous Low Spikes)")</f>
        <v>MDL - Optional (From Mean of Previous Low Spikes)</v>
      </c>
      <c r="B6" s="79">
        <v>11</v>
      </c>
      <c r="C6" s="79">
        <v>0.1</v>
      </c>
      <c r="D6" s="80"/>
      <c r="E6" s="80"/>
      <c r="F6" s="80"/>
      <c r="G6" s="80"/>
      <c r="H6" s="80"/>
      <c r="I6" s="80"/>
      <c r="J6" s="80"/>
      <c r="K6" s="80"/>
      <c r="L6" s="80"/>
      <c r="M6" s="80"/>
      <c r="N6" s="80"/>
      <c r="O6" s="80"/>
      <c r="P6" s="80"/>
      <c r="Q6" s="80"/>
      <c r="R6" s="80"/>
      <c r="S6" s="80"/>
      <c r="T6" s="80"/>
      <c r="U6" s="80"/>
      <c r="V6" s="80"/>
      <c r="W6" s="80"/>
    </row>
    <row r="7" spans="1:37" ht="14.25" customHeight="1">
      <c r="A7" s="107" t="s">
        <v>5</v>
      </c>
      <c r="B7" s="88">
        <v>2</v>
      </c>
      <c r="C7" s="6">
        <f t="shared" ref="C7:W7" si="2">$B$7</f>
        <v>2</v>
      </c>
      <c r="D7" s="6">
        <f t="shared" si="2"/>
        <v>2</v>
      </c>
      <c r="E7" s="6">
        <f t="shared" si="2"/>
        <v>2</v>
      </c>
      <c r="F7" s="6">
        <f t="shared" si="2"/>
        <v>2</v>
      </c>
      <c r="G7" s="6">
        <f t="shared" si="2"/>
        <v>2</v>
      </c>
      <c r="H7" s="6">
        <f t="shared" si="2"/>
        <v>2</v>
      </c>
      <c r="I7" s="6">
        <f t="shared" si="2"/>
        <v>2</v>
      </c>
      <c r="J7" s="6">
        <f t="shared" si="2"/>
        <v>2</v>
      </c>
      <c r="K7" s="6">
        <f t="shared" si="2"/>
        <v>2</v>
      </c>
      <c r="L7" s="6">
        <f t="shared" si="2"/>
        <v>2</v>
      </c>
      <c r="M7" s="6">
        <f t="shared" si="2"/>
        <v>2</v>
      </c>
      <c r="N7" s="6">
        <f t="shared" si="2"/>
        <v>2</v>
      </c>
      <c r="O7" s="6">
        <f t="shared" si="2"/>
        <v>2</v>
      </c>
      <c r="P7" s="6">
        <f t="shared" si="2"/>
        <v>2</v>
      </c>
      <c r="Q7" s="6">
        <f t="shared" si="2"/>
        <v>2</v>
      </c>
      <c r="R7" s="6">
        <f t="shared" si="2"/>
        <v>2</v>
      </c>
      <c r="S7" s="6">
        <f t="shared" si="2"/>
        <v>2</v>
      </c>
      <c r="T7" s="6">
        <f t="shared" si="2"/>
        <v>2</v>
      </c>
      <c r="U7" s="6">
        <f t="shared" si="2"/>
        <v>2</v>
      </c>
      <c r="V7" s="6">
        <f t="shared" si="2"/>
        <v>2</v>
      </c>
      <c r="W7" s="6">
        <f t="shared" si="2"/>
        <v>2</v>
      </c>
    </row>
    <row r="8" spans="1:37" ht="14.25" customHeight="1">
      <c r="A8" s="108" t="s">
        <v>6</v>
      </c>
      <c r="B8" s="89" t="str">
        <f t="shared" ref="B8:W8" si="3">IF(B34&gt;0,B26+B34&amp;" ("&amp;B34&amp;" Excluded!)",B26)</f>
        <v>9 (1 Excluded!)</v>
      </c>
      <c r="C8" s="89">
        <f t="shared" si="3"/>
        <v>9</v>
      </c>
      <c r="D8" s="89">
        <f t="shared" si="3"/>
        <v>9</v>
      </c>
      <c r="E8" s="89">
        <f t="shared" si="3"/>
        <v>9</v>
      </c>
      <c r="F8" s="89">
        <f t="shared" si="3"/>
        <v>9</v>
      </c>
      <c r="G8" s="89">
        <f t="shared" si="3"/>
        <v>9</v>
      </c>
      <c r="H8" s="89">
        <f t="shared" si="3"/>
        <v>9</v>
      </c>
      <c r="I8" s="89">
        <f t="shared" si="3"/>
        <v>9</v>
      </c>
      <c r="J8" s="89">
        <f t="shared" si="3"/>
        <v>9</v>
      </c>
      <c r="K8" s="89">
        <f t="shared" si="3"/>
        <v>9</v>
      </c>
      <c r="L8" s="89">
        <f t="shared" si="3"/>
        <v>9</v>
      </c>
      <c r="M8" s="89">
        <f t="shared" si="3"/>
        <v>9</v>
      </c>
      <c r="N8" s="89">
        <f t="shared" si="3"/>
        <v>9</v>
      </c>
      <c r="O8" s="89">
        <f t="shared" si="3"/>
        <v>9</v>
      </c>
      <c r="P8" s="89">
        <f t="shared" si="3"/>
        <v>9</v>
      </c>
      <c r="Q8" s="89">
        <f t="shared" si="3"/>
        <v>9</v>
      </c>
      <c r="R8" s="89">
        <f t="shared" si="3"/>
        <v>9</v>
      </c>
      <c r="S8" s="89">
        <f t="shared" si="3"/>
        <v>9</v>
      </c>
      <c r="T8" s="89">
        <f t="shared" si="3"/>
        <v>9</v>
      </c>
      <c r="U8" s="89">
        <f t="shared" si="3"/>
        <v>9</v>
      </c>
      <c r="V8" s="89">
        <f t="shared" si="3"/>
        <v>9</v>
      </c>
      <c r="W8" s="89">
        <f t="shared" si="3"/>
        <v>9</v>
      </c>
    </row>
    <row r="9" spans="1:37" ht="14.25" customHeight="1">
      <c r="A9" s="109" t="s">
        <v>7</v>
      </c>
      <c r="B9" s="90">
        <f t="shared" ref="B9:W9" si="4">IF(B26&gt;0,B21/B20,0)</f>
        <v>7.6682302939923758E-2</v>
      </c>
      <c r="C9" s="90">
        <f t="shared" si="4"/>
        <v>8.7580377258113851E-2</v>
      </c>
      <c r="D9" s="90">
        <f t="shared" si="4"/>
        <v>7.045673305100833E-2</v>
      </c>
      <c r="E9" s="90">
        <f t="shared" si="4"/>
        <v>0.3815399121797986</v>
      </c>
      <c r="F9" s="90">
        <f t="shared" si="4"/>
        <v>9.7060443550110467E-2</v>
      </c>
      <c r="G9" s="90">
        <f t="shared" si="4"/>
        <v>6.9070129349312531E-2</v>
      </c>
      <c r="H9" s="90">
        <f t="shared" si="4"/>
        <v>7.08645726024099E-2</v>
      </c>
      <c r="I9" s="90">
        <f t="shared" si="4"/>
        <v>0.12118444471668219</v>
      </c>
      <c r="J9" s="90">
        <f t="shared" si="4"/>
        <v>7.4300182269154857E-2</v>
      </c>
      <c r="K9" s="90">
        <f t="shared" si="4"/>
        <v>1.4988595210097755</v>
      </c>
      <c r="L9" s="90">
        <f t="shared" si="4"/>
        <v>7.4094539903529696E-2</v>
      </c>
      <c r="M9" s="90">
        <f t="shared" si="4"/>
        <v>9.747435293134081E-2</v>
      </c>
      <c r="N9" s="90">
        <f t="shared" si="4"/>
        <v>0.28438523752567352</v>
      </c>
      <c r="O9" s="90">
        <f t="shared" si="4"/>
        <v>7.2463713756523537E-2</v>
      </c>
      <c r="P9" s="90">
        <f t="shared" si="4"/>
        <v>0.11202379756601499</v>
      </c>
      <c r="Q9" s="90">
        <f t="shared" si="4"/>
        <v>0.10102382786183926</v>
      </c>
      <c r="R9" s="90">
        <f t="shared" si="4"/>
        <v>7.1994487362872783E-2</v>
      </c>
      <c r="S9" s="90">
        <f t="shared" si="4"/>
        <v>7.8218621265017982E-2</v>
      </c>
      <c r="T9" s="90">
        <f t="shared" si="4"/>
        <v>9.4786275145052667E-2</v>
      </c>
      <c r="U9" s="90">
        <f t="shared" si="4"/>
        <v>8.8267529681359966E-2</v>
      </c>
      <c r="V9" s="90">
        <f t="shared" si="4"/>
        <v>9.8385817535507361E-2</v>
      </c>
      <c r="W9" s="90">
        <f t="shared" si="4"/>
        <v>9.4206580163267925E-2</v>
      </c>
    </row>
    <row r="10" spans="1:37" ht="14.1" customHeight="1">
      <c r="A10" s="109" t="s">
        <v>8</v>
      </c>
      <c r="B10" s="90">
        <f t="shared" ref="B10:W10" si="5">IFERROR(IF(B3="Blank",0,(1-B16)),0)</f>
        <v>0.1258408660920749</v>
      </c>
      <c r="C10" s="90">
        <f t="shared" si="5"/>
        <v>0.26969696969696988</v>
      </c>
      <c r="D10" s="90">
        <f t="shared" si="5"/>
        <v>3.6992143658810206E-2</v>
      </c>
      <c r="E10" s="90">
        <f t="shared" si="5"/>
        <v>-0.22233333333333349</v>
      </c>
      <c r="F10" s="90">
        <f t="shared" si="5"/>
        <v>0.11479468599033826</v>
      </c>
      <c r="G10" s="90">
        <f t="shared" si="5"/>
        <v>-3.2592592592592728E-2</v>
      </c>
      <c r="H10" s="90">
        <f t="shared" si="5"/>
        <v>-2.1052631578947434E-2</v>
      </c>
      <c r="I10" s="90">
        <f t="shared" si="5"/>
        <v>0.10455555555555562</v>
      </c>
      <c r="J10" s="90">
        <f t="shared" si="5"/>
        <v>-3.4567901234567877E-2</v>
      </c>
      <c r="K10" s="90">
        <f t="shared" si="5"/>
        <v>-1.2596296296296292</v>
      </c>
      <c r="L10" s="90">
        <f t="shared" si="5"/>
        <v>0.16366666666666663</v>
      </c>
      <c r="M10" s="90">
        <f t="shared" si="5"/>
        <v>-8.8888888888888795E-2</v>
      </c>
      <c r="N10" s="90">
        <f t="shared" si="5"/>
        <v>-0.18160095579450419</v>
      </c>
      <c r="O10" s="90">
        <f t="shared" si="5"/>
        <v>0.16235690235690237</v>
      </c>
      <c r="P10" s="90">
        <f t="shared" si="5"/>
        <v>-9.7530864197530764E-2</v>
      </c>
      <c r="Q10" s="90">
        <f t="shared" si="5"/>
        <v>-9.0800477897251985E-2</v>
      </c>
      <c r="R10" s="90">
        <f t="shared" si="5"/>
        <v>0.16123456790123469</v>
      </c>
      <c r="S10" s="90">
        <f t="shared" si="5"/>
        <v>-0.11851851851851847</v>
      </c>
      <c r="T10" s="90">
        <f t="shared" si="5"/>
        <v>0.12333333333333329</v>
      </c>
      <c r="U10" s="90">
        <f t="shared" si="5"/>
        <v>8.1930415263748668E-2</v>
      </c>
      <c r="V10" s="90">
        <f t="shared" si="5"/>
        <v>0.15111111111111097</v>
      </c>
      <c r="W10" s="90">
        <f t="shared" si="5"/>
        <v>0.15133333333333343</v>
      </c>
    </row>
    <row r="11" spans="1:37" ht="14.1" customHeight="1">
      <c r="A11" s="110" t="s">
        <v>9</v>
      </c>
      <c r="B11" s="7">
        <f t="shared" ref="B11:W11" si="6">((B9*100)/B25)</f>
        <v>0.34855592245419892</v>
      </c>
      <c r="C11" s="7">
        <f t="shared" si="6"/>
        <v>0.39809262390051747</v>
      </c>
      <c r="D11" s="7">
        <f t="shared" si="6"/>
        <v>0.32025787750458334</v>
      </c>
      <c r="E11" s="7">
        <f t="shared" si="6"/>
        <v>1.7342723280899934</v>
      </c>
      <c r="F11" s="7">
        <f t="shared" si="6"/>
        <v>0.44118383431868397</v>
      </c>
      <c r="G11" s="7">
        <f t="shared" si="6"/>
        <v>0.31395513340596604</v>
      </c>
      <c r="H11" s="7">
        <f t="shared" si="6"/>
        <v>0.32211169364731773</v>
      </c>
      <c r="I11" s="7">
        <f t="shared" si="6"/>
        <v>0.55083838507582816</v>
      </c>
      <c r="J11" s="7">
        <f t="shared" si="6"/>
        <v>0.33772810122343117</v>
      </c>
      <c r="K11" s="7">
        <f t="shared" si="6"/>
        <v>6.812997822771707</v>
      </c>
      <c r="L11" s="7">
        <f t="shared" si="6"/>
        <v>0.33679336319786224</v>
      </c>
      <c r="M11" s="7">
        <f t="shared" si="6"/>
        <v>0.4430652405970037</v>
      </c>
      <c r="N11" s="7">
        <f t="shared" si="6"/>
        <v>1.2926601705712433</v>
      </c>
      <c r="O11" s="7">
        <f t="shared" si="6"/>
        <v>0.32938051707510696</v>
      </c>
      <c r="P11" s="7">
        <f t="shared" si="6"/>
        <v>0.50919907984552271</v>
      </c>
      <c r="Q11" s="7">
        <f t="shared" si="6"/>
        <v>0.45919921755381482</v>
      </c>
      <c r="R11" s="7">
        <f t="shared" si="6"/>
        <v>0.32724766983123993</v>
      </c>
      <c r="S11" s="7">
        <f t="shared" si="6"/>
        <v>0.35553918756826353</v>
      </c>
      <c r="T11" s="7">
        <f t="shared" si="6"/>
        <v>0.43084670520478485</v>
      </c>
      <c r="U11" s="7">
        <f t="shared" si="6"/>
        <v>0.40121604400618166</v>
      </c>
      <c r="V11" s="7">
        <f t="shared" si="6"/>
        <v>0.44720826152503346</v>
      </c>
      <c r="W11" s="7">
        <f t="shared" si="6"/>
        <v>0.42821172801485419</v>
      </c>
    </row>
    <row r="12" spans="1:37" ht="14.1" customHeight="1">
      <c r="A12" s="111" t="s">
        <v>10</v>
      </c>
      <c r="B12" s="8">
        <f t="shared" ref="B12:W12" si="7">IFERROR(IF(B30&lt;B32,IF(B31&lt;B32,0,B18),B19),0)</f>
        <v>0</v>
      </c>
      <c r="C12" s="8">
        <f t="shared" si="7"/>
        <v>0</v>
      </c>
      <c r="D12" s="8">
        <f t="shared" si="7"/>
        <v>0</v>
      </c>
      <c r="E12" s="8">
        <f t="shared" si="7"/>
        <v>220.1</v>
      </c>
      <c r="F12" s="8">
        <f t="shared" si="7"/>
        <v>0</v>
      </c>
      <c r="G12" s="8">
        <f t="shared" si="7"/>
        <v>0</v>
      </c>
      <c r="H12" s="8">
        <f t="shared" si="7"/>
        <v>0</v>
      </c>
      <c r="I12" s="8">
        <f t="shared" si="7"/>
        <v>59.97</v>
      </c>
      <c r="J12" s="8">
        <f t="shared" si="7"/>
        <v>0</v>
      </c>
      <c r="K12" s="8">
        <f t="shared" si="7"/>
        <v>1016</v>
      </c>
      <c r="L12" s="8">
        <f t="shared" si="7"/>
        <v>0</v>
      </c>
      <c r="M12" s="8">
        <f t="shared" si="7"/>
        <v>0</v>
      </c>
      <c r="N12" s="8">
        <f t="shared" si="7"/>
        <v>193</v>
      </c>
      <c r="O12" s="8">
        <f t="shared" si="7"/>
        <v>0</v>
      </c>
      <c r="P12" s="8">
        <f t="shared" si="7"/>
        <v>0</v>
      </c>
      <c r="Q12" s="8">
        <f t="shared" si="7"/>
        <v>0</v>
      </c>
      <c r="R12" s="8">
        <f t="shared" si="7"/>
        <v>0</v>
      </c>
      <c r="S12" s="8">
        <f t="shared" si="7"/>
        <v>0</v>
      </c>
      <c r="T12" s="8">
        <f t="shared" si="7"/>
        <v>0</v>
      </c>
      <c r="U12" s="8">
        <f t="shared" si="7"/>
        <v>0</v>
      </c>
      <c r="V12" s="8">
        <f t="shared" si="7"/>
        <v>0</v>
      </c>
      <c r="W12" s="8">
        <f t="shared" si="7"/>
        <v>0</v>
      </c>
    </row>
    <row r="13" spans="1:37" ht="14.25" customHeight="1">
      <c r="A13" s="112" t="str">
        <f>"Result to "&amp;B7&amp;" Significant figures"</f>
        <v>Result to 2 Significant figures</v>
      </c>
      <c r="B13" s="91" t="str">
        <f t="shared" ref="B13:W13" si="8">IFERROR(FIXED(B20,((-1*INT(LOG10(B20)))-1)+B7,TRUE),0)</f>
        <v>83</v>
      </c>
      <c r="C13" s="91" t="str">
        <f t="shared" si="8"/>
        <v>1.6</v>
      </c>
      <c r="D13" s="91" t="str">
        <f t="shared" si="8"/>
        <v>95</v>
      </c>
      <c r="E13" s="91" t="str">
        <f t="shared" si="8"/>
        <v>110</v>
      </c>
      <c r="F13" s="91" t="str">
        <f t="shared" si="8"/>
        <v>81</v>
      </c>
      <c r="G13" s="91" t="str">
        <f t="shared" si="8"/>
        <v>9.3</v>
      </c>
      <c r="H13" s="91" t="str">
        <f t="shared" si="8"/>
        <v>97</v>
      </c>
      <c r="I13" s="91" t="str">
        <f t="shared" si="8"/>
        <v>81</v>
      </c>
      <c r="J13" s="91" t="str">
        <f t="shared" si="8"/>
        <v>93</v>
      </c>
      <c r="K13" s="91" t="str">
        <f t="shared" si="8"/>
        <v>200</v>
      </c>
      <c r="L13" s="91" t="str">
        <f t="shared" si="8"/>
        <v>0.84</v>
      </c>
      <c r="M13" s="91" t="str">
        <f t="shared" si="8"/>
        <v>98</v>
      </c>
      <c r="N13" s="91" t="str">
        <f t="shared" si="8"/>
        <v>110</v>
      </c>
      <c r="O13" s="91" t="str">
        <f t="shared" si="8"/>
        <v>83</v>
      </c>
      <c r="P13" s="91" t="str">
        <f t="shared" si="8"/>
        <v>99</v>
      </c>
      <c r="Q13" s="91" t="str">
        <f t="shared" si="8"/>
        <v>100</v>
      </c>
      <c r="R13" s="91" t="str">
        <f t="shared" si="8"/>
        <v>83</v>
      </c>
      <c r="S13" s="91" t="str">
        <f t="shared" si="8"/>
        <v>100</v>
      </c>
      <c r="T13" s="91" t="str">
        <f t="shared" si="8"/>
        <v>82</v>
      </c>
      <c r="U13" s="91" t="str">
        <f t="shared" si="8"/>
        <v>91</v>
      </c>
      <c r="V13" s="91" t="str">
        <f t="shared" si="8"/>
        <v>85</v>
      </c>
      <c r="W13" s="91" t="str">
        <f t="shared" si="8"/>
        <v>42</v>
      </c>
    </row>
    <row r="14" spans="1:37" ht="14.25" customHeight="1">
      <c r="A14" s="113" t="s">
        <v>11</v>
      </c>
      <c r="B14" s="92" t="str">
        <f t="shared" ref="B14:W14" si="9">IFERROR(IF(B3="Blank",0,B41),0)</f>
        <v>11</v>
      </c>
      <c r="C14" s="92" t="str">
        <f t="shared" si="9"/>
        <v>0.10</v>
      </c>
      <c r="D14" s="92" t="str">
        <f t="shared" si="9"/>
        <v>19</v>
      </c>
      <c r="E14" s="92" t="str">
        <f t="shared" si="9"/>
        <v>120</v>
      </c>
      <c r="F14" s="92" t="str">
        <f t="shared" si="9"/>
        <v>23</v>
      </c>
      <c r="G14" s="92" t="str">
        <f t="shared" si="9"/>
        <v>1.9</v>
      </c>
      <c r="H14" s="92" t="str">
        <f t="shared" si="9"/>
        <v>20</v>
      </c>
      <c r="I14" s="92" t="str">
        <f t="shared" si="9"/>
        <v>28</v>
      </c>
      <c r="J14" s="92" t="str">
        <f t="shared" si="9"/>
        <v>20</v>
      </c>
      <c r="K14" s="92" t="str">
        <f t="shared" si="9"/>
        <v>880</v>
      </c>
      <c r="L14" s="92" t="str">
        <f t="shared" si="9"/>
        <v>0.18</v>
      </c>
      <c r="M14" s="92" t="str">
        <f t="shared" si="9"/>
        <v>28</v>
      </c>
      <c r="N14" s="92" t="str">
        <f t="shared" si="9"/>
        <v>91</v>
      </c>
      <c r="O14" s="92" t="str">
        <f t="shared" si="9"/>
        <v>17</v>
      </c>
      <c r="P14" s="92" t="str">
        <f t="shared" si="9"/>
        <v>32</v>
      </c>
      <c r="Q14" s="92" t="str">
        <f t="shared" si="9"/>
        <v>30</v>
      </c>
      <c r="R14" s="92" t="str">
        <f t="shared" si="9"/>
        <v>17</v>
      </c>
      <c r="S14" s="92" t="str">
        <f t="shared" si="9"/>
        <v>23</v>
      </c>
      <c r="T14" s="92" t="str">
        <f t="shared" si="9"/>
        <v>22</v>
      </c>
      <c r="U14" s="92" t="str">
        <f t="shared" si="9"/>
        <v>23</v>
      </c>
      <c r="V14" s="92" t="str">
        <f t="shared" si="9"/>
        <v>24</v>
      </c>
      <c r="W14" s="92" t="str">
        <f t="shared" si="9"/>
        <v>12</v>
      </c>
    </row>
    <row r="15" spans="1:37" ht="14.25" customHeight="1">
      <c r="A15" s="113" t="s">
        <v>12</v>
      </c>
      <c r="B15" s="92" t="str">
        <f t="shared" ref="B15:W15" si="10">IFERROR(IF(B3="Blank",0,B42),0)</f>
        <v>33</v>
      </c>
      <c r="C15" s="92" t="str">
        <f t="shared" si="10"/>
        <v>0.30</v>
      </c>
      <c r="D15" s="92" t="str">
        <f t="shared" si="10"/>
        <v>58</v>
      </c>
      <c r="E15" s="92" t="str">
        <f t="shared" si="10"/>
        <v>360</v>
      </c>
      <c r="F15" s="92" t="str">
        <f t="shared" si="10"/>
        <v>69</v>
      </c>
      <c r="G15" s="92" t="str">
        <f t="shared" si="10"/>
        <v>5.6</v>
      </c>
      <c r="H15" s="92" t="str">
        <f t="shared" si="10"/>
        <v>60</v>
      </c>
      <c r="I15" s="92" t="str">
        <f t="shared" si="10"/>
        <v>85</v>
      </c>
      <c r="J15" s="92" t="str">
        <f t="shared" si="10"/>
        <v>60</v>
      </c>
      <c r="K15" s="92" t="str">
        <f t="shared" si="10"/>
        <v>2600</v>
      </c>
      <c r="L15" s="92" t="str">
        <f t="shared" si="10"/>
        <v>0.54</v>
      </c>
      <c r="M15" s="92" t="str">
        <f t="shared" si="10"/>
        <v>83</v>
      </c>
      <c r="N15" s="92" t="str">
        <f t="shared" si="10"/>
        <v>270</v>
      </c>
      <c r="O15" s="92" t="str">
        <f t="shared" si="10"/>
        <v>52</v>
      </c>
      <c r="P15" s="92" t="str">
        <f t="shared" si="10"/>
        <v>96</v>
      </c>
      <c r="Q15" s="92" t="str">
        <f t="shared" si="10"/>
        <v>89</v>
      </c>
      <c r="R15" s="92" t="str">
        <f t="shared" si="10"/>
        <v>52</v>
      </c>
      <c r="S15" s="92" t="str">
        <f t="shared" si="10"/>
        <v>68</v>
      </c>
      <c r="T15" s="92" t="str">
        <f t="shared" si="10"/>
        <v>67</v>
      </c>
      <c r="U15" s="92" t="str">
        <f t="shared" si="10"/>
        <v>70</v>
      </c>
      <c r="V15" s="92" t="str">
        <f t="shared" si="10"/>
        <v>73</v>
      </c>
      <c r="W15" s="92" t="str">
        <f t="shared" si="10"/>
        <v>35</v>
      </c>
    </row>
    <row r="16" spans="1:37" ht="14.25" customHeight="1">
      <c r="A16" s="113" t="s">
        <v>13</v>
      </c>
      <c r="B16" s="93">
        <f>IFERROR(IF(B3="Blank","Blank",(B20)/B5),0)</f>
        <v>0.8741591339079251</v>
      </c>
      <c r="C16" s="93">
        <f t="shared" ref="C16:W16" si="11">IFERROR(IF(C3="Blank","Blank",(C20)/C5),0)</f>
        <v>0.73030303030303012</v>
      </c>
      <c r="D16" s="93">
        <f t="shared" si="11"/>
        <v>0.96300785634118979</v>
      </c>
      <c r="E16" s="93">
        <f t="shared" si="11"/>
        <v>1.2223333333333335</v>
      </c>
      <c r="F16" s="93">
        <f t="shared" si="11"/>
        <v>0.88520531400966174</v>
      </c>
      <c r="G16" s="93">
        <f t="shared" si="11"/>
        <v>1.0325925925925927</v>
      </c>
      <c r="H16" s="93">
        <f t="shared" si="11"/>
        <v>1.0210526315789474</v>
      </c>
      <c r="I16" s="93">
        <f t="shared" si="11"/>
        <v>0.89544444444444438</v>
      </c>
      <c r="J16" s="93">
        <f t="shared" si="11"/>
        <v>1.0345679012345679</v>
      </c>
      <c r="K16" s="93">
        <f t="shared" si="11"/>
        <v>2.2596296296296292</v>
      </c>
      <c r="L16" s="93">
        <f t="shared" si="11"/>
        <v>0.83633333333333337</v>
      </c>
      <c r="M16" s="93">
        <f t="shared" si="11"/>
        <v>1.0888888888888888</v>
      </c>
      <c r="N16" s="93">
        <f t="shared" si="11"/>
        <v>1.1816009557945042</v>
      </c>
      <c r="O16" s="93">
        <f t="shared" si="11"/>
        <v>0.83764309764309763</v>
      </c>
      <c r="P16" s="93">
        <f t="shared" si="11"/>
        <v>1.0975308641975308</v>
      </c>
      <c r="Q16" s="93">
        <f t="shared" si="11"/>
        <v>1.090800477897252</v>
      </c>
      <c r="R16" s="93">
        <f t="shared" si="11"/>
        <v>0.83876543209876531</v>
      </c>
      <c r="S16" s="93">
        <f t="shared" si="11"/>
        <v>1.1185185185185185</v>
      </c>
      <c r="T16" s="93">
        <f t="shared" si="11"/>
        <v>0.87666666666666671</v>
      </c>
      <c r="U16" s="93">
        <f t="shared" si="11"/>
        <v>0.91806958473625133</v>
      </c>
      <c r="V16" s="93">
        <f t="shared" si="11"/>
        <v>0.84888888888888903</v>
      </c>
      <c r="W16" s="93">
        <f t="shared" si="11"/>
        <v>0.84866666666666657</v>
      </c>
      <c r="X16" s="93">
        <f t="shared" ref="X16:AK16" si="12">IFERROR(IF(X3="Blank","Blank",(X20)/X5),0)</f>
        <v>0</v>
      </c>
      <c r="Y16" s="93">
        <f t="shared" si="12"/>
        <v>0</v>
      </c>
      <c r="Z16" s="93">
        <f t="shared" si="12"/>
        <v>0</v>
      </c>
      <c r="AA16" s="93">
        <f t="shared" si="12"/>
        <v>0</v>
      </c>
      <c r="AB16" s="93">
        <f t="shared" si="12"/>
        <v>0</v>
      </c>
      <c r="AC16" s="93">
        <f t="shared" si="12"/>
        <v>0</v>
      </c>
      <c r="AD16" s="93">
        <f t="shared" si="12"/>
        <v>0</v>
      </c>
      <c r="AE16" s="93">
        <f t="shared" si="12"/>
        <v>0</v>
      </c>
      <c r="AF16" s="93">
        <f t="shared" si="12"/>
        <v>0</v>
      </c>
      <c r="AG16" s="93">
        <f t="shared" si="12"/>
        <v>0</v>
      </c>
      <c r="AH16" s="93">
        <f t="shared" si="12"/>
        <v>0</v>
      </c>
      <c r="AI16" s="93">
        <f t="shared" si="12"/>
        <v>0</v>
      </c>
      <c r="AJ16" s="93">
        <f t="shared" si="12"/>
        <v>0</v>
      </c>
      <c r="AK16" s="93">
        <f t="shared" si="12"/>
        <v>0</v>
      </c>
    </row>
    <row r="17" spans="1:23" ht="14.65" customHeight="1">
      <c r="A17" s="114" t="s">
        <v>14</v>
      </c>
      <c r="B17" s="94" t="str">
        <f t="shared" ref="B17:W17" si="13">IFERROR(IF(B3="Blank","Blank",B43),0)</f>
        <v>95</v>
      </c>
      <c r="C17" s="94" t="str">
        <f t="shared" si="13"/>
        <v>2.2</v>
      </c>
      <c r="D17" s="94" t="str">
        <f t="shared" si="13"/>
        <v>99</v>
      </c>
      <c r="E17" s="94" t="str">
        <f t="shared" si="13"/>
        <v>90</v>
      </c>
      <c r="F17" s="94" t="str">
        <f t="shared" si="13"/>
        <v>92</v>
      </c>
      <c r="G17" s="94" t="str">
        <f t="shared" si="13"/>
        <v>9.0</v>
      </c>
      <c r="H17" s="94" t="str">
        <f t="shared" si="13"/>
        <v>95</v>
      </c>
      <c r="I17" s="94" t="str">
        <f t="shared" si="13"/>
        <v>90</v>
      </c>
      <c r="J17" s="94" t="str">
        <f t="shared" si="13"/>
        <v>90</v>
      </c>
      <c r="K17" s="94" t="str">
        <f t="shared" si="13"/>
        <v>90</v>
      </c>
      <c r="L17" s="94" t="str">
        <f t="shared" si="13"/>
        <v>1.0</v>
      </c>
      <c r="M17" s="94" t="str">
        <f t="shared" si="13"/>
        <v>90</v>
      </c>
      <c r="N17" s="94" t="str">
        <f t="shared" si="13"/>
        <v>93</v>
      </c>
      <c r="O17" s="94" t="str">
        <f t="shared" si="13"/>
        <v>99</v>
      </c>
      <c r="P17" s="94" t="str">
        <f t="shared" si="13"/>
        <v>90</v>
      </c>
      <c r="Q17" s="94" t="str">
        <f t="shared" si="13"/>
        <v>93</v>
      </c>
      <c r="R17" s="94" t="str">
        <f t="shared" si="13"/>
        <v>99</v>
      </c>
      <c r="S17" s="94" t="str">
        <f t="shared" si="13"/>
        <v>90</v>
      </c>
      <c r="T17" s="94" t="str">
        <f t="shared" si="13"/>
        <v>93</v>
      </c>
      <c r="U17" s="94" t="str">
        <f t="shared" si="13"/>
        <v>99</v>
      </c>
      <c r="V17" s="94" t="str">
        <f t="shared" si="13"/>
        <v>100</v>
      </c>
      <c r="W17" s="94" t="str">
        <f t="shared" si="13"/>
        <v>50</v>
      </c>
    </row>
    <row r="18" spans="1:23" ht="9" hidden="1" customHeight="1">
      <c r="A18" s="115" t="str">
        <f>IF(B18=B33,"Ymax (Maximum Value) may be an Outlier!","Ymax (Maximum Value)")</f>
        <v>Ymax (Maximum Value)</v>
      </c>
      <c r="B18" s="9">
        <f>MAX(SampleResults!B1:B32)</f>
        <v>89.84</v>
      </c>
      <c r="C18" s="9">
        <f>MAX(SampleResults!C1:C32)</f>
        <v>1.82</v>
      </c>
      <c r="D18" s="9">
        <f>MAX(SampleResults!D1:D32)</f>
        <v>107.83</v>
      </c>
      <c r="E18" s="9">
        <f>MAX(SampleResults!E1:E32)</f>
        <v>220.1</v>
      </c>
      <c r="F18" s="9">
        <f>MAX(SampleResults!F1:F32)</f>
        <v>89.84</v>
      </c>
      <c r="G18" s="9">
        <f>MAX(SampleResults!G1:G32)</f>
        <v>10.4</v>
      </c>
      <c r="H18" s="9">
        <f>MAX(SampleResults!H1:H32)</f>
        <v>106</v>
      </c>
      <c r="I18" s="9">
        <f>MAX(SampleResults!I1:I32)</f>
        <v>89.84</v>
      </c>
      <c r="J18" s="9">
        <f>MAX(SampleResults!J1:J32)</f>
        <v>103</v>
      </c>
      <c r="K18" s="9">
        <f>MAX(SampleResults!K1:K32)</f>
        <v>1016</v>
      </c>
      <c r="L18" s="9">
        <f>MAX(SampleResults!L1:L32)</f>
        <v>0.89800000000000002</v>
      </c>
      <c r="M18" s="9">
        <f>MAX(SampleResults!M1:M32)</f>
        <v>117</v>
      </c>
      <c r="N18" s="9">
        <f>MAX(SampleResults!N1:N32)</f>
        <v>193</v>
      </c>
      <c r="O18" s="9">
        <f>MAX(SampleResults!O1:O32)</f>
        <v>89.84</v>
      </c>
      <c r="P18" s="9">
        <f>MAX(SampleResults!P1:P32)</f>
        <v>121</v>
      </c>
      <c r="Q18" s="9">
        <f>MAX(SampleResults!Q1:Q32)</f>
        <v>122</v>
      </c>
      <c r="R18" s="9">
        <f>MAX(SampleResults!R1:R32)</f>
        <v>89.84</v>
      </c>
      <c r="S18" s="9">
        <f>MAX(SampleResults!S1:S32)</f>
        <v>117</v>
      </c>
      <c r="T18" s="9">
        <f>MAX(SampleResults!T1:T32)</f>
        <v>89.84</v>
      </c>
      <c r="U18" s="9">
        <f>MAX(SampleResults!U1:U32)</f>
        <v>100</v>
      </c>
      <c r="V18" s="9">
        <f>MAX(SampleResults!V1:V32)</f>
        <v>101.7</v>
      </c>
      <c r="W18" s="9">
        <f>MAX(SampleResults!W1:W32)</f>
        <v>49.3</v>
      </c>
    </row>
    <row r="19" spans="1:23" ht="9" hidden="1" customHeight="1">
      <c r="A19" s="115" t="str">
        <f>IF(B19=B33,"Ymin (Minimum Value) may be an Outlier!","Ymin (Minimum Value)")</f>
        <v>Ymin (Minimum Value)</v>
      </c>
      <c r="B19" s="9">
        <f>MIN(SampleResults!B1:B32)</f>
        <v>72.11</v>
      </c>
      <c r="C19" s="9">
        <f>MIN(SampleResults!C1:C32)</f>
        <v>1.36</v>
      </c>
      <c r="D19" s="9">
        <f>MIN(SampleResults!D1:D32)</f>
        <v>85.37</v>
      </c>
      <c r="E19" s="9">
        <f>MIN(SampleResults!E1:E32)</f>
        <v>81.31</v>
      </c>
      <c r="F19" s="9">
        <f>MIN(SampleResults!F1:F32)</f>
        <v>67.61</v>
      </c>
      <c r="G19" s="9">
        <f>MIN(SampleResults!G1:G32)</f>
        <v>8.07</v>
      </c>
      <c r="H19" s="9">
        <f>MIN(SampleResults!H1:H32)</f>
        <v>83</v>
      </c>
      <c r="I19" s="9">
        <f>MIN(SampleResults!I1:I32)</f>
        <v>59.97</v>
      </c>
      <c r="J19" s="9">
        <f>MIN(SampleResults!J1:J32)</f>
        <v>84</v>
      </c>
      <c r="K19" s="9">
        <f>MIN(SampleResults!K1:K32)</f>
        <v>96.1</v>
      </c>
      <c r="L19" s="9">
        <f>MIN(SampleResults!L1:L32)</f>
        <v>0.72099999999999997</v>
      </c>
      <c r="M19" s="9">
        <f>MIN(SampleResults!M1:M32)</f>
        <v>90</v>
      </c>
      <c r="N19" s="9">
        <f>MIN(SampleResults!N1:N32)</f>
        <v>96</v>
      </c>
      <c r="O19" s="9">
        <f>MIN(SampleResults!O1:O32)</f>
        <v>72.11</v>
      </c>
      <c r="P19" s="9">
        <f>MIN(SampleResults!P1:P32)</f>
        <v>90</v>
      </c>
      <c r="Q19" s="9">
        <f>MIN(SampleResults!Q1:Q32)</f>
        <v>84</v>
      </c>
      <c r="R19" s="9">
        <f>MIN(SampleResults!R1:R32)</f>
        <v>72.11</v>
      </c>
      <c r="S19" s="9">
        <f>MIN(SampleResults!S1:S32)</f>
        <v>88</v>
      </c>
      <c r="T19" s="9">
        <f>MIN(SampleResults!T1:T32)</f>
        <v>68.430000000000007</v>
      </c>
      <c r="U19" s="9">
        <f>MIN(SampleResults!U1:U32)</f>
        <v>77</v>
      </c>
      <c r="V19" s="9">
        <f>MIN(SampleResults!V1:V32)</f>
        <v>74.7</v>
      </c>
      <c r="W19" s="9">
        <f>MIN(SampleResults!W1:W32)</f>
        <v>37.6</v>
      </c>
    </row>
    <row r="20" spans="1:23" ht="9" hidden="1" customHeight="1">
      <c r="A20" s="116" t="s">
        <v>15</v>
      </c>
      <c r="B20" s="10">
        <f>IF(B26&gt;0,AVERAGE(SampleResults!B1:B32),0)</f>
        <v>83.16749999999999</v>
      </c>
      <c r="C20" s="10">
        <f>IF(C26&gt;0,AVERAGE(SampleResults!C1:C32),0)</f>
        <v>1.6066666666666665</v>
      </c>
      <c r="D20" s="10">
        <f>IF(D26&gt;0,AVERAGE(SampleResults!D1:D32),0)</f>
        <v>95.337777777777788</v>
      </c>
      <c r="E20" s="10">
        <f>IF(E26&gt;0,AVERAGE(SampleResults!E1:E32),0)</f>
        <v>110.01</v>
      </c>
      <c r="F20" s="10">
        <f>IF(F26&gt;0,AVERAGE(SampleResults!F1:F32),0)</f>
        <v>81.438888888888883</v>
      </c>
      <c r="G20" s="10">
        <f>IF(G26&gt;0,AVERAGE(SampleResults!G1:G32),0)</f>
        <v>9.2933333333333348</v>
      </c>
      <c r="H20" s="10">
        <f>IF(H26&gt;0,AVERAGE(SampleResults!H1:H32),0)</f>
        <v>97</v>
      </c>
      <c r="I20" s="10">
        <f>IF(I26&gt;0,AVERAGE(SampleResults!I1:I32),0)</f>
        <v>80.589999999999989</v>
      </c>
      <c r="J20" s="10">
        <f>IF(J26&gt;0,AVERAGE(SampleResults!J1:J32),0)</f>
        <v>93.111111111111114</v>
      </c>
      <c r="K20" s="10">
        <f>IF(K26&gt;0,AVERAGE(SampleResults!K1:K32),0)</f>
        <v>203.36666666666665</v>
      </c>
      <c r="L20" s="10">
        <f>IF(L26&gt;0,AVERAGE(SampleResults!L1:L32),0)</f>
        <v>0.83633333333333337</v>
      </c>
      <c r="M20" s="10">
        <f>IF(M26&gt;0,AVERAGE(SampleResults!M1:M32),0)</f>
        <v>98</v>
      </c>
      <c r="N20" s="10">
        <f>IF(N26&gt;0,AVERAGE(SampleResults!N1:N32),0)</f>
        <v>109.88888888888889</v>
      </c>
      <c r="O20" s="10">
        <f>IF(O26&gt;0,AVERAGE(SampleResults!O1:O32),0)</f>
        <v>82.926666666666662</v>
      </c>
      <c r="P20" s="10">
        <f>IF(P26&gt;0,AVERAGE(SampleResults!P1:P32),0)</f>
        <v>98.777777777777771</v>
      </c>
      <c r="Q20" s="10">
        <f>IF(Q26&gt;0,AVERAGE(SampleResults!Q1:Q32),0)</f>
        <v>101.44444444444444</v>
      </c>
      <c r="R20" s="10">
        <f>IF(R26&gt;0,AVERAGE(SampleResults!R1:R32),0)</f>
        <v>83.037777777777762</v>
      </c>
      <c r="S20" s="10">
        <f>IF(S26&gt;0,AVERAGE(SampleResults!S1:S32),0)</f>
        <v>100.66666666666667</v>
      </c>
      <c r="T20" s="10">
        <f>IF(T26&gt;0,AVERAGE(SampleResults!T1:T32),0)</f>
        <v>81.53</v>
      </c>
      <c r="U20" s="10">
        <f>IF(U26&gt;0,AVERAGE(SampleResults!U1:U32),0)</f>
        <v>90.888888888888886</v>
      </c>
      <c r="V20" s="10">
        <f>IF(V26&gt;0,AVERAGE(SampleResults!V1:V32),0)</f>
        <v>84.8888888888889</v>
      </c>
      <c r="W20" s="10">
        <f>IF(W26&gt;0,AVERAGE(SampleResults!W1:W32),0)</f>
        <v>42.43333333333333</v>
      </c>
    </row>
    <row r="21" spans="1:23" ht="9" hidden="1" customHeight="1">
      <c r="A21" s="116" t="s">
        <v>16</v>
      </c>
      <c r="B21" s="11">
        <f>IF(B26&gt;1,STDEV(SampleResults!B1:B32),0)</f>
        <v>6.3774754297561085</v>
      </c>
      <c r="C21" s="11">
        <f>IF(C26&gt;1,STDEV(SampleResults!C1:C32),0)</f>
        <v>0.14071247279470289</v>
      </c>
      <c r="D21" s="11">
        <f>IF(D26&gt;1,STDEV(SampleResults!D1:D32),0)</f>
        <v>6.7171883585652443</v>
      </c>
      <c r="E21" s="11">
        <f>IF(E26&gt;1,STDEV(SampleResults!E1:E32),0)</f>
        <v>41.973205738899644</v>
      </c>
      <c r="F21" s="11">
        <f>IF(F26&gt;1,STDEV(SampleResults!F1:F32),0)</f>
        <v>7.9044946777837177</v>
      </c>
      <c r="G21" s="11">
        <f>IF(G26&gt;1,STDEV(SampleResults!G1:G32),0)</f>
        <v>0.6418917354196112</v>
      </c>
      <c r="H21" s="11">
        <f>IF(H26&gt;1,STDEV(SampleResults!H1:H32),0)</f>
        <v>6.8738635424337602</v>
      </c>
      <c r="I21" s="11">
        <f>IF(I26&gt;1,STDEV(SampleResults!I1:I32),0)</f>
        <v>9.7662543997174165</v>
      </c>
      <c r="J21" s="11">
        <f>IF(J26&gt;1,STDEV(SampleResults!J1:J32),0)</f>
        <v>6.9181725268390863</v>
      </c>
      <c r="K21" s="11">
        <f>IF(K26&gt;1,STDEV(SampleResults!K1:K32),0)</f>
        <v>304.81806458935466</v>
      </c>
      <c r="L21" s="11">
        <f>IF(L26&gt;1,STDEV(SampleResults!L1:L32),0)</f>
        <v>6.1967733539318677E-2</v>
      </c>
      <c r="M21" s="11">
        <f>IF(M26&gt;1,STDEV(SampleResults!M1:M32),0)</f>
        <v>9.5524865872713995</v>
      </c>
      <c r="N21" s="11">
        <f>IF(N26&gt;1,STDEV(SampleResults!N1:N32),0)</f>
        <v>31.25077776809901</v>
      </c>
      <c r="O21" s="11">
        <f>IF(O26&gt;1,STDEV(SampleResults!O1:O32),0)</f>
        <v>6.0091742361159755</v>
      </c>
      <c r="P21" s="11">
        <f>IF(P26&gt;1,STDEV(SampleResults!P1:P32),0)</f>
        <v>11.065461781798591</v>
      </c>
      <c r="Q21" s="11">
        <f>IF(Q26&gt;1,STDEV(SampleResults!Q1:Q32),0)</f>
        <v>10.248306093095472</v>
      </c>
      <c r="R21" s="11">
        <f>IF(R26&gt;1,STDEV(SampleResults!R1:R32),0)</f>
        <v>5.9782622428632592</v>
      </c>
      <c r="S21" s="11">
        <f>IF(S26&gt;1,STDEV(SampleResults!S1:S32),0)</f>
        <v>7.8740078740118111</v>
      </c>
      <c r="T21" s="11">
        <f>IF(T26&gt;1,STDEV(SampleResults!T1:T32),0)</f>
        <v>7.7279250125761436</v>
      </c>
      <c r="U21" s="11">
        <f>IF(U26&gt;1,STDEV(SampleResults!U1:U32),0)</f>
        <v>8.0225376977058271</v>
      </c>
      <c r="V21" s="11">
        <f>IF(V26&gt;1,STDEV(SampleResults!V1:V32),0)</f>
        <v>8.3518627330141815</v>
      </c>
      <c r="W21" s="11">
        <f>IF(W26&gt;1,STDEV(SampleResults!W1:W32),0)</f>
        <v>3.9974992182613356</v>
      </c>
    </row>
    <row r="22" spans="1:23" ht="9" hidden="1" customHeight="1">
      <c r="A22" s="117" t="s">
        <v>17</v>
      </c>
      <c r="B22" s="12">
        <f t="shared" ref="B22:W22" si="14">(SQRT((B10*B10)+(B9*B9))*2)</f>
        <v>0.29472766522994592</v>
      </c>
      <c r="C22" s="12">
        <f t="shared" si="14"/>
        <v>0.56712177861338331</v>
      </c>
      <c r="D22" s="12">
        <f t="shared" si="14"/>
        <v>0.15915489216100273</v>
      </c>
      <c r="E22" s="12">
        <f t="shared" si="14"/>
        <v>0.88318699197232198</v>
      </c>
      <c r="F22" s="12">
        <f t="shared" si="14"/>
        <v>0.30065627971997888</v>
      </c>
      <c r="G22" s="12">
        <f t="shared" si="14"/>
        <v>0.15274763317626228</v>
      </c>
      <c r="H22" s="12">
        <f t="shared" si="14"/>
        <v>0.14785128942990142</v>
      </c>
      <c r="I22" s="12">
        <f t="shared" si="14"/>
        <v>0.32010956773468346</v>
      </c>
      <c r="J22" s="12">
        <f t="shared" si="14"/>
        <v>0.16389578250818382</v>
      </c>
      <c r="K22" s="12">
        <f t="shared" si="14"/>
        <v>3.9157357763580172</v>
      </c>
      <c r="L22" s="12">
        <f t="shared" si="14"/>
        <v>0.35931478467379274</v>
      </c>
      <c r="M22" s="12">
        <f t="shared" si="14"/>
        <v>0.26383695000727098</v>
      </c>
      <c r="N22" s="12">
        <f t="shared" si="14"/>
        <v>0.67484478354066335</v>
      </c>
      <c r="O22" s="12">
        <f t="shared" si="14"/>
        <v>0.35558826501624663</v>
      </c>
      <c r="P22" s="12">
        <f t="shared" si="14"/>
        <v>0.29706296095089807</v>
      </c>
      <c r="Q22" s="12">
        <f t="shared" si="14"/>
        <v>0.27166553393633047</v>
      </c>
      <c r="R22" s="12">
        <f t="shared" si="14"/>
        <v>0.35315601139972519</v>
      </c>
      <c r="S22" s="12">
        <f t="shared" si="14"/>
        <v>0.28400557701865453</v>
      </c>
      <c r="T22" s="12">
        <f t="shared" si="14"/>
        <v>0.31109837072530439</v>
      </c>
      <c r="U22" s="12">
        <f t="shared" si="14"/>
        <v>0.24086302946978028</v>
      </c>
      <c r="V22" s="12">
        <f t="shared" si="14"/>
        <v>0.36063464610802259</v>
      </c>
      <c r="W22" s="12">
        <f t="shared" si="14"/>
        <v>0.356520167866201</v>
      </c>
    </row>
    <row r="23" spans="1:23" ht="9" hidden="1" customHeight="1">
      <c r="A23" s="116" t="s">
        <v>18</v>
      </c>
      <c r="B23" s="9">
        <f>VLOOKUP(B26-1,Distributions!$A$2:$B$42,2,TRUE)</f>
        <v>2.9980000000000002</v>
      </c>
      <c r="C23" s="9">
        <f>VLOOKUP(C26-1,Distributions!$A$2:$B$42,2,TRUE)</f>
        <v>2.8959999999999999</v>
      </c>
      <c r="D23" s="9">
        <f>VLOOKUP(D26-1,Distributions!$A$2:$B$42,2,TRUE)</f>
        <v>2.8959999999999999</v>
      </c>
      <c r="E23" s="9">
        <f>VLOOKUP(E26-1,Distributions!$A$2:$B$42,2,TRUE)</f>
        <v>2.8959999999999999</v>
      </c>
      <c r="F23" s="9">
        <f>VLOOKUP(F26-1,Distributions!$A$2:$B$42,2,TRUE)</f>
        <v>2.8959999999999999</v>
      </c>
      <c r="G23" s="9">
        <f>VLOOKUP(G26-1,Distributions!$A$2:$B$42,2,TRUE)</f>
        <v>2.8959999999999999</v>
      </c>
      <c r="H23" s="9">
        <f>VLOOKUP(H26-1,Distributions!$A$2:$B$42,2,TRUE)</f>
        <v>2.8959999999999999</v>
      </c>
      <c r="I23" s="9">
        <f>VLOOKUP(I26-1,Distributions!$A$2:$B$42,2,TRUE)</f>
        <v>2.8959999999999999</v>
      </c>
      <c r="J23" s="9">
        <f>VLOOKUP(J26-1,Distributions!$A$2:$B$42,2,TRUE)</f>
        <v>2.8959999999999999</v>
      </c>
      <c r="K23" s="9">
        <f>VLOOKUP(K26-1,Distributions!$A$2:$B$42,2,TRUE)</f>
        <v>2.8959999999999999</v>
      </c>
      <c r="L23" s="9">
        <f>VLOOKUP(L26-1,Distributions!$A$2:$B$42,2,TRUE)</f>
        <v>2.8959999999999999</v>
      </c>
      <c r="M23" s="9">
        <f>VLOOKUP(M26-1,Distributions!$A$2:$B$42,2,TRUE)</f>
        <v>2.8959999999999999</v>
      </c>
      <c r="N23" s="9">
        <f>VLOOKUP(N26-1,Distributions!$A$2:$B$42,2,TRUE)</f>
        <v>2.8959999999999999</v>
      </c>
      <c r="O23" s="9">
        <f>VLOOKUP(O26-1,Distributions!$A$2:$B$42,2,TRUE)</f>
        <v>2.8959999999999999</v>
      </c>
      <c r="P23" s="9">
        <f>VLOOKUP(P26-1,Distributions!$A$2:$B$42,2,TRUE)</f>
        <v>2.8959999999999999</v>
      </c>
      <c r="Q23" s="9">
        <f>VLOOKUP(Q26-1,Distributions!$A$2:$B$42,2,TRUE)</f>
        <v>2.8959999999999999</v>
      </c>
      <c r="R23" s="9">
        <f>VLOOKUP(R26-1,Distributions!$A$2:$B$42,2,TRUE)</f>
        <v>2.8959999999999999</v>
      </c>
      <c r="S23" s="9">
        <f>VLOOKUP(S26-1,Distributions!$A$2:$B$42,2,TRUE)</f>
        <v>2.8959999999999999</v>
      </c>
      <c r="T23" s="9">
        <f>VLOOKUP(T26-1,Distributions!$A$2:$B$42,2,TRUE)</f>
        <v>2.8959999999999999</v>
      </c>
      <c r="U23" s="9">
        <f>VLOOKUP(U26-1,Distributions!$A$2:$B$42,2,TRUE)</f>
        <v>2.8959999999999999</v>
      </c>
      <c r="V23" s="9">
        <f>VLOOKUP(V26-1,Distributions!$A$2:$B$42,2,TRUE)</f>
        <v>2.8959999999999999</v>
      </c>
      <c r="W23" s="9">
        <f>VLOOKUP(W26-1,Distributions!$A$2:$B$42,2,TRUE)</f>
        <v>2.8959999999999999</v>
      </c>
    </row>
    <row r="24" spans="1:23" ht="9" hidden="1" customHeight="1">
      <c r="A24" s="116" t="s">
        <v>19</v>
      </c>
      <c r="B24" s="13">
        <f>VLOOKUP(B4,Units!$A$1:$B$14,2,FALSE)</f>
        <v>1000000000</v>
      </c>
      <c r="C24" s="13">
        <f>VLOOKUP(C4,Units!$A$1:$B$14,2,FALSE)</f>
        <v>1000000000</v>
      </c>
      <c r="D24" s="13">
        <f>VLOOKUP(D4,Units!$A$1:$B$14,2,FALSE)</f>
        <v>1000000000</v>
      </c>
      <c r="E24" s="13">
        <f>VLOOKUP(E4,Units!$A$1:$B$14,2,FALSE)</f>
        <v>1000000000</v>
      </c>
      <c r="F24" s="13">
        <f>VLOOKUP(F4,Units!$A$1:$B$14,2,FALSE)</f>
        <v>1000000000</v>
      </c>
      <c r="G24" s="13">
        <f>VLOOKUP(G4,Units!$A$1:$B$14,2,FALSE)</f>
        <v>1000000000</v>
      </c>
      <c r="H24" s="13">
        <f>VLOOKUP(H4,Units!$A$1:$B$14,2,FALSE)</f>
        <v>1000000000</v>
      </c>
      <c r="I24" s="13">
        <f>VLOOKUP(I4,Units!$A$1:$B$14,2,FALSE)</f>
        <v>1000000000</v>
      </c>
      <c r="J24" s="13">
        <f>VLOOKUP(J4,Units!$A$1:$B$14,2,FALSE)</f>
        <v>1000000000</v>
      </c>
      <c r="K24" s="13">
        <f>VLOOKUP(K4,Units!$A$1:$B$14,2,FALSE)</f>
        <v>1000000000</v>
      </c>
      <c r="L24" s="13">
        <f>VLOOKUP(L4,Units!$A$1:$B$14,2,FALSE)</f>
        <v>1000000000</v>
      </c>
      <c r="M24" s="13">
        <f>VLOOKUP(M4,Units!$A$1:$B$14,2,FALSE)</f>
        <v>1000000000</v>
      </c>
      <c r="N24" s="13">
        <f>VLOOKUP(N4,Units!$A$1:$B$14,2,FALSE)</f>
        <v>1000000000</v>
      </c>
      <c r="O24" s="13">
        <f>VLOOKUP(O4,Units!$A$1:$B$14,2,FALSE)</f>
        <v>1000000000</v>
      </c>
      <c r="P24" s="13">
        <f>VLOOKUP(P4,Units!$A$1:$B$14,2,FALSE)</f>
        <v>1000000000</v>
      </c>
      <c r="Q24" s="13">
        <f>VLOOKUP(Q4,Units!$A$1:$B$14,2,FALSE)</f>
        <v>1000000000</v>
      </c>
      <c r="R24" s="13">
        <f>VLOOKUP(R4,Units!$A$1:$B$14,2,FALSE)</f>
        <v>1000000000</v>
      </c>
      <c r="S24" s="13">
        <f>VLOOKUP(S4,Units!$A$1:$B$14,2,FALSE)</f>
        <v>1000000000</v>
      </c>
      <c r="T24" s="13">
        <f>VLOOKUP(T4,Units!$A$1:$B$14,2,FALSE)</f>
        <v>1000000000</v>
      </c>
      <c r="U24" s="13">
        <f>VLOOKUP(U4,Units!$A$1:$B$14,2,FALSE)</f>
        <v>1000000000</v>
      </c>
      <c r="V24" s="13">
        <f>VLOOKUP(V4,Units!$A$1:$B$14,2,FALSE)</f>
        <v>1000000000</v>
      </c>
      <c r="W24" s="13">
        <f>VLOOKUP(W4,Units!$A$1:$B$14,2,FALSE)</f>
        <v>1000000000</v>
      </c>
    </row>
    <row r="25" spans="1:23" ht="9" hidden="1" customHeight="1">
      <c r="A25" s="116" t="s">
        <v>20</v>
      </c>
      <c r="B25" s="14">
        <f t="shared" ref="B25:W25" si="15">IF(B5/B24&lt;1.2*0.0000001,22,IF(B5/B24&lt;=0.138,2*POWER(B5/B24,-0.15),POWER(B5/B24,-0.5)))</f>
        <v>22</v>
      </c>
      <c r="C25" s="14">
        <f t="shared" si="15"/>
        <v>22</v>
      </c>
      <c r="D25" s="14">
        <f t="shared" si="15"/>
        <v>22</v>
      </c>
      <c r="E25" s="14">
        <f t="shared" si="15"/>
        <v>22</v>
      </c>
      <c r="F25" s="14">
        <f t="shared" si="15"/>
        <v>22</v>
      </c>
      <c r="G25" s="14">
        <f t="shared" si="15"/>
        <v>22</v>
      </c>
      <c r="H25" s="14">
        <f t="shared" si="15"/>
        <v>22</v>
      </c>
      <c r="I25" s="14">
        <f t="shared" si="15"/>
        <v>22</v>
      </c>
      <c r="J25" s="14">
        <f t="shared" si="15"/>
        <v>22</v>
      </c>
      <c r="K25" s="14">
        <f t="shared" si="15"/>
        <v>22</v>
      </c>
      <c r="L25" s="14">
        <f t="shared" si="15"/>
        <v>22</v>
      </c>
      <c r="M25" s="14">
        <f t="shared" si="15"/>
        <v>22</v>
      </c>
      <c r="N25" s="14">
        <f t="shared" si="15"/>
        <v>22</v>
      </c>
      <c r="O25" s="14">
        <f t="shared" si="15"/>
        <v>22</v>
      </c>
      <c r="P25" s="14">
        <f t="shared" si="15"/>
        <v>22</v>
      </c>
      <c r="Q25" s="14">
        <f t="shared" si="15"/>
        <v>22</v>
      </c>
      <c r="R25" s="14">
        <f t="shared" si="15"/>
        <v>22</v>
      </c>
      <c r="S25" s="14">
        <f t="shared" si="15"/>
        <v>22</v>
      </c>
      <c r="T25" s="14">
        <f t="shared" si="15"/>
        <v>22</v>
      </c>
      <c r="U25" s="14">
        <f t="shared" si="15"/>
        <v>22</v>
      </c>
      <c r="V25" s="14">
        <f t="shared" si="15"/>
        <v>22</v>
      </c>
      <c r="W25" s="14">
        <f t="shared" si="15"/>
        <v>22</v>
      </c>
    </row>
    <row r="26" spans="1:23" ht="9" hidden="1" customHeight="1">
      <c r="A26" s="118" t="s">
        <v>21</v>
      </c>
      <c r="B26" s="15">
        <f>COUNT(SampleResults!B1:B32)</f>
        <v>8</v>
      </c>
      <c r="C26" s="15">
        <f>COUNT(SampleResults!C1:C32)</f>
        <v>9</v>
      </c>
      <c r="D26" s="15">
        <f>COUNT(SampleResults!D1:D32)</f>
        <v>9</v>
      </c>
      <c r="E26" s="15">
        <f>COUNT(SampleResults!E1:E32)</f>
        <v>9</v>
      </c>
      <c r="F26" s="15">
        <f>COUNT(SampleResults!F1:F32)</f>
        <v>9</v>
      </c>
      <c r="G26" s="15">
        <f>COUNT(SampleResults!G1:G32)</f>
        <v>9</v>
      </c>
      <c r="H26" s="15">
        <f>COUNT(SampleResults!H1:H32)</f>
        <v>9</v>
      </c>
      <c r="I26" s="15">
        <f>COUNT(SampleResults!I1:I32)</f>
        <v>9</v>
      </c>
      <c r="J26" s="15">
        <f>COUNT(SampleResults!J1:J32)</f>
        <v>9</v>
      </c>
      <c r="K26" s="15">
        <f>COUNT(SampleResults!K1:K32)</f>
        <v>9</v>
      </c>
      <c r="L26" s="15">
        <f>COUNT(SampleResults!L1:L32)</f>
        <v>9</v>
      </c>
      <c r="M26" s="15">
        <f>COUNT(SampleResults!M1:M32)</f>
        <v>9</v>
      </c>
      <c r="N26" s="15">
        <f>COUNT(SampleResults!N1:N32)</f>
        <v>9</v>
      </c>
      <c r="O26" s="15">
        <f>COUNT(SampleResults!O1:O32)</f>
        <v>9</v>
      </c>
      <c r="P26" s="15">
        <f>COUNT(SampleResults!P1:P32)</f>
        <v>9</v>
      </c>
      <c r="Q26" s="15">
        <f>COUNT(SampleResults!Q1:Q32)</f>
        <v>9</v>
      </c>
      <c r="R26" s="15">
        <f>COUNT(SampleResults!R1:R32)</f>
        <v>9</v>
      </c>
      <c r="S26" s="15">
        <f>COUNT(SampleResults!S1:S32)</f>
        <v>9</v>
      </c>
      <c r="T26" s="15">
        <f>COUNT(SampleResults!T1:T32)</f>
        <v>9</v>
      </c>
      <c r="U26" s="15">
        <f>COUNT(SampleResults!U1:U32)</f>
        <v>9</v>
      </c>
      <c r="V26" s="15">
        <f>COUNT(SampleResults!V1:V32)</f>
        <v>9</v>
      </c>
      <c r="W26" s="15">
        <f>COUNT(SampleResults!W1:W32)</f>
        <v>9</v>
      </c>
    </row>
    <row r="27" spans="1:23" ht="9" hidden="1" customHeight="1">
      <c r="A27" s="119" t="s">
        <v>22</v>
      </c>
      <c r="B27" s="16">
        <f t="shared" ref="B27:W27" si="16">B18-B20</f>
        <v>6.6725000000000136</v>
      </c>
      <c r="C27" s="16">
        <f t="shared" si="16"/>
        <v>0.2133333333333336</v>
      </c>
      <c r="D27" s="16">
        <f t="shared" si="16"/>
        <v>12.49222222222221</v>
      </c>
      <c r="E27" s="16">
        <f t="shared" si="16"/>
        <v>110.08999999999999</v>
      </c>
      <c r="F27" s="16">
        <f t="shared" si="16"/>
        <v>8.4011111111111205</v>
      </c>
      <c r="G27" s="16">
        <f t="shared" si="16"/>
        <v>1.1066666666666656</v>
      </c>
      <c r="H27" s="16">
        <f t="shared" si="16"/>
        <v>9</v>
      </c>
      <c r="I27" s="16">
        <f t="shared" si="16"/>
        <v>9.2500000000000142</v>
      </c>
      <c r="J27" s="16">
        <f t="shared" si="16"/>
        <v>9.8888888888888857</v>
      </c>
      <c r="K27" s="16">
        <f t="shared" si="16"/>
        <v>812.63333333333333</v>
      </c>
      <c r="L27" s="16">
        <f t="shared" si="16"/>
        <v>6.1666666666666647E-2</v>
      </c>
      <c r="M27" s="16">
        <f t="shared" si="16"/>
        <v>19</v>
      </c>
      <c r="N27" s="16">
        <f t="shared" si="16"/>
        <v>83.111111111111114</v>
      </c>
      <c r="O27" s="16">
        <f t="shared" si="16"/>
        <v>6.9133333333333411</v>
      </c>
      <c r="P27" s="16">
        <f t="shared" si="16"/>
        <v>22.222222222222229</v>
      </c>
      <c r="Q27" s="16">
        <f t="shared" si="16"/>
        <v>20.555555555555557</v>
      </c>
      <c r="R27" s="16">
        <f t="shared" si="16"/>
        <v>6.802222222222241</v>
      </c>
      <c r="S27" s="16">
        <f t="shared" si="16"/>
        <v>16.333333333333329</v>
      </c>
      <c r="T27" s="16">
        <f t="shared" si="16"/>
        <v>8.3100000000000023</v>
      </c>
      <c r="U27" s="16">
        <f t="shared" si="16"/>
        <v>9.1111111111111143</v>
      </c>
      <c r="V27" s="16">
        <f t="shared" si="16"/>
        <v>16.811111111111103</v>
      </c>
      <c r="W27" s="16">
        <f t="shared" si="16"/>
        <v>6.8666666666666671</v>
      </c>
    </row>
    <row r="28" spans="1:23" ht="9" hidden="1" customHeight="1">
      <c r="A28" s="120" t="s">
        <v>23</v>
      </c>
      <c r="B28" s="17">
        <f t="shared" ref="B28:W28" si="17">B20-B19</f>
        <v>11.05749999999999</v>
      </c>
      <c r="C28" s="17">
        <f t="shared" si="17"/>
        <v>0.24666666666666637</v>
      </c>
      <c r="D28" s="17">
        <f t="shared" si="17"/>
        <v>9.9677777777777834</v>
      </c>
      <c r="E28" s="17">
        <f t="shared" si="17"/>
        <v>28.700000000000003</v>
      </c>
      <c r="F28" s="17">
        <f t="shared" si="17"/>
        <v>13.828888888888883</v>
      </c>
      <c r="G28" s="17">
        <f t="shared" si="17"/>
        <v>1.2233333333333345</v>
      </c>
      <c r="H28" s="17">
        <f t="shared" si="17"/>
        <v>14</v>
      </c>
      <c r="I28" s="17">
        <f t="shared" si="17"/>
        <v>20.61999999999999</v>
      </c>
      <c r="J28" s="17">
        <f t="shared" si="17"/>
        <v>9.1111111111111143</v>
      </c>
      <c r="K28" s="17">
        <f t="shared" si="17"/>
        <v>107.26666666666665</v>
      </c>
      <c r="L28" s="17">
        <f t="shared" si="17"/>
        <v>0.1153333333333334</v>
      </c>
      <c r="M28" s="17">
        <f t="shared" si="17"/>
        <v>8</v>
      </c>
      <c r="N28" s="17">
        <f t="shared" si="17"/>
        <v>13.888888888888886</v>
      </c>
      <c r="O28" s="17">
        <f t="shared" si="17"/>
        <v>10.816666666666663</v>
      </c>
      <c r="P28" s="17">
        <f t="shared" si="17"/>
        <v>8.7777777777777715</v>
      </c>
      <c r="Q28" s="17">
        <f t="shared" si="17"/>
        <v>17.444444444444443</v>
      </c>
      <c r="R28" s="17">
        <f t="shared" si="17"/>
        <v>10.927777777777763</v>
      </c>
      <c r="S28" s="17">
        <f t="shared" si="17"/>
        <v>12.666666666666671</v>
      </c>
      <c r="T28" s="17">
        <f t="shared" si="17"/>
        <v>13.099999999999994</v>
      </c>
      <c r="U28" s="17">
        <f t="shared" si="17"/>
        <v>13.888888888888886</v>
      </c>
      <c r="V28" s="17">
        <f t="shared" si="17"/>
        <v>10.188888888888897</v>
      </c>
      <c r="W28" s="17">
        <f t="shared" si="17"/>
        <v>4.8333333333333286</v>
      </c>
    </row>
    <row r="29" spans="1:23" ht="9" hidden="1" customHeight="1">
      <c r="A29" s="121" t="s">
        <v>24</v>
      </c>
      <c r="B29" s="18">
        <f t="shared" ref="B29:W29" si="18">(2*(1-0.95))/(B26)</f>
        <v>1.2500000000000011E-2</v>
      </c>
      <c r="C29" s="18">
        <f t="shared" si="18"/>
        <v>1.111111111111112E-2</v>
      </c>
      <c r="D29" s="18">
        <f t="shared" si="18"/>
        <v>1.111111111111112E-2</v>
      </c>
      <c r="E29" s="18">
        <f t="shared" si="18"/>
        <v>1.111111111111112E-2</v>
      </c>
      <c r="F29" s="18">
        <f t="shared" si="18"/>
        <v>1.111111111111112E-2</v>
      </c>
      <c r="G29" s="18">
        <f t="shared" si="18"/>
        <v>1.111111111111112E-2</v>
      </c>
      <c r="H29" s="18">
        <f t="shared" si="18"/>
        <v>1.111111111111112E-2</v>
      </c>
      <c r="I29" s="18">
        <f t="shared" si="18"/>
        <v>1.111111111111112E-2</v>
      </c>
      <c r="J29" s="18">
        <f t="shared" si="18"/>
        <v>1.111111111111112E-2</v>
      </c>
      <c r="K29" s="18">
        <f t="shared" si="18"/>
        <v>1.111111111111112E-2</v>
      </c>
      <c r="L29" s="18">
        <f t="shared" si="18"/>
        <v>1.111111111111112E-2</v>
      </c>
      <c r="M29" s="18">
        <f t="shared" si="18"/>
        <v>1.111111111111112E-2</v>
      </c>
      <c r="N29" s="18">
        <f t="shared" si="18"/>
        <v>1.111111111111112E-2</v>
      </c>
      <c r="O29" s="18">
        <f t="shared" si="18"/>
        <v>1.111111111111112E-2</v>
      </c>
      <c r="P29" s="18">
        <f t="shared" si="18"/>
        <v>1.111111111111112E-2</v>
      </c>
      <c r="Q29" s="18">
        <f t="shared" si="18"/>
        <v>1.111111111111112E-2</v>
      </c>
      <c r="R29" s="18">
        <f t="shared" si="18"/>
        <v>1.111111111111112E-2</v>
      </c>
      <c r="S29" s="18">
        <f t="shared" si="18"/>
        <v>1.111111111111112E-2</v>
      </c>
      <c r="T29" s="18">
        <f t="shared" si="18"/>
        <v>1.111111111111112E-2</v>
      </c>
      <c r="U29" s="18">
        <f t="shared" si="18"/>
        <v>1.111111111111112E-2</v>
      </c>
      <c r="V29" s="18">
        <f t="shared" si="18"/>
        <v>1.111111111111112E-2</v>
      </c>
      <c r="W29" s="18">
        <f t="shared" si="18"/>
        <v>1.111111111111112E-2</v>
      </c>
    </row>
    <row r="30" spans="1:23" ht="9" hidden="1" customHeight="1">
      <c r="A30" s="121" t="s">
        <v>25</v>
      </c>
      <c r="B30" s="19">
        <f t="shared" ref="B30:W30" si="19">(B20-B19)/B21</f>
        <v>1.7338365504957904</v>
      </c>
      <c r="C30" s="19">
        <f t="shared" si="19"/>
        <v>1.7529836678127948</v>
      </c>
      <c r="D30" s="19">
        <f t="shared" si="19"/>
        <v>1.4839211357036961</v>
      </c>
      <c r="E30" s="19">
        <f t="shared" si="19"/>
        <v>0.6837695499965496</v>
      </c>
      <c r="F30" s="19">
        <f t="shared" si="19"/>
        <v>1.7494968941855575</v>
      </c>
      <c r="G30" s="19">
        <f t="shared" si="19"/>
        <v>1.9058250259814125</v>
      </c>
      <c r="H30" s="19">
        <f t="shared" si="19"/>
        <v>2.0367003088692623</v>
      </c>
      <c r="I30" s="19">
        <f t="shared" si="19"/>
        <v>2.1113519222473482</v>
      </c>
      <c r="J30" s="19">
        <f t="shared" si="19"/>
        <v>1.3169823498567739</v>
      </c>
      <c r="K30" s="19">
        <f t="shared" si="19"/>
        <v>0.35190390310749575</v>
      </c>
      <c r="L30" s="19">
        <f t="shared" si="19"/>
        <v>1.8611836635941206</v>
      </c>
      <c r="M30" s="19">
        <f t="shared" si="19"/>
        <v>0.837478276144342</v>
      </c>
      <c r="N30" s="19">
        <f t="shared" si="19"/>
        <v>0.44443338312900332</v>
      </c>
      <c r="O30" s="19">
        <f t="shared" si="19"/>
        <v>1.8000254680014081</v>
      </c>
      <c r="P30" s="19">
        <f t="shared" si="19"/>
        <v>0.79325905695288779</v>
      </c>
      <c r="Q30" s="19">
        <f t="shared" si="19"/>
        <v>1.702178319614905</v>
      </c>
      <c r="R30" s="19">
        <f t="shared" si="19"/>
        <v>1.8279187720182641</v>
      </c>
      <c r="S30" s="19">
        <f t="shared" si="19"/>
        <v>1.6086682753357469</v>
      </c>
      <c r="T30" s="19">
        <f t="shared" si="19"/>
        <v>1.6951510241988026</v>
      </c>
      <c r="U30" s="19">
        <f t="shared" si="19"/>
        <v>1.7312338579425604</v>
      </c>
      <c r="V30" s="19">
        <f t="shared" si="19"/>
        <v>1.2199540646918337</v>
      </c>
      <c r="W30" s="19">
        <f t="shared" si="19"/>
        <v>1.2090892504127941</v>
      </c>
    </row>
    <row r="31" spans="1:23" ht="9" hidden="1" customHeight="1">
      <c r="A31" s="121" t="s">
        <v>26</v>
      </c>
      <c r="B31" s="19">
        <f t="shared" ref="B31:W31" si="20">(B18-B20)/B21</f>
        <v>1.0462604009209311</v>
      </c>
      <c r="C31" s="19">
        <f t="shared" si="20"/>
        <v>1.5160939829732316</v>
      </c>
      <c r="D31" s="19">
        <f t="shared" si="20"/>
        <v>1.8597397535075944</v>
      </c>
      <c r="E31" s="19">
        <f t="shared" si="20"/>
        <v>2.6228637546731752</v>
      </c>
      <c r="F31" s="19">
        <f t="shared" si="20"/>
        <v>1.0628270944027816</v>
      </c>
      <c r="G31" s="19">
        <f t="shared" si="20"/>
        <v>1.7240705957107023</v>
      </c>
      <c r="H31" s="19">
        <f t="shared" si="20"/>
        <v>1.3093073414159542</v>
      </c>
      <c r="I31" s="19">
        <f t="shared" si="20"/>
        <v>0.9471389563912711</v>
      </c>
      <c r="J31" s="19">
        <f t="shared" si="20"/>
        <v>1.4294076724055218</v>
      </c>
      <c r="K31" s="19">
        <f t="shared" si="20"/>
        <v>2.6659618563883285</v>
      </c>
      <c r="L31" s="19">
        <f t="shared" si="20"/>
        <v>0.99514155423384976</v>
      </c>
      <c r="M31" s="19">
        <f t="shared" si="20"/>
        <v>1.9890109058428123</v>
      </c>
      <c r="N31" s="19">
        <f t="shared" si="20"/>
        <v>2.6594893646439566</v>
      </c>
      <c r="O31" s="19">
        <f t="shared" si="20"/>
        <v>1.1504631188397307</v>
      </c>
      <c r="P31" s="19">
        <f t="shared" si="20"/>
        <v>2.0082507770959204</v>
      </c>
      <c r="Q31" s="19">
        <f t="shared" si="20"/>
        <v>2.0057515231131049</v>
      </c>
      <c r="R31" s="19">
        <f t="shared" si="20"/>
        <v>1.1378260012502146</v>
      </c>
      <c r="S31" s="19">
        <f t="shared" si="20"/>
        <v>2.0743354076697775</v>
      </c>
      <c r="T31" s="19">
        <f t="shared" si="20"/>
        <v>1.0753209932131342</v>
      </c>
      <c r="U31" s="19">
        <f t="shared" si="20"/>
        <v>1.1356894108103204</v>
      </c>
      <c r="V31" s="19">
        <f t="shared" si="20"/>
        <v>2.0128576879811799</v>
      </c>
      <c r="W31" s="19">
        <f t="shared" si="20"/>
        <v>1.7177405902416265</v>
      </c>
    </row>
    <row r="32" spans="1:23" ht="9" hidden="1" customHeight="1">
      <c r="A32" s="121" t="s">
        <v>27</v>
      </c>
      <c r="B32" s="20">
        <f>VLOOKUP(B26,Distributions!$A$5:$C$42,(3))</f>
        <v>2.032</v>
      </c>
      <c r="C32" s="20">
        <f>VLOOKUP(C26,Distributions!$A$5:$C$42,(3))</f>
        <v>2.11</v>
      </c>
      <c r="D32" s="20">
        <f>VLOOKUP(D26,Distributions!$A$5:$C$42,(3))</f>
        <v>2.11</v>
      </c>
      <c r="E32" s="20">
        <f>VLOOKUP(E26,Distributions!$A$5:$C$42,(3))</f>
        <v>2.11</v>
      </c>
      <c r="F32" s="20">
        <f>VLOOKUP(F26,Distributions!$A$5:$C$42,(3))</f>
        <v>2.11</v>
      </c>
      <c r="G32" s="20">
        <f>VLOOKUP(G26,Distributions!$A$5:$C$42,(3))</f>
        <v>2.11</v>
      </c>
      <c r="H32" s="20">
        <f>VLOOKUP(H26,Distributions!$A$5:$C$42,(3))</f>
        <v>2.11</v>
      </c>
      <c r="I32" s="20">
        <f>VLOOKUP(I26,Distributions!$A$5:$C$42,(3))</f>
        <v>2.11</v>
      </c>
      <c r="J32" s="20">
        <f>VLOOKUP(J26,Distributions!$A$5:$C$42,(3))</f>
        <v>2.11</v>
      </c>
      <c r="K32" s="20">
        <f>VLOOKUP(K26,Distributions!$A$5:$C$42,(3))</f>
        <v>2.11</v>
      </c>
      <c r="L32" s="20">
        <f>VLOOKUP(L26,Distributions!$A$5:$C$42,(3))</f>
        <v>2.11</v>
      </c>
      <c r="M32" s="20">
        <f>VLOOKUP(M26,Distributions!$A$5:$C$42,(3))</f>
        <v>2.11</v>
      </c>
      <c r="N32" s="20">
        <f>VLOOKUP(N26,Distributions!$A$5:$C$42,(3))</f>
        <v>2.11</v>
      </c>
      <c r="O32" s="20">
        <f>VLOOKUP(O26,Distributions!$A$5:$C$42,(3))</f>
        <v>2.11</v>
      </c>
      <c r="P32" s="20">
        <f>VLOOKUP(P26,Distributions!$A$5:$C$42,(3))</f>
        <v>2.11</v>
      </c>
      <c r="Q32" s="20">
        <f>VLOOKUP(Q26,Distributions!$A$5:$C$42,(3))</f>
        <v>2.11</v>
      </c>
      <c r="R32" s="20">
        <f>VLOOKUP(R26,Distributions!$A$5:$C$42,(3))</f>
        <v>2.11</v>
      </c>
      <c r="S32" s="20">
        <f>VLOOKUP(S26,Distributions!$A$5:$C$42,(3))</f>
        <v>2.11</v>
      </c>
      <c r="T32" s="20">
        <f>VLOOKUP(T26,Distributions!$A$5:$C$42,(3))</f>
        <v>2.11</v>
      </c>
      <c r="U32" s="20">
        <f>VLOOKUP(U26,Distributions!$A$5:$C$42,(3))</f>
        <v>2.11</v>
      </c>
      <c r="V32" s="20">
        <f>VLOOKUP(V26,Distributions!$A$5:$C$42,(3))</f>
        <v>2.11</v>
      </c>
      <c r="W32" s="20">
        <f>VLOOKUP(W26,Distributions!$A$5:$C$42,(3))</f>
        <v>2.11</v>
      </c>
    </row>
    <row r="33" spans="1:23" ht="9" hidden="1" customHeight="1">
      <c r="A33" s="121" t="s">
        <v>28</v>
      </c>
      <c r="B33" s="20">
        <f t="shared" ref="B33:W33" si="21">IFERROR(IF(B30&lt;B32,IF(B31&lt;B32,0,B18),B19),0)</f>
        <v>0</v>
      </c>
      <c r="C33" s="20">
        <f t="shared" si="21"/>
        <v>0</v>
      </c>
      <c r="D33" s="20">
        <f t="shared" si="21"/>
        <v>0</v>
      </c>
      <c r="E33" s="20">
        <f t="shared" si="21"/>
        <v>220.1</v>
      </c>
      <c r="F33" s="20">
        <f t="shared" si="21"/>
        <v>0</v>
      </c>
      <c r="G33" s="20">
        <f t="shared" si="21"/>
        <v>0</v>
      </c>
      <c r="H33" s="20">
        <f t="shared" si="21"/>
        <v>0</v>
      </c>
      <c r="I33" s="20">
        <f t="shared" si="21"/>
        <v>59.97</v>
      </c>
      <c r="J33" s="20">
        <f t="shared" si="21"/>
        <v>0</v>
      </c>
      <c r="K33" s="20">
        <f t="shared" si="21"/>
        <v>1016</v>
      </c>
      <c r="L33" s="20">
        <f t="shared" si="21"/>
        <v>0</v>
      </c>
      <c r="M33" s="20">
        <f t="shared" si="21"/>
        <v>0</v>
      </c>
      <c r="N33" s="20">
        <f t="shared" si="21"/>
        <v>193</v>
      </c>
      <c r="O33" s="20">
        <f t="shared" si="21"/>
        <v>0</v>
      </c>
      <c r="P33" s="20">
        <f t="shared" si="21"/>
        <v>0</v>
      </c>
      <c r="Q33" s="20">
        <f t="shared" si="21"/>
        <v>0</v>
      </c>
      <c r="R33" s="20">
        <f t="shared" si="21"/>
        <v>0</v>
      </c>
      <c r="S33" s="20">
        <f t="shared" si="21"/>
        <v>0</v>
      </c>
      <c r="T33" s="20">
        <f t="shared" si="21"/>
        <v>0</v>
      </c>
      <c r="U33" s="20">
        <f t="shared" si="21"/>
        <v>0</v>
      </c>
      <c r="V33" s="20">
        <f t="shared" si="21"/>
        <v>0</v>
      </c>
      <c r="W33" s="20">
        <f t="shared" si="21"/>
        <v>0</v>
      </c>
    </row>
    <row r="34" spans="1:23" ht="9" hidden="1" customHeight="1">
      <c r="A34" s="121" t="s">
        <v>29</v>
      </c>
      <c r="B34" s="20">
        <f>COUNTIF(SampleResults!B1:B32,"*")-1</f>
        <v>1</v>
      </c>
      <c r="C34" s="20">
        <f>COUNTIF(SampleResults!C1:C32,"*")-1</f>
        <v>0</v>
      </c>
      <c r="D34" s="20">
        <f>COUNTIF(SampleResults!D1:D32,"*")-1</f>
        <v>0</v>
      </c>
      <c r="E34" s="20">
        <f>COUNTIF(SampleResults!E1:E32,"*")-1</f>
        <v>0</v>
      </c>
      <c r="F34" s="20">
        <f>COUNTIF(SampleResults!F1:F32,"*")-1</f>
        <v>0</v>
      </c>
      <c r="G34" s="20">
        <f>COUNTIF(SampleResults!G1:G32,"*")-1</f>
        <v>0</v>
      </c>
      <c r="H34" s="20">
        <f>COUNTIF(SampleResults!H1:H32,"*")-1</f>
        <v>0</v>
      </c>
      <c r="I34" s="20">
        <f>COUNTIF(SampleResults!I1:I32,"*")-1</f>
        <v>0</v>
      </c>
      <c r="J34" s="20">
        <f>COUNTIF(SampleResults!J1:J32,"*")-1</f>
        <v>0</v>
      </c>
      <c r="K34" s="20">
        <f>COUNTIF(SampleResults!K1:K32,"*")-1</f>
        <v>0</v>
      </c>
      <c r="L34" s="20">
        <f>COUNTIF(SampleResults!L1:L32,"*")-1</f>
        <v>0</v>
      </c>
      <c r="M34" s="20">
        <f>COUNTIF(SampleResults!M1:M32,"*")-1</f>
        <v>0</v>
      </c>
      <c r="N34" s="20">
        <f>COUNTIF(SampleResults!N1:N32,"*")-1</f>
        <v>0</v>
      </c>
      <c r="O34" s="20">
        <f>COUNTIF(SampleResults!O1:O32,"*")-1</f>
        <v>0</v>
      </c>
      <c r="P34" s="20">
        <f>COUNTIF(SampleResults!P1:P32,"*")-1</f>
        <v>0</v>
      </c>
      <c r="Q34" s="20">
        <f>COUNTIF(SampleResults!Q1:Q32,"*")-1</f>
        <v>0</v>
      </c>
      <c r="R34" s="20">
        <f>COUNTIF(SampleResults!R1:R32,"*")-1</f>
        <v>0</v>
      </c>
      <c r="S34" s="20">
        <f>COUNTIF(SampleResults!S1:S32,"*")-1</f>
        <v>0</v>
      </c>
      <c r="T34" s="20">
        <f>COUNTIF(SampleResults!T1:T32,"*")-1</f>
        <v>0</v>
      </c>
      <c r="U34" s="20">
        <f>COUNTIF(SampleResults!U1:U32,"*")-1</f>
        <v>0</v>
      </c>
      <c r="V34" s="20">
        <f>COUNTIF(SampleResults!V1:V32,"*")-1</f>
        <v>0</v>
      </c>
      <c r="W34" s="20">
        <f>COUNTIF(SampleResults!W1:W32,"*")-1</f>
        <v>0</v>
      </c>
    </row>
    <row r="35" spans="1:23" ht="9" hidden="1" customHeight="1">
      <c r="A35" s="121" t="s">
        <v>30</v>
      </c>
      <c r="B35" s="19">
        <f t="shared" ref="B35:W35" si="22">SQRT(POWER(B21,2)+POWER(B21/SQRT(B26),2))</f>
        <v>6.764334184846704</v>
      </c>
      <c r="C35" s="19">
        <f t="shared" si="22"/>
        <v>0.14832396974191325</v>
      </c>
      <c r="D35" s="19">
        <f t="shared" si="22"/>
        <v>7.0805382284779927</v>
      </c>
      <c r="E35" s="19">
        <f t="shared" si="22"/>
        <v>44.243643611257852</v>
      </c>
      <c r="F35" s="19">
        <f t="shared" si="22"/>
        <v>8.3320689781584338</v>
      </c>
      <c r="G35" s="19">
        <f t="shared" si="22"/>
        <v>0.67661329838804951</v>
      </c>
      <c r="H35" s="19">
        <f t="shared" si="22"/>
        <v>7.245688373094719</v>
      </c>
      <c r="I35" s="19">
        <f t="shared" si="22"/>
        <v>10.294536037249177</v>
      </c>
      <c r="J35" s="19">
        <f t="shared" si="22"/>
        <v>7.2923941436046231</v>
      </c>
      <c r="K35" s="19">
        <f t="shared" si="22"/>
        <v>321.30645202222615</v>
      </c>
      <c r="L35" s="19">
        <f t="shared" si="22"/>
        <v>6.531972647421809E-2</v>
      </c>
      <c r="M35" s="19">
        <f t="shared" si="22"/>
        <v>10.069204977995476</v>
      </c>
      <c r="N35" s="19">
        <f t="shared" si="22"/>
        <v>32.941212132982052</v>
      </c>
      <c r="O35" s="19">
        <f t="shared" si="22"/>
        <v>6.3342258143096455</v>
      </c>
      <c r="P35" s="19">
        <f t="shared" si="22"/>
        <v>11.664020864009558</v>
      </c>
      <c r="Q35" s="19">
        <f t="shared" si="22"/>
        <v>10.802663137587766</v>
      </c>
      <c r="R35" s="19">
        <f t="shared" si="22"/>
        <v>6.3016417124115316</v>
      </c>
      <c r="S35" s="19">
        <f t="shared" si="22"/>
        <v>8.2999330653258205</v>
      </c>
      <c r="T35" s="19">
        <f t="shared" si="22"/>
        <v>8.1459482089086599</v>
      </c>
      <c r="U35" s="19">
        <f t="shared" si="22"/>
        <v>8.4564972464379338</v>
      </c>
      <c r="V35" s="19">
        <f t="shared" si="22"/>
        <v>8.8036363138011904</v>
      </c>
      <c r="W35" s="19">
        <f t="shared" si="22"/>
        <v>4.2137341581494612</v>
      </c>
    </row>
    <row r="36" spans="1:23" ht="9" hidden="1" customHeight="1">
      <c r="A36" s="121" t="s">
        <v>11</v>
      </c>
      <c r="B36" s="19">
        <f t="shared" ref="B36:W36" si="23">IF(ISBLANK(B6),B23*B21,B6)</f>
        <v>11</v>
      </c>
      <c r="C36" s="19">
        <f t="shared" si="23"/>
        <v>0.1</v>
      </c>
      <c r="D36" s="19">
        <f t="shared" si="23"/>
        <v>19.452977486404947</v>
      </c>
      <c r="E36" s="19">
        <f t="shared" si="23"/>
        <v>121.55440381985336</v>
      </c>
      <c r="F36" s="19">
        <f t="shared" si="23"/>
        <v>22.891416586861645</v>
      </c>
      <c r="G36" s="19">
        <f t="shared" si="23"/>
        <v>1.858918465775194</v>
      </c>
      <c r="H36" s="19">
        <f t="shared" si="23"/>
        <v>19.90670881888817</v>
      </c>
      <c r="I36" s="19">
        <f t="shared" si="23"/>
        <v>28.283072741581638</v>
      </c>
      <c r="J36" s="19">
        <f t="shared" si="23"/>
        <v>20.035027637725992</v>
      </c>
      <c r="K36" s="19">
        <f t="shared" si="23"/>
        <v>882.75311505077104</v>
      </c>
      <c r="L36" s="19">
        <f t="shared" si="23"/>
        <v>0.17945855632986688</v>
      </c>
      <c r="M36" s="19">
        <f t="shared" si="23"/>
        <v>27.664001156737971</v>
      </c>
      <c r="N36" s="19">
        <f t="shared" si="23"/>
        <v>90.502252416414734</v>
      </c>
      <c r="O36" s="19">
        <f t="shared" si="23"/>
        <v>17.402568587791865</v>
      </c>
      <c r="P36" s="19">
        <f t="shared" si="23"/>
        <v>32.045577320088718</v>
      </c>
      <c r="Q36" s="19">
        <f t="shared" si="23"/>
        <v>29.679094445604488</v>
      </c>
      <c r="R36" s="19">
        <f t="shared" si="23"/>
        <v>17.313047455331997</v>
      </c>
      <c r="S36" s="19">
        <f t="shared" si="23"/>
        <v>22.803126803138206</v>
      </c>
      <c r="T36" s="19">
        <f t="shared" si="23"/>
        <v>22.380070836420511</v>
      </c>
      <c r="U36" s="19">
        <f t="shared" si="23"/>
        <v>23.233269172556074</v>
      </c>
      <c r="V36" s="19">
        <f t="shared" si="23"/>
        <v>24.186994474809069</v>
      </c>
      <c r="W36" s="19">
        <f t="shared" si="23"/>
        <v>11.576757736084827</v>
      </c>
    </row>
    <row r="37" spans="1:23" ht="9" hidden="1" customHeight="1">
      <c r="A37" s="121" t="s">
        <v>31</v>
      </c>
      <c r="B37" s="19">
        <f t="shared" ref="B37:W37" si="24">B36*3</f>
        <v>33</v>
      </c>
      <c r="C37" s="19">
        <f t="shared" si="24"/>
        <v>0.30000000000000004</v>
      </c>
      <c r="D37" s="19">
        <f t="shared" si="24"/>
        <v>58.358932459214842</v>
      </c>
      <c r="E37" s="19">
        <f t="shared" si="24"/>
        <v>364.6632114595601</v>
      </c>
      <c r="F37" s="19">
        <f t="shared" si="24"/>
        <v>68.674249760584928</v>
      </c>
      <c r="G37" s="19">
        <f t="shared" si="24"/>
        <v>5.5767553973255826</v>
      </c>
      <c r="H37" s="19">
        <f t="shared" si="24"/>
        <v>59.720126456664509</v>
      </c>
      <c r="I37" s="19">
        <f t="shared" si="24"/>
        <v>84.849218224744916</v>
      </c>
      <c r="J37" s="19">
        <f t="shared" si="24"/>
        <v>60.105082913177981</v>
      </c>
      <c r="K37" s="19">
        <f t="shared" si="24"/>
        <v>2648.259345152313</v>
      </c>
      <c r="L37" s="19">
        <f t="shared" si="24"/>
        <v>0.53837566898960065</v>
      </c>
      <c r="M37" s="19">
        <f t="shared" si="24"/>
        <v>82.992003470213916</v>
      </c>
      <c r="N37" s="19">
        <f t="shared" si="24"/>
        <v>271.50675724924417</v>
      </c>
      <c r="O37" s="19">
        <f t="shared" si="24"/>
        <v>52.2077057633756</v>
      </c>
      <c r="P37" s="19">
        <f t="shared" si="24"/>
        <v>96.136731960266161</v>
      </c>
      <c r="Q37" s="19">
        <f t="shared" si="24"/>
        <v>89.037283336813459</v>
      </c>
      <c r="R37" s="19">
        <f t="shared" si="24"/>
        <v>51.939142365995991</v>
      </c>
      <c r="S37" s="19">
        <f t="shared" si="24"/>
        <v>68.409380409414609</v>
      </c>
      <c r="T37" s="19">
        <f t="shared" si="24"/>
        <v>67.140212509261531</v>
      </c>
      <c r="U37" s="19">
        <f t="shared" si="24"/>
        <v>69.699807517668219</v>
      </c>
      <c r="V37" s="19">
        <f t="shared" si="24"/>
        <v>72.560983424427207</v>
      </c>
      <c r="W37" s="19">
        <f t="shared" si="24"/>
        <v>34.730273208254481</v>
      </c>
    </row>
    <row r="38" spans="1:23" ht="9" hidden="1" customHeight="1">
      <c r="A38" s="121" t="s">
        <v>32</v>
      </c>
      <c r="B38" s="19">
        <f t="shared" ref="B38:W38" si="25">B35*2</f>
        <v>13.528668369693408</v>
      </c>
      <c r="C38" s="19">
        <f t="shared" si="25"/>
        <v>0.29664793948382651</v>
      </c>
      <c r="D38" s="19">
        <f t="shared" si="25"/>
        <v>14.161076456955985</v>
      </c>
      <c r="E38" s="19">
        <f t="shared" si="25"/>
        <v>88.487287222515704</v>
      </c>
      <c r="F38" s="19">
        <f t="shared" si="25"/>
        <v>16.664137956316868</v>
      </c>
      <c r="G38" s="19">
        <f t="shared" si="25"/>
        <v>1.353226596776099</v>
      </c>
      <c r="H38" s="19">
        <f t="shared" si="25"/>
        <v>14.491376746189438</v>
      </c>
      <c r="I38" s="19">
        <f t="shared" si="25"/>
        <v>20.589072074498354</v>
      </c>
      <c r="J38" s="19">
        <f t="shared" si="25"/>
        <v>14.584788287209246</v>
      </c>
      <c r="K38" s="19">
        <f t="shared" si="25"/>
        <v>642.61290404445231</v>
      </c>
      <c r="L38" s="19">
        <f t="shared" si="25"/>
        <v>0.13063945294843618</v>
      </c>
      <c r="M38" s="19">
        <f t="shared" si="25"/>
        <v>20.138409955990952</v>
      </c>
      <c r="N38" s="19">
        <f t="shared" si="25"/>
        <v>65.882424265964104</v>
      </c>
      <c r="O38" s="19">
        <f t="shared" si="25"/>
        <v>12.668451628619291</v>
      </c>
      <c r="P38" s="19">
        <f t="shared" si="25"/>
        <v>23.328041728019116</v>
      </c>
      <c r="Q38" s="19">
        <f t="shared" si="25"/>
        <v>21.605326275175532</v>
      </c>
      <c r="R38" s="19">
        <f t="shared" si="25"/>
        <v>12.603283424823063</v>
      </c>
      <c r="S38" s="19">
        <f t="shared" si="25"/>
        <v>16.599866130651641</v>
      </c>
      <c r="T38" s="19">
        <f t="shared" si="25"/>
        <v>16.29189641781732</v>
      </c>
      <c r="U38" s="19">
        <f t="shared" si="25"/>
        <v>16.912994492875868</v>
      </c>
      <c r="V38" s="19">
        <f t="shared" si="25"/>
        <v>17.607272627602381</v>
      </c>
      <c r="W38" s="19">
        <f t="shared" si="25"/>
        <v>8.4274683162989223</v>
      </c>
    </row>
    <row r="39" spans="1:23" ht="9" hidden="1" customHeight="1">
      <c r="A39" s="121" t="s">
        <v>33</v>
      </c>
      <c r="B39" s="21">
        <f t="shared" ref="B39:W39" si="26">B20-B5</f>
        <v>-11.972500000000011</v>
      </c>
      <c r="C39" s="21">
        <f t="shared" si="26"/>
        <v>-0.59333333333333371</v>
      </c>
      <c r="D39" s="21">
        <f t="shared" si="26"/>
        <v>-3.6622222222222121</v>
      </c>
      <c r="E39" s="21">
        <f t="shared" si="26"/>
        <v>20.010000000000005</v>
      </c>
      <c r="F39" s="21">
        <f t="shared" si="26"/>
        <v>-10.561111111111117</v>
      </c>
      <c r="G39" s="21">
        <f t="shared" si="26"/>
        <v>0.29333333333333478</v>
      </c>
      <c r="H39" s="21">
        <f t="shared" si="26"/>
        <v>2</v>
      </c>
      <c r="I39" s="21">
        <f t="shared" si="26"/>
        <v>-9.4100000000000108</v>
      </c>
      <c r="J39" s="21">
        <f t="shared" si="26"/>
        <v>3.1111111111111143</v>
      </c>
      <c r="K39" s="21">
        <f t="shared" si="26"/>
        <v>113.36666666666665</v>
      </c>
      <c r="L39" s="21">
        <f t="shared" si="26"/>
        <v>-0.16366666666666663</v>
      </c>
      <c r="M39" s="21">
        <f t="shared" si="26"/>
        <v>8</v>
      </c>
      <c r="N39" s="21">
        <f t="shared" si="26"/>
        <v>16.888888888888886</v>
      </c>
      <c r="O39" s="21">
        <f t="shared" si="26"/>
        <v>-16.073333333333338</v>
      </c>
      <c r="P39" s="21">
        <f t="shared" si="26"/>
        <v>8.7777777777777715</v>
      </c>
      <c r="Q39" s="21">
        <f t="shared" si="26"/>
        <v>8.4444444444444429</v>
      </c>
      <c r="R39" s="21">
        <f t="shared" si="26"/>
        <v>-15.962222222222238</v>
      </c>
      <c r="S39" s="21">
        <f t="shared" si="26"/>
        <v>10.666666666666671</v>
      </c>
      <c r="T39" s="21">
        <f t="shared" si="26"/>
        <v>-11.469999999999999</v>
      </c>
      <c r="U39" s="21">
        <f t="shared" si="26"/>
        <v>-8.1111111111111143</v>
      </c>
      <c r="V39" s="21">
        <f t="shared" si="26"/>
        <v>-15.1111111111111</v>
      </c>
      <c r="W39" s="21">
        <f t="shared" si="26"/>
        <v>-7.56666666666667</v>
      </c>
    </row>
    <row r="40" spans="1:23" ht="9" hidden="1" customHeight="1">
      <c r="A40" s="121" t="s">
        <v>34</v>
      </c>
      <c r="B40" s="22">
        <f t="shared" ref="B40:W40" si="27">B36/B16</f>
        <v>12.583521207202333</v>
      </c>
      <c r="C40" s="22">
        <f t="shared" si="27"/>
        <v>0.1369294605809129</v>
      </c>
      <c r="D40" s="22">
        <f t="shared" si="27"/>
        <v>20.200227192656293</v>
      </c>
      <c r="E40" s="22">
        <f t="shared" si="27"/>
        <v>99.444562710542684</v>
      </c>
      <c r="F40" s="22">
        <f t="shared" si="27"/>
        <v>25.86000809594303</v>
      </c>
      <c r="G40" s="22">
        <f t="shared" si="27"/>
        <v>1.8002438513604817</v>
      </c>
      <c r="H40" s="22">
        <f t="shared" si="27"/>
        <v>19.496261214375011</v>
      </c>
      <c r="I40" s="22">
        <f t="shared" si="27"/>
        <v>31.585513670956043</v>
      </c>
      <c r="J40" s="22">
        <f t="shared" si="27"/>
        <v>19.365599506632524</v>
      </c>
      <c r="K40" s="22">
        <f t="shared" si="27"/>
        <v>390.6627455559879</v>
      </c>
      <c r="L40" s="22">
        <f t="shared" si="27"/>
        <v>0.21457778756062201</v>
      </c>
      <c r="M40" s="22">
        <f t="shared" si="27"/>
        <v>25.405715348024668</v>
      </c>
      <c r="N40" s="22">
        <f t="shared" si="27"/>
        <v>76.592907252314589</v>
      </c>
      <c r="O40" s="22">
        <f t="shared" si="27"/>
        <v>20.775636588850325</v>
      </c>
      <c r="P40" s="22">
        <f t="shared" si="27"/>
        <v>29.197882597606146</v>
      </c>
      <c r="Q40" s="22">
        <f t="shared" si="27"/>
        <v>27.208545510373447</v>
      </c>
      <c r="R40" s="22">
        <f t="shared" si="27"/>
        <v>20.641107504885074</v>
      </c>
      <c r="S40" s="22">
        <f t="shared" si="27"/>
        <v>20.38690144651429</v>
      </c>
      <c r="T40" s="22">
        <f t="shared" si="27"/>
        <v>25.528597912266743</v>
      </c>
      <c r="U40" s="22">
        <f t="shared" si="27"/>
        <v>25.306653829764624</v>
      </c>
      <c r="V40" s="22">
        <f t="shared" si="27"/>
        <v>28.49253275828293</v>
      </c>
      <c r="W40" s="22">
        <f t="shared" si="27"/>
        <v>13.641112807641196</v>
      </c>
    </row>
    <row r="41" spans="1:23" ht="9" hidden="1" customHeight="1">
      <c r="A41" s="121" t="s">
        <v>35</v>
      </c>
      <c r="B41" s="23" t="str">
        <f t="shared" ref="B41:W41" si="28">FIXED(B36,((-1*INT(LOG10(B36)))-1)+B7,TRUE)</f>
        <v>11</v>
      </c>
      <c r="C41" s="23" t="str">
        <f t="shared" si="28"/>
        <v>0.10</v>
      </c>
      <c r="D41" s="23" t="str">
        <f t="shared" si="28"/>
        <v>19</v>
      </c>
      <c r="E41" s="23" t="str">
        <f t="shared" si="28"/>
        <v>120</v>
      </c>
      <c r="F41" s="23" t="str">
        <f t="shared" si="28"/>
        <v>23</v>
      </c>
      <c r="G41" s="23" t="str">
        <f t="shared" si="28"/>
        <v>1.9</v>
      </c>
      <c r="H41" s="23" t="str">
        <f t="shared" si="28"/>
        <v>20</v>
      </c>
      <c r="I41" s="23" t="str">
        <f t="shared" si="28"/>
        <v>28</v>
      </c>
      <c r="J41" s="23" t="str">
        <f t="shared" si="28"/>
        <v>20</v>
      </c>
      <c r="K41" s="23" t="str">
        <f t="shared" si="28"/>
        <v>880</v>
      </c>
      <c r="L41" s="23" t="str">
        <f t="shared" si="28"/>
        <v>0.18</v>
      </c>
      <c r="M41" s="23" t="str">
        <f t="shared" si="28"/>
        <v>28</v>
      </c>
      <c r="N41" s="23" t="str">
        <f t="shared" si="28"/>
        <v>91</v>
      </c>
      <c r="O41" s="23" t="str">
        <f t="shared" si="28"/>
        <v>17</v>
      </c>
      <c r="P41" s="23" t="str">
        <f t="shared" si="28"/>
        <v>32</v>
      </c>
      <c r="Q41" s="23" t="str">
        <f t="shared" si="28"/>
        <v>30</v>
      </c>
      <c r="R41" s="23" t="str">
        <f t="shared" si="28"/>
        <v>17</v>
      </c>
      <c r="S41" s="23" t="str">
        <f t="shared" si="28"/>
        <v>23</v>
      </c>
      <c r="T41" s="23" t="str">
        <f t="shared" si="28"/>
        <v>22</v>
      </c>
      <c r="U41" s="23" t="str">
        <f t="shared" si="28"/>
        <v>23</v>
      </c>
      <c r="V41" s="23" t="str">
        <f t="shared" si="28"/>
        <v>24</v>
      </c>
      <c r="W41" s="23" t="str">
        <f t="shared" si="28"/>
        <v>12</v>
      </c>
    </row>
    <row r="42" spans="1:23" ht="9" hidden="1" customHeight="1">
      <c r="A42" s="122" t="s">
        <v>36</v>
      </c>
      <c r="B42" s="24" t="str">
        <f t="shared" ref="B42:W42" si="29">FIXED(B37,((-1*INT(LOG10(B37)))-1)+B7,TRUE)</f>
        <v>33</v>
      </c>
      <c r="C42" s="24" t="str">
        <f t="shared" si="29"/>
        <v>0.30</v>
      </c>
      <c r="D42" s="24" t="str">
        <f t="shared" si="29"/>
        <v>58</v>
      </c>
      <c r="E42" s="24" t="str">
        <f t="shared" si="29"/>
        <v>360</v>
      </c>
      <c r="F42" s="24" t="str">
        <f t="shared" si="29"/>
        <v>69</v>
      </c>
      <c r="G42" s="24" t="str">
        <f t="shared" si="29"/>
        <v>5.6</v>
      </c>
      <c r="H42" s="24" t="str">
        <f t="shared" si="29"/>
        <v>60</v>
      </c>
      <c r="I42" s="24" t="str">
        <f t="shared" si="29"/>
        <v>85</v>
      </c>
      <c r="J42" s="24" t="str">
        <f t="shared" si="29"/>
        <v>60</v>
      </c>
      <c r="K42" s="24" t="str">
        <f t="shared" si="29"/>
        <v>2600</v>
      </c>
      <c r="L42" s="24" t="str">
        <f t="shared" si="29"/>
        <v>0.54</v>
      </c>
      <c r="M42" s="24" t="str">
        <f t="shared" si="29"/>
        <v>83</v>
      </c>
      <c r="N42" s="24" t="str">
        <f t="shared" si="29"/>
        <v>270</v>
      </c>
      <c r="O42" s="24" t="str">
        <f t="shared" si="29"/>
        <v>52</v>
      </c>
      <c r="P42" s="24" t="str">
        <f t="shared" si="29"/>
        <v>96</v>
      </c>
      <c r="Q42" s="24" t="str">
        <f t="shared" si="29"/>
        <v>89</v>
      </c>
      <c r="R42" s="24" t="str">
        <f t="shared" si="29"/>
        <v>52</v>
      </c>
      <c r="S42" s="24" t="str">
        <f t="shared" si="29"/>
        <v>68</v>
      </c>
      <c r="T42" s="24" t="str">
        <f t="shared" si="29"/>
        <v>67</v>
      </c>
      <c r="U42" s="24" t="str">
        <f t="shared" si="29"/>
        <v>70</v>
      </c>
      <c r="V42" s="24" t="str">
        <f t="shared" si="29"/>
        <v>73</v>
      </c>
      <c r="W42" s="24" t="str">
        <f t="shared" si="29"/>
        <v>35</v>
      </c>
    </row>
    <row r="43" spans="1:23" ht="9" hidden="1" customHeight="1">
      <c r="A43" s="122" t="s">
        <v>37</v>
      </c>
      <c r="B43" s="24" t="str">
        <f t="shared" ref="B43:W43" si="30">FIXED(B5,((-1*INT(LOG10(B5)))-1)+B7,TRUE)</f>
        <v>95</v>
      </c>
      <c r="C43" s="24" t="str">
        <f t="shared" si="30"/>
        <v>2.2</v>
      </c>
      <c r="D43" s="24" t="str">
        <f t="shared" si="30"/>
        <v>99</v>
      </c>
      <c r="E43" s="24" t="str">
        <f t="shared" si="30"/>
        <v>90</v>
      </c>
      <c r="F43" s="24" t="str">
        <f t="shared" si="30"/>
        <v>92</v>
      </c>
      <c r="G43" s="24" t="str">
        <f t="shared" si="30"/>
        <v>9.0</v>
      </c>
      <c r="H43" s="24" t="str">
        <f t="shared" si="30"/>
        <v>95</v>
      </c>
      <c r="I43" s="24" t="str">
        <f t="shared" si="30"/>
        <v>90</v>
      </c>
      <c r="J43" s="24" t="str">
        <f t="shared" si="30"/>
        <v>90</v>
      </c>
      <c r="K43" s="24" t="str">
        <f t="shared" si="30"/>
        <v>90</v>
      </c>
      <c r="L43" s="24" t="str">
        <f t="shared" si="30"/>
        <v>1.0</v>
      </c>
      <c r="M43" s="24" t="str">
        <f t="shared" si="30"/>
        <v>90</v>
      </c>
      <c r="N43" s="24" t="str">
        <f t="shared" si="30"/>
        <v>93</v>
      </c>
      <c r="O43" s="24" t="str">
        <f t="shared" si="30"/>
        <v>99</v>
      </c>
      <c r="P43" s="24" t="str">
        <f t="shared" si="30"/>
        <v>90</v>
      </c>
      <c r="Q43" s="24" t="str">
        <f t="shared" si="30"/>
        <v>93</v>
      </c>
      <c r="R43" s="24" t="str">
        <f t="shared" si="30"/>
        <v>99</v>
      </c>
      <c r="S43" s="24" t="str">
        <f t="shared" si="30"/>
        <v>90</v>
      </c>
      <c r="T43" s="24" t="str">
        <f t="shared" si="30"/>
        <v>93</v>
      </c>
      <c r="U43" s="24" t="str">
        <f t="shared" si="30"/>
        <v>99</v>
      </c>
      <c r="V43" s="24" t="str">
        <f t="shared" si="30"/>
        <v>100</v>
      </c>
      <c r="W43" s="24" t="str">
        <f t="shared" si="30"/>
        <v>50</v>
      </c>
    </row>
    <row r="44" spans="1:23" ht="9" hidden="1" customHeight="1">
      <c r="A44" s="122" t="s">
        <v>38</v>
      </c>
      <c r="B44" s="24" t="str">
        <f t="shared" ref="B44:W44" si="31">FIXED(B40,((-1*INT(LOG10(B36)))-1)+B7,TRUE)</f>
        <v>13</v>
      </c>
      <c r="C44" s="24" t="str">
        <f t="shared" si="31"/>
        <v>0.14</v>
      </c>
      <c r="D44" s="24" t="str">
        <f t="shared" si="31"/>
        <v>20</v>
      </c>
      <c r="E44" s="24" t="str">
        <f t="shared" si="31"/>
        <v>100</v>
      </c>
      <c r="F44" s="24" t="str">
        <f t="shared" si="31"/>
        <v>26</v>
      </c>
      <c r="G44" s="24" t="str">
        <f t="shared" si="31"/>
        <v>1.8</v>
      </c>
      <c r="H44" s="24" t="str">
        <f t="shared" si="31"/>
        <v>19</v>
      </c>
      <c r="I44" s="24" t="str">
        <f t="shared" si="31"/>
        <v>32</v>
      </c>
      <c r="J44" s="24" t="str">
        <f t="shared" si="31"/>
        <v>19</v>
      </c>
      <c r="K44" s="24" t="str">
        <f t="shared" si="31"/>
        <v>390</v>
      </c>
      <c r="L44" s="24" t="str">
        <f t="shared" si="31"/>
        <v>0.21</v>
      </c>
      <c r="M44" s="24" t="str">
        <f t="shared" si="31"/>
        <v>25</v>
      </c>
      <c r="N44" s="24" t="str">
        <f t="shared" si="31"/>
        <v>77</v>
      </c>
      <c r="O44" s="24" t="str">
        <f t="shared" si="31"/>
        <v>21</v>
      </c>
      <c r="P44" s="24" t="str">
        <f t="shared" si="31"/>
        <v>29</v>
      </c>
      <c r="Q44" s="24" t="str">
        <f t="shared" si="31"/>
        <v>27</v>
      </c>
      <c r="R44" s="24" t="str">
        <f t="shared" si="31"/>
        <v>21</v>
      </c>
      <c r="S44" s="24" t="str">
        <f t="shared" si="31"/>
        <v>20</v>
      </c>
      <c r="T44" s="24" t="str">
        <f t="shared" si="31"/>
        <v>26</v>
      </c>
      <c r="U44" s="24" t="str">
        <f t="shared" si="31"/>
        <v>25</v>
      </c>
      <c r="V44" s="24" t="str">
        <f t="shared" si="31"/>
        <v>28</v>
      </c>
      <c r="W44" s="24" t="str">
        <f t="shared" si="31"/>
        <v>14</v>
      </c>
    </row>
    <row r="45" spans="1:23" ht="14.1" customHeight="1">
      <c r="A45" s="123" t="s">
        <v>39</v>
      </c>
      <c r="B45" s="25" t="str">
        <f t="shared" ref="B45:W45" si="32">IFERROR(IF(B3="Blank","Blank",B43&amp;" ± "&amp;B44&amp;" "&amp;B4),0)</f>
        <v>95 ± 13 µg/kg</v>
      </c>
      <c r="C45" s="25" t="str">
        <f t="shared" si="32"/>
        <v>2.2 ± 0.14 µg/kg</v>
      </c>
      <c r="D45" s="25" t="str">
        <f t="shared" si="32"/>
        <v>99 ± 20 µg/kg</v>
      </c>
      <c r="E45" s="25" t="str">
        <f t="shared" si="32"/>
        <v>90 ± 100 µg/kg</v>
      </c>
      <c r="F45" s="25" t="str">
        <f t="shared" si="32"/>
        <v>92 ± 26 µg/kg</v>
      </c>
      <c r="G45" s="25" t="str">
        <f t="shared" si="32"/>
        <v>9.0 ± 1.8 µg/kg</v>
      </c>
      <c r="H45" s="25" t="str">
        <f t="shared" si="32"/>
        <v>95 ± 19 µg/kg</v>
      </c>
      <c r="I45" s="25" t="str">
        <f t="shared" si="32"/>
        <v>90 ± 32 µg/kg</v>
      </c>
      <c r="J45" s="25" t="str">
        <f t="shared" si="32"/>
        <v>90 ± 19 µg/kg</v>
      </c>
      <c r="K45" s="25" t="str">
        <f t="shared" si="32"/>
        <v>90 ± 390 µg/kg</v>
      </c>
      <c r="L45" s="25" t="str">
        <f t="shared" si="32"/>
        <v>1.0 ± 0.21 µg/kg</v>
      </c>
      <c r="M45" s="25" t="str">
        <f t="shared" si="32"/>
        <v>90 ± 25 µg/kg</v>
      </c>
      <c r="N45" s="25" t="str">
        <f t="shared" si="32"/>
        <v>93 ± 77 µg/kg</v>
      </c>
      <c r="O45" s="25" t="str">
        <f t="shared" si="32"/>
        <v>99 ± 21 µg/kg</v>
      </c>
      <c r="P45" s="25" t="str">
        <f t="shared" si="32"/>
        <v>90 ± 29 µg/kg</v>
      </c>
      <c r="Q45" s="25" t="str">
        <f t="shared" si="32"/>
        <v>93 ± 27 µg/kg</v>
      </c>
      <c r="R45" s="25" t="str">
        <f t="shared" si="32"/>
        <v>99 ± 21 µg/kg</v>
      </c>
      <c r="S45" s="25" t="str">
        <f t="shared" si="32"/>
        <v>90 ± 20 µg/kg</v>
      </c>
      <c r="T45" s="25" t="str">
        <f t="shared" si="32"/>
        <v>93 ± 26 µg/kg</v>
      </c>
      <c r="U45" s="25" t="str">
        <f t="shared" si="32"/>
        <v>99 ± 25 µg/kg</v>
      </c>
      <c r="V45" s="25" t="str">
        <f t="shared" si="32"/>
        <v>100 ± 28 µg/kg</v>
      </c>
      <c r="W45" s="25" t="str">
        <f t="shared" si="32"/>
        <v>50 ± 14 µg/kg</v>
      </c>
    </row>
  </sheetData>
  <sheetProtection sheet="1" objects="1" scenarios="1"/>
  <conditionalFormatting sqref="A5">
    <cfRule type="containsText" dxfId="20" priority="3" stopIfTrue="1" operator="containsText" text="Must">
      <formula>NOT(ISERROR(FIND(UPPER("Must"),UPPER(A5))))</formula>
    </cfRule>
  </conditionalFormatting>
  <conditionalFormatting sqref="B5:W5">
    <cfRule type="containsBlanks" dxfId="19" priority="4" stopIfTrue="1">
      <formula>ISBLANK(B5)</formula>
    </cfRule>
    <cfRule type="cellIs" dxfId="18" priority="4" stopIfTrue="1" operator="equal">
      <formula>0</formula>
    </cfRule>
  </conditionalFormatting>
  <conditionalFormatting sqref="B7">
    <cfRule type="cellIs" dxfId="17" priority="5" stopIfTrue="1" operator="notEqual">
      <formula>2</formula>
    </cfRule>
  </conditionalFormatting>
  <conditionalFormatting sqref="B8:W8">
    <cfRule type="containsText" dxfId="16" priority="6" stopIfTrue="1" operator="containsText" text="Excluded">
      <formula>NOT(ISERROR(FIND(UPPER("Excluded"),UPPER(B8))))</formula>
    </cfRule>
    <cfRule type="cellIs" dxfId="15" priority="6" stopIfTrue="1" operator="equal">
      <formula>0</formula>
    </cfRule>
  </conditionalFormatting>
  <conditionalFormatting sqref="B9:W10">
    <cfRule type="cellIs" dxfId="14" priority="7" stopIfTrue="1" operator="equal">
      <formula>0</formula>
    </cfRule>
  </conditionalFormatting>
  <conditionalFormatting sqref="B11:W11">
    <cfRule type="cellIs" dxfId="13" priority="8" operator="equal">
      <formula>0</formula>
    </cfRule>
    <cfRule type="cellIs" dxfId="12" priority="8" stopIfTrue="1" operator="greaterThan">
      <formula>2</formula>
    </cfRule>
    <cfRule type="cellIs" dxfId="11" priority="8" stopIfTrue="1" operator="notBetween">
      <formula>0.3</formula>
      <formula>1</formula>
    </cfRule>
  </conditionalFormatting>
  <conditionalFormatting sqref="B12:W12">
    <cfRule type="cellIs" dxfId="10" priority="9" stopIfTrue="1" operator="greaterThan">
      <formula>0</formula>
    </cfRule>
    <cfRule type="cellIs" dxfId="9" priority="9" stopIfTrue="1" operator="equal">
      <formula>0</formula>
    </cfRule>
  </conditionalFormatting>
  <conditionalFormatting sqref="B13:W13">
    <cfRule type="cellIs" dxfId="8" priority="10" stopIfTrue="1" operator="equal">
      <formula>"Blank"</formula>
    </cfRule>
  </conditionalFormatting>
  <conditionalFormatting sqref="B17:W17 B45:W45">
    <cfRule type="cellIs" dxfId="7" priority="12" stopIfTrue="1" operator="equal">
      <formula>"Blank"</formula>
    </cfRule>
  </conditionalFormatting>
  <conditionalFormatting sqref="A18">
    <cfRule type="containsText" dxfId="6" priority="13" stopIfTrue="1" operator="containsText" text="Outlier">
      <formula>NOT(ISERROR(FIND(UPPER("Outlier"),UPPER(A18))))</formula>
    </cfRule>
  </conditionalFormatting>
  <conditionalFormatting sqref="B26:W26">
    <cfRule type="cellIs" dxfId="5" priority="14" stopIfTrue="1" operator="lessThan">
      <formula>3</formula>
    </cfRule>
  </conditionalFormatting>
  <conditionalFormatting sqref="B16:AK16">
    <cfRule type="containsText" dxfId="4" priority="1" stopIfTrue="1" operator="containsText" text="Blank">
      <formula>NOT(ISERROR(SEARCH("Blank",B16)))</formula>
    </cfRule>
  </conditionalFormatting>
  <conditionalFormatting sqref="B16:W16">
    <cfRule type="cellIs" dxfId="3" priority="2" operator="notBetween">
      <formula>0.2</formula>
      <formula>2</formula>
    </cfRule>
  </conditionalFormatting>
  <dataValidations count="3">
    <dataValidation type="list" allowBlank="1" showInputMessage="1" showErrorMessage="1" sqref="B3">
      <formula1>"Spike,Blank,Low Spike,Reference Material"</formula1>
    </dataValidation>
    <dataValidation type="list" allowBlank="1" showInputMessage="1" showErrorMessage="1" sqref="B4">
      <formula1>"ppm,ppb,ppt,mg/kg,µg/kg,ng/kg,mg/L,µg/L,ng/L,pg/L,g/L,drops/floz"</formula1>
    </dataValidation>
    <dataValidation type="list" allowBlank="1" showInputMessage="1" showErrorMessage="1" sqref="B7">
      <formula1>"2,1,3"</formula1>
    </dataValidation>
  </dataValidations>
  <pageMargins left="0.50314999999999999" right="0.30629899999999999" top="0.94684999999999997" bottom="0.35629899999999998" header="0" footer="0"/>
  <pageSetup scale="57" orientation="landscape" r:id="rId1"/>
  <headerFooter>
    <oddFooter>&amp;C&amp;"Helvetica Neue,Regular"&amp;12&amp;K000000&amp;P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showGridLines="0" showRowColHeaders="0" workbookViewId="0">
      <pane xSplit="1" topLeftCell="D1" activePane="topRight" state="frozen"/>
      <selection pane="topRight" activeCell="H22" sqref="H22"/>
    </sheetView>
  </sheetViews>
  <sheetFormatPr defaultColWidth="0" defaultRowHeight="15" customHeight="1" zeroHeight="1"/>
  <cols>
    <col min="1" max="1" width="14.25" style="1" customWidth="1"/>
    <col min="2" max="3" width="7.875" style="1" customWidth="1"/>
    <col min="4" max="4" width="8.25" style="1" customWidth="1"/>
    <col min="5" max="5" width="8.75" style="1" customWidth="1"/>
    <col min="6" max="6" width="10.25" style="1" customWidth="1"/>
    <col min="7" max="7" width="10.5" style="1" customWidth="1"/>
    <col min="8" max="8" width="10" style="1" customWidth="1"/>
    <col min="9" max="9" width="9.875" style="1" customWidth="1"/>
    <col min="10" max="10" width="9" style="1" customWidth="1"/>
    <col min="11" max="11" width="9.375" style="1" customWidth="1"/>
    <col min="12" max="19" width="9" style="1" customWidth="1"/>
    <col min="20" max="21" width="9.75" style="1" customWidth="1"/>
    <col min="22" max="22" width="12" style="1" customWidth="1"/>
    <col min="23" max="23" width="12.25" style="1" customWidth="1"/>
    <col min="24" max="25" width="0" style="1" hidden="1" customWidth="1"/>
    <col min="26" max="16384" width="8.875" style="1" hidden="1"/>
  </cols>
  <sheetData>
    <row r="1" spans="1:23" s="81" customFormat="1" ht="16.7" customHeight="1">
      <c r="A1" s="126" t="s">
        <v>40</v>
      </c>
      <c r="B1" s="82" t="s">
        <v>41</v>
      </c>
      <c r="C1" s="82" t="s">
        <v>42</v>
      </c>
      <c r="D1" s="82" t="s">
        <v>43</v>
      </c>
      <c r="E1" s="82" t="s">
        <v>44</v>
      </c>
      <c r="F1" s="82" t="s">
        <v>45</v>
      </c>
      <c r="G1" s="82" t="s">
        <v>46</v>
      </c>
      <c r="H1" s="82" t="s">
        <v>47</v>
      </c>
      <c r="I1" s="82" t="s">
        <v>48</v>
      </c>
      <c r="J1" s="82" t="s">
        <v>49</v>
      </c>
      <c r="K1" s="83" t="s">
        <v>50</v>
      </c>
      <c r="L1" s="83" t="s">
        <v>51</v>
      </c>
      <c r="M1" s="83" t="s">
        <v>52</v>
      </c>
      <c r="N1" s="83" t="s">
        <v>53</v>
      </c>
      <c r="O1" s="83" t="s">
        <v>54</v>
      </c>
      <c r="P1" s="83" t="s">
        <v>55</v>
      </c>
      <c r="Q1" s="83" t="s">
        <v>56</v>
      </c>
      <c r="R1" s="83" t="s">
        <v>57</v>
      </c>
      <c r="S1" s="83" t="s">
        <v>58</v>
      </c>
      <c r="T1" s="83" t="s">
        <v>59</v>
      </c>
      <c r="U1" s="83" t="s">
        <v>60</v>
      </c>
      <c r="V1" s="83" t="s">
        <v>61</v>
      </c>
      <c r="W1" s="125" t="s">
        <v>62</v>
      </c>
    </row>
    <row r="2" spans="1:23" s="81" customFormat="1" ht="16.7" customHeight="1">
      <c r="A2" s="95" t="s">
        <v>63</v>
      </c>
      <c r="B2" s="96">
        <v>86.38</v>
      </c>
      <c r="C2" s="96">
        <v>1.59</v>
      </c>
      <c r="D2" s="96">
        <v>90.21</v>
      </c>
      <c r="E2" s="96">
        <v>94.21</v>
      </c>
      <c r="F2" s="96">
        <v>86.38</v>
      </c>
      <c r="G2" s="96">
        <v>9.0299999999999994</v>
      </c>
      <c r="H2" s="96">
        <v>96</v>
      </c>
      <c r="I2" s="96">
        <v>86.38</v>
      </c>
      <c r="J2" s="96">
        <v>90</v>
      </c>
      <c r="K2" s="96">
        <v>96.1</v>
      </c>
      <c r="L2" s="96">
        <v>0.85099999999999998</v>
      </c>
      <c r="M2" s="96">
        <v>90</v>
      </c>
      <c r="N2" s="96">
        <v>96</v>
      </c>
      <c r="O2" s="96">
        <v>86.38</v>
      </c>
      <c r="P2" s="96">
        <v>90</v>
      </c>
      <c r="Q2" s="96">
        <v>84</v>
      </c>
      <c r="R2" s="96">
        <v>86.38</v>
      </c>
      <c r="S2" s="96">
        <v>96</v>
      </c>
      <c r="T2" s="96">
        <v>86.38</v>
      </c>
      <c r="U2" s="96">
        <v>90</v>
      </c>
      <c r="V2" s="96">
        <v>82.1</v>
      </c>
      <c r="W2" s="96">
        <v>41.2</v>
      </c>
    </row>
    <row r="3" spans="1:23" s="81" customFormat="1" ht="16.7" customHeight="1">
      <c r="A3" s="97" t="s">
        <v>64</v>
      </c>
      <c r="B3" s="98">
        <v>87.79</v>
      </c>
      <c r="C3" s="98">
        <v>1.66</v>
      </c>
      <c r="D3" s="98">
        <v>91.3</v>
      </c>
      <c r="E3" s="98">
        <v>88.46</v>
      </c>
      <c r="F3" s="98">
        <v>87.79</v>
      </c>
      <c r="G3" s="98">
        <v>9.11</v>
      </c>
      <c r="H3" s="98">
        <v>97</v>
      </c>
      <c r="I3" s="98">
        <v>87.79</v>
      </c>
      <c r="J3" s="98">
        <v>84</v>
      </c>
      <c r="K3" s="98">
        <v>97.2</v>
      </c>
      <c r="L3" s="98">
        <v>0.88200000000000001</v>
      </c>
      <c r="M3" s="98">
        <v>91</v>
      </c>
      <c r="N3" s="98">
        <v>97</v>
      </c>
      <c r="O3" s="98">
        <v>87.79</v>
      </c>
      <c r="P3" s="98">
        <v>91</v>
      </c>
      <c r="Q3" s="98">
        <v>97</v>
      </c>
      <c r="R3" s="98">
        <v>87.79</v>
      </c>
      <c r="S3" s="98">
        <v>97</v>
      </c>
      <c r="T3" s="98">
        <v>87.79</v>
      </c>
      <c r="U3" s="98">
        <v>91</v>
      </c>
      <c r="V3" s="98">
        <v>79.099999999999994</v>
      </c>
      <c r="W3" s="98">
        <v>39.700000000000003</v>
      </c>
    </row>
    <row r="4" spans="1:23" s="81" customFormat="1" ht="16.7" customHeight="1">
      <c r="A4" s="97" t="s">
        <v>65</v>
      </c>
      <c r="B4" s="98">
        <v>77.94</v>
      </c>
      <c r="C4" s="98">
        <v>1.42</v>
      </c>
      <c r="D4" s="98">
        <v>91.88</v>
      </c>
      <c r="E4" s="98">
        <v>98.27</v>
      </c>
      <c r="F4" s="98">
        <v>77.94</v>
      </c>
      <c r="G4" s="98">
        <v>9.24</v>
      </c>
      <c r="H4" s="98">
        <v>98</v>
      </c>
      <c r="I4" s="98">
        <v>77.94</v>
      </c>
      <c r="J4" s="98">
        <v>101</v>
      </c>
      <c r="K4" s="98">
        <v>98.2</v>
      </c>
      <c r="L4" s="98">
        <v>0.77900000000000003</v>
      </c>
      <c r="M4" s="98">
        <v>92</v>
      </c>
      <c r="N4" s="98">
        <v>98</v>
      </c>
      <c r="O4" s="98">
        <v>77.94</v>
      </c>
      <c r="P4" s="98">
        <v>92</v>
      </c>
      <c r="Q4" s="98">
        <v>98</v>
      </c>
      <c r="R4" s="98">
        <v>77.94</v>
      </c>
      <c r="S4" s="98">
        <v>88</v>
      </c>
      <c r="T4" s="98">
        <v>77.94</v>
      </c>
      <c r="U4" s="98">
        <v>79</v>
      </c>
      <c r="V4" s="98">
        <v>85.6</v>
      </c>
      <c r="W4" s="98">
        <v>43.6</v>
      </c>
    </row>
    <row r="5" spans="1:23" s="81" customFormat="1" ht="16.7" customHeight="1">
      <c r="A5" s="97" t="s">
        <v>66</v>
      </c>
      <c r="B5" s="98">
        <v>72.11</v>
      </c>
      <c r="C5" s="98">
        <v>1.59</v>
      </c>
      <c r="D5" s="98">
        <v>107.83</v>
      </c>
      <c r="E5" s="98">
        <v>99.41</v>
      </c>
      <c r="F5" s="98">
        <v>72.11</v>
      </c>
      <c r="G5" s="98">
        <v>9.35</v>
      </c>
      <c r="H5" s="98">
        <v>83</v>
      </c>
      <c r="I5" s="98">
        <v>72.11</v>
      </c>
      <c r="J5" s="98">
        <v>93</v>
      </c>
      <c r="K5" s="98">
        <v>99.3</v>
      </c>
      <c r="L5" s="98">
        <v>0.72099999999999997</v>
      </c>
      <c r="M5" s="98">
        <v>93</v>
      </c>
      <c r="N5" s="98">
        <v>99</v>
      </c>
      <c r="O5" s="98">
        <v>72.11</v>
      </c>
      <c r="P5" s="98">
        <v>93</v>
      </c>
      <c r="Q5" s="98">
        <v>99</v>
      </c>
      <c r="R5" s="98">
        <v>72.11</v>
      </c>
      <c r="S5" s="98">
        <v>99</v>
      </c>
      <c r="T5" s="98">
        <v>72.11</v>
      </c>
      <c r="U5" s="98">
        <v>93</v>
      </c>
      <c r="V5" s="98">
        <v>88.7</v>
      </c>
      <c r="W5" s="98">
        <v>44.5</v>
      </c>
    </row>
    <row r="6" spans="1:23" s="81" customFormat="1" ht="16.7" customHeight="1">
      <c r="A6" s="97" t="s">
        <v>67</v>
      </c>
      <c r="B6" s="98">
        <v>78.56</v>
      </c>
      <c r="C6" s="98">
        <v>1.66</v>
      </c>
      <c r="D6" s="98">
        <v>94.69</v>
      </c>
      <c r="E6" s="98">
        <v>100.24</v>
      </c>
      <c r="F6" s="98">
        <v>78.56</v>
      </c>
      <c r="G6" s="98">
        <v>9.06</v>
      </c>
      <c r="H6" s="98">
        <v>100</v>
      </c>
      <c r="I6" s="98">
        <v>78.56</v>
      </c>
      <c r="J6" s="98">
        <v>85</v>
      </c>
      <c r="K6" s="98">
        <v>100.2</v>
      </c>
      <c r="L6" s="98">
        <v>0.78600000000000003</v>
      </c>
      <c r="M6" s="98">
        <v>94</v>
      </c>
      <c r="N6" s="98">
        <v>100</v>
      </c>
      <c r="O6" s="98">
        <v>78.56</v>
      </c>
      <c r="P6" s="98">
        <v>94</v>
      </c>
      <c r="Q6" s="98">
        <v>100</v>
      </c>
      <c r="R6" s="98">
        <v>78.56</v>
      </c>
      <c r="S6" s="98">
        <v>100</v>
      </c>
      <c r="T6" s="98">
        <v>78.56</v>
      </c>
      <c r="U6" s="98">
        <v>94</v>
      </c>
      <c r="V6" s="98">
        <v>92.3</v>
      </c>
      <c r="W6" s="98">
        <v>47.1</v>
      </c>
    </row>
    <row r="7" spans="1:23" s="81" customFormat="1" ht="16.7" customHeight="1">
      <c r="A7" s="97" t="s">
        <v>68</v>
      </c>
      <c r="B7" s="98">
        <v>89.84</v>
      </c>
      <c r="C7" s="98">
        <v>1.36</v>
      </c>
      <c r="D7" s="98">
        <v>85.37</v>
      </c>
      <c r="E7" s="98">
        <v>100.91</v>
      </c>
      <c r="F7" s="98">
        <v>89.84</v>
      </c>
      <c r="G7" s="98">
        <v>9.4700000000000006</v>
      </c>
      <c r="H7" s="98">
        <v>101</v>
      </c>
      <c r="I7" s="98">
        <v>89.84</v>
      </c>
      <c r="J7" s="98">
        <v>95</v>
      </c>
      <c r="K7" s="98">
        <v>101.3</v>
      </c>
      <c r="L7" s="98">
        <v>0.89800000000000002</v>
      </c>
      <c r="M7" s="98">
        <v>95</v>
      </c>
      <c r="N7" s="98">
        <v>101</v>
      </c>
      <c r="O7" s="98">
        <v>89.84</v>
      </c>
      <c r="P7" s="98">
        <v>95</v>
      </c>
      <c r="Q7" s="98">
        <v>101</v>
      </c>
      <c r="R7" s="98">
        <v>89.84</v>
      </c>
      <c r="S7" s="98">
        <v>101</v>
      </c>
      <c r="T7" s="98">
        <v>89.84</v>
      </c>
      <c r="U7" s="98">
        <v>95</v>
      </c>
      <c r="V7" s="98">
        <v>101.7</v>
      </c>
      <c r="W7" s="98">
        <v>49.3</v>
      </c>
    </row>
    <row r="8" spans="1:23" s="81" customFormat="1" ht="16.7" customHeight="1">
      <c r="A8" s="97" t="s">
        <v>69</v>
      </c>
      <c r="B8" s="98">
        <v>89.3</v>
      </c>
      <c r="C8" s="98">
        <v>1.69</v>
      </c>
      <c r="D8" s="98">
        <v>99.21</v>
      </c>
      <c r="E8" s="98">
        <v>81.31</v>
      </c>
      <c r="F8" s="98">
        <v>89.3</v>
      </c>
      <c r="G8" s="98">
        <v>9.91</v>
      </c>
      <c r="H8" s="98">
        <v>102</v>
      </c>
      <c r="I8" s="98">
        <v>89.3</v>
      </c>
      <c r="J8" s="98">
        <v>99</v>
      </c>
      <c r="K8" s="98">
        <v>102.4</v>
      </c>
      <c r="L8" s="98">
        <v>0.89300000000000002</v>
      </c>
      <c r="M8" s="98">
        <v>99</v>
      </c>
      <c r="N8" s="98">
        <v>102</v>
      </c>
      <c r="O8" s="98">
        <v>89.3</v>
      </c>
      <c r="P8" s="98">
        <v>99</v>
      </c>
      <c r="Q8" s="98">
        <v>102</v>
      </c>
      <c r="R8" s="98">
        <v>89.3</v>
      </c>
      <c r="S8" s="98">
        <v>102</v>
      </c>
      <c r="T8" s="98">
        <v>89.3</v>
      </c>
      <c r="U8" s="98">
        <v>99</v>
      </c>
      <c r="V8" s="98">
        <v>77.599999999999994</v>
      </c>
      <c r="W8" s="98">
        <v>38.200000000000003</v>
      </c>
    </row>
    <row r="9" spans="1:23" s="81" customFormat="1" ht="16.7" customHeight="1">
      <c r="A9" s="97" t="s">
        <v>70</v>
      </c>
      <c r="B9" s="98">
        <v>83.42</v>
      </c>
      <c r="C9" s="98">
        <v>1.82</v>
      </c>
      <c r="D9" s="98">
        <v>96.33</v>
      </c>
      <c r="E9" s="98">
        <v>107.18</v>
      </c>
      <c r="F9" s="98">
        <v>83.42</v>
      </c>
      <c r="G9" s="98">
        <v>8.07</v>
      </c>
      <c r="H9" s="98">
        <v>90</v>
      </c>
      <c r="I9" s="98">
        <v>83.42</v>
      </c>
      <c r="J9" s="98">
        <v>103</v>
      </c>
      <c r="K9" s="98">
        <v>1016</v>
      </c>
      <c r="L9" s="98">
        <v>0.83299999999999996</v>
      </c>
      <c r="M9" s="98">
        <v>117</v>
      </c>
      <c r="N9" s="98">
        <v>103</v>
      </c>
      <c r="O9" s="98">
        <v>83.42</v>
      </c>
      <c r="P9" s="98">
        <v>121</v>
      </c>
      <c r="Q9" s="98">
        <v>110</v>
      </c>
      <c r="R9" s="98">
        <v>83.42</v>
      </c>
      <c r="S9" s="98">
        <v>106</v>
      </c>
      <c r="T9" s="98">
        <v>83.42</v>
      </c>
      <c r="U9" s="98">
        <v>100</v>
      </c>
      <c r="V9" s="98">
        <v>82.2</v>
      </c>
      <c r="W9" s="98">
        <v>40.700000000000003</v>
      </c>
    </row>
    <row r="10" spans="1:23" s="81" customFormat="1" ht="16.7" customHeight="1">
      <c r="A10" s="97" t="s">
        <v>71</v>
      </c>
      <c r="B10" s="98" t="s">
        <v>100</v>
      </c>
      <c r="C10" s="98">
        <v>1.67</v>
      </c>
      <c r="D10" s="98">
        <v>101.22</v>
      </c>
      <c r="E10" s="98">
        <v>220.1</v>
      </c>
      <c r="F10" s="124">
        <v>67.61</v>
      </c>
      <c r="G10" s="98">
        <v>10.4</v>
      </c>
      <c r="H10" s="98">
        <v>106</v>
      </c>
      <c r="I10" s="98">
        <v>59.97</v>
      </c>
      <c r="J10" s="98">
        <v>88</v>
      </c>
      <c r="K10" s="98">
        <v>119.6</v>
      </c>
      <c r="L10" s="98">
        <v>0.88400000000000001</v>
      </c>
      <c r="M10" s="98">
        <v>111</v>
      </c>
      <c r="N10" s="98">
        <v>193</v>
      </c>
      <c r="O10" s="98">
        <v>81</v>
      </c>
      <c r="P10" s="98">
        <v>114</v>
      </c>
      <c r="Q10" s="98">
        <v>122</v>
      </c>
      <c r="R10" s="98">
        <v>82</v>
      </c>
      <c r="S10" s="98">
        <v>117</v>
      </c>
      <c r="T10" s="98">
        <v>68.430000000000007</v>
      </c>
      <c r="U10" s="98">
        <v>77</v>
      </c>
      <c r="V10" s="98">
        <v>74.7</v>
      </c>
      <c r="W10" s="98">
        <v>37.6</v>
      </c>
    </row>
    <row r="11" spans="1:23" s="81" customFormat="1" ht="16.7" customHeight="1">
      <c r="A11" s="99"/>
      <c r="B11" s="98"/>
      <c r="C11" s="98"/>
      <c r="D11" s="98"/>
      <c r="E11" s="98"/>
      <c r="F11" s="98"/>
      <c r="G11" s="98"/>
      <c r="H11" s="98"/>
      <c r="I11" s="98"/>
      <c r="J11" s="98"/>
      <c r="K11" s="98"/>
      <c r="L11" s="98"/>
      <c r="M11" s="98"/>
      <c r="N11" s="98"/>
      <c r="O11" s="98"/>
      <c r="P11" s="98"/>
      <c r="Q11" s="98"/>
      <c r="R11" s="98"/>
      <c r="S11" s="98"/>
      <c r="T11" s="98"/>
      <c r="U11" s="98"/>
      <c r="V11" s="98"/>
      <c r="W11" s="98"/>
    </row>
    <row r="12" spans="1:23" s="81" customFormat="1" ht="16.7" customHeight="1">
      <c r="A12" s="99"/>
      <c r="B12" s="98"/>
      <c r="C12" s="98"/>
      <c r="D12" s="98"/>
      <c r="E12" s="98"/>
      <c r="F12" s="98"/>
      <c r="G12" s="98"/>
      <c r="H12" s="98"/>
      <c r="I12" s="98"/>
      <c r="J12" s="98"/>
      <c r="K12" s="98"/>
      <c r="L12" s="98"/>
      <c r="M12" s="98"/>
      <c r="N12" s="98"/>
      <c r="O12" s="98"/>
      <c r="P12" s="98"/>
      <c r="Q12" s="98"/>
      <c r="R12" s="98"/>
      <c r="S12" s="98"/>
      <c r="T12" s="98"/>
      <c r="U12" s="98"/>
      <c r="V12" s="98"/>
      <c r="W12" s="98"/>
    </row>
    <row r="13" spans="1:23" s="81" customFormat="1" ht="16.7" customHeight="1">
      <c r="A13" s="99"/>
      <c r="B13" s="98"/>
      <c r="C13" s="98"/>
      <c r="D13" s="98"/>
      <c r="E13" s="98"/>
      <c r="F13" s="98"/>
      <c r="G13" s="98"/>
      <c r="H13" s="98"/>
      <c r="I13" s="98"/>
      <c r="J13" s="98"/>
      <c r="K13" s="98"/>
      <c r="L13" s="98"/>
      <c r="M13" s="98"/>
      <c r="N13" s="98"/>
      <c r="O13" s="98"/>
      <c r="P13" s="98"/>
      <c r="Q13" s="98"/>
      <c r="R13" s="98"/>
      <c r="S13" s="98"/>
      <c r="T13" s="98"/>
      <c r="U13" s="98"/>
      <c r="V13" s="98"/>
      <c r="W13" s="98"/>
    </row>
    <row r="14" spans="1:23" s="81" customFormat="1" ht="16.7" customHeight="1">
      <c r="A14" s="99"/>
      <c r="B14" s="98"/>
      <c r="C14" s="98"/>
      <c r="D14" s="98"/>
      <c r="E14" s="98"/>
      <c r="F14" s="98"/>
      <c r="G14" s="98"/>
      <c r="H14" s="98"/>
      <c r="I14" s="98"/>
      <c r="J14" s="98"/>
      <c r="K14" s="98"/>
      <c r="L14" s="98"/>
      <c r="M14" s="98"/>
      <c r="N14" s="98"/>
      <c r="O14" s="98"/>
      <c r="P14" s="98"/>
      <c r="Q14" s="98"/>
      <c r="R14" s="98"/>
      <c r="S14" s="98"/>
      <c r="T14" s="98"/>
      <c r="U14" s="98"/>
      <c r="V14" s="98"/>
      <c r="W14" s="98"/>
    </row>
    <row r="15" spans="1:23" s="81" customFormat="1" ht="16.7" customHeight="1">
      <c r="A15" s="99"/>
      <c r="B15" s="98"/>
      <c r="C15" s="98"/>
      <c r="D15" s="98"/>
      <c r="E15" s="98"/>
      <c r="F15" s="98"/>
      <c r="G15" s="98"/>
      <c r="H15" s="98"/>
      <c r="I15" s="98"/>
      <c r="J15" s="98"/>
      <c r="K15" s="98"/>
      <c r="L15" s="98"/>
      <c r="M15" s="98"/>
      <c r="N15" s="98"/>
      <c r="O15" s="98"/>
      <c r="P15" s="98"/>
      <c r="Q15" s="98"/>
      <c r="R15" s="98"/>
      <c r="S15" s="98"/>
      <c r="T15" s="98"/>
      <c r="U15" s="98"/>
      <c r="V15" s="98"/>
      <c r="W15" s="98"/>
    </row>
    <row r="16" spans="1:23" s="81" customFormat="1" ht="16.7" customHeight="1">
      <c r="A16" s="99"/>
      <c r="B16" s="98"/>
      <c r="C16" s="98"/>
      <c r="D16" s="98"/>
      <c r="E16" s="98"/>
      <c r="F16" s="98"/>
      <c r="G16" s="98"/>
      <c r="H16" s="98"/>
      <c r="I16" s="98"/>
      <c r="J16" s="98"/>
      <c r="K16" s="98"/>
      <c r="L16" s="98"/>
      <c r="M16" s="98"/>
      <c r="N16" s="98"/>
      <c r="O16" s="98"/>
      <c r="P16" s="98"/>
      <c r="Q16" s="98"/>
      <c r="R16" s="98"/>
      <c r="S16" s="98"/>
      <c r="T16" s="98"/>
      <c r="U16" s="98"/>
      <c r="V16" s="98"/>
      <c r="W16" s="98"/>
    </row>
    <row r="17" spans="1:23" s="81" customFormat="1" ht="16.7" customHeight="1">
      <c r="A17" s="99"/>
      <c r="B17" s="98"/>
      <c r="C17" s="98"/>
      <c r="D17" s="98"/>
      <c r="E17" s="98"/>
      <c r="F17" s="98"/>
      <c r="G17" s="98"/>
      <c r="H17" s="98"/>
      <c r="I17" s="98"/>
      <c r="J17" s="98"/>
      <c r="K17" s="98"/>
      <c r="L17" s="98"/>
      <c r="M17" s="98"/>
      <c r="N17" s="98"/>
      <c r="O17" s="98"/>
      <c r="P17" s="98"/>
      <c r="Q17" s="98"/>
      <c r="R17" s="98"/>
      <c r="S17" s="98"/>
      <c r="T17" s="98"/>
      <c r="U17" s="98"/>
      <c r="V17" s="98"/>
      <c r="W17" s="98"/>
    </row>
    <row r="18" spans="1:23" s="81" customFormat="1" ht="16.7" customHeight="1">
      <c r="A18" s="99"/>
      <c r="B18" s="98"/>
      <c r="C18" s="98"/>
      <c r="D18" s="98"/>
      <c r="E18" s="98"/>
      <c r="F18" s="98"/>
      <c r="G18" s="98"/>
      <c r="H18" s="98"/>
      <c r="I18" s="98"/>
      <c r="J18" s="98"/>
      <c r="K18" s="98"/>
      <c r="L18" s="98"/>
      <c r="M18" s="98"/>
      <c r="N18" s="98"/>
      <c r="O18" s="98"/>
      <c r="P18" s="98"/>
      <c r="Q18" s="98"/>
      <c r="R18" s="98"/>
      <c r="S18" s="98"/>
      <c r="T18" s="98"/>
      <c r="U18" s="98"/>
      <c r="V18" s="98"/>
      <c r="W18" s="98"/>
    </row>
    <row r="19" spans="1:23" s="81" customFormat="1" ht="16.7" customHeight="1">
      <c r="A19" s="99"/>
      <c r="B19" s="98"/>
      <c r="C19" s="98"/>
      <c r="D19" s="98"/>
      <c r="E19" s="98"/>
      <c r="F19" s="98"/>
      <c r="G19" s="98"/>
      <c r="H19" s="98"/>
      <c r="I19" s="98"/>
      <c r="J19" s="98"/>
      <c r="K19" s="98"/>
      <c r="L19" s="98"/>
      <c r="M19" s="98"/>
      <c r="N19" s="98"/>
      <c r="O19" s="98"/>
      <c r="P19" s="98"/>
      <c r="Q19" s="98"/>
      <c r="R19" s="98"/>
      <c r="S19" s="98"/>
      <c r="T19" s="98"/>
      <c r="U19" s="98"/>
      <c r="V19" s="98"/>
      <c r="W19" s="98"/>
    </row>
    <row r="20" spans="1:23" s="81" customFormat="1" ht="16.7" customHeight="1">
      <c r="A20" s="99"/>
      <c r="B20" s="98"/>
      <c r="C20" s="98"/>
      <c r="D20" s="98"/>
      <c r="E20" s="98"/>
      <c r="F20" s="98"/>
      <c r="G20" s="98"/>
      <c r="H20" s="98"/>
      <c r="I20" s="98"/>
      <c r="J20" s="98"/>
      <c r="K20" s="98"/>
      <c r="L20" s="98"/>
      <c r="M20" s="98"/>
      <c r="N20" s="98"/>
      <c r="O20" s="98"/>
      <c r="P20" s="98"/>
      <c r="Q20" s="98"/>
      <c r="R20" s="98"/>
      <c r="S20" s="98"/>
      <c r="T20" s="98"/>
      <c r="U20" s="98"/>
      <c r="V20" s="98"/>
      <c r="W20" s="98"/>
    </row>
    <row r="21" spans="1:23" s="81" customFormat="1" ht="16.7" customHeight="1">
      <c r="A21" s="99"/>
      <c r="B21" s="98"/>
      <c r="C21" s="98"/>
      <c r="D21" s="98"/>
      <c r="E21" s="98"/>
      <c r="F21" s="98"/>
      <c r="G21" s="98"/>
      <c r="H21" s="98"/>
      <c r="I21" s="98"/>
      <c r="J21" s="98"/>
      <c r="K21" s="98"/>
      <c r="L21" s="98"/>
      <c r="M21" s="98"/>
      <c r="N21" s="98"/>
      <c r="O21" s="98"/>
      <c r="P21" s="98"/>
      <c r="Q21" s="98"/>
      <c r="R21" s="98"/>
      <c r="S21" s="98"/>
      <c r="T21" s="98"/>
      <c r="U21" s="98"/>
      <c r="V21" s="98"/>
      <c r="W21" s="98"/>
    </row>
    <row r="22" spans="1:23" s="81" customFormat="1" ht="16.7" customHeight="1">
      <c r="A22" s="99"/>
      <c r="B22" s="98"/>
      <c r="C22" s="98"/>
      <c r="D22" s="98"/>
      <c r="E22" s="98"/>
      <c r="F22" s="98"/>
      <c r="G22" s="98"/>
      <c r="H22" s="98"/>
      <c r="I22" s="98"/>
      <c r="J22" s="98"/>
      <c r="K22" s="98"/>
      <c r="L22" s="98"/>
      <c r="M22" s="98"/>
      <c r="N22" s="98"/>
      <c r="O22" s="98"/>
      <c r="P22" s="98"/>
      <c r="Q22" s="98"/>
      <c r="R22" s="98"/>
      <c r="S22" s="98"/>
      <c r="T22" s="98"/>
      <c r="U22" s="98"/>
      <c r="V22" s="98"/>
      <c r="W22" s="98"/>
    </row>
    <row r="23" spans="1:23" s="81" customFormat="1" ht="16.7" customHeight="1">
      <c r="A23" s="99"/>
      <c r="B23" s="98"/>
      <c r="C23" s="98"/>
      <c r="D23" s="98"/>
      <c r="E23" s="98"/>
      <c r="F23" s="98"/>
      <c r="G23" s="98"/>
      <c r="H23" s="98"/>
      <c r="I23" s="98"/>
      <c r="J23" s="98"/>
      <c r="K23" s="98"/>
      <c r="L23" s="98"/>
      <c r="M23" s="98"/>
      <c r="N23" s="98"/>
      <c r="O23" s="98"/>
      <c r="P23" s="98"/>
      <c r="Q23" s="98"/>
      <c r="R23" s="98"/>
      <c r="S23" s="98"/>
      <c r="T23" s="98"/>
      <c r="U23" s="98"/>
      <c r="V23" s="98"/>
      <c r="W23" s="98"/>
    </row>
    <row r="24" spans="1:23" s="81" customFormat="1" ht="16.7" customHeight="1">
      <c r="A24" s="99"/>
      <c r="B24" s="98"/>
      <c r="C24" s="98"/>
      <c r="D24" s="98"/>
      <c r="E24" s="98"/>
      <c r="F24" s="98"/>
      <c r="G24" s="98"/>
      <c r="H24" s="98"/>
      <c r="I24" s="98"/>
      <c r="J24" s="98"/>
      <c r="K24" s="98"/>
      <c r="L24" s="98"/>
      <c r="M24" s="98"/>
      <c r="N24" s="98"/>
      <c r="O24" s="98"/>
      <c r="P24" s="98"/>
      <c r="Q24" s="98"/>
      <c r="R24" s="98"/>
      <c r="S24" s="98"/>
      <c r="T24" s="98"/>
      <c r="U24" s="98"/>
      <c r="V24" s="98"/>
      <c r="W24" s="98"/>
    </row>
    <row r="25" spans="1:23" s="81" customFormat="1" ht="14.65" customHeight="1">
      <c r="A25" s="99"/>
      <c r="B25" s="98"/>
      <c r="C25" s="98"/>
      <c r="D25" s="98"/>
      <c r="E25" s="98"/>
      <c r="F25" s="98"/>
      <c r="G25" s="98"/>
      <c r="H25" s="98"/>
      <c r="I25" s="98"/>
      <c r="J25" s="98"/>
      <c r="K25" s="98"/>
      <c r="L25" s="98"/>
      <c r="M25" s="98"/>
      <c r="N25" s="98"/>
      <c r="O25" s="98"/>
      <c r="P25" s="98"/>
      <c r="Q25" s="98"/>
      <c r="R25" s="98"/>
      <c r="S25" s="98"/>
      <c r="T25" s="98"/>
      <c r="U25" s="98"/>
      <c r="V25" s="98"/>
      <c r="W25" s="98"/>
    </row>
    <row r="26" spans="1:23" s="81" customFormat="1" ht="14.65" customHeight="1">
      <c r="A26" s="99"/>
      <c r="B26" s="98"/>
      <c r="C26" s="98"/>
      <c r="D26" s="98"/>
      <c r="E26" s="98"/>
      <c r="F26" s="98"/>
      <c r="G26" s="98"/>
      <c r="H26" s="98"/>
      <c r="I26" s="98"/>
      <c r="J26" s="98"/>
      <c r="K26" s="98"/>
      <c r="L26" s="98"/>
      <c r="M26" s="98"/>
      <c r="N26" s="98"/>
      <c r="O26" s="98"/>
      <c r="P26" s="98"/>
      <c r="Q26" s="98"/>
      <c r="R26" s="98"/>
      <c r="S26" s="98"/>
      <c r="T26" s="98"/>
      <c r="U26" s="98"/>
      <c r="V26" s="98"/>
      <c r="W26" s="98"/>
    </row>
    <row r="27" spans="1:23" s="81" customFormat="1" ht="14.65" customHeight="1">
      <c r="A27" s="99"/>
      <c r="B27" s="98"/>
      <c r="C27" s="98"/>
      <c r="D27" s="98"/>
      <c r="E27" s="98"/>
      <c r="F27" s="98"/>
      <c r="G27" s="98"/>
      <c r="H27" s="98"/>
      <c r="I27" s="98"/>
      <c r="J27" s="98"/>
      <c r="K27" s="98"/>
      <c r="L27" s="98"/>
      <c r="M27" s="98"/>
      <c r="N27" s="98"/>
      <c r="O27" s="98"/>
      <c r="P27" s="98"/>
      <c r="Q27" s="98"/>
      <c r="R27" s="98"/>
      <c r="S27" s="98"/>
      <c r="T27" s="98"/>
      <c r="U27" s="98"/>
      <c r="V27" s="98"/>
      <c r="W27" s="98"/>
    </row>
    <row r="28" spans="1:23" s="81" customFormat="1" ht="14.65" customHeight="1">
      <c r="A28" s="99"/>
      <c r="B28" s="98"/>
      <c r="C28" s="98"/>
      <c r="D28" s="98"/>
      <c r="E28" s="98"/>
      <c r="F28" s="98"/>
      <c r="G28" s="98"/>
      <c r="H28" s="98"/>
      <c r="I28" s="98"/>
      <c r="J28" s="98"/>
      <c r="K28" s="98"/>
      <c r="L28" s="98"/>
      <c r="M28" s="98"/>
      <c r="N28" s="98"/>
      <c r="O28" s="98"/>
      <c r="P28" s="98"/>
      <c r="Q28" s="98"/>
      <c r="R28" s="98"/>
      <c r="S28" s="98"/>
      <c r="T28" s="98"/>
      <c r="U28" s="98"/>
      <c r="V28" s="98"/>
      <c r="W28" s="98"/>
    </row>
    <row r="29" spans="1:23" s="81" customFormat="1" ht="14.65" customHeight="1">
      <c r="A29" s="99"/>
      <c r="B29" s="98"/>
      <c r="C29" s="98"/>
      <c r="D29" s="98"/>
      <c r="E29" s="98"/>
      <c r="F29" s="98"/>
      <c r="G29" s="98"/>
      <c r="H29" s="98"/>
      <c r="I29" s="98"/>
      <c r="J29" s="98"/>
      <c r="K29" s="98"/>
      <c r="L29" s="98"/>
      <c r="M29" s="98"/>
      <c r="N29" s="98"/>
      <c r="O29" s="98"/>
      <c r="P29" s="98"/>
      <c r="Q29" s="98"/>
      <c r="R29" s="98"/>
      <c r="S29" s="98"/>
      <c r="T29" s="98"/>
      <c r="U29" s="98"/>
      <c r="V29" s="98"/>
      <c r="W29" s="98"/>
    </row>
    <row r="30" spans="1:23" s="81" customFormat="1" ht="14.65" customHeight="1">
      <c r="A30" s="99"/>
      <c r="B30" s="98"/>
      <c r="C30" s="98"/>
      <c r="D30" s="98"/>
      <c r="E30" s="98"/>
      <c r="F30" s="98"/>
      <c r="G30" s="98"/>
      <c r="H30" s="98"/>
      <c r="I30" s="98"/>
      <c r="J30" s="98"/>
      <c r="K30" s="98"/>
      <c r="L30" s="98"/>
      <c r="M30" s="98"/>
      <c r="N30" s="98"/>
      <c r="O30" s="98"/>
      <c r="P30" s="98"/>
      <c r="Q30" s="98"/>
      <c r="R30" s="98"/>
      <c r="S30" s="98"/>
      <c r="T30" s="98"/>
      <c r="U30" s="98"/>
      <c r="V30" s="98"/>
      <c r="W30" s="98"/>
    </row>
    <row r="31" spans="1:23" s="81" customFormat="1" ht="14.65" customHeight="1">
      <c r="A31" s="99"/>
      <c r="B31" s="98"/>
      <c r="C31" s="98"/>
      <c r="D31" s="98"/>
      <c r="E31" s="98"/>
      <c r="F31" s="98"/>
      <c r="G31" s="98"/>
      <c r="H31" s="98"/>
      <c r="I31" s="98"/>
      <c r="J31" s="98"/>
      <c r="K31" s="98"/>
      <c r="L31" s="98"/>
      <c r="M31" s="98"/>
      <c r="N31" s="98"/>
      <c r="O31" s="98"/>
      <c r="P31" s="98"/>
      <c r="Q31" s="98"/>
      <c r="R31" s="98"/>
      <c r="S31" s="98"/>
      <c r="T31" s="98"/>
      <c r="U31" s="98"/>
      <c r="V31" s="98"/>
      <c r="W31" s="98"/>
    </row>
    <row r="32" spans="1:23" s="81" customFormat="1" ht="14.65" customHeight="1">
      <c r="A32" s="84"/>
      <c r="B32" s="85"/>
      <c r="C32" s="85"/>
      <c r="D32" s="85"/>
      <c r="E32" s="85"/>
      <c r="F32" s="85"/>
      <c r="G32" s="85"/>
      <c r="H32" s="85"/>
      <c r="I32" s="85"/>
      <c r="J32" s="85"/>
      <c r="K32" s="85"/>
      <c r="L32" s="85"/>
      <c r="M32" s="85"/>
      <c r="N32" s="85"/>
      <c r="O32" s="85"/>
      <c r="P32" s="85"/>
      <c r="Q32" s="85"/>
      <c r="R32" s="85"/>
      <c r="S32" s="85"/>
      <c r="T32" s="85"/>
      <c r="U32" s="85"/>
      <c r="V32" s="85"/>
      <c r="W32" s="85"/>
    </row>
  </sheetData>
  <sheetProtection sheet="1" objects="1" scenarios="1"/>
  <conditionalFormatting sqref="B2:W32">
    <cfRule type="cellIs" dxfId="2" priority="1" stopIfTrue="1" operator="between">
      <formula>0.000001</formula>
      <formula>10000000</formula>
    </cfRule>
    <cfRule type="containsBlanks" dxfId="1" priority="2" stopIfTrue="1">
      <formula>ISBLANK(B2)</formula>
    </cfRule>
    <cfRule type="cellIs" dxfId="0" priority="3" stopIfTrue="1" operator="notBetween">
      <formula>0.00001</formula>
      <formula>10000000</formula>
    </cfRule>
  </conditionalFormatting>
  <pageMargins left="1" right="1" top="1" bottom="1" header="0" footer="0"/>
  <pageSetup scale="110" orientation="landscape"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showGridLines="0" showRowColHeaders="0" workbookViewId="0">
      <pane ySplit="1" topLeftCell="A2" activePane="bottomLeft" state="frozen"/>
      <selection pane="bottomLeft" activeCell="C3" sqref="C3"/>
    </sheetView>
  </sheetViews>
  <sheetFormatPr defaultColWidth="0" defaultRowHeight="0" customHeight="1" zeroHeight="1"/>
  <cols>
    <col min="1" max="2" width="18.875" style="1" customWidth="1"/>
    <col min="3" max="3" width="23.5" style="1" customWidth="1"/>
    <col min="4" max="9" width="8.875" style="1" hidden="1" customWidth="1"/>
    <col min="10" max="16384" width="8.875" style="1" hidden="1"/>
  </cols>
  <sheetData>
    <row r="1" spans="1:9" ht="24" customHeight="1">
      <c r="A1" s="127" t="s">
        <v>72</v>
      </c>
      <c r="B1" s="128"/>
      <c r="C1" s="26" t="s">
        <v>73</v>
      </c>
      <c r="D1" s="27"/>
      <c r="E1" s="27"/>
      <c r="F1" s="27"/>
      <c r="G1" s="27"/>
      <c r="H1" s="27"/>
      <c r="I1" s="27"/>
    </row>
    <row r="2" spans="1:9" ht="15.75" customHeight="1">
      <c r="A2" s="28" t="s">
        <v>74</v>
      </c>
      <c r="B2" s="29">
        <v>0.99</v>
      </c>
      <c r="C2" s="30" t="s">
        <v>75</v>
      </c>
      <c r="D2" s="100"/>
      <c r="E2" s="100"/>
      <c r="F2" s="100"/>
      <c r="G2" s="100"/>
      <c r="H2" s="100"/>
      <c r="I2" s="100"/>
    </row>
    <row r="3" spans="1:9" ht="15.75" customHeight="1">
      <c r="A3" s="31">
        <v>1</v>
      </c>
      <c r="B3" s="32">
        <v>31.82</v>
      </c>
      <c r="C3" s="33"/>
      <c r="D3" s="101"/>
      <c r="E3" s="101"/>
      <c r="F3" s="101"/>
      <c r="G3" s="101"/>
      <c r="H3" s="101"/>
      <c r="I3" s="101"/>
    </row>
    <row r="4" spans="1:9" ht="15.75" customHeight="1">
      <c r="A4" s="34">
        <v>2</v>
      </c>
      <c r="B4" s="35">
        <v>6.9649999999999999</v>
      </c>
      <c r="C4" s="36"/>
      <c r="D4" s="101"/>
      <c r="E4" s="101"/>
      <c r="F4" s="101"/>
      <c r="G4" s="101"/>
      <c r="H4" s="101"/>
      <c r="I4" s="101"/>
    </row>
    <row r="5" spans="1:9" ht="15.75" customHeight="1">
      <c r="A5" s="37">
        <v>3</v>
      </c>
      <c r="B5" s="38">
        <v>4.5410000000000004</v>
      </c>
      <c r="C5" s="39">
        <v>1.153</v>
      </c>
      <c r="D5" s="101"/>
      <c r="E5" s="101"/>
      <c r="F5" s="101"/>
      <c r="G5" s="101"/>
      <c r="H5" s="101"/>
      <c r="I5" s="101"/>
    </row>
    <row r="6" spans="1:9" ht="15.75" customHeight="1">
      <c r="A6" s="34">
        <v>4</v>
      </c>
      <c r="B6" s="35">
        <v>3.7469999999999999</v>
      </c>
      <c r="C6" s="40">
        <v>1.4630000000000001</v>
      </c>
      <c r="D6" s="101"/>
      <c r="E6" s="101"/>
      <c r="F6" s="101"/>
      <c r="G6" s="101"/>
      <c r="H6" s="101"/>
      <c r="I6" s="101"/>
    </row>
    <row r="7" spans="1:9" ht="15.75" customHeight="1">
      <c r="A7" s="37">
        <v>5</v>
      </c>
      <c r="B7" s="38">
        <v>3.3650000000000002</v>
      </c>
      <c r="C7" s="39">
        <v>1.6719999999999999</v>
      </c>
      <c r="D7" s="101"/>
      <c r="E7" s="101"/>
      <c r="F7" s="101"/>
      <c r="G7" s="101"/>
      <c r="H7" s="101"/>
      <c r="I7" s="101"/>
    </row>
    <row r="8" spans="1:9" ht="15.75" customHeight="1">
      <c r="A8" s="34">
        <v>6</v>
      </c>
      <c r="B8" s="35">
        <v>3.1429999999999998</v>
      </c>
      <c r="C8" s="40">
        <v>1.8220000000000001</v>
      </c>
      <c r="D8" s="101"/>
      <c r="E8" s="101"/>
      <c r="F8" s="101"/>
      <c r="G8" s="101"/>
      <c r="H8" s="101"/>
      <c r="I8" s="101"/>
    </row>
    <row r="9" spans="1:9" ht="15.75" customHeight="1">
      <c r="A9" s="37">
        <v>7</v>
      </c>
      <c r="B9" s="38">
        <v>2.9980000000000002</v>
      </c>
      <c r="C9" s="39">
        <v>1.9379999999999999</v>
      </c>
      <c r="D9" s="101"/>
      <c r="E9" s="101"/>
      <c r="F9" s="101"/>
      <c r="G9" s="101"/>
      <c r="H9" s="101"/>
      <c r="I9" s="101"/>
    </row>
    <row r="10" spans="1:9" ht="15.75" customHeight="1">
      <c r="A10" s="34">
        <v>8</v>
      </c>
      <c r="B10" s="35">
        <v>2.8959999999999999</v>
      </c>
      <c r="C10" s="40">
        <v>2.032</v>
      </c>
      <c r="D10" s="101"/>
      <c r="E10" s="101"/>
      <c r="F10" s="101"/>
      <c r="G10" s="101"/>
      <c r="H10" s="101"/>
      <c r="I10" s="101"/>
    </row>
    <row r="11" spans="1:9" ht="15.75" customHeight="1">
      <c r="A11" s="37">
        <v>9</v>
      </c>
      <c r="B11" s="38">
        <v>2.8210000000000002</v>
      </c>
      <c r="C11" s="39">
        <v>2.11</v>
      </c>
      <c r="D11" s="101"/>
      <c r="E11" s="101"/>
      <c r="F11" s="101"/>
      <c r="G11" s="101"/>
      <c r="H11" s="101"/>
      <c r="I11" s="101"/>
    </row>
    <row r="12" spans="1:9" ht="15.75" customHeight="1">
      <c r="A12" s="34">
        <v>10</v>
      </c>
      <c r="B12" s="35">
        <v>2.7639999999999998</v>
      </c>
      <c r="C12" s="40">
        <v>2.1760000000000002</v>
      </c>
      <c r="D12" s="101"/>
      <c r="E12" s="101"/>
      <c r="F12" s="101"/>
      <c r="G12" s="101"/>
      <c r="H12" s="101"/>
      <c r="I12" s="101"/>
    </row>
    <row r="13" spans="1:9" ht="15.75" customHeight="1">
      <c r="A13" s="37">
        <v>11</v>
      </c>
      <c r="B13" s="38">
        <v>2.718</v>
      </c>
      <c r="C13" s="39">
        <v>2.234</v>
      </c>
      <c r="D13" s="101"/>
      <c r="E13" s="101"/>
      <c r="F13" s="101"/>
      <c r="G13" s="101"/>
      <c r="H13" s="101"/>
      <c r="I13" s="101"/>
    </row>
    <row r="14" spans="1:9" ht="15.75" customHeight="1">
      <c r="A14" s="34">
        <v>12</v>
      </c>
      <c r="B14" s="35">
        <v>2.681</v>
      </c>
      <c r="C14" s="40">
        <v>2.2850000000000001</v>
      </c>
      <c r="D14" s="101"/>
      <c r="E14" s="101"/>
      <c r="F14" s="101"/>
      <c r="G14" s="101"/>
      <c r="H14" s="101"/>
      <c r="I14" s="101"/>
    </row>
    <row r="15" spans="1:9" ht="15.75" customHeight="1">
      <c r="A15" s="37">
        <v>13</v>
      </c>
      <c r="B15" s="38">
        <v>2.65</v>
      </c>
      <c r="C15" s="39">
        <v>2.331</v>
      </c>
      <c r="D15" s="101"/>
      <c r="E15" s="101"/>
      <c r="F15" s="101"/>
      <c r="G15" s="101"/>
      <c r="H15" s="101"/>
      <c r="I15" s="101"/>
    </row>
    <row r="16" spans="1:9" ht="15.75" customHeight="1">
      <c r="A16" s="34">
        <v>14</v>
      </c>
      <c r="B16" s="35">
        <v>2.6240000000000001</v>
      </c>
      <c r="C16" s="40">
        <v>2.371</v>
      </c>
      <c r="D16" s="101"/>
      <c r="E16" s="101"/>
      <c r="F16" s="101"/>
      <c r="G16" s="101"/>
      <c r="H16" s="101"/>
      <c r="I16" s="101"/>
    </row>
    <row r="17" spans="1:9" ht="15.75" customHeight="1">
      <c r="A17" s="37">
        <v>15</v>
      </c>
      <c r="B17" s="38">
        <v>2.6019999999999999</v>
      </c>
      <c r="C17" s="39">
        <v>2.4089999999999998</v>
      </c>
      <c r="D17" s="101"/>
      <c r="E17" s="101"/>
      <c r="F17" s="101"/>
      <c r="G17" s="101"/>
      <c r="H17" s="101"/>
      <c r="I17" s="101"/>
    </row>
    <row r="18" spans="1:9" ht="15.75" customHeight="1">
      <c r="A18" s="34">
        <v>16</v>
      </c>
      <c r="B18" s="35">
        <v>2.5830000000000002</v>
      </c>
      <c r="C18" s="40">
        <v>2.4430000000000001</v>
      </c>
      <c r="D18" s="101"/>
      <c r="E18" s="101"/>
      <c r="F18" s="101"/>
      <c r="G18" s="101"/>
      <c r="H18" s="101"/>
      <c r="I18" s="101"/>
    </row>
    <row r="19" spans="1:9" ht="15.75" customHeight="1">
      <c r="A19" s="37">
        <v>17</v>
      </c>
      <c r="B19" s="38">
        <v>2.5670000000000002</v>
      </c>
      <c r="C19" s="39">
        <v>2.4750000000000001</v>
      </c>
      <c r="D19" s="101"/>
      <c r="E19" s="101"/>
      <c r="F19" s="101"/>
      <c r="G19" s="101"/>
      <c r="H19" s="101"/>
      <c r="I19" s="101"/>
    </row>
    <row r="20" spans="1:9" ht="15.75" customHeight="1">
      <c r="A20" s="34">
        <v>18</v>
      </c>
      <c r="B20" s="35">
        <v>2.552</v>
      </c>
      <c r="C20" s="40">
        <v>2.504</v>
      </c>
      <c r="D20" s="101"/>
      <c r="E20" s="101"/>
      <c r="F20" s="101"/>
      <c r="G20" s="101"/>
      <c r="H20" s="101"/>
      <c r="I20" s="101"/>
    </row>
    <row r="21" spans="1:9" ht="15.75" customHeight="1">
      <c r="A21" s="37">
        <v>19</v>
      </c>
      <c r="B21" s="38">
        <v>2.5390000000000001</v>
      </c>
      <c r="C21" s="39">
        <v>2.532</v>
      </c>
      <c r="D21" s="101"/>
      <c r="E21" s="101"/>
      <c r="F21" s="101"/>
      <c r="G21" s="101"/>
      <c r="H21" s="101"/>
      <c r="I21" s="101"/>
    </row>
    <row r="22" spans="1:9" ht="15.75" customHeight="1">
      <c r="A22" s="34">
        <v>20</v>
      </c>
      <c r="B22" s="35">
        <v>2.528</v>
      </c>
      <c r="C22" s="40">
        <v>2.5569999999999999</v>
      </c>
      <c r="D22" s="101"/>
      <c r="E22" s="101"/>
      <c r="F22" s="101"/>
      <c r="G22" s="101"/>
      <c r="H22" s="101"/>
      <c r="I22" s="101"/>
    </row>
    <row r="23" spans="1:9" ht="15.75" customHeight="1">
      <c r="A23" s="37">
        <v>21</v>
      </c>
      <c r="B23" s="38">
        <v>2.5179999999999998</v>
      </c>
      <c r="C23" s="39">
        <v>2.58</v>
      </c>
      <c r="D23" s="101"/>
      <c r="E23" s="101"/>
      <c r="F23" s="101"/>
      <c r="G23" s="101"/>
      <c r="H23" s="101"/>
      <c r="I23" s="101"/>
    </row>
    <row r="24" spans="1:9" ht="15.75" customHeight="1">
      <c r="A24" s="34">
        <v>22</v>
      </c>
      <c r="B24" s="35">
        <v>2.508</v>
      </c>
      <c r="C24" s="40">
        <v>2.6030000000000002</v>
      </c>
      <c r="D24" s="101"/>
      <c r="E24" s="101"/>
      <c r="F24" s="101"/>
      <c r="G24" s="101"/>
      <c r="H24" s="101"/>
      <c r="I24" s="101"/>
    </row>
    <row r="25" spans="1:9" ht="15.75" customHeight="1">
      <c r="A25" s="37">
        <v>23</v>
      </c>
      <c r="B25" s="38">
        <v>2.5</v>
      </c>
      <c r="C25" s="39">
        <v>2.6240000000000001</v>
      </c>
      <c r="D25" s="101"/>
      <c r="E25" s="101"/>
      <c r="F25" s="101"/>
      <c r="G25" s="101"/>
      <c r="H25" s="101"/>
      <c r="I25" s="101"/>
    </row>
    <row r="26" spans="1:9" ht="15.75" customHeight="1">
      <c r="A26" s="34">
        <v>24</v>
      </c>
      <c r="B26" s="35">
        <v>2.492</v>
      </c>
      <c r="C26" s="40">
        <v>2.6440000000000001</v>
      </c>
      <c r="D26" s="101"/>
      <c r="E26" s="101"/>
      <c r="F26" s="101"/>
      <c r="G26" s="101"/>
      <c r="H26" s="101"/>
      <c r="I26" s="101"/>
    </row>
    <row r="27" spans="1:9" ht="15.75" customHeight="1">
      <c r="A27" s="37">
        <v>25</v>
      </c>
      <c r="B27" s="38">
        <v>2.4849999999999999</v>
      </c>
      <c r="C27" s="39">
        <v>2.6629999999999998</v>
      </c>
      <c r="D27" s="101"/>
      <c r="E27" s="101"/>
      <c r="F27" s="101"/>
      <c r="G27" s="101"/>
      <c r="H27" s="101"/>
      <c r="I27" s="101"/>
    </row>
    <row r="28" spans="1:9" ht="15.75" customHeight="1">
      <c r="A28" s="34">
        <v>26</v>
      </c>
      <c r="B28" s="35">
        <v>2.4790000000000001</v>
      </c>
      <c r="C28" s="40">
        <v>2.681</v>
      </c>
      <c r="D28" s="101"/>
      <c r="E28" s="101"/>
      <c r="F28" s="101"/>
      <c r="G28" s="101"/>
      <c r="H28" s="101"/>
      <c r="I28" s="101"/>
    </row>
    <row r="29" spans="1:9" ht="15.75" customHeight="1">
      <c r="A29" s="37">
        <v>27</v>
      </c>
      <c r="B29" s="38">
        <v>2.4729999999999999</v>
      </c>
      <c r="C29" s="39">
        <v>2.698</v>
      </c>
      <c r="D29" s="101"/>
      <c r="E29" s="101"/>
      <c r="F29" s="101"/>
      <c r="G29" s="101"/>
      <c r="H29" s="101"/>
      <c r="I29" s="101"/>
    </row>
    <row r="30" spans="1:9" ht="15.75" customHeight="1">
      <c r="A30" s="34">
        <v>28</v>
      </c>
      <c r="B30" s="35">
        <v>2.4670000000000001</v>
      </c>
      <c r="C30" s="40">
        <v>2.714</v>
      </c>
      <c r="D30" s="101"/>
      <c r="E30" s="101"/>
      <c r="F30" s="101"/>
      <c r="G30" s="101"/>
      <c r="H30" s="101"/>
      <c r="I30" s="101"/>
    </row>
    <row r="31" spans="1:9" ht="15.75" customHeight="1">
      <c r="A31" s="37">
        <v>29</v>
      </c>
      <c r="B31" s="38">
        <v>2.4620000000000002</v>
      </c>
      <c r="C31" s="39">
        <v>2.73</v>
      </c>
      <c r="D31" s="101"/>
      <c r="E31" s="101"/>
      <c r="F31" s="101"/>
      <c r="G31" s="101"/>
      <c r="H31" s="101"/>
      <c r="I31" s="101"/>
    </row>
    <row r="32" spans="1:9" ht="15.75" customHeight="1">
      <c r="A32" s="34">
        <v>30</v>
      </c>
      <c r="B32" s="35">
        <v>2.4569999999999999</v>
      </c>
      <c r="C32" s="40">
        <v>2.7450000000000001</v>
      </c>
      <c r="D32" s="101"/>
      <c r="E32" s="101"/>
      <c r="F32" s="101"/>
      <c r="G32" s="101"/>
      <c r="H32" s="101"/>
      <c r="I32" s="101"/>
    </row>
    <row r="33" spans="1:9" ht="15.75" customHeight="1">
      <c r="A33" s="37">
        <v>40</v>
      </c>
      <c r="B33" s="38">
        <v>2.423</v>
      </c>
      <c r="C33" s="39">
        <v>2.8660000000000001</v>
      </c>
      <c r="D33" s="101"/>
      <c r="E33" s="101"/>
      <c r="F33" s="101"/>
      <c r="G33" s="101"/>
      <c r="H33" s="101"/>
      <c r="I33" s="101"/>
    </row>
    <row r="34" spans="1:9" ht="15.75" customHeight="1">
      <c r="A34" s="34">
        <v>50</v>
      </c>
      <c r="B34" s="35">
        <v>2.403</v>
      </c>
      <c r="C34" s="40">
        <v>2.956</v>
      </c>
      <c r="D34" s="101"/>
      <c r="E34" s="101"/>
      <c r="F34" s="101"/>
      <c r="G34" s="101"/>
      <c r="H34" s="101"/>
      <c r="I34" s="101"/>
    </row>
    <row r="35" spans="1:9" ht="15.75" customHeight="1">
      <c r="A35" s="37">
        <v>60</v>
      </c>
      <c r="B35" s="38">
        <v>2.39</v>
      </c>
      <c r="C35" s="39">
        <v>3.0249999999999999</v>
      </c>
      <c r="D35" s="101"/>
      <c r="E35" s="101"/>
      <c r="F35" s="101"/>
      <c r="G35" s="101"/>
      <c r="H35" s="101"/>
      <c r="I35" s="101"/>
    </row>
    <row r="36" spans="1:9" ht="15.75" customHeight="1">
      <c r="A36" s="34">
        <v>80</v>
      </c>
      <c r="B36" s="35">
        <v>2.3740000000000001</v>
      </c>
      <c r="C36" s="40">
        <v>3.13</v>
      </c>
      <c r="D36" s="101"/>
      <c r="E36" s="101"/>
      <c r="F36" s="101"/>
      <c r="G36" s="101"/>
      <c r="H36" s="101"/>
      <c r="I36" s="101"/>
    </row>
    <row r="37" spans="1:9" ht="15.75" customHeight="1">
      <c r="A37" s="37">
        <v>100</v>
      </c>
      <c r="B37" s="38">
        <v>2.3639999999999999</v>
      </c>
      <c r="C37" s="39">
        <v>3.2069999999999999</v>
      </c>
      <c r="D37" s="101"/>
      <c r="E37" s="101"/>
      <c r="F37" s="101"/>
      <c r="G37" s="101"/>
      <c r="H37" s="101"/>
      <c r="I37" s="101"/>
    </row>
    <row r="38" spans="1:9" ht="15.75" customHeight="1">
      <c r="A38" s="34">
        <v>150</v>
      </c>
      <c r="B38" s="35">
        <v>2.3519999999999999</v>
      </c>
      <c r="C38" s="40">
        <v>3.35</v>
      </c>
      <c r="D38" s="101"/>
      <c r="E38" s="101"/>
      <c r="F38" s="101"/>
      <c r="G38" s="101"/>
      <c r="H38" s="101"/>
      <c r="I38" s="101"/>
    </row>
    <row r="39" spans="1:9" ht="15.75" customHeight="1">
      <c r="A39" s="37">
        <v>200</v>
      </c>
      <c r="B39" s="38">
        <v>2.3450000000000002</v>
      </c>
      <c r="C39" s="39">
        <v>3.5</v>
      </c>
      <c r="D39" s="101"/>
      <c r="E39" s="101"/>
      <c r="F39" s="101"/>
      <c r="G39" s="101"/>
      <c r="H39" s="101"/>
      <c r="I39" s="101"/>
    </row>
    <row r="40" spans="1:9" ht="15.75" customHeight="1">
      <c r="A40" s="41">
        <v>1000</v>
      </c>
      <c r="B40" s="42">
        <v>2.33</v>
      </c>
      <c r="C40" s="43">
        <v>4</v>
      </c>
      <c r="D40" s="101"/>
      <c r="E40" s="101"/>
      <c r="F40" s="101"/>
      <c r="G40" s="101"/>
      <c r="H40" s="101"/>
      <c r="I40" s="101"/>
    </row>
    <row r="41" spans="1:9" ht="19.149999999999999" customHeight="1">
      <c r="A41" s="44"/>
      <c r="B41" s="45"/>
      <c r="C41" s="46"/>
      <c r="D41" s="47"/>
      <c r="E41" s="47"/>
      <c r="F41" s="47"/>
      <c r="G41" s="47"/>
      <c r="H41" s="47"/>
      <c r="I41" s="47"/>
    </row>
    <row r="42" spans="1:9" ht="204.6" customHeight="1">
      <c r="A42" s="48"/>
      <c r="B42" s="49"/>
      <c r="C42" s="50"/>
      <c r="D42" s="51"/>
      <c r="E42" s="51"/>
      <c r="F42" s="51"/>
      <c r="G42" s="51"/>
      <c r="H42" s="51"/>
      <c r="I42" s="51"/>
    </row>
  </sheetData>
  <sheetProtection sheet="1" objects="1" scenarios="1"/>
  <mergeCells count="1">
    <mergeCell ref="A1:B1"/>
  </mergeCells>
  <pageMargins left="1" right="1" top="0.56640599999999997" bottom="1" header="0" footer="0"/>
  <pageSetup paperSize="9" scale="83" orientation="portrait" r:id="rId1"/>
  <headerFooter>
    <oddFooter>&amp;C&amp;"Helvetica Neue,Regular"&amp;12&amp;K000000&amp;P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showRowColHeaders="0" topLeftCell="A4" workbookViewId="0">
      <selection activeCell="B15" sqref="B15"/>
    </sheetView>
  </sheetViews>
  <sheetFormatPr defaultColWidth="0" defaultRowHeight="15" customHeight="1" zeroHeight="1"/>
  <cols>
    <col min="1" max="1" width="15.875" style="1" customWidth="1"/>
    <col min="2" max="2" width="23.75" style="1" customWidth="1"/>
    <col min="3" max="16384" width="8.875" style="1" hidden="1"/>
  </cols>
  <sheetData>
    <row r="1" spans="1:2" ht="21" customHeight="1">
      <c r="A1" s="52" t="s">
        <v>76</v>
      </c>
      <c r="B1" s="53" t="s">
        <v>77</v>
      </c>
    </row>
    <row r="2" spans="1:2" ht="14.25" customHeight="1">
      <c r="A2" s="54" t="s">
        <v>78</v>
      </c>
      <c r="B2" s="55">
        <v>1000000</v>
      </c>
    </row>
    <row r="3" spans="1:2" ht="13.5" customHeight="1">
      <c r="A3" s="56" t="s">
        <v>79</v>
      </c>
      <c r="B3" s="57">
        <v>1000000000</v>
      </c>
    </row>
    <row r="4" spans="1:2" ht="13.5" customHeight="1">
      <c r="A4" s="56" t="s">
        <v>80</v>
      </c>
      <c r="B4" s="58">
        <v>1000000000000</v>
      </c>
    </row>
    <row r="5" spans="1:2" ht="13.5" customHeight="1">
      <c r="A5" s="56" t="s">
        <v>81</v>
      </c>
      <c r="B5" s="58">
        <v>1000000</v>
      </c>
    </row>
    <row r="6" spans="1:2" ht="13.5" customHeight="1">
      <c r="A6" s="56" t="s">
        <v>4</v>
      </c>
      <c r="B6" s="58">
        <v>1000000000</v>
      </c>
    </row>
    <row r="7" spans="1:2" ht="13.5" customHeight="1">
      <c r="A7" s="56" t="s">
        <v>82</v>
      </c>
      <c r="B7" s="58">
        <v>1000000000000</v>
      </c>
    </row>
    <row r="8" spans="1:2" ht="14.25" customHeight="1">
      <c r="A8" s="59" t="s">
        <v>83</v>
      </c>
      <c r="B8" s="58">
        <v>1000000</v>
      </c>
    </row>
    <row r="9" spans="1:2" ht="14.25" customHeight="1">
      <c r="A9" s="60" t="s">
        <v>84</v>
      </c>
      <c r="B9" s="58">
        <v>1000000000</v>
      </c>
    </row>
    <row r="10" spans="1:2" ht="14.25" customHeight="1">
      <c r="A10" s="60" t="s">
        <v>85</v>
      </c>
      <c r="B10" s="58">
        <v>1000000000000</v>
      </c>
    </row>
    <row r="11" spans="1:2" ht="14.25" customHeight="1">
      <c r="A11" s="60" t="s">
        <v>86</v>
      </c>
      <c r="B11" s="58">
        <v>1000000000000000</v>
      </c>
    </row>
    <row r="12" spans="1:2" ht="14.25" customHeight="1">
      <c r="A12" s="60" t="s">
        <v>87</v>
      </c>
      <c r="B12" s="58">
        <v>100</v>
      </c>
    </row>
    <row r="13" spans="1:2" ht="16.5" customHeight="1">
      <c r="A13" s="60" t="s">
        <v>88</v>
      </c>
      <c r="B13" s="61">
        <v>100</v>
      </c>
    </row>
    <row r="14" spans="1:2" ht="16.5" customHeight="1">
      <c r="A14" s="60" t="s">
        <v>89</v>
      </c>
      <c r="B14" s="62">
        <v>568</v>
      </c>
    </row>
    <row r="15" spans="1:2" ht="14.25" customHeight="1">
      <c r="A15" s="63"/>
      <c r="B15" s="64"/>
    </row>
    <row r="16" spans="1:2" ht="15" customHeight="1">
      <c r="A16" s="65"/>
      <c r="B16" s="66"/>
    </row>
    <row r="17" spans="1:2" ht="15" customHeight="1">
      <c r="A17" s="67"/>
      <c r="B17" s="68"/>
    </row>
    <row r="18" spans="1:2" ht="15" customHeight="1">
      <c r="A18" s="67"/>
      <c r="B18" s="68"/>
    </row>
    <row r="19" spans="1:2" ht="15" customHeight="1">
      <c r="A19" s="67"/>
      <c r="B19" s="68"/>
    </row>
    <row r="20" spans="1:2" ht="15" customHeight="1">
      <c r="A20" s="67"/>
      <c r="B20" s="68"/>
    </row>
    <row r="21" spans="1:2" ht="15" customHeight="1">
      <c r="A21" s="67"/>
      <c r="B21" s="68"/>
    </row>
    <row r="22" spans="1:2" ht="15" hidden="1" customHeight="1">
      <c r="A22" s="69"/>
      <c r="B22" s="68"/>
    </row>
  </sheetData>
  <pageMargins left="1" right="1" top="1" bottom="1" header="0" footer="0"/>
  <pageSetup scale="175"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showRowColHeaders="0" workbookViewId="0">
      <selection activeCell="A9" sqref="A9"/>
    </sheetView>
  </sheetViews>
  <sheetFormatPr defaultColWidth="0" defaultRowHeight="13.5" customHeight="1" zeroHeight="1"/>
  <cols>
    <col min="1" max="1" width="109.5" style="1" customWidth="1"/>
    <col min="2" max="6" width="8.875" style="1" hidden="1" customWidth="1"/>
    <col min="7" max="16384" width="8.875" style="1" hidden="1"/>
  </cols>
  <sheetData>
    <row r="1" spans="1:6" ht="77.25" customHeight="1">
      <c r="A1" s="70" t="s">
        <v>90</v>
      </c>
      <c r="B1" s="71"/>
      <c r="C1" s="71"/>
      <c r="D1" s="71"/>
      <c r="E1" s="71"/>
      <c r="F1" s="71"/>
    </row>
    <row r="2" spans="1:6" ht="29.65" customHeight="1">
      <c r="A2" s="72" t="s">
        <v>91</v>
      </c>
      <c r="B2" s="47"/>
      <c r="C2" s="47"/>
      <c r="D2" s="47"/>
      <c r="E2" s="47"/>
      <c r="F2" s="47"/>
    </row>
    <row r="3" spans="1:6" ht="49.15" customHeight="1">
      <c r="A3" s="73" t="s">
        <v>92</v>
      </c>
      <c r="B3" s="47"/>
      <c r="C3" s="47"/>
      <c r="D3" s="47"/>
      <c r="E3" s="47"/>
      <c r="F3" s="47"/>
    </row>
    <row r="4" spans="1:6" ht="39.6" customHeight="1">
      <c r="A4" s="74" t="s">
        <v>93</v>
      </c>
      <c r="B4" s="47"/>
      <c r="C4" s="47"/>
      <c r="D4" s="47"/>
      <c r="E4" s="47"/>
      <c r="F4" s="47"/>
    </row>
    <row r="5" spans="1:6" ht="338.25" customHeight="1">
      <c r="A5" s="74" t="s">
        <v>94</v>
      </c>
      <c r="B5" s="47"/>
      <c r="C5" s="47"/>
      <c r="D5" s="47"/>
      <c r="E5" s="47"/>
      <c r="F5" s="47"/>
    </row>
    <row r="6" spans="1:6" ht="74.849999999999994" customHeight="1">
      <c r="A6" s="74" t="s">
        <v>95</v>
      </c>
      <c r="B6" s="47"/>
      <c r="C6" s="47"/>
      <c r="D6" s="47"/>
      <c r="E6" s="47"/>
      <c r="F6" s="47"/>
    </row>
    <row r="7" spans="1:6" ht="22.9" customHeight="1">
      <c r="A7" s="70" t="s">
        <v>96</v>
      </c>
      <c r="B7" s="47"/>
      <c r="C7" s="47"/>
      <c r="D7" s="47"/>
      <c r="E7" s="47"/>
      <c r="F7" s="47"/>
    </row>
    <row r="8" spans="1:6" ht="24" customHeight="1">
      <c r="A8" s="75" t="s">
        <v>97</v>
      </c>
      <c r="B8" s="47"/>
      <c r="C8" s="47"/>
      <c r="D8" s="47"/>
      <c r="E8" s="47"/>
      <c r="F8" s="47"/>
    </row>
    <row r="9" spans="1:6" ht="38.25" customHeight="1">
      <c r="A9" s="70" t="s">
        <v>102</v>
      </c>
      <c r="B9" s="47"/>
      <c r="C9" s="47"/>
      <c r="D9" s="47"/>
      <c r="E9" s="47"/>
      <c r="F9" s="47"/>
    </row>
    <row r="10" spans="1:6" ht="46.9" customHeight="1">
      <c r="A10" s="72" t="s">
        <v>98</v>
      </c>
      <c r="B10" s="47"/>
      <c r="C10" s="47"/>
      <c r="D10" s="47"/>
      <c r="E10" s="47"/>
      <c r="F10" s="47"/>
    </row>
    <row r="11" spans="1:6" ht="13.5" customHeight="1">
      <c r="A11" s="76" t="s">
        <v>101</v>
      </c>
      <c r="B11" s="47"/>
      <c r="C11" s="47"/>
      <c r="D11" s="47"/>
      <c r="E11" s="47"/>
      <c r="F11" s="47"/>
    </row>
    <row r="12" spans="1:6" ht="13.15" hidden="1" customHeight="1">
      <c r="A12" s="72"/>
      <c r="B12" s="47"/>
      <c r="C12" s="47"/>
      <c r="D12" s="47"/>
      <c r="E12" s="47"/>
      <c r="F12" s="47"/>
    </row>
    <row r="13" spans="1:6" ht="9" customHeight="1">
      <c r="A13" s="77"/>
      <c r="B13" s="78"/>
      <c r="C13" s="78"/>
      <c r="D13" s="78"/>
      <c r="E13" s="78"/>
      <c r="F13" s="78"/>
    </row>
    <row r="14" spans="1:6" ht="13.5" customHeight="1"/>
  </sheetData>
  <sheetProtection sheet="1" objects="1" scenarios="1"/>
  <pageMargins left="0.7" right="0.7" top="0.75" bottom="0.75" header="0.3" footer="0.3"/>
  <pageSetup scale="77"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MainTable</vt:lpstr>
      <vt:lpstr>SampleResults</vt:lpstr>
      <vt:lpstr>Distributions</vt:lpstr>
      <vt:lpstr>Units</vt:lpstr>
      <vt:lpstr>Notes</vt:lpstr>
    </vt:vector>
  </TitlesOfParts>
  <Manager>Tim Strutt</Manager>
  <Company>Tim Strutt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AnalytesMU</dc:title>
  <dc:subject>Method Uncertainties</dc:subject>
  <dc:creator>Tim Strutt</dc:creator>
  <cp:keywords/>
  <dc:description>Used to determine Method Uncertainties, Detection Limits, and find Outliers</dc:description>
  <cp:lastModifiedBy>tim strutt</cp:lastModifiedBy>
  <cp:revision/>
  <cp:lastPrinted>2022-06-12T18:31:26Z</cp:lastPrinted>
  <dcterms:created xsi:type="dcterms:W3CDTF">2022-05-21T09:44:11Z</dcterms:created>
  <dcterms:modified xsi:type="dcterms:W3CDTF">2022-11-29T17:08:38Z</dcterms:modified>
  <cp:category/>
  <cp:contentStatus>Beta</cp:contentStatus>
</cp:coreProperties>
</file>