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CLASSES" sheetId="1" r:id="rId5"/>
    <sheet state="visible" name="ROGUE VERSION" sheetId="2" r:id="rId6"/>
    <sheet state="visible" name="SIMPLIFIED VERSION" sheetId="3" r:id="rId7"/>
  </sheets>
  <definedNames/>
  <calcPr/>
</workbook>
</file>

<file path=xl/sharedStrings.xml><?xml version="1.0" encoding="utf-8"?>
<sst xmlns="http://schemas.openxmlformats.org/spreadsheetml/2006/main" count="460" uniqueCount="164">
  <si>
    <t>MAKE A COPY TO USE THIS CALCULATOR IN ANY WAY</t>
  </si>
  <si>
    <t>WEAPON</t>
  </si>
  <si>
    <r>
      <rPr>
        <rFont val="Arial"/>
        <color rgb="FFFFFFFF"/>
      </rPr>
      <t xml:space="preserve">GUIDE ON HOW TO USE THE CALC: </t>
    </r>
    <r>
      <rPr>
        <rFont val="Arial"/>
        <color rgb="FFFFFFFF"/>
        <u/>
      </rPr>
      <t>https://www.youtube.com/watch?v=as8y_zGlPrs</t>
    </r>
  </si>
  <si>
    <t>Two Handed Damage</t>
  </si>
  <si>
    <t>Additive Damage List</t>
  </si>
  <si>
    <t>Amulet</t>
  </si>
  <si>
    <t>Current</t>
  </si>
  <si>
    <t>Change</t>
  </si>
  <si>
    <t>% Gain</t>
  </si>
  <si>
    <t>Weight</t>
  </si>
  <si>
    <t>Gloves</t>
  </si>
  <si>
    <t>CALCULATION</t>
  </si>
  <si>
    <t>One Handed Damage</t>
  </si>
  <si>
    <t>Anything with [+]</t>
  </si>
  <si>
    <t>Total %</t>
  </si>
  <si>
    <t>CSDM</t>
  </si>
  <si>
    <t>Critical Strike Damage</t>
  </si>
  <si>
    <t>VDM</t>
  </si>
  <si>
    <t>Weapon Damage</t>
  </si>
  <si>
    <t>Weapon Gems Total%</t>
  </si>
  <si>
    <t>Vulnerable Damage</t>
  </si>
  <si>
    <t>DOTM</t>
  </si>
  <si>
    <t>Main Stat Sum</t>
  </si>
  <si>
    <t>MAIN STAT</t>
  </si>
  <si>
    <t>All Damage</t>
  </si>
  <si>
    <t>ALLM</t>
  </si>
  <si>
    <t>Main Stat Multiplier</t>
  </si>
  <si>
    <t>Class:</t>
  </si>
  <si>
    <t>Paladin</t>
  </si>
  <si>
    <t>Physical Damage</t>
  </si>
  <si>
    <t>NON PHYS</t>
  </si>
  <si>
    <t>Crit Chance Total</t>
  </si>
  <si>
    <t>Helm</t>
  </si>
  <si>
    <t>Cold Damage</t>
  </si>
  <si>
    <t>Skill Ranks</t>
  </si>
  <si>
    <t>Total Skill Ranks</t>
  </si>
  <si>
    <t>Chest</t>
  </si>
  <si>
    <t>Poison Damage</t>
  </si>
  <si>
    <t>Main Stat</t>
  </si>
  <si>
    <t>Skill Coefficient</t>
  </si>
  <si>
    <t>Pants</t>
  </si>
  <si>
    <t>Shadow Damage</t>
  </si>
  <si>
    <t>Crit Chance</t>
  </si>
  <si>
    <t>Non-Crit Additive Damage</t>
  </si>
  <si>
    <t>Boots</t>
  </si>
  <si>
    <t>Damage over Time</t>
  </si>
  <si>
    <t>Temper</t>
  </si>
  <si>
    <t>Crit Additive Damage</t>
  </si>
  <si>
    <t>Damage with Trap</t>
  </si>
  <si>
    <t>Temper CDMG</t>
  </si>
  <si>
    <t>Extra Main Stat (Charms etc)</t>
  </si>
  <si>
    <t>vs Close</t>
  </si>
  <si>
    <t>Base Main Stat (no gear)</t>
  </si>
  <si>
    <t>vs Distant</t>
  </si>
  <si>
    <t>Ring 1</t>
  </si>
  <si>
    <t>Ring 2</t>
  </si>
  <si>
    <t>SKILL COEFFICIENT</t>
  </si>
  <si>
    <t>vs Elites</t>
  </si>
  <si>
    <t>ADMG</t>
  </si>
  <si>
    <t>Skill Coefficient (lvl 1)</t>
  </si>
  <si>
    <t>vs Crowd Controlled</t>
  </si>
  <si>
    <t>Skill Ranks 1-15</t>
  </si>
  <si>
    <t>vs Healthy</t>
  </si>
  <si>
    <t>Extra Skill Ranks</t>
  </si>
  <si>
    <t>vs Trapped</t>
  </si>
  <si>
    <t>ALLM + NON PHYS</t>
  </si>
  <si>
    <t>DoT Product</t>
  </si>
  <si>
    <t>Imbued Damage</t>
  </si>
  <si>
    <t>DoT Gain</t>
  </si>
  <si>
    <t>Crit Chance:</t>
  </si>
  <si>
    <t>Shade Damage</t>
  </si>
  <si>
    <t>Attack Speed%</t>
  </si>
  <si>
    <t>Damage</t>
  </si>
  <si>
    <t>Non Crit Product</t>
  </si>
  <si>
    <t>Disable Crit</t>
  </si>
  <si>
    <t>ANYTHING WITH [+] GOES HERE</t>
  </si>
  <si>
    <t>Crit Product</t>
  </si>
  <si>
    <t>LIKE SKILL BASED ADDITIVES FROM</t>
  </si>
  <si>
    <t>Avg Damage</t>
  </si>
  <si>
    <t>YOUR TEMPERS ^^^^</t>
  </si>
  <si>
    <t>SELECT THE WEAPON(S) YOU USE TO DEAL DAMAGE WITH SO THAT IT IMPORTS CORRECT STATS</t>
  </si>
  <si>
    <t>Direct Gain</t>
  </si>
  <si>
    <t>YOU CAN CHANGE ALL THESE LINES</t>
  </si>
  <si>
    <t>Weapon 1</t>
  </si>
  <si>
    <t>Weapon 2</t>
  </si>
  <si>
    <t>FOR WHAT MATCHES YOUR CLASS</t>
  </si>
  <si>
    <t>SEAL MULTIPLIER</t>
  </si>
  <si>
    <t>Non Crit Total:</t>
  </si>
  <si>
    <t>Crit Total:</t>
  </si>
  <si>
    <t>[x] All Stat %</t>
  </si>
  <si>
    <t>[x] Main Stat %</t>
  </si>
  <si>
    <t>Extra Additive</t>
  </si>
  <si>
    <t xml:space="preserve">[x] Critical Strike Damage </t>
  </si>
  <si>
    <t>[x] Damage</t>
  </si>
  <si>
    <t>Gem</t>
  </si>
  <si>
    <t>[+] Critical Strike Chance</t>
  </si>
  <si>
    <t>Temper Crit Chance</t>
  </si>
  <si>
    <t>Sword/Mace/Axe</t>
  </si>
  <si>
    <t>Dagger/Flail/Wand</t>
  </si>
  <si>
    <t>Dagger/Flail/Wand/Focus</t>
  </si>
  <si>
    <t>Shield</t>
  </si>
  <si>
    <t>Weapon 2h</t>
  </si>
  <si>
    <t>Barb 2nd 2h</t>
  </si>
  <si>
    <t>Gem x2</t>
  </si>
  <si>
    <t>Crossbow/Mace/Axe/Polearm</t>
  </si>
  <si>
    <t>Mace/Axe</t>
  </si>
  <si>
    <t>Bow/Quarter Staff</t>
  </si>
  <si>
    <t>Sword/Glaive</t>
  </si>
  <si>
    <t>Sword</t>
  </si>
  <si>
    <r>
      <rPr>
        <rFont val="Arial"/>
        <color rgb="FFFFFFFF"/>
      </rPr>
      <t xml:space="preserve">GUIDE ON HOW TO USE THE CALC: </t>
    </r>
    <r>
      <rPr>
        <rFont val="Arial"/>
        <color rgb="FF1155CC"/>
        <u/>
      </rPr>
      <t>https://www.youtube.com/watch?v=as8y_zGlPrs</t>
    </r>
  </si>
  <si>
    <t>Ranged Damage</t>
  </si>
  <si>
    <t>Melee Damage</t>
  </si>
  <si>
    <t>Dext Sum</t>
  </si>
  <si>
    <t>Dext Multiplier</t>
  </si>
  <si>
    <t>DEXTERITY</t>
  </si>
  <si>
    <t>Dext</t>
  </si>
  <si>
    <t>Extra Dext</t>
  </si>
  <si>
    <t>Attack Speed (DoK)</t>
  </si>
  <si>
    <t>Base Dext</t>
  </si>
  <si>
    <t>Attack Speed %</t>
  </si>
  <si>
    <t>Attack Speed Multi DoK</t>
  </si>
  <si>
    <t>Grenade Damage</t>
  </si>
  <si>
    <t>Dance of Knives?</t>
  </si>
  <si>
    <t>Cutthroat Damage</t>
  </si>
  <si>
    <t>Marksman Damage</t>
  </si>
  <si>
    <t>Grenade Jumper Skill C.</t>
  </si>
  <si>
    <t>Agility Damage</t>
  </si>
  <si>
    <t>Normal DoK Skill C.</t>
  </si>
  <si>
    <t>Per Combo Point</t>
  </si>
  <si>
    <t>Wep</t>
  </si>
  <si>
    <t>Dagger</t>
  </si>
  <si>
    <t>Crossbow:</t>
  </si>
  <si>
    <t>Bow:</t>
  </si>
  <si>
    <t>Change this</t>
  </si>
  <si>
    <t>900 Ancestral Ring Example:</t>
  </si>
  <si>
    <t>900 Ancestral Weapon Example:</t>
  </si>
  <si>
    <t>Your Current Stats:</t>
  </si>
  <si>
    <t>Amount Added:</t>
  </si>
  <si>
    <t>Relative Gain</t>
  </si>
  <si>
    <t>Ring Stat Gain</t>
  </si>
  <si>
    <t>xVulnerable Damage Multiplier</t>
  </si>
  <si>
    <t>xCritical Strike Damage Multiplier</t>
  </si>
  <si>
    <t>Critical Strike Chance %</t>
  </si>
  <si>
    <t>xDamage over Time Multiplier</t>
  </si>
  <si>
    <t>xAll Damage Multiplier</t>
  </si>
  <si>
    <t>xElemental Damage Multiplier</t>
  </si>
  <si>
    <t>Dexterity</t>
  </si>
  <si>
    <t>Weapon Damage Roll</t>
  </si>
  <si>
    <t>Poison Imbuement Potency</t>
  </si>
  <si>
    <t>Old Value</t>
  </si>
  <si>
    <t>New Value</t>
  </si>
  <si>
    <t>Additive Example</t>
  </si>
  <si>
    <t>Skill Damage (On Skill)</t>
  </si>
  <si>
    <t>NEW VALUE / OLD VALUE</t>
  </si>
  <si>
    <t>DoT Damage</t>
  </si>
  <si>
    <t>Additive Damage</t>
  </si>
  <si>
    <t>Close Damage</t>
  </si>
  <si>
    <t>SUM OF ALL</t>
  </si>
  <si>
    <t>Elites</t>
  </si>
  <si>
    <t>Damage vs CC</t>
  </si>
  <si>
    <t xml:space="preserve">x [Type] Damage Multiplier is SEPARATE from other multipliers like Paragon etc. </t>
  </si>
  <si>
    <t>Damage vs Healthy</t>
  </si>
  <si>
    <t>Vs Poisoned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</si>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</sst>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00"/>
    <numFmt numFmtId="166" formatCode="0.0"/>
  </numFmts>
  <fonts count="11">
    <font>
      <sz val="10.0"/>
      <color rgb="FF000000"/>
      <name val="Arial"/>
      <scheme val="minor"/>
    </font>
    <font>
      <color theme="1"/>
      <name val="Arial"/>
    </font>
    <font>
      <sz val="25.0"/>
      <color rgb="FFFFFFFF"/>
      <name val="Arial"/>
      <scheme val="minor"/>
    </font>
    <font>
      <color rgb="FFFFFFFF"/>
      <name val="Arial"/>
    </font>
    <font>
      <b/>
      <color rgb="FFFFFFFF"/>
      <name val="Arial"/>
    </font>
    <font/>
    <font>
      <u/>
      <color rgb="FFFFFFFF"/>
      <name val="Arial"/>
    </font>
    <font>
      <b/>
      <sz val="11.0"/>
      <color rgb="FFFFFFFF"/>
      <name val="Arial"/>
    </font>
    <font>
      <b/>
      <sz val="13.0"/>
      <color rgb="FFFFFFFF"/>
      <name val="Arial"/>
    </font>
    <font>
      <color rgb="FFFFFFFF"/>
      <name val="Arial"/>
      <scheme val="minor"/>
    </font>
    <font>
      <sz val="14.0"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</fills>
  <borders count="1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readingOrder="0"/>
    </xf>
    <xf borderId="0" fillId="2" fontId="3" numFmtId="0" xfId="0" applyAlignment="1" applyFont="1">
      <alignment vertical="bottom"/>
    </xf>
    <xf borderId="1" fillId="3" fontId="4" numFmtId="0" xfId="0" applyAlignment="1" applyBorder="1" applyFont="1">
      <alignment horizontal="center" vertical="bottom"/>
    </xf>
    <xf borderId="2" fillId="0" fontId="5" numFmtId="0" xfId="0" applyBorder="1" applyFont="1"/>
    <xf borderId="0" fillId="3" fontId="6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3" fillId="3" fontId="3" numFmtId="0" xfId="0" applyAlignment="1" applyBorder="1" applyFont="1">
      <alignment vertical="bottom"/>
    </xf>
    <xf borderId="3" fillId="3" fontId="3" numFmtId="0" xfId="0" applyAlignment="1" applyBorder="1" applyFont="1">
      <alignment horizontal="right" vertical="bottom"/>
    </xf>
    <xf borderId="4" fillId="3" fontId="4" numFmtId="0" xfId="0" applyAlignment="1" applyBorder="1" applyFont="1">
      <alignment horizontal="center" vertical="bottom"/>
    </xf>
    <xf borderId="4" fillId="3" fontId="3" numFmtId="0" xfId="0" applyAlignment="1" applyBorder="1" applyFont="1">
      <alignment vertical="bottom"/>
    </xf>
    <xf borderId="5" fillId="3" fontId="4" numFmtId="0" xfId="0" applyAlignment="1" applyBorder="1" applyFont="1">
      <alignment horizontal="center" vertical="bottom"/>
    </xf>
    <xf borderId="6" fillId="0" fontId="5" numFmtId="0" xfId="0" applyBorder="1" applyFont="1"/>
    <xf borderId="7" fillId="0" fontId="5" numFmtId="0" xfId="0" applyBorder="1" applyFont="1"/>
    <xf borderId="3" fillId="3" fontId="3" numFmtId="0" xfId="0" applyAlignment="1" applyBorder="1" applyFont="1">
      <alignment horizontal="center" vertical="bottom"/>
    </xf>
    <xf borderId="4" fillId="4" fontId="3" numFmtId="10" xfId="0" applyAlignment="1" applyBorder="1" applyFill="1" applyFont="1" applyNumberFormat="1">
      <alignment vertical="bottom"/>
    </xf>
    <xf borderId="4" fillId="3" fontId="3" numFmtId="164" xfId="0" applyAlignment="1" applyBorder="1" applyFont="1" applyNumberFormat="1">
      <alignment vertical="bottom"/>
    </xf>
    <xf borderId="4" fillId="3" fontId="3" numFmtId="164" xfId="0" applyAlignment="1" applyBorder="1" applyFont="1" applyNumberFormat="1">
      <alignment horizontal="right" vertical="bottom"/>
    </xf>
    <xf borderId="4" fillId="4" fontId="3" numFmtId="10" xfId="0" applyAlignment="1" applyBorder="1" applyFont="1" applyNumberFormat="1">
      <alignment horizontal="right" vertical="bottom"/>
    </xf>
    <xf borderId="4" fillId="4" fontId="3" numFmtId="10" xfId="0" applyAlignment="1" applyBorder="1" applyFont="1" applyNumberFormat="1">
      <alignment readingOrder="0" vertical="bottom"/>
    </xf>
    <xf borderId="4" fillId="3" fontId="1" numFmtId="0" xfId="0" applyAlignment="1" applyBorder="1" applyFont="1">
      <alignment vertical="bottom"/>
    </xf>
    <xf borderId="4" fillId="3" fontId="3" numFmtId="0" xfId="0" applyAlignment="1" applyBorder="1" applyFont="1">
      <alignment horizontal="center" vertical="bottom"/>
    </xf>
    <xf borderId="3" fillId="4" fontId="3" numFmtId="9" xfId="0" applyAlignment="1" applyBorder="1" applyFont="1" applyNumberFormat="1">
      <alignment vertical="bottom"/>
    </xf>
    <xf borderId="4" fillId="3" fontId="3" numFmtId="0" xfId="0" applyAlignment="1" applyBorder="1" applyFont="1">
      <alignment horizontal="right" vertical="bottom"/>
    </xf>
    <xf borderId="3" fillId="3" fontId="3" numFmtId="9" xfId="0" applyAlignment="1" applyBorder="1" applyFont="1" applyNumberFormat="1">
      <alignment horizontal="right" vertical="bottom"/>
    </xf>
    <xf borderId="3" fillId="4" fontId="3" numFmtId="9" xfId="0" applyAlignment="1" applyBorder="1" applyFont="1" applyNumberFormat="1">
      <alignment horizontal="right" vertical="bottom"/>
    </xf>
    <xf borderId="1" fillId="3" fontId="7" numFmtId="0" xfId="0" applyAlignment="1" applyBorder="1" applyFont="1">
      <alignment horizontal="center" vertical="bottom"/>
    </xf>
    <xf borderId="2" fillId="4" fontId="4" numFmtId="0" xfId="0" applyAlignment="1" applyBorder="1" applyFont="1">
      <alignment horizontal="center" vertical="bottom"/>
    </xf>
    <xf borderId="3" fillId="4" fontId="3" numFmtId="0" xfId="0" applyAlignment="1" applyBorder="1" applyFont="1">
      <alignment vertical="bottom"/>
    </xf>
    <xf borderId="4" fillId="3" fontId="3" numFmtId="9" xfId="0" applyAlignment="1" applyBorder="1" applyFont="1" applyNumberFormat="1">
      <alignment horizontal="right" vertical="bottom"/>
    </xf>
    <xf borderId="4" fillId="3" fontId="3" numFmtId="0" xfId="0" applyAlignment="1" applyBorder="1" applyFont="1">
      <alignment readingOrder="0" vertical="bottom"/>
    </xf>
    <xf borderId="4" fillId="4" fontId="3" numFmtId="0" xfId="0" applyAlignment="1" applyBorder="1" applyFont="1">
      <alignment vertical="bottom"/>
    </xf>
    <xf borderId="3" fillId="4" fontId="3" numFmtId="10" xfId="0" applyAlignment="1" applyBorder="1" applyFont="1" applyNumberFormat="1">
      <alignment vertical="bottom"/>
    </xf>
    <xf borderId="4" fillId="3" fontId="3" numFmtId="165" xfId="0" applyAlignment="1" applyBorder="1" applyFont="1" applyNumberFormat="1">
      <alignment horizontal="right" vertical="bottom"/>
    </xf>
    <xf borderId="3" fillId="4" fontId="3" numFmtId="0" xfId="0" applyAlignment="1" applyBorder="1" applyFont="1">
      <alignment horizontal="right" vertical="bottom"/>
    </xf>
    <xf borderId="4" fillId="3" fontId="3" numFmtId="10" xfId="0" applyAlignment="1" applyBorder="1" applyFont="1" applyNumberFormat="1">
      <alignment horizontal="right" vertical="bottom"/>
    </xf>
    <xf borderId="3" fillId="4" fontId="3" numFmtId="10" xfId="0" applyAlignment="1" applyBorder="1" applyFont="1" applyNumberFormat="1">
      <alignment horizontal="right" vertical="bottom"/>
    </xf>
    <xf borderId="3" fillId="3" fontId="3" numFmtId="0" xfId="0" applyAlignment="1" applyBorder="1" applyFont="1">
      <alignment readingOrder="0" vertical="bottom"/>
    </xf>
    <xf borderId="0" fillId="2" fontId="1" numFmtId="0" xfId="0" applyAlignment="1" applyFont="1">
      <alignment readingOrder="0" vertical="bottom"/>
    </xf>
    <xf borderId="4" fillId="3" fontId="3" numFmtId="166" xfId="0" applyAlignment="1" applyBorder="1" applyFont="1" applyNumberFormat="1">
      <alignment horizontal="right" vertical="bottom"/>
    </xf>
    <xf borderId="3" fillId="4" fontId="3" numFmtId="9" xfId="0" applyAlignment="1" applyBorder="1" applyFont="1" applyNumberFormat="1">
      <alignment horizontal="right" readingOrder="0" vertical="bottom"/>
    </xf>
    <xf borderId="4" fillId="3" fontId="3" numFmtId="2" xfId="0" applyAlignment="1" applyBorder="1" applyFont="1" applyNumberFormat="1">
      <alignment horizontal="right" vertical="bottom"/>
    </xf>
    <xf borderId="0" fillId="2" fontId="3" numFmtId="0" xfId="0" applyAlignment="1" applyFont="1">
      <alignment horizontal="center" readingOrder="0"/>
    </xf>
    <xf borderId="0" fillId="3" fontId="8" numFmtId="0" xfId="0" applyAlignment="1" applyFon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8" fillId="0" fontId="5" numFmtId="0" xfId="0" applyBorder="1" applyFont="1"/>
    <xf borderId="4" fillId="4" fontId="3" numFmtId="0" xfId="0" applyAlignment="1" applyBorder="1" applyFont="1">
      <alignment horizontal="right" vertical="bottom"/>
    </xf>
    <xf borderId="4" fillId="4" fontId="3" numFmtId="9" xfId="0" applyAlignment="1" applyBorder="1" applyFont="1" applyNumberFormat="1">
      <alignment vertical="bottom"/>
    </xf>
    <xf borderId="0" fillId="3" fontId="3" numFmtId="164" xfId="0" applyAlignment="1" applyFont="1" applyNumberFormat="1">
      <alignment readingOrder="0" vertical="bottom"/>
    </xf>
    <xf borderId="0" fillId="2" fontId="1" numFmtId="9" xfId="0" applyAlignment="1" applyFont="1" applyNumberFormat="1">
      <alignment readingOrder="0" vertical="bottom"/>
    </xf>
    <xf borderId="4" fillId="4" fontId="3" numFmtId="9" xfId="0" applyAlignment="1" applyBorder="1" applyFont="1" applyNumberFormat="1">
      <alignment readingOrder="0" vertical="bottom"/>
    </xf>
    <xf borderId="0" fillId="3" fontId="3" numFmtId="10" xfId="0" applyAlignment="1" applyFont="1" applyNumberFormat="1">
      <alignment readingOrder="0" vertical="bottom"/>
    </xf>
    <xf borderId="4" fillId="4" fontId="3" numFmtId="10" xfId="0" applyAlignment="1" applyBorder="1" applyFont="1" applyNumberFormat="1">
      <alignment horizontal="right" readingOrder="0" vertical="bottom"/>
    </xf>
    <xf borderId="0" fillId="3" fontId="3" numFmtId="9" xfId="0" applyAlignment="1" applyFont="1" applyNumberFormat="1">
      <alignment readingOrder="0" vertical="bottom"/>
    </xf>
    <xf borderId="4" fillId="4" fontId="3" numFmtId="9" xfId="0" applyAlignment="1" applyBorder="1" applyFont="1" applyNumberFormat="1">
      <alignment horizontal="right" vertical="bottom"/>
    </xf>
    <xf borderId="4" fillId="3" fontId="3" numFmtId="10" xfId="0" applyAlignment="1" applyBorder="1" applyFont="1" applyNumberFormat="1">
      <alignment vertical="bottom"/>
    </xf>
    <xf borderId="9" fillId="3" fontId="3" numFmtId="10" xfId="0" applyAlignment="1" applyBorder="1" applyFont="1" applyNumberFormat="1">
      <alignment vertical="bottom"/>
    </xf>
    <xf borderId="0" fillId="4" fontId="3" numFmtId="0" xfId="0" applyAlignment="1" applyFont="1">
      <alignment horizontal="center" readingOrder="0"/>
    </xf>
    <xf borderId="0" fillId="2" fontId="3" numFmtId="164" xfId="0" applyAlignment="1" applyFont="1" applyNumberFormat="1">
      <alignment vertical="bottom"/>
    </xf>
    <xf borderId="0" fillId="4" fontId="3" numFmtId="0" xfId="0" applyAlignment="1" applyFont="1">
      <alignment horizontal="center"/>
    </xf>
    <xf borderId="0" fillId="2" fontId="3" numFmtId="10" xfId="0" applyAlignment="1" applyFont="1" applyNumberFormat="1">
      <alignment vertical="bottom"/>
    </xf>
    <xf borderId="0" fillId="2" fontId="1" numFmtId="164" xfId="0" applyAlignment="1" applyFont="1" applyNumberFormat="1">
      <alignment vertical="bottom"/>
    </xf>
    <xf borderId="9" fillId="3" fontId="3" numFmtId="164" xfId="0" applyAlignment="1" applyBorder="1" applyFont="1" applyNumberFormat="1">
      <alignment vertical="bottom"/>
    </xf>
    <xf borderId="4" fillId="4" fontId="3" numFmtId="0" xfId="0" applyAlignment="1" applyBorder="1" applyFont="1">
      <alignment readingOrder="0" vertical="bottom"/>
    </xf>
    <xf borderId="0" fillId="3" fontId="3" numFmtId="9" xfId="0" applyAlignment="1" applyFont="1" applyNumberFormat="1">
      <alignment horizontal="right" vertical="bottom"/>
    </xf>
    <xf borderId="0" fillId="2" fontId="3" numFmtId="9" xfId="0" applyAlignment="1" applyFont="1" applyNumberFormat="1">
      <alignment vertical="bottom"/>
    </xf>
    <xf borderId="0" fillId="2" fontId="9" numFmtId="0" xfId="0" applyFont="1"/>
    <xf borderId="4" fillId="4" fontId="9" numFmtId="0" xfId="0" applyAlignment="1" applyBorder="1" applyFont="1">
      <alignment horizontal="center" readingOrder="0"/>
    </xf>
    <xf borderId="0" fillId="2" fontId="9" numFmtId="0" xfId="0" applyAlignment="1" applyFont="1">
      <alignment horizontal="right"/>
    </xf>
    <xf borderId="0" fillId="3" fontId="9" numFmtId="0" xfId="0" applyAlignment="1" applyFont="1">
      <alignment horizontal="center" readingOrder="0"/>
    </xf>
    <xf borderId="0" fillId="3" fontId="9" numFmtId="0" xfId="0" applyFont="1"/>
    <xf borderId="0" fillId="3" fontId="9" numFmtId="0" xfId="0" applyAlignment="1" applyFont="1">
      <alignment horizontal="right"/>
    </xf>
    <xf borderId="0" fillId="3" fontId="9" numFmtId="0" xfId="0" applyAlignment="1" applyFont="1">
      <alignment readingOrder="0"/>
    </xf>
    <xf borderId="0" fillId="2" fontId="9" numFmtId="0" xfId="0" applyAlignment="1" applyFont="1">
      <alignment readingOrder="0"/>
    </xf>
    <xf borderId="0" fillId="3" fontId="9" numFmtId="0" xfId="0" applyAlignment="1" applyFont="1">
      <alignment horizontal="right" readingOrder="0"/>
    </xf>
    <xf borderId="0" fillId="3" fontId="9" numFmtId="9" xfId="0" applyAlignment="1" applyFont="1" applyNumberFormat="1">
      <alignment readingOrder="0"/>
    </xf>
    <xf borderId="0" fillId="3" fontId="9" numFmtId="10" xfId="0" applyFont="1" applyNumberFormat="1"/>
    <xf borderId="4" fillId="4" fontId="9" numFmtId="9" xfId="0" applyAlignment="1" applyBorder="1" applyFont="1" applyNumberFormat="1">
      <alignment readingOrder="0"/>
    </xf>
    <xf borderId="4" fillId="3" fontId="9" numFmtId="0" xfId="0" applyBorder="1" applyFont="1"/>
    <xf borderId="4" fillId="3" fontId="9" numFmtId="10" xfId="0" applyBorder="1" applyFont="1" applyNumberFormat="1"/>
    <xf borderId="0" fillId="3" fontId="9" numFmtId="9" xfId="0" applyFont="1" applyNumberFormat="1"/>
    <xf borderId="4" fillId="4" fontId="9" numFmtId="0" xfId="0" applyAlignment="1" applyBorder="1" applyFont="1">
      <alignment readingOrder="0"/>
    </xf>
    <xf borderId="0" fillId="4" fontId="9" numFmtId="9" xfId="0" applyAlignment="1" applyFont="1" applyNumberFormat="1">
      <alignment readingOrder="0"/>
    </xf>
    <xf borderId="0" fillId="3" fontId="9" numFmtId="9" xfId="0" applyAlignment="1" applyFont="1" applyNumberFormat="1">
      <alignment horizontal="right" readingOrder="0"/>
    </xf>
    <xf borderId="0" fillId="3" fontId="9" numFmtId="10" xfId="0" applyAlignment="1" applyFont="1" applyNumberFormat="1">
      <alignment horizontal="right" readingOrder="0"/>
    </xf>
    <xf borderId="0" fillId="3" fontId="10" numFmtId="0" xfId="0" applyAlignment="1" applyFont="1">
      <alignment readingOrder="0"/>
    </xf>
    <xf borderId="0" fillId="3" fontId="9" numFmtId="9" xfId="0" applyAlignment="1" applyFont="1" applyNumberFormat="1">
      <alignment horizontal="right"/>
    </xf>
  </cellXfs>
  <cellStyles count="1">
    <cellStyle xfId="0" name="Normal" builtinId="0"/>
  </cellStyles>
  <dxfs count="2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990000"/>
          <bgColor rgb="FF99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923925</xdr:colOff>
      <xdr:row>29</xdr:row>
      <xdr:rowOff>76200</xdr:rowOff>
    </xdr:from>
    <xdr:ext cx="12658725" cy="7362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as8y_zGlPr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as8y_zGlPr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11.63"/>
    <col customWidth="1" min="5" max="5" width="31.0"/>
    <col customWidth="1" min="6" max="6" width="9.0"/>
    <col customWidth="1" min="8" max="8" width="24.13"/>
    <col customWidth="1" min="9" max="9" width="7.88"/>
    <col customWidth="1" min="10" max="10" width="7.13"/>
    <col customWidth="1" min="11" max="11" width="6.25"/>
    <col customWidth="1" min="12" max="12" width="6.13"/>
    <col customWidth="1" min="14" max="14" width="19.88"/>
    <col customWidth="1" min="15" max="16" width="6.63"/>
    <col customWidth="1" min="17" max="17" width="6.5"/>
    <col customWidth="1" min="18" max="18" width="6.13"/>
    <col customWidth="1" min="20" max="20" width="20.38"/>
    <col customWidth="1" min="21" max="22" width="9.75"/>
    <col customWidth="1" min="23" max="23" width="9.13"/>
  </cols>
  <sheetData>
    <row r="1">
      <c r="A1" s="1"/>
      <c r="B1" s="2" t="s">
        <v>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3"/>
      <c r="B3" s="4" t="s">
        <v>1</v>
      </c>
      <c r="C3" s="5"/>
      <c r="D3" s="6" t="s">
        <v>2</v>
      </c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3"/>
      <c r="B4" s="8" t="s">
        <v>3</v>
      </c>
      <c r="C4" s="9">
        <f>IF(I53=TRUE,3768,IF(I52=TRUE,4607,IF(I54=TRUE,4146,IF(O53=TRUE,3768,IF(O52=TRUE,4607,IF(O54=TRUE,4146,0))))))</f>
        <v>4607</v>
      </c>
      <c r="D4" s="3"/>
      <c r="E4" s="4" t="s">
        <v>4</v>
      </c>
      <c r="F4" s="5"/>
      <c r="G4" s="3"/>
      <c r="H4" s="10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3"/>
      <c r="N4" s="10" t="s">
        <v>10</v>
      </c>
      <c r="O4" s="11" t="s">
        <v>6</v>
      </c>
      <c r="P4" s="11" t="s">
        <v>7</v>
      </c>
      <c r="Q4" s="11" t="s">
        <v>8</v>
      </c>
      <c r="R4" s="11" t="s">
        <v>9</v>
      </c>
      <c r="S4" s="1"/>
      <c r="T4" s="12" t="s">
        <v>11</v>
      </c>
      <c r="U4" s="13"/>
      <c r="V4" s="14"/>
      <c r="W4" s="1"/>
      <c r="X4" s="1"/>
      <c r="Y4" s="1"/>
      <c r="Z4" s="1"/>
      <c r="AA4" s="1"/>
      <c r="AB4" s="1"/>
      <c r="AC4" s="1"/>
      <c r="AD4" s="1"/>
    </row>
    <row r="5">
      <c r="A5" s="3"/>
      <c r="B5" s="8" t="s">
        <v>12</v>
      </c>
      <c r="C5" s="9">
        <f>IF(I38=TRUE,1884,IF(I39=TRUE,1728,0))*IF(O40=TRUE,2,1)+IF(O38=TRUE,1884,IF(O39=TRUE,1728,0))</f>
        <v>0</v>
      </c>
      <c r="D5" s="3"/>
      <c r="E5" s="8" t="s">
        <v>13</v>
      </c>
      <c r="F5" s="15" t="s">
        <v>14</v>
      </c>
      <c r="G5" s="3"/>
      <c r="H5" s="11" t="s">
        <v>15</v>
      </c>
      <c r="I5" s="16"/>
      <c r="J5" s="16"/>
      <c r="K5" s="17"/>
      <c r="L5" s="18">
        <f>((50%*1.75+$V$14)*($V$24/$V$14)*($V$9)+(V23*(1-$V$9)))/($V$24*($V$9)+(V23*(1-$V$9)))-1</f>
        <v>0.1950218956</v>
      </c>
      <c r="M5" s="3"/>
      <c r="N5" s="11" t="s">
        <v>15</v>
      </c>
      <c r="O5" s="19">
        <v>0.63</v>
      </c>
      <c r="P5" s="20"/>
      <c r="Q5" s="17"/>
      <c r="R5" s="18">
        <f>((50%*1.75+$V$14)*($V$24/$V$14)*($V$9)+(V23*(1-$V$9)))/($V$24*($V$9)+(V23*(1-$V$9)))-1</f>
        <v>0.1950218956</v>
      </c>
      <c r="S5" s="1"/>
      <c r="T5" s="21"/>
      <c r="U5" s="22" t="s">
        <v>6</v>
      </c>
      <c r="V5" s="22" t="s">
        <v>7</v>
      </c>
      <c r="W5" s="1"/>
      <c r="X5" s="1"/>
      <c r="Y5" s="1"/>
      <c r="Z5" s="1"/>
      <c r="AA5" s="1"/>
      <c r="AB5" s="1"/>
      <c r="AC5" s="1"/>
      <c r="AD5" s="1"/>
    </row>
    <row r="6">
      <c r="A6" s="3"/>
      <c r="B6" s="8"/>
      <c r="C6" s="8"/>
      <c r="D6" s="3"/>
      <c r="E6" s="8" t="s">
        <v>16</v>
      </c>
      <c r="F6" s="23"/>
      <c r="G6" s="3"/>
      <c r="H6" s="11" t="s">
        <v>17</v>
      </c>
      <c r="I6" s="19">
        <v>0.35</v>
      </c>
      <c r="J6" s="16"/>
      <c r="K6" s="18">
        <f>($U$15+J6)/$U$15-1</f>
        <v>0</v>
      </c>
      <c r="L6" s="18">
        <f>(28%*1.75+V15)/V15-1</f>
        <v>0.2378640777</v>
      </c>
      <c r="M6" s="3"/>
      <c r="N6" s="11" t="s">
        <v>17</v>
      </c>
      <c r="O6" s="19">
        <v>0.35</v>
      </c>
      <c r="P6" s="16"/>
      <c r="Q6" s="18">
        <f t="shared" ref="Q6:Q7" si="1">(U15+P6)/U15-1</f>
        <v>0</v>
      </c>
      <c r="R6" s="18">
        <f>(28%*1.75+V15)/V15-1</f>
        <v>0.2378640777</v>
      </c>
      <c r="S6" s="1"/>
      <c r="T6" s="11" t="s">
        <v>18</v>
      </c>
      <c r="U6" s="24">
        <f>IF(C4&gt;0,IF(OR(O52=TRUE,O54=TRUE),C4+O48,C4+I48),IF(C5&gt;0,C5+I34+O34))</f>
        <v>4607</v>
      </c>
      <c r="V6" s="24">
        <f>U6+IF(C5&gt;0,J34+P34,IF(C4&gt;0,IF(OR(O52=TRUE,O54=TRUE),P48,J48)))</f>
        <v>4607</v>
      </c>
      <c r="W6" s="1"/>
      <c r="X6" s="1"/>
      <c r="Y6" s="1"/>
      <c r="Z6" s="1"/>
      <c r="AA6" s="1"/>
      <c r="AB6" s="1"/>
      <c r="AC6" s="1"/>
      <c r="AD6" s="1"/>
    </row>
    <row r="7">
      <c r="A7" s="3"/>
      <c r="B7" s="8" t="s">
        <v>19</v>
      </c>
      <c r="C7" s="25">
        <f>I35+O35+I49+IF(C9="Barbarian",O49,0)</f>
        <v>0.96</v>
      </c>
      <c r="D7" s="3"/>
      <c r="E7" s="8" t="s">
        <v>20</v>
      </c>
      <c r="F7" s="26">
        <v>0.31</v>
      </c>
      <c r="G7" s="3"/>
      <c r="H7" s="11" t="s">
        <v>21</v>
      </c>
      <c r="I7" s="16"/>
      <c r="J7" s="16"/>
      <c r="K7" s="18">
        <f>($U$16+J7)/$U$16-1</f>
        <v>0</v>
      </c>
      <c r="L7" s="18">
        <f>IF(C24=TRUE,(60%*1.75+V16)/V16-1,0)</f>
        <v>0</v>
      </c>
      <c r="M7" s="3"/>
      <c r="N7" s="11" t="s">
        <v>21</v>
      </c>
      <c r="O7" s="16"/>
      <c r="P7" s="16"/>
      <c r="Q7" s="18">
        <f t="shared" si="1"/>
        <v>0</v>
      </c>
      <c r="R7" s="18">
        <f>IF(C24=TRUE,(60%*1.75+V16)/V16-1,0)</f>
        <v>0</v>
      </c>
      <c r="S7" s="1"/>
      <c r="T7" s="11" t="s">
        <v>22</v>
      </c>
      <c r="U7" s="24">
        <f>(SUM(C10:C13)+C16+I11+O11+I21+O21+I31+O31+I45)+C15+IF(C9="Barbarian",O45,0)</f>
        <v>2428</v>
      </c>
      <c r="V7" s="24">
        <f>U7+J11+P11+J21+P21+J31+P31+J45+IF(C9="Barbarian",P45,0)</f>
        <v>2428</v>
      </c>
      <c r="W7" s="1"/>
      <c r="X7" s="1"/>
      <c r="Y7" s="1"/>
      <c r="Z7" s="1"/>
      <c r="AA7" s="1"/>
      <c r="AB7" s="1"/>
      <c r="AC7" s="1"/>
      <c r="AD7" s="1"/>
    </row>
    <row r="8">
      <c r="A8" s="3"/>
      <c r="B8" s="4" t="s">
        <v>23</v>
      </c>
      <c r="C8" s="5"/>
      <c r="D8" s="3"/>
      <c r="E8" s="8" t="s">
        <v>24</v>
      </c>
      <c r="F8" s="26">
        <v>2.43</v>
      </c>
      <c r="G8" s="3"/>
      <c r="H8" s="11" t="s">
        <v>25</v>
      </c>
      <c r="I8" s="16"/>
      <c r="J8" s="16"/>
      <c r="K8" s="18">
        <f t="shared" ref="K8:K9" si="2">($U$17+J8)/$U$17-1</f>
        <v>0</v>
      </c>
      <c r="L8" s="18">
        <f>(20%*1.75+V17)/V17-1</f>
        <v>0.1583710407</v>
      </c>
      <c r="M8" s="3"/>
      <c r="N8" s="11" t="s">
        <v>25</v>
      </c>
      <c r="O8" s="16"/>
      <c r="P8" s="16"/>
      <c r="Q8" s="18">
        <f t="shared" ref="Q8:Q9" si="3">($U$17+P8)/$U$17-1</f>
        <v>0</v>
      </c>
      <c r="R8" s="18">
        <f>(20%*1.75+V17)/V17-1</f>
        <v>0.1583710407</v>
      </c>
      <c r="S8" s="1"/>
      <c r="T8" s="11" t="s">
        <v>26</v>
      </c>
      <c r="U8" s="24">
        <f>1+(U7*(1+U31+U32)/(IF(C9="Barbarian",900,800)))</f>
        <v>4.035</v>
      </c>
      <c r="V8" s="24">
        <f>1+(V7*(1+U31+U32+V31+V32)/(IF(C9="Barbarian",900,800)))</f>
        <v>4.035</v>
      </c>
      <c r="W8" s="1"/>
      <c r="X8" s="1"/>
      <c r="Y8" s="1"/>
      <c r="Z8" s="1"/>
      <c r="AA8" s="1"/>
      <c r="AB8" s="1"/>
      <c r="AC8" s="1"/>
      <c r="AD8" s="1"/>
    </row>
    <row r="9">
      <c r="A9" s="3"/>
      <c r="B9" s="27" t="s">
        <v>27</v>
      </c>
      <c r="C9" s="28" t="s">
        <v>28</v>
      </c>
      <c r="D9" s="3"/>
      <c r="E9" s="8" t="s">
        <v>29</v>
      </c>
      <c r="F9" s="29"/>
      <c r="G9" s="3"/>
      <c r="H9" s="11" t="s">
        <v>30</v>
      </c>
      <c r="I9" s="16"/>
      <c r="J9" s="16"/>
      <c r="K9" s="18">
        <f t="shared" si="2"/>
        <v>0</v>
      </c>
      <c r="L9" s="18">
        <f>(24%*1.75+V17)/V17-1</f>
        <v>0.1900452489</v>
      </c>
      <c r="M9" s="3"/>
      <c r="N9" s="11" t="s">
        <v>30</v>
      </c>
      <c r="O9" s="16"/>
      <c r="P9" s="16"/>
      <c r="Q9" s="18">
        <f t="shared" si="3"/>
        <v>0</v>
      </c>
      <c r="R9" s="18">
        <f>(24%*1.75+V17)/V17-1</f>
        <v>0.1900452489</v>
      </c>
      <c r="S9" s="1"/>
      <c r="T9" s="11" t="s">
        <v>31</v>
      </c>
      <c r="U9" s="30">
        <f>IF(C24=TRUE,0,IF(C22+I12+O12+I22+O22+O36+I36+I50+O50+U35&gt;100%,100%,C22+I12+O12+I22+O22+O36+I36+I50+O50+U35))</f>
        <v>0.738</v>
      </c>
      <c r="V9" s="30">
        <f>IF(C24=TRUE,0, IF(U9+J12+J22+P22+P12+J36+P36+J50+P50+V35&gt;100%,100%,U9+J12+J22+P22+P12+J36+P36+J50+P50+V35))</f>
        <v>0.738</v>
      </c>
      <c r="W9" s="1"/>
      <c r="X9" s="1"/>
      <c r="Y9" s="1"/>
      <c r="Z9" s="1"/>
      <c r="AA9" s="1"/>
      <c r="AB9" s="1"/>
      <c r="AC9" s="1"/>
      <c r="AD9" s="1"/>
    </row>
    <row r="10">
      <c r="A10" s="3"/>
      <c r="B10" s="8" t="s">
        <v>32</v>
      </c>
      <c r="C10" s="29"/>
      <c r="D10" s="3"/>
      <c r="E10" s="8" t="s">
        <v>33</v>
      </c>
      <c r="F10" s="29"/>
      <c r="G10" s="3"/>
      <c r="H10" s="31" t="s">
        <v>34</v>
      </c>
      <c r="I10" s="32"/>
      <c r="J10" s="32"/>
      <c r="K10" s="18">
        <f>(C18*(1+0.1*((U10+J10)-ROUNDDOWN((U10+J10)/5,0)-1)+0.15*(ROUNDDOWN((U10+J10)/5,0))))/(C18*(1+0.1*((U10)-ROUNDDOWN((U10)/5,0)-1)+0.15*(ROUNDDOWN((U10)/5,0))))-1</f>
        <v>0</v>
      </c>
      <c r="L10" s="18">
        <f>(C18*(1+0.1*((V10+5)-ROUNDDOWN((V10+5)/5,0)-1)+0.15*(ROUNDDOWN((V10+5)/5,0))))/(C18*(1+0.1*((V10)-ROUNDDOWN((V10)/5,0)-1)+0.15*(ROUNDDOWN((V10)/5,0))))-1</f>
        <v>0.1358024691</v>
      </c>
      <c r="M10" s="3"/>
      <c r="N10" s="31" t="s">
        <v>34</v>
      </c>
      <c r="O10" s="32"/>
      <c r="P10" s="32"/>
      <c r="Q10" s="18">
        <f>(C18*(1+0.1*((U10+P10)-ROUNDDOWN((U10+P10)/5,0)-1)+0.15*(ROUNDDOWN((U10+P10)/5,0))))/(C18*(1+0.1*((U10)-ROUNDDOWN((U10)/5,0)-1)+0.15*(ROUNDDOWN((U10)/5,0))))-1</f>
        <v>0</v>
      </c>
      <c r="R10" s="18">
        <f>(C18*(1+0.1*((V10+4)-ROUNDDOWN((V10+4)/5,0)-1)+0.15*(ROUNDDOWN((V10+4)/5,0))))/(C18*(1+0.1*((V10)-ROUNDDOWN((V10)/5,0)-1)+0.15*(ROUNDDOWN((V10)/5,0))))-1</f>
        <v>0.1111111111</v>
      </c>
      <c r="S10" s="1"/>
      <c r="T10" s="11" t="s">
        <v>35</v>
      </c>
      <c r="U10" s="24">
        <f>C19+C20+I10+O10</f>
        <v>29</v>
      </c>
      <c r="V10" s="24">
        <f>U10+J10+P10</f>
        <v>29</v>
      </c>
      <c r="W10" s="1"/>
      <c r="X10" s="1"/>
      <c r="Y10" s="1"/>
      <c r="Z10" s="1"/>
      <c r="AA10" s="1"/>
      <c r="AB10" s="1"/>
      <c r="AC10" s="1"/>
      <c r="AD10" s="1"/>
    </row>
    <row r="11">
      <c r="A11" s="3"/>
      <c r="B11" s="8" t="s">
        <v>36</v>
      </c>
      <c r="C11" s="29"/>
      <c r="D11" s="3"/>
      <c r="E11" s="8" t="s">
        <v>37</v>
      </c>
      <c r="F11" s="33"/>
      <c r="G11" s="3"/>
      <c r="H11" s="31" t="s">
        <v>38</v>
      </c>
      <c r="I11" s="32"/>
      <c r="J11" s="32"/>
      <c r="K11" s="18">
        <f>(1+($U$7+J11)/800)/$U$8-1</f>
        <v>0</v>
      </c>
      <c r="L11" s="18">
        <f>(1+(V7+(180*1.75))/800)/(1+V7/800)-1</f>
        <v>0.09758364312</v>
      </c>
      <c r="M11" s="3"/>
      <c r="N11" s="31" t="s">
        <v>38</v>
      </c>
      <c r="O11" s="32"/>
      <c r="P11" s="32"/>
      <c r="Q11" s="18">
        <f>(1+($U$7+P11)/800)/$U$8-1</f>
        <v>0</v>
      </c>
      <c r="R11" s="18">
        <f>(1+(V7+(180*1.75))/800)/(1+V7/800)-1</f>
        <v>0.09758364312</v>
      </c>
      <c r="S11" s="1"/>
      <c r="T11" s="11" t="s">
        <v>39</v>
      </c>
      <c r="U11" s="34">
        <f>C18*(1+0.1*((U10)-ROUNDDOWN((U10)/5,0)-1)+0.15*(ROUNDDOWN((U10)/5,0)))</f>
        <v>1.8225</v>
      </c>
      <c r="V11" s="34">
        <f>C18*(1+0.1*((V10)-ROUNDDOWN((V10)/5,0)-1)+0.15*(ROUNDDOWN((V10)/5,0)))</f>
        <v>1.8225</v>
      </c>
      <c r="W11" s="1"/>
      <c r="X11" s="1"/>
      <c r="Y11" s="1"/>
      <c r="Z11" s="1"/>
      <c r="AA11" s="1"/>
      <c r="AB11" s="1"/>
      <c r="AC11" s="1"/>
      <c r="AD11" s="1"/>
    </row>
    <row r="12">
      <c r="A12" s="3"/>
      <c r="B12" s="8" t="s">
        <v>40</v>
      </c>
      <c r="C12" s="35">
        <v>392.0</v>
      </c>
      <c r="D12" s="3"/>
      <c r="E12" s="8" t="s">
        <v>41</v>
      </c>
      <c r="F12" s="26">
        <v>3.8</v>
      </c>
      <c r="G12" s="3"/>
      <c r="H12" s="11" t="s">
        <v>42</v>
      </c>
      <c r="I12" s="19">
        <v>0.106</v>
      </c>
      <c r="J12" s="16"/>
      <c r="K12" s="17"/>
      <c r="L12" s="18">
        <f>IF($C$24=TRUE,0%,(($V$24*IF(((8.5%*1.75)+$V$9)&gt;100%,100%,((8.5%*1.75)+$V$9)))+($V$23*(1-(IF(((8.5%*1.75)+$V$9)&gt;100%,100%,((8.5%*1.75)+$V$9))))))/(($V$24*($V$9))+($V$23*(1-$V$9)))-1)</f>
        <v>0.1609767454</v>
      </c>
      <c r="M12" s="3"/>
      <c r="N12" s="11" t="s">
        <v>42</v>
      </c>
      <c r="O12" s="19">
        <v>0.106</v>
      </c>
      <c r="P12" s="20"/>
      <c r="Q12" s="17"/>
      <c r="R12" s="18">
        <f>IF($C$24=TRUE,0%,(($V$24*IF(((8.5%*1.75)+$V$9)&gt;100%,100%,((8.5%*1.75)+$V$9)))+($V$23*(1-(IF(((8.5%*1.75)+$V$9)&gt;100%,100%,((8.5%*1.75)+$V$9))))))/(($V$24*($V$9))+($V$23*(1-$V$9)))-1)</f>
        <v>0.1609767454</v>
      </c>
      <c r="S12" s="1"/>
      <c r="T12" s="11" t="s">
        <v>43</v>
      </c>
      <c r="U12" s="36">
        <f>1+F30+F33+I13+O13+I23+O23+I32+O32+I46+IF(C9="Barbarian",O46,0)</f>
        <v>16.602</v>
      </c>
      <c r="V12" s="36">
        <f>U12+(J13+P13+J23+P23+J32+P32+J46)</f>
        <v>16.602</v>
      </c>
      <c r="W12" s="1"/>
      <c r="X12" s="1"/>
      <c r="Y12" s="1"/>
      <c r="Z12" s="1"/>
      <c r="AA12" s="1"/>
      <c r="AB12" s="1"/>
      <c r="AC12" s="1"/>
      <c r="AD12" s="1"/>
    </row>
    <row r="13">
      <c r="A13" s="3"/>
      <c r="B13" s="8" t="s">
        <v>44</v>
      </c>
      <c r="C13" s="35">
        <v>151.0</v>
      </c>
      <c r="D13" s="3"/>
      <c r="E13" s="8" t="s">
        <v>45</v>
      </c>
      <c r="F13" s="33"/>
      <c r="G13" s="3"/>
      <c r="H13" s="11" t="s">
        <v>46</v>
      </c>
      <c r="I13" s="16"/>
      <c r="J13" s="16"/>
      <c r="K13" s="18">
        <f>($U$12+J13)/($U$12)-1</f>
        <v>0</v>
      </c>
      <c r="L13" s="18">
        <f>(40%*1.75+V12)/(V12)-1</f>
        <v>0.04216359475</v>
      </c>
      <c r="M13" s="3"/>
      <c r="N13" s="11" t="s">
        <v>46</v>
      </c>
      <c r="O13" s="16"/>
      <c r="P13" s="16"/>
      <c r="Q13" s="18">
        <f>($U$12+P13)/($U$12)-1</f>
        <v>0</v>
      </c>
      <c r="R13" s="18">
        <f>(40%*1.75+V12)/(V12)-1</f>
        <v>0.04216359475</v>
      </c>
      <c r="S13" s="1"/>
      <c r="T13" s="11" t="s">
        <v>47</v>
      </c>
      <c r="U13" s="30">
        <f>1+F31+F33+IF(I13&gt;0,I13,I14)+IF(I23&gt;0,I23,I24)+IF(I32&gt;0,I32,I33)+IF(O13&gt;0,O13,O14)+IF(O23&gt;0,O23,O24)+IF(O32&gt;0,O32,O33)+IF(I46&gt;0,I46,I47)+IF(C9="Barbarian",IF(O46&gt;0,O46,O47),0)</f>
        <v>16.602</v>
      </c>
      <c r="V13" s="30">
        <f>U13+(J14+P14+J24+P24+J32+P32+J47+J13+J23+J33+P33+P23+P13+J46)+IF(C9="Barbarian",IF(P46&gt;0,P46,P47),0)</f>
        <v>16.602</v>
      </c>
      <c r="W13" s="1"/>
      <c r="X13" s="1"/>
      <c r="Y13" s="1"/>
      <c r="Z13" s="1"/>
      <c r="AA13" s="1"/>
      <c r="AB13" s="1"/>
      <c r="AC13" s="1"/>
      <c r="AD13" s="1"/>
    </row>
    <row r="14">
      <c r="A14" s="3"/>
      <c r="B14" s="8"/>
      <c r="C14" s="8"/>
      <c r="D14" s="3"/>
      <c r="E14" s="8" t="s">
        <v>48</v>
      </c>
      <c r="F14" s="26">
        <v>1.0</v>
      </c>
      <c r="G14" s="3"/>
      <c r="H14" s="11" t="s">
        <v>49</v>
      </c>
      <c r="I14" s="16"/>
      <c r="J14" s="16"/>
      <c r="K14" s="17"/>
      <c r="L14" s="18">
        <f>((50%*1.75+$V$13)*($V$9)+(1*(1-$V$9)))/(($V$13)*($V$9)+(1*(1-$V$9)))-1</f>
        <v>0.05160106745</v>
      </c>
      <c r="M14" s="3"/>
      <c r="N14" s="11" t="s">
        <v>49</v>
      </c>
      <c r="O14" s="16"/>
      <c r="P14" s="16"/>
      <c r="Q14" s="17"/>
      <c r="R14" s="18">
        <f>((50%*1.75+$V$13)*($V$9)+(1*(1-$V$9)))/(($V$13)*($V$9)+(1*(1-$V$9)))-1</f>
        <v>0.05160106745</v>
      </c>
      <c r="S14" s="1"/>
      <c r="T14" s="11" t="s">
        <v>15</v>
      </c>
      <c r="U14" s="30">
        <f>(100%+I5+O5+I17+O17+I28+O28+I42)+IF(C9="Barbarian",O42,0)</f>
        <v>4.25</v>
      </c>
      <c r="V14" s="30">
        <f>U14+(J5+P5+J17+P17+J28+P28+J42)+IF(C9="Barbarian",P42,0)</f>
        <v>4.25</v>
      </c>
      <c r="W14" s="1"/>
      <c r="X14" s="1"/>
      <c r="Y14" s="1"/>
      <c r="Z14" s="1"/>
      <c r="AA14" s="1"/>
      <c r="AB14" s="1"/>
      <c r="AC14" s="1"/>
      <c r="AD14" s="1"/>
    </row>
    <row r="15">
      <c r="A15" s="3"/>
      <c r="B15" s="8" t="s">
        <v>50</v>
      </c>
      <c r="C15" s="35">
        <v>500.0</v>
      </c>
      <c r="D15" s="3"/>
      <c r="E15" s="8" t="s">
        <v>51</v>
      </c>
      <c r="F15" s="37">
        <v>0.18</v>
      </c>
      <c r="G15" s="3"/>
      <c r="H15" s="11"/>
      <c r="I15" s="16"/>
      <c r="J15" s="16"/>
      <c r="K15" s="17"/>
      <c r="L15" s="18"/>
      <c r="M15" s="3"/>
      <c r="N15" s="11"/>
      <c r="O15" s="32"/>
      <c r="P15" s="32"/>
      <c r="Q15" s="17"/>
      <c r="R15" s="18"/>
      <c r="S15" s="1"/>
      <c r="T15" s="11" t="s">
        <v>17</v>
      </c>
      <c r="U15" s="36">
        <f>(100%+I6+O6+I18+O18)</f>
        <v>2.06</v>
      </c>
      <c r="V15" s="36">
        <f>U15+(J6+P6+J18+P18)</f>
        <v>2.06</v>
      </c>
      <c r="W15" s="1"/>
      <c r="X15" s="1"/>
      <c r="Y15" s="1"/>
      <c r="Z15" s="1"/>
      <c r="AA15" s="1"/>
      <c r="AB15" s="1"/>
      <c r="AC15" s="1"/>
      <c r="AD15" s="1"/>
    </row>
    <row r="16">
      <c r="A16" s="3"/>
      <c r="B16" s="38" t="s">
        <v>52</v>
      </c>
      <c r="C16" s="35">
        <v>485.0</v>
      </c>
      <c r="D16" s="3"/>
      <c r="E16" s="8" t="s">
        <v>53</v>
      </c>
      <c r="F16" s="29"/>
      <c r="G16" s="3"/>
      <c r="H16" s="10" t="s">
        <v>54</v>
      </c>
      <c r="I16" s="11" t="s">
        <v>6</v>
      </c>
      <c r="J16" s="11" t="s">
        <v>7</v>
      </c>
      <c r="K16" s="17" t="s">
        <v>8</v>
      </c>
      <c r="L16" s="11" t="s">
        <v>9</v>
      </c>
      <c r="M16" s="3"/>
      <c r="N16" s="10" t="s">
        <v>55</v>
      </c>
      <c r="O16" s="11" t="s">
        <v>6</v>
      </c>
      <c r="P16" s="11" t="s">
        <v>7</v>
      </c>
      <c r="Q16" s="17" t="s">
        <v>8</v>
      </c>
      <c r="R16" s="11" t="s">
        <v>9</v>
      </c>
      <c r="S16" s="1"/>
      <c r="T16" s="11" t="s">
        <v>21</v>
      </c>
      <c r="U16" s="30">
        <f>(100%+I7+O7+I19+O19+I29+O29+I43)+IF(C9="Barbarian",O43,0)</f>
        <v>1</v>
      </c>
      <c r="V16" s="30">
        <f>U16+(J7+P7+J19+P19+J29+P29+J43)+IF(C9="Barbarian",P43,0)</f>
        <v>1</v>
      </c>
      <c r="W16" s="1"/>
      <c r="X16" s="1"/>
      <c r="Y16" s="1"/>
      <c r="Z16" s="1"/>
      <c r="AA16" s="1"/>
      <c r="AB16" s="1"/>
      <c r="AC16" s="1"/>
      <c r="AD16" s="1"/>
    </row>
    <row r="17">
      <c r="A17" s="3"/>
      <c r="B17" s="4" t="s">
        <v>56</v>
      </c>
      <c r="C17" s="5"/>
      <c r="D17" s="3"/>
      <c r="E17" s="8" t="s">
        <v>57</v>
      </c>
      <c r="F17" s="37">
        <v>2.04</v>
      </c>
      <c r="G17" s="3"/>
      <c r="H17" s="11" t="s">
        <v>15</v>
      </c>
      <c r="I17" s="19">
        <v>0.31</v>
      </c>
      <c r="J17" s="16"/>
      <c r="K17" s="17"/>
      <c r="L17" s="18">
        <f>((25%*1.75+$V$14)*($V$24/$V$14)*($V$9)+(V23*(1-$V$9)))/($V$24*($V$9)+(V23*(1-$V$9)))-1</f>
        <v>0.0975109478</v>
      </c>
      <c r="M17" s="3"/>
      <c r="N17" s="11" t="s">
        <v>15</v>
      </c>
      <c r="O17" s="19">
        <v>0.31</v>
      </c>
      <c r="P17" s="16"/>
      <c r="Q17" s="18">
        <f>((P17+$U$14)*($U$9)+(1*(1-$U$9)))/(($U$14)*($U$9)+(1*(1-$U$9)))-1</f>
        <v>0</v>
      </c>
      <c r="R17" s="18">
        <f>((25%*1.75+$V$14)*($V$24/$V$14)*($V$9)+(V23*(1-$V$9)))/($V$24*($V$9)+(V23*(1-$V$9)))-1</f>
        <v>0.0975109478</v>
      </c>
      <c r="S17" s="1"/>
      <c r="T17" s="11" t="s">
        <v>58</v>
      </c>
      <c r="U17" s="30">
        <f>(100%+I8+O8+I20+O20+I30+O30+I44+I9+O9)+C7+IF(C9="Barbarian",O44,0)</f>
        <v>2.21</v>
      </c>
      <c r="V17" s="30">
        <f>U17+(J8+P8+J20+P20+J30+P30+J44+J9+P9)+IF(C9="Barbarian",P44,0)</f>
        <v>2.21</v>
      </c>
      <c r="W17" s="1"/>
      <c r="X17" s="1"/>
      <c r="Y17" s="39"/>
      <c r="Z17" s="1"/>
      <c r="AA17" s="1"/>
      <c r="AB17" s="1"/>
      <c r="AC17" s="1"/>
      <c r="AD17" s="1"/>
    </row>
    <row r="18">
      <c r="A18" s="3"/>
      <c r="B18" s="8" t="s">
        <v>59</v>
      </c>
      <c r="C18" s="26">
        <v>0.45</v>
      </c>
      <c r="D18" s="3"/>
      <c r="E18" s="8" t="s">
        <v>60</v>
      </c>
      <c r="F18" s="33"/>
      <c r="G18" s="3"/>
      <c r="H18" s="11" t="s">
        <v>17</v>
      </c>
      <c r="I18" s="19">
        <v>0.18</v>
      </c>
      <c r="J18" s="16"/>
      <c r="K18" s="18">
        <f>($U$15+J18)/$U$15-1</f>
        <v>0</v>
      </c>
      <c r="L18" s="18">
        <f>(14%*1.75+V15)/V15-1</f>
        <v>0.1189320388</v>
      </c>
      <c r="M18" s="3"/>
      <c r="N18" s="11" t="s">
        <v>17</v>
      </c>
      <c r="O18" s="19">
        <v>0.18</v>
      </c>
      <c r="P18" s="16"/>
      <c r="Q18" s="18">
        <f>($U$15+P18)/$U$15-1</f>
        <v>0</v>
      </c>
      <c r="R18" s="18">
        <f>(14%*1.75+V15)/V15-1</f>
        <v>0.1189320388</v>
      </c>
      <c r="S18" s="1"/>
      <c r="T18" s="11"/>
      <c r="U18" s="30"/>
      <c r="V18" s="30"/>
      <c r="W18" s="1"/>
      <c r="X18" s="1"/>
      <c r="Y18" s="1"/>
      <c r="Z18" s="1"/>
      <c r="AA18" s="1"/>
      <c r="AB18" s="1"/>
      <c r="AC18" s="1"/>
      <c r="AD18" s="1"/>
    </row>
    <row r="19">
      <c r="A19" s="3"/>
      <c r="B19" s="8" t="s">
        <v>61</v>
      </c>
      <c r="C19" s="35">
        <v>15.0</v>
      </c>
      <c r="D19" s="3"/>
      <c r="E19" s="8" t="s">
        <v>62</v>
      </c>
      <c r="F19" s="37">
        <v>0.625</v>
      </c>
      <c r="G19" s="3"/>
      <c r="H19" s="11" t="s">
        <v>21</v>
      </c>
      <c r="I19" s="16"/>
      <c r="J19" s="16"/>
      <c r="K19" s="18">
        <f>($U$16+J19)/$U$16-1</f>
        <v>0</v>
      </c>
      <c r="L19" s="18">
        <f>IF(C24=TRUE,(30%*1.75+V16)/V16-1,0)</f>
        <v>0</v>
      </c>
      <c r="M19" s="3"/>
      <c r="N19" s="11" t="s">
        <v>21</v>
      </c>
      <c r="O19" s="16"/>
      <c r="P19" s="16"/>
      <c r="Q19" s="18">
        <f>($U$16+P19)/$U$16-1</f>
        <v>0</v>
      </c>
      <c r="R19" s="18">
        <f>IF(C24=TRUE,(30%*1.75+V16)/V16-1,0)</f>
        <v>0</v>
      </c>
      <c r="S19" s="1"/>
      <c r="T19" s="11"/>
      <c r="U19" s="36"/>
      <c r="V19" s="36"/>
      <c r="W19" s="1"/>
      <c r="X19" s="1"/>
      <c r="Y19" s="1"/>
      <c r="Z19" s="1"/>
      <c r="AA19" s="1"/>
      <c r="AB19" s="1"/>
      <c r="AC19" s="1"/>
      <c r="AD19" s="1"/>
    </row>
    <row r="20">
      <c r="A20" s="3"/>
      <c r="B20" s="8" t="s">
        <v>63</v>
      </c>
      <c r="C20" s="35">
        <v>14.0</v>
      </c>
      <c r="D20" s="3"/>
      <c r="E20" s="8" t="s">
        <v>64</v>
      </c>
      <c r="F20" s="26">
        <v>1.89</v>
      </c>
      <c r="G20" s="3"/>
      <c r="H20" s="31" t="s">
        <v>65</v>
      </c>
      <c r="I20" s="16"/>
      <c r="J20" s="16"/>
      <c r="K20" s="18">
        <f>($U$17+J20)/$U$17-1</f>
        <v>0</v>
      </c>
      <c r="L20" s="18">
        <f>(10%*1.75+V17)/V17-1</f>
        <v>0.07918552036</v>
      </c>
      <c r="M20" s="3"/>
      <c r="N20" s="31" t="s">
        <v>65</v>
      </c>
      <c r="O20" s="16"/>
      <c r="P20" s="16"/>
      <c r="Q20" s="18">
        <f>($U$17+P20)/$U$17-1</f>
        <v>0</v>
      </c>
      <c r="R20" s="18">
        <f>(10%*1.75+V17)/V17-1</f>
        <v>0.07918552036</v>
      </c>
      <c r="S20" s="1"/>
      <c r="T20" s="11" t="s">
        <v>66</v>
      </c>
      <c r="U20" s="40">
        <f>U6*U8*U12*U15*U16*U17*U11*0.2*(1+U34)</f>
        <v>512128.786</v>
      </c>
      <c r="V20" s="40">
        <f>V6*V8*V12*V15*V16*V17*V11*0.2*(1+U34+V34)</f>
        <v>512128.786</v>
      </c>
      <c r="W20" s="1"/>
      <c r="X20" s="1"/>
      <c r="Y20" s="1"/>
      <c r="Z20" s="1"/>
      <c r="AA20" s="1"/>
      <c r="AB20" s="1"/>
      <c r="AC20" s="1"/>
      <c r="AD20" s="1"/>
    </row>
    <row r="21">
      <c r="A21" s="3"/>
      <c r="B21" s="8"/>
      <c r="C21" s="8"/>
      <c r="D21" s="3"/>
      <c r="E21" s="8" t="s">
        <v>67</v>
      </c>
      <c r="F21" s="29"/>
      <c r="G21" s="3"/>
      <c r="H21" s="31" t="s">
        <v>38</v>
      </c>
      <c r="I21" s="32"/>
      <c r="J21" s="32"/>
      <c r="K21" s="18">
        <f>(1+($U$7+J21)/800)/$U$8-1</f>
        <v>0</v>
      </c>
      <c r="L21" s="18">
        <f>(1+(V7+(121*1.75))/800)/(1+V7/800)-1</f>
        <v>0.06559789343</v>
      </c>
      <c r="M21" s="3"/>
      <c r="N21" s="31" t="s">
        <v>38</v>
      </c>
      <c r="O21" s="32"/>
      <c r="P21" s="32"/>
      <c r="Q21" s="18">
        <f>(1+($U$7+P21)/800)/$U$8-1</f>
        <v>0</v>
      </c>
      <c r="R21" s="18">
        <f>(1+(V7+(121*1.75))/800)/(1+V7/800)-1</f>
        <v>0.06559789343</v>
      </c>
      <c r="S21" s="1"/>
      <c r="T21" s="11" t="s">
        <v>68</v>
      </c>
      <c r="U21" s="36">
        <f>U20/V20-1</f>
        <v>0</v>
      </c>
      <c r="V21" s="36">
        <f>V20/U20-1</f>
        <v>0</v>
      </c>
      <c r="W21" s="1"/>
      <c r="X21" s="1"/>
      <c r="Y21" s="1"/>
      <c r="Z21" s="1"/>
      <c r="AA21" s="1"/>
      <c r="AB21" s="1"/>
      <c r="AC21" s="1"/>
      <c r="AD21" s="1"/>
    </row>
    <row r="22">
      <c r="A22" s="3"/>
      <c r="B22" s="8" t="s">
        <v>69</v>
      </c>
      <c r="C22" s="41">
        <v>0.4</v>
      </c>
      <c r="D22" s="3"/>
      <c r="E22" s="8" t="s">
        <v>70</v>
      </c>
      <c r="F22" s="29"/>
      <c r="G22" s="3"/>
      <c r="H22" s="11" t="s">
        <v>42</v>
      </c>
      <c r="I22" s="19">
        <v>0.063</v>
      </c>
      <c r="J22" s="19"/>
      <c r="K22" s="17"/>
      <c r="L22" s="18">
        <f>IF($C$24=TRUE,0%,(($V$24*IF(((5%*1.75)+$V$9)&gt;100%,100%,((5%*1.75)+$V$9)))+($V$23*(1-(IF(((5%*1.75)+$V$9)&gt;100%,100%,((5%*1.75)+$V$9))))))/(($V$24*($V$9))+($V$23*(1-$V$9)))-1)</f>
        <v>0.09469220315</v>
      </c>
      <c r="M22" s="3"/>
      <c r="N22" s="11" t="s">
        <v>42</v>
      </c>
      <c r="O22" s="19">
        <v>0.063</v>
      </c>
      <c r="P22" s="19"/>
      <c r="Q22" s="17"/>
      <c r="R22" s="18">
        <f>IF($C$24=TRUE,0%,(($V$24*IF(((5%*1.75)+$V$9)&gt;100%,100%,((5%*1.75)+$V$9)))+($V$23*(1-(IF(((5%*1.75)+$V$9)&gt;100%,100%,((5%*1.75)+$V$9))))))/(($V$24*($V$9))+($V$23*(1-$V$9)))-1)</f>
        <v>0.09469220315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3"/>
      <c r="B23" s="8" t="s">
        <v>71</v>
      </c>
      <c r="C23" s="26">
        <v>0.1</v>
      </c>
      <c r="D23" s="3"/>
      <c r="E23" s="8" t="s">
        <v>72</v>
      </c>
      <c r="F23" s="29"/>
      <c r="G23" s="3"/>
      <c r="H23" s="11" t="s">
        <v>46</v>
      </c>
      <c r="I23" s="16"/>
      <c r="J23" s="16"/>
      <c r="K23" s="18">
        <f>($U$12+J23)/($U$12)-1</f>
        <v>0</v>
      </c>
      <c r="L23" s="18">
        <f>(40%*1.75+V12)/(V12)-1</f>
        <v>0.04216359475</v>
      </c>
      <c r="M23" s="3"/>
      <c r="N23" s="11" t="s">
        <v>46</v>
      </c>
      <c r="O23" s="16"/>
      <c r="P23" s="16"/>
      <c r="Q23" s="17"/>
      <c r="R23" s="18">
        <f>(40%*1.75+V12)/(V12)-1</f>
        <v>0.04216359475</v>
      </c>
      <c r="S23" s="1"/>
      <c r="T23" s="11" t="s">
        <v>73</v>
      </c>
      <c r="U23" s="42">
        <f>U6*U8*U12*U15*U17*U11*0.2*(1+U34)</f>
        <v>512128.786</v>
      </c>
      <c r="V23" s="42">
        <f>V6*V8*V12*V15*V17*V11*0.2*(1+U34+V34)</f>
        <v>512128.786</v>
      </c>
      <c r="W23" s="1"/>
      <c r="X23" s="1"/>
      <c r="Y23" s="1"/>
      <c r="Z23" s="1"/>
      <c r="AA23" s="1"/>
      <c r="AB23" s="1"/>
      <c r="AC23" s="1"/>
      <c r="AD23" s="1"/>
    </row>
    <row r="24">
      <c r="A24" s="3"/>
      <c r="B24" s="7" t="s">
        <v>74</v>
      </c>
      <c r="C24" s="43" t="b">
        <v>0</v>
      </c>
      <c r="D24" s="3"/>
      <c r="E24" s="8" t="s">
        <v>75</v>
      </c>
      <c r="F24" s="29"/>
      <c r="G24" s="3"/>
      <c r="H24" s="11" t="s">
        <v>49</v>
      </c>
      <c r="I24" s="16"/>
      <c r="J24" s="16"/>
      <c r="K24" s="17"/>
      <c r="L24" s="18">
        <f>((50%*1.75+$V$13)*($V$9)+(1*(1-$V$9)))/(($V$13)*($V$9)+(1*(1-$V$9)))-1</f>
        <v>0.05160106745</v>
      </c>
      <c r="M24" s="3"/>
      <c r="N24" s="11" t="s">
        <v>49</v>
      </c>
      <c r="O24" s="16"/>
      <c r="P24" s="16"/>
      <c r="Q24" s="17"/>
      <c r="R24" s="18">
        <f>((50%*1.75+$V$13)*($V$9)+(1*(1-$V$9)))/(($V$13)*($V$9)+(1*(1-$V$9)))-1</f>
        <v>0.05160106745</v>
      </c>
      <c r="S24" s="1"/>
      <c r="T24" s="11" t="s">
        <v>76</v>
      </c>
      <c r="U24" s="42">
        <f>U6*U8*U13*U15*U14*U17*U11*1.5*0.2*(1+U33+U34)</f>
        <v>3264821.011</v>
      </c>
      <c r="V24" s="42">
        <f>V6*V8*V13*V15*V14*V17*V11*1.5*0.2*(1+U33+V33+U34+V34)</f>
        <v>3264821.011</v>
      </c>
      <c r="W24" s="1"/>
      <c r="X24" s="1"/>
      <c r="Y24" s="1"/>
      <c r="Z24" s="1"/>
      <c r="AA24" s="1"/>
      <c r="AB24" s="1"/>
      <c r="AC24" s="1"/>
      <c r="AD24" s="1"/>
    </row>
    <row r="25">
      <c r="A25" s="3"/>
      <c r="B25" s="3"/>
      <c r="C25" s="43"/>
      <c r="D25" s="3"/>
      <c r="E25" s="8" t="s">
        <v>77</v>
      </c>
      <c r="F25" s="29"/>
      <c r="G25" s="3"/>
      <c r="H25" s="11"/>
      <c r="I25" s="16"/>
      <c r="J25" s="16"/>
      <c r="K25" s="17"/>
      <c r="L25" s="18"/>
      <c r="M25" s="3"/>
      <c r="N25" s="11"/>
      <c r="O25" s="16"/>
      <c r="P25" s="16"/>
      <c r="Q25" s="17"/>
      <c r="R25" s="18"/>
      <c r="S25" s="1"/>
      <c r="T25" s="11" t="s">
        <v>78</v>
      </c>
      <c r="U25" s="42">
        <f t="shared" ref="U25:V25" si="4">U24*(U9)+U23*(1-U9)</f>
        <v>2543615.648</v>
      </c>
      <c r="V25" s="42">
        <f t="shared" si="4"/>
        <v>2543615.648</v>
      </c>
      <c r="W25" s="1"/>
      <c r="X25" s="39"/>
      <c r="Y25" s="1"/>
      <c r="Z25" s="1"/>
      <c r="AA25" s="1"/>
      <c r="AB25" s="1"/>
      <c r="AC25" s="1"/>
      <c r="AD25" s="1"/>
    </row>
    <row r="26">
      <c r="A26" s="3"/>
      <c r="B26" s="3"/>
      <c r="C26" s="3"/>
      <c r="D26" s="3"/>
      <c r="E26" s="8" t="s">
        <v>79</v>
      </c>
      <c r="F26" s="29"/>
      <c r="G26" s="3"/>
      <c r="H26" s="44" t="s">
        <v>80</v>
      </c>
      <c r="S26" s="1"/>
      <c r="T26" s="11" t="s">
        <v>81</v>
      </c>
      <c r="U26" s="36">
        <f>U25/V25-1</f>
        <v>0</v>
      </c>
      <c r="V26" s="36">
        <f>V25/U25-1</f>
        <v>0</v>
      </c>
      <c r="W26" s="1"/>
      <c r="X26" s="1"/>
      <c r="Y26" s="1"/>
      <c r="Z26" s="1"/>
      <c r="AA26" s="1"/>
      <c r="AB26" s="1"/>
      <c r="AC26" s="1"/>
      <c r="AD26" s="1"/>
    </row>
    <row r="27">
      <c r="A27" s="3"/>
      <c r="B27" s="3"/>
      <c r="C27" s="3"/>
      <c r="D27" s="3"/>
      <c r="E27" s="8" t="s">
        <v>82</v>
      </c>
      <c r="F27" s="29"/>
      <c r="G27" s="3"/>
      <c r="H27" s="10" t="s">
        <v>83</v>
      </c>
      <c r="I27" s="11" t="s">
        <v>6</v>
      </c>
      <c r="J27" s="11" t="s">
        <v>7</v>
      </c>
      <c r="K27" s="17" t="s">
        <v>8</v>
      </c>
      <c r="L27" s="11" t="s">
        <v>9</v>
      </c>
      <c r="M27" s="3"/>
      <c r="N27" s="10" t="s">
        <v>84</v>
      </c>
      <c r="O27" s="11" t="s">
        <v>6</v>
      </c>
      <c r="P27" s="11" t="s">
        <v>7</v>
      </c>
      <c r="Q27" s="17" t="s">
        <v>8</v>
      </c>
      <c r="R27" s="11" t="s">
        <v>9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3"/>
      <c r="B28" s="3"/>
      <c r="C28" s="3"/>
      <c r="D28" s="3"/>
      <c r="E28" s="8" t="s">
        <v>85</v>
      </c>
      <c r="F28" s="29"/>
      <c r="G28" s="3"/>
      <c r="H28" s="11" t="s">
        <v>15</v>
      </c>
      <c r="I28" s="19">
        <v>0.5</v>
      </c>
      <c r="J28" s="16"/>
      <c r="K28" s="17"/>
      <c r="L28" s="18">
        <f>((25%*1.75+$V$14)*($V$24/$V$14)*($V$9)+(V23*(1-$V$9)))/($V$24*($V$9)+(V23*(1-$V$9)))-1</f>
        <v>0.0975109478</v>
      </c>
      <c r="M28" s="3"/>
      <c r="N28" s="11" t="s">
        <v>15</v>
      </c>
      <c r="O28" s="19">
        <v>0.5</v>
      </c>
      <c r="P28" s="16"/>
      <c r="Q28" s="17"/>
      <c r="R28" s="18">
        <f>((25%*1.75+$V$14)*($V$24/$V$14)*($V$9)+(V23*(1-$V$9)))/($V$24*($V$9)+(V23*(1-$V$9)))-1</f>
        <v>0.0975109478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3"/>
      <c r="B29" s="3"/>
      <c r="C29" s="3"/>
      <c r="D29" s="3"/>
      <c r="E29" s="8"/>
      <c r="F29" s="8"/>
      <c r="G29" s="3"/>
      <c r="H29" s="11" t="s">
        <v>21</v>
      </c>
      <c r="I29" s="16"/>
      <c r="J29" s="16"/>
      <c r="K29" s="18">
        <f>($U$16+J29)/$U$16-1</f>
        <v>0</v>
      </c>
      <c r="L29" s="18">
        <f>IF(C24=TRUE,(30%*1.75+V16)/V16-1,0)</f>
        <v>0</v>
      </c>
      <c r="M29" s="3"/>
      <c r="N29" s="11" t="s">
        <v>21</v>
      </c>
      <c r="O29" s="16"/>
      <c r="P29" s="16"/>
      <c r="Q29" s="18">
        <f>($U$16+P29)/$U$16-1</f>
        <v>0</v>
      </c>
      <c r="R29" s="18">
        <f>IF(C24=TRUE,(30%*1.75+V16)/V16-1,0)</f>
        <v>0</v>
      </c>
      <c r="S29" s="1"/>
      <c r="T29" s="45" t="s">
        <v>86</v>
      </c>
      <c r="U29" s="46"/>
      <c r="V29" s="46"/>
      <c r="W29" s="5"/>
      <c r="X29" s="1"/>
      <c r="Y29" s="1"/>
      <c r="Z29" s="1"/>
      <c r="AA29" s="1"/>
      <c r="AB29" s="1"/>
      <c r="AC29" s="1"/>
      <c r="AD29" s="1"/>
    </row>
    <row r="30">
      <c r="A30" s="1"/>
      <c r="B30" s="1"/>
      <c r="C30" s="1"/>
      <c r="D30" s="1"/>
      <c r="E30" s="8" t="s">
        <v>87</v>
      </c>
      <c r="F30" s="25">
        <f>SUM(F7:F28)</f>
        <v>12.275</v>
      </c>
      <c r="G30" s="3"/>
      <c r="H30" s="31" t="s">
        <v>65</v>
      </c>
      <c r="I30" s="16"/>
      <c r="J30" s="16"/>
      <c r="K30" s="18">
        <f>($U$17+J30)/$U$17-1</f>
        <v>0</v>
      </c>
      <c r="L30" s="18">
        <f>(10%*1.75+V17)/V17-1</f>
        <v>0.07918552036</v>
      </c>
      <c r="M30" s="3"/>
      <c r="N30" s="31" t="s">
        <v>65</v>
      </c>
      <c r="O30" s="16"/>
      <c r="P30" s="16"/>
      <c r="Q30" s="18">
        <f>($U$17+P30)/$U$17-1</f>
        <v>0</v>
      </c>
      <c r="R30" s="18">
        <f>(10%*1.75+V17)/V17-1</f>
        <v>0.07918552036</v>
      </c>
      <c r="S30" s="1"/>
      <c r="T30" s="11" t="s">
        <v>6</v>
      </c>
      <c r="U30" s="31" t="s">
        <v>6</v>
      </c>
      <c r="V30" s="31" t="s">
        <v>7</v>
      </c>
      <c r="W30" s="11" t="s">
        <v>9</v>
      </c>
      <c r="X30" s="1"/>
      <c r="Y30" s="1"/>
      <c r="Z30" s="1"/>
      <c r="AA30" s="1"/>
      <c r="AB30" s="1"/>
      <c r="AC30" s="1"/>
      <c r="AD30" s="1"/>
    </row>
    <row r="31">
      <c r="A31" s="1"/>
      <c r="B31" s="1"/>
      <c r="C31" s="1"/>
      <c r="D31" s="1"/>
      <c r="E31" s="8" t="s">
        <v>88</v>
      </c>
      <c r="F31" s="25">
        <f>SUM(F6:F28)</f>
        <v>12.275</v>
      </c>
      <c r="G31" s="3"/>
      <c r="H31" s="31" t="s">
        <v>38</v>
      </c>
      <c r="I31" s="47">
        <v>225.0</v>
      </c>
      <c r="J31" s="32"/>
      <c r="K31" s="18">
        <f>(1+($U$7+J31)/800)/$U$8-1</f>
        <v>0</v>
      </c>
      <c r="L31" s="18">
        <f>(1+(V7+(180*1.75))/800)/(1+V7/800)-1</f>
        <v>0.09758364312</v>
      </c>
      <c r="M31" s="3"/>
      <c r="N31" s="31" t="s">
        <v>38</v>
      </c>
      <c r="O31" s="47">
        <v>225.0</v>
      </c>
      <c r="P31" s="32"/>
      <c r="Q31" s="18">
        <f>(1+($U$7+P31)/800)/$U$8-1</f>
        <v>0</v>
      </c>
      <c r="R31" s="18">
        <f>(1+(V7+(180*1.75))/800)/(1+V7/800)-1</f>
        <v>0.09758364312</v>
      </c>
      <c r="S31" s="1"/>
      <c r="T31" s="38" t="s">
        <v>89</v>
      </c>
      <c r="U31" s="48"/>
      <c r="V31" s="48"/>
      <c r="W31" s="49">
        <f>(1+(U7*1.08/(IF(C9="Barbarian",900,800))))/(1+(U7/(IF(C9="Barbarian",900,800))))-1</f>
        <v>0.06017348203</v>
      </c>
      <c r="X31" s="50"/>
      <c r="Y31" s="1"/>
      <c r="Z31" s="1"/>
      <c r="AA31" s="1"/>
      <c r="AB31" s="1"/>
      <c r="AC31" s="1"/>
      <c r="AD31" s="1"/>
    </row>
    <row r="32">
      <c r="A32" s="1"/>
      <c r="B32" s="1"/>
      <c r="C32" s="1"/>
      <c r="D32" s="1"/>
      <c r="E32" s="8"/>
      <c r="F32" s="8"/>
      <c r="G32" s="3"/>
      <c r="H32" s="11" t="s">
        <v>46</v>
      </c>
      <c r="I32" s="16"/>
      <c r="J32" s="16"/>
      <c r="K32" s="18">
        <f>($U$12+J32)/($U$12)-1</f>
        <v>0</v>
      </c>
      <c r="L32" s="18">
        <f>(40%*1.75+V12)/(V12)-1</f>
        <v>0.04216359475</v>
      </c>
      <c r="M32" s="3"/>
      <c r="N32" s="11" t="s">
        <v>46</v>
      </c>
      <c r="O32" s="16"/>
      <c r="P32" s="16"/>
      <c r="Q32" s="18">
        <f>($U$12+P32)/($U$12)-1</f>
        <v>0</v>
      </c>
      <c r="R32" s="18">
        <f>(40%*1.75+V12)/(V12)-1</f>
        <v>0.04216359475</v>
      </c>
      <c r="S32" s="1"/>
      <c r="T32" s="38" t="s">
        <v>90</v>
      </c>
      <c r="U32" s="32"/>
      <c r="V32" s="32"/>
      <c r="W32" s="49">
        <f>(1+(U7*1.1/(IF(C9="Barbarian",900,800))))/(1+(U7/(IF(C9="Barbarian",900,800))))-1</f>
        <v>0.07521685254</v>
      </c>
      <c r="X32" s="50"/>
      <c r="Y32" s="1"/>
      <c r="Z32" s="1"/>
      <c r="AA32" s="1"/>
      <c r="AB32" s="1"/>
      <c r="AC32" s="1"/>
      <c r="AD32" s="1"/>
    </row>
    <row r="33">
      <c r="A33" s="1"/>
      <c r="B33" s="1"/>
      <c r="C33" s="1"/>
      <c r="D33" s="1"/>
      <c r="E33" s="8" t="s">
        <v>91</v>
      </c>
      <c r="F33" s="26">
        <v>2.127</v>
      </c>
      <c r="G33" s="3"/>
      <c r="H33" s="11" t="s">
        <v>49</v>
      </c>
      <c r="I33" s="16"/>
      <c r="J33" s="16"/>
      <c r="K33" s="17"/>
      <c r="L33" s="18">
        <f>((50%*1.75+$V$13)*($V$9)+(1*(1-$V$9)))/(($V$13)*($V$9)+(1*(1-$V$9)))-1</f>
        <v>0.05160106745</v>
      </c>
      <c r="M33" s="3"/>
      <c r="N33" s="11" t="s">
        <v>49</v>
      </c>
      <c r="O33" s="16"/>
      <c r="P33" s="16"/>
      <c r="Q33" s="17"/>
      <c r="R33" s="18">
        <f>((50%*1.75+$V$13)*($V$9)+(1*(1-$V$9)))/(($V$13)*($V$9)+(1*(1-$V$9)))-1</f>
        <v>0.05160106745</v>
      </c>
      <c r="S33" s="1"/>
      <c r="T33" s="38" t="s">
        <v>92</v>
      </c>
      <c r="U33" s="32"/>
      <c r="V33" s="51"/>
      <c r="W33" s="52">
        <f>0.25*((V24*V9)/((V24*V9)+V23*(1-V9)))</f>
        <v>0.2368123018</v>
      </c>
      <c r="X33" s="50"/>
      <c r="Y33" s="1"/>
      <c r="Z33" s="1"/>
      <c r="AA33" s="1"/>
      <c r="AB33" s="1"/>
      <c r="AC33" s="1"/>
      <c r="AD33" s="1"/>
    </row>
    <row r="34">
      <c r="A34" s="1"/>
      <c r="B34" s="1"/>
      <c r="C34" s="1"/>
      <c r="D34" s="1"/>
      <c r="E34" s="3"/>
      <c r="F34" s="3"/>
      <c r="G34" s="3"/>
      <c r="H34" s="31" t="s">
        <v>18</v>
      </c>
      <c r="I34" s="47">
        <v>196.0</v>
      </c>
      <c r="J34" s="32"/>
      <c r="K34" s="17"/>
      <c r="L34" s="18">
        <f>(U6+IF(I38=TRUE,157*1.75,IF(I39=TRUE,143*1.75,0)))/U6-1</f>
        <v>0</v>
      </c>
      <c r="M34" s="3"/>
      <c r="N34" s="31" t="s">
        <v>18</v>
      </c>
      <c r="O34" s="47">
        <v>196.0</v>
      </c>
      <c r="P34" s="32"/>
      <c r="Q34" s="17"/>
      <c r="R34" s="18">
        <f>(U6+IF(O38=TRUE,157*1.75,IF(O39=TRUE,143*1.75,0)))/U6-1</f>
        <v>0</v>
      </c>
      <c r="S34" s="1"/>
      <c r="T34" s="38" t="s">
        <v>93</v>
      </c>
      <c r="U34" s="19"/>
      <c r="V34" s="53"/>
      <c r="W34" s="54">
        <v>0.2</v>
      </c>
      <c r="X34" s="50"/>
      <c r="Y34" s="1"/>
      <c r="Z34" s="1"/>
      <c r="AA34" s="1"/>
      <c r="AB34" s="1"/>
      <c r="AC34" s="1"/>
      <c r="AD34" s="1"/>
    </row>
    <row r="35">
      <c r="A35" s="1"/>
      <c r="B35" s="1"/>
      <c r="C35" s="1"/>
      <c r="D35" s="1"/>
      <c r="E35" s="3"/>
      <c r="F35" s="3"/>
      <c r="G35" s="3"/>
      <c r="H35" s="11" t="s">
        <v>94</v>
      </c>
      <c r="I35" s="55">
        <v>0.24</v>
      </c>
      <c r="J35" s="11"/>
      <c r="K35" s="17"/>
      <c r="L35" s="17"/>
      <c r="M35" s="3"/>
      <c r="N35" s="11" t="s">
        <v>94</v>
      </c>
      <c r="O35" s="19">
        <v>0.24</v>
      </c>
      <c r="P35" s="56"/>
      <c r="Q35" s="17"/>
      <c r="R35" s="17"/>
      <c r="S35" s="1"/>
      <c r="T35" s="38" t="s">
        <v>95</v>
      </c>
      <c r="U35" s="32"/>
      <c r="V35" s="51"/>
      <c r="W35" s="52">
        <f>IF($C$24=TRUE,0%,(($V$24*IF(((10%)+$V$9)&gt;100%,100%,((10%)+$V$9)))+($V$23*(1-(IF(((10%)+$V$9)&gt;100%,100%,((10%)+$V$9))))))/(($V$24*($V$9))+($V$23*(1-$V$9)))-1)</f>
        <v>0.1082196607</v>
      </c>
      <c r="X35" s="1"/>
      <c r="Y35" s="1"/>
      <c r="Z35" s="1"/>
      <c r="AA35" s="1"/>
      <c r="AB35" s="1"/>
      <c r="AC35" s="1"/>
      <c r="AD35" s="1"/>
    </row>
    <row r="36">
      <c r="A36" s="1"/>
      <c r="B36" s="1"/>
      <c r="C36" s="1"/>
      <c r="D36" s="1"/>
      <c r="E36" s="3"/>
      <c r="F36" s="3"/>
      <c r="G36" s="3"/>
      <c r="H36" s="31" t="s">
        <v>96</v>
      </c>
      <c r="I36" s="19"/>
      <c r="J36" s="16"/>
      <c r="K36" s="11"/>
      <c r="L36" s="57">
        <f>IF($C$24=TRUE,0%,(($V$24*IF(((2%*1.75)+$V$9)&gt;100%,100%,((2%*1.75)+$V$9)))+($V$23*(1-(IF(((2%*1.75)+$V$9)&gt;100%,100%,((2%*1.75)+$V$9))))))/(($V$24*($V$9))+($V$23*(1-$V$9)))-1)</f>
        <v>0.03787688126</v>
      </c>
      <c r="M36" s="3"/>
      <c r="N36" s="31" t="s">
        <v>96</v>
      </c>
      <c r="O36" s="19"/>
      <c r="P36" s="16"/>
      <c r="Q36" s="11"/>
      <c r="R36" s="57">
        <f>IF($C$24=TRUE,0%,(($V$24*IF(((2%*1.75)+$V$9)&gt;100%,100%,((2%*1.75)+$V$9)))+($V$23*(1-(IF(((2%*1.75)+$V$9)&gt;100%,100%,((2%*1.75)+$V$9))))))/(($V$24*($V$9))+($V$23*(1-$V$9)))-1)</f>
        <v>0.03787688126</v>
      </c>
      <c r="S36" s="1"/>
      <c r="T36" s="1"/>
      <c r="U36" s="3"/>
      <c r="V36" s="3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"/>
      <c r="C37" s="1"/>
      <c r="D37" s="1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1"/>
      <c r="T37" s="1"/>
      <c r="U37" s="3"/>
      <c r="V37" s="3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1"/>
      <c r="C38" s="1"/>
      <c r="D38" s="1"/>
      <c r="E38" s="3"/>
      <c r="F38" s="3"/>
      <c r="G38" s="3"/>
      <c r="H38" s="7" t="s">
        <v>97</v>
      </c>
      <c r="I38" s="58" t="b">
        <v>0</v>
      </c>
      <c r="J38" s="3"/>
      <c r="K38" s="59"/>
      <c r="L38" s="59"/>
      <c r="M38" s="3"/>
      <c r="N38" s="7" t="s">
        <v>97</v>
      </c>
      <c r="O38" s="58" t="b">
        <v>0</v>
      </c>
      <c r="P38" s="3"/>
      <c r="Q38" s="59"/>
      <c r="R38" s="59"/>
      <c r="S38" s="1"/>
      <c r="T38" s="1"/>
      <c r="U38" s="3"/>
      <c r="V38" s="3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"/>
      <c r="C39" s="1"/>
      <c r="D39" s="1"/>
      <c r="E39" s="3"/>
      <c r="F39" s="3"/>
      <c r="G39" s="3"/>
      <c r="H39" s="7" t="s">
        <v>98</v>
      </c>
      <c r="I39" s="60" t="b">
        <v>0</v>
      </c>
      <c r="J39" s="3"/>
      <c r="K39" s="59"/>
      <c r="L39" s="59"/>
      <c r="M39" s="3"/>
      <c r="N39" s="7" t="s">
        <v>99</v>
      </c>
      <c r="O39" s="60" t="b">
        <v>0</v>
      </c>
      <c r="P39" s="3"/>
      <c r="Q39" s="59"/>
      <c r="R39" s="59"/>
      <c r="S39" s="1"/>
      <c r="T39" s="1"/>
      <c r="U39" s="3"/>
      <c r="V39" s="3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"/>
      <c r="C40" s="1"/>
      <c r="D40" s="1"/>
      <c r="E40" s="3"/>
      <c r="F40" s="3"/>
      <c r="G40" s="3"/>
      <c r="H40" s="3"/>
      <c r="I40" s="3"/>
      <c r="J40" s="3"/>
      <c r="K40" s="59"/>
      <c r="L40" s="59"/>
      <c r="M40" s="3"/>
      <c r="N40" s="7" t="s">
        <v>100</v>
      </c>
      <c r="O40" s="60" t="b">
        <v>0</v>
      </c>
      <c r="P40" s="3"/>
      <c r="Q40" s="59"/>
      <c r="R40" s="59"/>
      <c r="S40" s="1"/>
      <c r="T40" s="1"/>
      <c r="U40" s="3"/>
      <c r="V40" s="3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"/>
      <c r="C41" s="1"/>
      <c r="D41" s="1"/>
      <c r="E41" s="3"/>
      <c r="F41" s="3"/>
      <c r="G41" s="3"/>
      <c r="H41" s="10" t="s">
        <v>101</v>
      </c>
      <c r="I41" s="11" t="s">
        <v>6</v>
      </c>
      <c r="J41" s="11" t="s">
        <v>7</v>
      </c>
      <c r="K41" s="17" t="s">
        <v>8</v>
      </c>
      <c r="L41" s="11" t="s">
        <v>9</v>
      </c>
      <c r="M41" s="3"/>
      <c r="N41" s="10" t="s">
        <v>102</v>
      </c>
      <c r="O41" s="11" t="s">
        <v>6</v>
      </c>
      <c r="P41" s="11" t="s">
        <v>7</v>
      </c>
      <c r="Q41" s="17" t="s">
        <v>8</v>
      </c>
      <c r="R41" s="11" t="s">
        <v>9</v>
      </c>
      <c r="S41" s="1"/>
      <c r="T41" s="1"/>
      <c r="U41" s="3"/>
      <c r="V41" s="3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"/>
      <c r="C42" s="1"/>
      <c r="D42" s="1"/>
      <c r="E42" s="3"/>
      <c r="F42" s="3"/>
      <c r="G42" s="3"/>
      <c r="H42" s="11" t="s">
        <v>15</v>
      </c>
      <c r="I42" s="19">
        <v>1.0</v>
      </c>
      <c r="J42" s="16"/>
      <c r="K42" s="17"/>
      <c r="L42" s="18">
        <f>((50%*1.75+$V$14)*($V$24/$V$14)*($V$9)+(V23*(1-$V$9)))/($V$24*($V$9)+(V23*(1-$V$9)))-1</f>
        <v>0.1950218956</v>
      </c>
      <c r="M42" s="3"/>
      <c r="N42" s="11" t="s">
        <v>15</v>
      </c>
      <c r="O42" s="19">
        <v>1.0</v>
      </c>
      <c r="P42" s="16"/>
      <c r="Q42" s="17"/>
      <c r="R42" s="18">
        <f>((50%*1.75+$V$14)*($V$24/$V$14)*($V$9)+(V23*(1-$V$9)))/($V$24*($V$9)+(V23*(1-$V$9)))-1</f>
        <v>0.1950218956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"/>
      <c r="C43" s="1"/>
      <c r="D43" s="1"/>
      <c r="E43" s="3"/>
      <c r="F43" s="3"/>
      <c r="G43" s="3"/>
      <c r="H43" s="11" t="s">
        <v>21</v>
      </c>
      <c r="I43" s="16"/>
      <c r="J43" s="16"/>
      <c r="K43" s="18">
        <f>($U$16+J43)/$U$16-1</f>
        <v>0</v>
      </c>
      <c r="L43" s="18">
        <f>IF(C24=TRUE,(60%*1.75+V16)/V16-1,0)</f>
        <v>0</v>
      </c>
      <c r="M43" s="3"/>
      <c r="N43" s="11" t="s">
        <v>21</v>
      </c>
      <c r="O43" s="16"/>
      <c r="P43" s="16"/>
      <c r="Q43" s="18">
        <f>($U$16+P43)/$U$16-1</f>
        <v>0</v>
      </c>
      <c r="R43" s="18">
        <f>IF(C24=TRUE,(60%*1.75+V16)/V16-1,0)</f>
        <v>0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"/>
      <c r="C44" s="1"/>
      <c r="D44" s="1"/>
      <c r="E44" s="3"/>
      <c r="F44" s="3"/>
      <c r="G44" s="3"/>
      <c r="H44" s="31" t="s">
        <v>65</v>
      </c>
      <c r="I44" s="19">
        <v>0.25</v>
      </c>
      <c r="J44" s="16"/>
      <c r="K44" s="18">
        <f>($U$17+J44)/$U$17-1</f>
        <v>0</v>
      </c>
      <c r="L44" s="18">
        <f>(20%*1.75+V17)/V17-1</f>
        <v>0.1583710407</v>
      </c>
      <c r="M44" s="3"/>
      <c r="N44" s="31" t="s">
        <v>65</v>
      </c>
      <c r="O44" s="19">
        <v>0.25</v>
      </c>
      <c r="P44" s="16"/>
      <c r="Q44" s="18">
        <f>($U$17+P44)/$U$17-1</f>
        <v>0</v>
      </c>
      <c r="R44" s="18">
        <f>(20%*1.75+V17)/V17-1</f>
        <v>0.1583710407</v>
      </c>
      <c r="S44" s="1"/>
      <c r="T44" s="1"/>
      <c r="U44" s="1"/>
      <c r="V44" s="6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"/>
      <c r="C45" s="1"/>
      <c r="D45" s="1"/>
      <c r="E45" s="3"/>
      <c r="F45" s="3"/>
      <c r="G45" s="3"/>
      <c r="H45" s="31" t="s">
        <v>38</v>
      </c>
      <c r="I45" s="47">
        <v>450.0</v>
      </c>
      <c r="J45" s="32"/>
      <c r="K45" s="18">
        <f>(1+($U$7+J45)/800)/$U$8-1</f>
        <v>0</v>
      </c>
      <c r="L45" s="18">
        <f>(1+(V7+(360*1.75))/800)/(1+V7/800)-1</f>
        <v>0.1951672862</v>
      </c>
      <c r="M45" s="3"/>
      <c r="N45" s="31" t="s">
        <v>38</v>
      </c>
      <c r="O45" s="47">
        <v>450.0</v>
      </c>
      <c r="P45" s="32"/>
      <c r="Q45" s="18">
        <f>(1+($U$7+P45)/800)/$U$8-1</f>
        <v>0</v>
      </c>
      <c r="R45" s="18">
        <f>(1+(V7+(360*1.75))/800)/(1+V7/800)-1</f>
        <v>0.1951672862</v>
      </c>
      <c r="S45" s="1"/>
      <c r="T45" s="1"/>
      <c r="U45" s="1"/>
      <c r="V45" s="6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"/>
      <c r="C46" s="1"/>
      <c r="D46" s="1"/>
      <c r="E46" s="3"/>
      <c r="F46" s="3"/>
      <c r="G46" s="3"/>
      <c r="H46" s="11" t="s">
        <v>46</v>
      </c>
      <c r="I46" s="19">
        <v>1.2</v>
      </c>
      <c r="J46" s="16"/>
      <c r="K46" s="18">
        <f>($U$12+J46)/($U$12)-1</f>
        <v>0</v>
      </c>
      <c r="L46" s="18">
        <f>(80%*1.75+V12)/(V12)-1</f>
        <v>0.0843271895</v>
      </c>
      <c r="M46" s="3"/>
      <c r="N46" s="11" t="s">
        <v>46</v>
      </c>
      <c r="O46" s="19">
        <v>1.2</v>
      </c>
      <c r="P46" s="16"/>
      <c r="Q46" s="18">
        <f>($U$12+P46)/($U$12)-1</f>
        <v>0</v>
      </c>
      <c r="R46" s="18">
        <f>(80%*1.75+V12)/(V12)-1</f>
        <v>0.0843271895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3"/>
      <c r="F47" s="3"/>
      <c r="G47" s="3"/>
      <c r="H47" s="11" t="s">
        <v>49</v>
      </c>
      <c r="I47" s="16"/>
      <c r="J47" s="16"/>
      <c r="K47" s="17"/>
      <c r="L47" s="18">
        <f>((100%*1.75+$V$13)*($V$9)+(1*(1-$V$9)))/(($V$13)*($V$9)+(1*(1-$V$9)))-1</f>
        <v>0.1032021349</v>
      </c>
      <c r="M47" s="3"/>
      <c r="N47" s="11" t="s">
        <v>49</v>
      </c>
      <c r="O47" s="16"/>
      <c r="P47" s="16"/>
      <c r="Q47" s="17"/>
      <c r="R47" s="18">
        <f>((100%*1.75+$V$13)*($V$9)+(1*(1-$V$9)))/(($V$13)*($V$9)+(1*(1-$V$9)))-1</f>
        <v>0.1032021349</v>
      </c>
      <c r="S47" s="1"/>
      <c r="T47" s="1"/>
      <c r="U47" s="1"/>
      <c r="V47" s="62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1"/>
      <c r="D48" s="1"/>
      <c r="E48" s="3"/>
      <c r="F48" s="3"/>
      <c r="G48" s="3"/>
      <c r="H48" s="31" t="s">
        <v>18</v>
      </c>
      <c r="I48" s="47"/>
      <c r="J48" s="32"/>
      <c r="K48" s="17"/>
      <c r="L48" s="18">
        <f>(U6+IF(I52=TRUE,383*1.75,IF(I53=TRUE,314*1.75,IF(I54=TRUE,345*1.75,0))))/U6-1</f>
        <v>0.1454851313</v>
      </c>
      <c r="M48" s="3"/>
      <c r="N48" s="31" t="s">
        <v>18</v>
      </c>
      <c r="O48" s="47"/>
      <c r="P48" s="47"/>
      <c r="Q48" s="17"/>
      <c r="R48" s="18">
        <f>(U6+IF(O52=TRUE,383*1.75,IF(O54=TRUE,345*1.75,0)))/U6-1</f>
        <v>0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3"/>
      <c r="F49" s="3"/>
      <c r="G49" s="3"/>
      <c r="H49" s="11" t="s">
        <v>103</v>
      </c>
      <c r="I49" s="19">
        <v>0.48</v>
      </c>
      <c r="J49" s="56"/>
      <c r="K49" s="56"/>
      <c r="L49" s="17"/>
      <c r="M49" s="3"/>
      <c r="N49" s="11" t="s">
        <v>103</v>
      </c>
      <c r="O49" s="19">
        <v>0.48</v>
      </c>
      <c r="P49" s="56"/>
      <c r="Q49" s="11"/>
      <c r="R49" s="17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1"/>
      <c r="D50" s="1"/>
      <c r="E50" s="3"/>
      <c r="F50" s="3"/>
      <c r="G50" s="3"/>
      <c r="H50" s="31" t="s">
        <v>96</v>
      </c>
      <c r="I50" s="19"/>
      <c r="J50" s="20"/>
      <c r="K50" s="56"/>
      <c r="L50" s="63">
        <f>IF($C$24=TRUE,0%,(($V$24*IF(((5%*1.75)+$V$9)&gt;100%,100%,((5%*1.75)+$V$9)))+($V$23*(1-(IF(((5%*1.75)+$V$9)&gt;100%,100%,((5%*1.75)+$V$9))))))/(($V$24*($V$9))+($V$23*(1-$V$9)))-1)</f>
        <v>0.09469220315</v>
      </c>
      <c r="M50" s="3"/>
      <c r="N50" s="31" t="s">
        <v>96</v>
      </c>
      <c r="O50" s="19"/>
      <c r="P50" s="16"/>
      <c r="Q50" s="11"/>
      <c r="R50" s="63">
        <f>IF($C$24=TRUE,0%,(($V$24*IF(((5%*1.75)+$V$9)&gt;100%,100%,((5%*1.75)+$V$9)))+($V$23*(1-(IF(((5%*1.75)+$V$9)&gt;100%,100%,((5%*1.75)+$V$9))))))/(($V$24*($V$9))+($V$23*(1-$V$9)))-1)</f>
        <v>0.09469220315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1"/>
      <c r="D52" s="1"/>
      <c r="E52" s="3"/>
      <c r="F52" s="3"/>
      <c r="G52" s="3"/>
      <c r="H52" s="7" t="s">
        <v>104</v>
      </c>
      <c r="I52" s="58" t="b">
        <v>1</v>
      </c>
      <c r="J52" s="3"/>
      <c r="K52" s="3"/>
      <c r="L52" s="3"/>
      <c r="M52" s="3"/>
      <c r="N52" s="7" t="s">
        <v>105</v>
      </c>
      <c r="O52" s="58" t="b">
        <v>0</v>
      </c>
      <c r="P52" s="3"/>
      <c r="Q52" s="3"/>
      <c r="R52" s="3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3"/>
      <c r="F53" s="3"/>
      <c r="G53" s="3"/>
      <c r="H53" s="7" t="s">
        <v>106</v>
      </c>
      <c r="I53" s="58" t="b">
        <v>0</v>
      </c>
      <c r="J53" s="3"/>
      <c r="K53" s="3"/>
      <c r="L53" s="3"/>
      <c r="M53" s="3"/>
      <c r="N53" s="7"/>
      <c r="O53" s="58" t="b">
        <v>0</v>
      </c>
      <c r="P53" s="3"/>
      <c r="Q53" s="3"/>
      <c r="R53" s="3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1"/>
      <c r="D54" s="1"/>
      <c r="E54" s="3"/>
      <c r="F54" s="3"/>
      <c r="G54" s="3"/>
      <c r="H54" s="7" t="s">
        <v>107</v>
      </c>
      <c r="I54" s="58" t="b">
        <v>0</v>
      </c>
      <c r="J54" s="3"/>
      <c r="K54" s="3"/>
      <c r="L54" s="3"/>
      <c r="M54" s="3"/>
      <c r="N54" s="7" t="s">
        <v>108</v>
      </c>
      <c r="O54" s="58" t="b">
        <v>0</v>
      </c>
      <c r="P54" s="3"/>
      <c r="Q54" s="3"/>
      <c r="R54" s="3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mergeCells count="8">
    <mergeCell ref="B1:O2"/>
    <mergeCell ref="B3:C3"/>
    <mergeCell ref="E4:F4"/>
    <mergeCell ref="T4:V4"/>
    <mergeCell ref="B8:C8"/>
    <mergeCell ref="B17:C17"/>
    <mergeCell ref="H26:R26"/>
    <mergeCell ref="T29:W29"/>
  </mergeCells>
  <conditionalFormatting sqref="L5:L15">
    <cfRule type="expression" dxfId="0" priority="1">
      <formula>L5&gt;=LARGE($L$5:$L$15,4)</formula>
    </cfRule>
  </conditionalFormatting>
  <conditionalFormatting sqref="L17:L25">
    <cfRule type="expression" dxfId="0" priority="2">
      <formula>L17&gt;=LARGE($L$17:$L$25,4)</formula>
    </cfRule>
  </conditionalFormatting>
  <conditionalFormatting sqref="L28:L36">
    <cfRule type="expression" dxfId="0" priority="3">
      <formula>L28&gt;=LARGE($L$28:$L$36,4)</formula>
    </cfRule>
  </conditionalFormatting>
  <conditionalFormatting sqref="L42:L50">
    <cfRule type="expression" dxfId="0" priority="4">
      <formula>L42&gt;=LARGE($L$42:$L$50,4)</formula>
    </cfRule>
  </conditionalFormatting>
  <conditionalFormatting sqref="R5:R15">
    <cfRule type="expression" dxfId="0" priority="5">
      <formula>R5&gt;=LARGE($R$5:$R$15,4)</formula>
    </cfRule>
  </conditionalFormatting>
  <conditionalFormatting sqref="R17:R25">
    <cfRule type="expression" dxfId="0" priority="6">
      <formula>R17&gt;=LARGE($R$17:$R$25,4)</formula>
    </cfRule>
  </conditionalFormatting>
  <conditionalFormatting sqref="R28:R36">
    <cfRule type="expression" dxfId="0" priority="7">
      <formula>R28&gt;=LARGE($R$28:$R$36,4)</formula>
    </cfRule>
  </conditionalFormatting>
  <conditionalFormatting sqref="R42:R50">
    <cfRule type="expression" dxfId="0" priority="8">
      <formula>R42&gt;=LARGE($R$42:$R$50,4)</formula>
    </cfRule>
  </conditionalFormatting>
  <conditionalFormatting sqref="U21:V21">
    <cfRule type="cellIs" dxfId="0" priority="9" operator="greaterThan">
      <formula>"0%"</formula>
    </cfRule>
  </conditionalFormatting>
  <conditionalFormatting sqref="U21:V21">
    <cfRule type="cellIs" dxfId="1" priority="10" operator="lessThan">
      <formula>"0%"</formula>
    </cfRule>
  </conditionalFormatting>
  <conditionalFormatting sqref="U26:V26">
    <cfRule type="cellIs" dxfId="0" priority="11" operator="greaterThan">
      <formula>"0%"</formula>
    </cfRule>
  </conditionalFormatting>
  <conditionalFormatting sqref="U26:V26">
    <cfRule type="cellIs" dxfId="1" priority="12" operator="lessThan">
      <formula>"0%"</formula>
    </cfRule>
  </conditionalFormatting>
  <dataValidations>
    <dataValidation type="list" allowBlank="1" showErrorMessage="1" sqref="C9">
      <formula1>"Paladin,Druid,Warlock,Sorcerer,Barbarian,Rogue,Spiritborn,Necromancer"</formula1>
    </dataValidation>
  </dataValidations>
  <hyperlinks>
    <hyperlink r:id="rId1" ref="D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8.13"/>
    <col customWidth="1" min="5" max="5" width="18.13"/>
    <col customWidth="1" min="6" max="6" width="10.63"/>
    <col customWidth="1" min="8" max="8" width="22.0"/>
    <col customWidth="1" min="9" max="9" width="6.5"/>
    <col customWidth="1" min="10" max="10" width="6.88"/>
    <col customWidth="1" min="11" max="11" width="6.5"/>
    <col customWidth="1" min="12" max="12" width="6.13"/>
    <col customWidth="1" min="14" max="14" width="20.5"/>
    <col customWidth="1" min="15" max="15" width="6.5"/>
    <col customWidth="1" min="16" max="16" width="6.88"/>
    <col customWidth="1" min="17" max="17" width="6.5"/>
    <col customWidth="1" min="18" max="18" width="6.13"/>
    <col customWidth="1" min="20" max="20" width="20.38"/>
    <col customWidth="1" min="21" max="22" width="9.75"/>
  </cols>
  <sheetData>
    <row r="1">
      <c r="A1" s="3"/>
      <c r="B1" s="2" t="s">
        <v>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3"/>
      <c r="B3" s="4" t="s">
        <v>1</v>
      </c>
      <c r="C3" s="5"/>
      <c r="D3" s="6" t="s">
        <v>109</v>
      </c>
      <c r="E3" s="7"/>
      <c r="F3" s="7"/>
      <c r="G3" s="7"/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3"/>
      <c r="B4" s="8" t="s">
        <v>110</v>
      </c>
      <c r="C4" s="9">
        <f>IF(I57=TRUE,3768,IF(I56=TRUE,4607,0))</f>
        <v>0</v>
      </c>
      <c r="D4" s="3"/>
      <c r="E4" s="4" t="s">
        <v>4</v>
      </c>
      <c r="F4" s="5"/>
      <c r="G4" s="3"/>
      <c r="H4" s="10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3"/>
      <c r="N4" s="10" t="s">
        <v>10</v>
      </c>
      <c r="O4" s="11" t="s">
        <v>6</v>
      </c>
      <c r="P4" s="11" t="s">
        <v>7</v>
      </c>
      <c r="Q4" s="11" t="s">
        <v>8</v>
      </c>
      <c r="R4" s="11" t="s">
        <v>9</v>
      </c>
      <c r="S4" s="3"/>
      <c r="T4" s="12" t="s">
        <v>11</v>
      </c>
      <c r="U4" s="13"/>
      <c r="V4" s="14"/>
      <c r="W4" s="3"/>
      <c r="X4" s="3"/>
      <c r="Y4" s="3"/>
      <c r="Z4" s="3"/>
      <c r="AA4" s="3"/>
      <c r="AB4" s="3"/>
      <c r="AC4" s="3"/>
      <c r="AD4" s="3"/>
    </row>
    <row r="5">
      <c r="A5" s="3"/>
      <c r="B5" s="8" t="s">
        <v>111</v>
      </c>
      <c r="C5" s="9">
        <f>IF(I40=TRUE,1884,IF(I41=TRUE,1728,0))+IF(O40=TRUE,1884,IF(O41=TRUE,1728,0))</f>
        <v>3768</v>
      </c>
      <c r="D5" s="3"/>
      <c r="E5" s="8" t="s">
        <v>13</v>
      </c>
      <c r="F5" s="15" t="s">
        <v>14</v>
      </c>
      <c r="G5" s="3"/>
      <c r="H5" s="11" t="s">
        <v>15</v>
      </c>
      <c r="I5" s="48"/>
      <c r="J5" s="32"/>
      <c r="K5" s="17"/>
      <c r="L5" s="18">
        <f>((50%*1.75+$V$14)*($V$24/$V$14)*($V$9)+(V23*(1-$V$9)))/($V$24*($V$9)+(V23*(1-$V$9)))-1</f>
        <v>0.6438679245</v>
      </c>
      <c r="M5" s="3"/>
      <c r="N5" s="11" t="s">
        <v>15</v>
      </c>
      <c r="O5" s="51"/>
      <c r="P5" s="32"/>
      <c r="Q5" s="17"/>
      <c r="R5" s="18">
        <f>((50%*1.75+$V$14)*($V$24/$V$14)*($V$9)+(V23*(1-$V$9)))/($V$24*($V$9)+(V23*(1-$V$9)))-1</f>
        <v>0.6438679245</v>
      </c>
      <c r="S5" s="3"/>
      <c r="T5" s="11"/>
      <c r="U5" s="22" t="s">
        <v>6</v>
      </c>
      <c r="V5" s="22" t="s">
        <v>7</v>
      </c>
      <c r="W5" s="3"/>
      <c r="X5" s="3"/>
      <c r="Y5" s="3"/>
      <c r="Z5" s="3"/>
      <c r="AA5" s="3"/>
      <c r="AB5" s="3"/>
      <c r="AC5" s="3"/>
      <c r="AD5" s="3"/>
    </row>
    <row r="6">
      <c r="A6" s="3"/>
      <c r="B6" s="8"/>
      <c r="C6" s="8"/>
      <c r="D6" s="3"/>
      <c r="E6" s="8" t="s">
        <v>16</v>
      </c>
      <c r="F6" s="23"/>
      <c r="G6" s="3"/>
      <c r="H6" s="11" t="s">
        <v>17</v>
      </c>
      <c r="I6" s="55">
        <v>0.33</v>
      </c>
      <c r="J6" s="55"/>
      <c r="K6" s="18">
        <f>($U$15+J6)/$U$15-1</f>
        <v>0</v>
      </c>
      <c r="L6" s="18">
        <f>(28%*1.75+V15)/V15-1</f>
        <v>0.2578947368</v>
      </c>
      <c r="M6" s="3"/>
      <c r="N6" s="11" t="s">
        <v>17</v>
      </c>
      <c r="O6" s="55">
        <v>0.44</v>
      </c>
      <c r="P6" s="48"/>
      <c r="Q6" s="18">
        <f t="shared" ref="Q6:Q7" si="1">(U15+P6)/U15-1</f>
        <v>0</v>
      </c>
      <c r="R6" s="18">
        <f>(28%*1.75+V15)/V15-1</f>
        <v>0.2578947368</v>
      </c>
      <c r="S6" s="3"/>
      <c r="T6" s="11" t="s">
        <v>18</v>
      </c>
      <c r="U6" s="24">
        <f>IF(C4&gt;0,C4+I51,IF(C5&gt;0,C5+I35+O35))</f>
        <v>3907</v>
      </c>
      <c r="V6" s="24">
        <f>U6+IF(C5&gt;0,J35+P35,IF(C4&gt;0,J51))</f>
        <v>3907</v>
      </c>
      <c r="W6" s="3"/>
      <c r="X6" s="3"/>
      <c r="Y6" s="3"/>
      <c r="Z6" s="3"/>
      <c r="AA6" s="3"/>
      <c r="AB6" s="3"/>
      <c r="AC6" s="3"/>
      <c r="AD6" s="3"/>
    </row>
    <row r="7">
      <c r="A7" s="3"/>
      <c r="B7" s="8" t="s">
        <v>19</v>
      </c>
      <c r="C7" s="25">
        <f>I36+O36+I52</f>
        <v>0.88</v>
      </c>
      <c r="D7" s="3"/>
      <c r="E7" s="8" t="s">
        <v>20</v>
      </c>
      <c r="F7" s="26">
        <v>0.313</v>
      </c>
      <c r="G7" s="3"/>
      <c r="H7" s="11" t="s">
        <v>21</v>
      </c>
      <c r="I7" s="55">
        <v>0.65</v>
      </c>
      <c r="J7" s="48"/>
      <c r="K7" s="18">
        <f>($U$16+J7)/$U$16-1</f>
        <v>0</v>
      </c>
      <c r="L7" s="18">
        <f>IF(C24=TRUE,(60%*1.75+V16)/V16-1,0)</f>
        <v>0</v>
      </c>
      <c r="M7" s="3"/>
      <c r="N7" s="11" t="s">
        <v>21</v>
      </c>
      <c r="O7" s="55">
        <v>0.63</v>
      </c>
      <c r="P7" s="51"/>
      <c r="Q7" s="18">
        <f t="shared" si="1"/>
        <v>0</v>
      </c>
      <c r="R7" s="18">
        <f>IF(C24=TRUE,(60%*1.75+V16)/V16-1,0)</f>
        <v>0</v>
      </c>
      <c r="S7" s="3"/>
      <c r="T7" s="11" t="s">
        <v>112</v>
      </c>
      <c r="U7" s="24">
        <f>(SUM(C10:C13)+C16+I11+O11+I21+O21+I32+O32+I48)+C15</f>
        <v>2547</v>
      </c>
      <c r="V7" s="24">
        <f>U7+J11+P11+J21+P21+J32+P32+J48</f>
        <v>2547</v>
      </c>
      <c r="W7" s="3"/>
      <c r="X7" s="3"/>
      <c r="Y7" s="3"/>
      <c r="Z7" s="3"/>
      <c r="AA7" s="3"/>
      <c r="AB7" s="3"/>
      <c r="AC7" s="3"/>
      <c r="AD7" s="3"/>
    </row>
    <row r="8">
      <c r="A8" s="3"/>
      <c r="B8" s="8"/>
      <c r="C8" s="8"/>
      <c r="D8" s="3"/>
      <c r="E8" s="8" t="s">
        <v>24</v>
      </c>
      <c r="F8" s="23"/>
      <c r="G8" s="3"/>
      <c r="H8" s="11" t="s">
        <v>25</v>
      </c>
      <c r="I8" s="55">
        <v>0.23</v>
      </c>
      <c r="J8" s="55"/>
      <c r="K8" s="18">
        <f t="shared" ref="K8:K9" si="2">($U$17+J8)/$U$17-1</f>
        <v>0</v>
      </c>
      <c r="L8" s="18">
        <f>(20%*1.75+V17)/V17-1</f>
        <v>0.1245551601</v>
      </c>
      <c r="M8" s="3"/>
      <c r="N8" s="11" t="s">
        <v>25</v>
      </c>
      <c r="O8" s="48"/>
      <c r="P8" s="32"/>
      <c r="Q8" s="18">
        <f t="shared" ref="Q8:Q9" si="3">($U$17+P8)/$U$17-1</f>
        <v>0</v>
      </c>
      <c r="R8" s="18">
        <f>(20%*1.75+V17)/V17-1</f>
        <v>0.1245551601</v>
      </c>
      <c r="S8" s="3"/>
      <c r="T8" s="11" t="s">
        <v>113</v>
      </c>
      <c r="U8" s="24">
        <f>1+(U7*(1+U31+U32)/800)</f>
        <v>4.18375</v>
      </c>
      <c r="V8" s="24">
        <f>1+(V7*(1+U31+V31+U32+V32)/800)</f>
        <v>4.18375</v>
      </c>
      <c r="W8" s="3"/>
      <c r="X8" s="3"/>
      <c r="Y8" s="3"/>
      <c r="Z8" s="3"/>
      <c r="AA8" s="3"/>
      <c r="AB8" s="3"/>
      <c r="AC8" s="3"/>
      <c r="AD8" s="3"/>
    </row>
    <row r="9">
      <c r="A9" s="3"/>
      <c r="B9" s="4" t="s">
        <v>114</v>
      </c>
      <c r="C9" s="5"/>
      <c r="D9" s="3"/>
      <c r="E9" s="8" t="s">
        <v>29</v>
      </c>
      <c r="F9" s="29"/>
      <c r="G9" s="3"/>
      <c r="H9" s="11" t="s">
        <v>30</v>
      </c>
      <c r="I9" s="32"/>
      <c r="J9" s="48"/>
      <c r="K9" s="18">
        <f t="shared" si="2"/>
        <v>0</v>
      </c>
      <c r="L9" s="18">
        <f>(24%*1.75+V17)/V17-1</f>
        <v>0.1494661922</v>
      </c>
      <c r="M9" s="3"/>
      <c r="N9" s="11" t="s">
        <v>30</v>
      </c>
      <c r="O9" s="32"/>
      <c r="P9" s="32"/>
      <c r="Q9" s="18">
        <f t="shared" si="3"/>
        <v>0</v>
      </c>
      <c r="R9" s="18">
        <f>(24%*1.75+V17)/V17-1</f>
        <v>0.1494661922</v>
      </c>
      <c r="S9" s="3"/>
      <c r="T9" s="11" t="s">
        <v>31</v>
      </c>
      <c r="U9" s="30">
        <f>IF(C24=TRUE,0,IF(C22+I12+O12+I22+O22+I37+O37+I53&gt;100%,100%,C22+I12+O12+I22+O22+I37+O37+I53))</f>
        <v>0.65</v>
      </c>
      <c r="V9" s="30">
        <f>IF(C24=TRUE,0, IF(U9+J12+J22+P22+P12+P37+J37+J53&gt;100%,100%,U9+J12+J22+P22+P12+J37+P37+J53))</f>
        <v>0.65</v>
      </c>
      <c r="W9" s="3"/>
      <c r="X9" s="3"/>
      <c r="Y9" s="3"/>
      <c r="Z9" s="3"/>
      <c r="AA9" s="3"/>
      <c r="AB9" s="3"/>
      <c r="AC9" s="3"/>
      <c r="AD9" s="3"/>
    </row>
    <row r="10">
      <c r="A10" s="3"/>
      <c r="B10" s="8" t="s">
        <v>32</v>
      </c>
      <c r="C10" s="29"/>
      <c r="D10" s="3"/>
      <c r="E10" s="8" t="s">
        <v>33</v>
      </c>
      <c r="F10" s="33"/>
      <c r="G10" s="3"/>
      <c r="H10" s="31" t="s">
        <v>34</v>
      </c>
      <c r="I10" s="32"/>
      <c r="J10" s="32"/>
      <c r="K10" s="18">
        <f>(C18*(1+0.1*((U10+J10)-ROUNDDOWN((U10+J10)/5,0)-1)+0.15*(ROUNDDOWN((U10+J10)/5,0))))/(C18*(1+0.1*((U10)-ROUNDDOWN((U10)/5,0)-1)+0.15*(ROUNDDOWN((U10)/5,0))))-1</f>
        <v>0</v>
      </c>
      <c r="L10" s="18">
        <f>(C18*(1+0.1*((V10+5)-ROUNDDOWN((V10+5)/5,0)-1)+0.15*(ROUNDDOWN((V10+5)/5,0))))/(C18*(1+0.1*((V10)-ROUNDDOWN((V10)/5,0)-1)+0.15*(ROUNDDOWN((V10)/5,0))))-1</f>
        <v>0.1134020619</v>
      </c>
      <c r="M10" s="3"/>
      <c r="N10" s="31" t="s">
        <v>34</v>
      </c>
      <c r="O10" s="32"/>
      <c r="P10" s="32"/>
      <c r="Q10" s="18">
        <f>(C18*(1+0.1*((U10+P10)-ROUNDDOWN((U10+P10)/5,0)-1)+0.15*(ROUNDDOWN((U10+P10)/5,0))))/(C18*(1+0.1*((U10)-ROUNDDOWN((U10)/5,0)-1)+0.15*(ROUNDDOWN((U10)/5,0))))-1</f>
        <v>0</v>
      </c>
      <c r="R10" s="18">
        <f>(C18*(1+0.1*((V10+4)-ROUNDDOWN((V10+4)/5,0)-1)+0.15*(ROUNDDOWN((V10+4)/5,0))))/(C18*(1+0.1*((V10)-ROUNDDOWN((V10)/5,0)-1)+0.15*(ROUNDDOWN((V10)/5,0))))-1</f>
        <v>0.09278350515</v>
      </c>
      <c r="S10" s="3"/>
      <c r="T10" s="11" t="s">
        <v>35</v>
      </c>
      <c r="U10" s="24">
        <f>C19+C20+I10+O10</f>
        <v>36</v>
      </c>
      <c r="V10" s="24">
        <f>U10+J10+P10</f>
        <v>36</v>
      </c>
      <c r="W10" s="3"/>
      <c r="X10" s="3"/>
      <c r="Y10" s="3"/>
      <c r="Z10" s="3"/>
      <c r="AA10" s="3"/>
      <c r="AB10" s="3"/>
      <c r="AC10" s="3"/>
      <c r="AD10" s="3"/>
    </row>
    <row r="11">
      <c r="A11" s="3"/>
      <c r="B11" s="8" t="s">
        <v>36</v>
      </c>
      <c r="C11" s="35">
        <v>180.0</v>
      </c>
      <c r="D11" s="3"/>
      <c r="E11" s="8" t="s">
        <v>37</v>
      </c>
      <c r="F11" s="37">
        <v>2.003</v>
      </c>
      <c r="G11" s="3"/>
      <c r="H11" s="11" t="s">
        <v>115</v>
      </c>
      <c r="I11" s="47">
        <v>189.0</v>
      </c>
      <c r="J11" s="32"/>
      <c r="K11" s="18">
        <f>(1+($U$7+J11)/800)/$U$8-1</f>
        <v>0</v>
      </c>
      <c r="L11" s="18">
        <f>(1+(V7+(180*1.75))/800)/(1+V7/800)-1</f>
        <v>0.09411413206</v>
      </c>
      <c r="M11" s="3"/>
      <c r="N11" s="11" t="s">
        <v>115</v>
      </c>
      <c r="O11" s="47">
        <v>184.0</v>
      </c>
      <c r="P11" s="32"/>
      <c r="Q11" s="18">
        <f>(1+($U$7+P11)/800)/$U$8-1</f>
        <v>0</v>
      </c>
      <c r="R11" s="18">
        <f>(1+(V7+(180*1.75))/800)/(1+V7/800)-1</f>
        <v>0.09411413206</v>
      </c>
      <c r="S11" s="3"/>
      <c r="T11" s="11" t="s">
        <v>39</v>
      </c>
      <c r="U11" s="34">
        <f>C18*(1+0.1*((U10)-ROUNDDOWN((U10)/5,0)-1)+0.15*(ROUNDDOWN((U10)/5,0)))</f>
        <v>3.1525</v>
      </c>
      <c r="V11" s="34">
        <f>C18*(1+0.1*((V10)-ROUNDDOWN((V10)/5,0)-1)+0.15*(ROUNDDOWN((V10)/5,0)))</f>
        <v>3.1525</v>
      </c>
      <c r="W11" s="3"/>
      <c r="X11" s="3"/>
      <c r="Y11" s="3"/>
      <c r="Z11" s="3"/>
      <c r="AA11" s="3"/>
      <c r="AB11" s="3"/>
      <c r="AC11" s="3"/>
      <c r="AD11" s="3"/>
    </row>
    <row r="12">
      <c r="A12" s="3"/>
      <c r="B12" s="8" t="s">
        <v>40</v>
      </c>
      <c r="C12" s="35">
        <v>104.0</v>
      </c>
      <c r="D12" s="3"/>
      <c r="E12" s="8" t="s">
        <v>41</v>
      </c>
      <c r="F12" s="29"/>
      <c r="G12" s="3"/>
      <c r="H12" s="11" t="s">
        <v>42</v>
      </c>
      <c r="I12" s="32"/>
      <c r="J12" s="32"/>
      <c r="K12" s="17"/>
      <c r="L12" s="18">
        <f>IF($C$24=TRUE,0%,(($V$24*IF(((8.5%*1.75)+$V$9)&gt;100%,100%,((8.5%*1.75)+$V$9)))+($V$23*(1-(IF(((8.5%*1.75)+$V$9)&gt;100%,100%,((8.5%*1.75)+$V$9))))))/(($V$24*($V$9))+($V$23*(1-$V$9)))-1)</f>
        <v>0.05613207547</v>
      </c>
      <c r="M12" s="3"/>
      <c r="N12" s="11" t="s">
        <v>42</v>
      </c>
      <c r="O12" s="32"/>
      <c r="P12" s="32"/>
      <c r="Q12" s="17"/>
      <c r="R12" s="18">
        <f>IF($C$24=TRUE,0%,(($V$24*IF(((8.5%*1.75)+$V$9)&gt;100%,100%,((8.5%*1.75)+$V$9)))+($V$23*(1-(IF(((8.5%*1.75)+$V$9)&gt;100%,100%,((8.5%*1.75)+$V$9))))))/(($V$24*($V$9))+($V$23*(1-$V$9)))-1)</f>
        <v>0.05613207547</v>
      </c>
      <c r="S12" s="3"/>
      <c r="T12" s="11" t="s">
        <v>43</v>
      </c>
      <c r="U12" s="36">
        <f>1+F30+F33+I13+O13+I23+O23+I33+O33+I49</f>
        <v>14.8307</v>
      </c>
      <c r="V12" s="36">
        <f t="shared" ref="V12:V13" si="4">U12+(J13+P13+J23+P23+J33+P33+J49)</f>
        <v>14.8307</v>
      </c>
      <c r="W12" s="3"/>
      <c r="X12" s="3"/>
      <c r="Y12" s="3"/>
      <c r="Z12" s="3"/>
      <c r="AA12" s="3"/>
      <c r="AB12" s="3"/>
      <c r="AC12" s="3"/>
      <c r="AD12" s="3"/>
    </row>
    <row r="13">
      <c r="A13" s="3"/>
      <c r="B13" s="8" t="s">
        <v>44</v>
      </c>
      <c r="C13" s="35">
        <v>144.0</v>
      </c>
      <c r="D13" s="3"/>
      <c r="E13" s="8" t="s">
        <v>45</v>
      </c>
      <c r="F13" s="33"/>
      <c r="G13" s="3"/>
      <c r="H13" s="11" t="s">
        <v>46</v>
      </c>
      <c r="I13" s="55">
        <v>0.75</v>
      </c>
      <c r="J13" s="48"/>
      <c r="K13" s="18">
        <f>($U$12+J13)/($U$12)-1</f>
        <v>0</v>
      </c>
      <c r="L13" s="18">
        <f>(40%*1.75+V12)/(V12)-1</f>
        <v>0.04719939045</v>
      </c>
      <c r="M13" s="3"/>
      <c r="N13" s="11" t="s">
        <v>46</v>
      </c>
      <c r="O13" s="55">
        <v>0.63</v>
      </c>
      <c r="P13" s="32"/>
      <c r="Q13" s="18">
        <f>($U$12+P13)/($U$12)-1</f>
        <v>0</v>
      </c>
      <c r="R13" s="18">
        <f>(40%*1.75+V12)/(V12)-1</f>
        <v>0.04719939045</v>
      </c>
      <c r="S13" s="3"/>
      <c r="T13" s="11" t="s">
        <v>47</v>
      </c>
      <c r="U13" s="30">
        <f>1+F31+F33+IF(I13&gt;0,I13,I14)+IF(I23&gt;0,I23,I24)+IF(I33&gt;0,I33,I34)+IF(O13&gt;0,O13,O14)+IF(O23&gt;0,O23,O24)+IF(O33&gt;0,O33,O34)+IF(I49&gt;0,I49,I50)</f>
        <v>14.8307</v>
      </c>
      <c r="V13" s="30">
        <f t="shared" si="4"/>
        <v>14.8307</v>
      </c>
      <c r="W13" s="3"/>
      <c r="X13" s="3"/>
      <c r="Y13" s="3"/>
      <c r="Z13" s="3"/>
      <c r="AA13" s="3"/>
      <c r="AB13" s="3"/>
      <c r="AC13" s="3"/>
      <c r="AD13" s="3"/>
    </row>
    <row r="14">
      <c r="A14" s="3"/>
      <c r="B14" s="8"/>
      <c r="C14" s="8"/>
      <c r="D14" s="3"/>
      <c r="E14" s="8" t="s">
        <v>48</v>
      </c>
      <c r="F14" s="29"/>
      <c r="G14" s="3"/>
      <c r="H14" s="11" t="s">
        <v>49</v>
      </c>
      <c r="I14" s="32"/>
      <c r="J14" s="32"/>
      <c r="K14" s="17"/>
      <c r="L14" s="18">
        <f>((50%*1.75+$V$13)*($V$9)+(1*(1-$V$9)))/(($V$13)*($V$9)+(1*(1-$V$9)))-1</f>
        <v>0.05693218838</v>
      </c>
      <c r="M14" s="3"/>
      <c r="N14" s="11" t="s">
        <v>49</v>
      </c>
      <c r="O14" s="32"/>
      <c r="P14" s="32"/>
      <c r="Q14" s="17"/>
      <c r="R14" s="18">
        <f>((50%*1.75+$V$13)*($V$9)+(1*(1-$V$9)))/(($V$13)*($V$9)+(1*(1-$V$9)))-1</f>
        <v>0.05693218838</v>
      </c>
      <c r="S14" s="3"/>
      <c r="T14" s="11" t="s">
        <v>15</v>
      </c>
      <c r="U14" s="30">
        <f>(100%+I5+O5+I17+O17+I29+O29+I45)</f>
        <v>1</v>
      </c>
      <c r="V14" s="30">
        <f>U14+(J5+P5+J17+P17+J29+P29+J45)</f>
        <v>1</v>
      </c>
      <c r="W14" s="3"/>
      <c r="X14" s="3"/>
      <c r="Y14" s="3"/>
      <c r="Z14" s="3"/>
      <c r="AA14" s="3"/>
      <c r="AB14" s="3"/>
      <c r="AC14" s="3"/>
      <c r="AD14" s="3"/>
    </row>
    <row r="15">
      <c r="A15" s="3"/>
      <c r="B15" s="8" t="s">
        <v>116</v>
      </c>
      <c r="C15" s="29"/>
      <c r="D15" s="3"/>
      <c r="E15" s="8" t="s">
        <v>51</v>
      </c>
      <c r="F15" s="33"/>
      <c r="G15" s="3"/>
      <c r="H15" s="11" t="s">
        <v>117</v>
      </c>
      <c r="I15" s="32"/>
      <c r="J15" s="32"/>
      <c r="K15" s="17"/>
      <c r="L15" s="18">
        <f>IF($C$25=TRUE,(100%+10%*1.75+$V$18)/(100%+$V$18)-1,0)</f>
        <v>0.1260806916</v>
      </c>
      <c r="M15" s="3"/>
      <c r="N15" s="11" t="s">
        <v>117</v>
      </c>
      <c r="O15" s="32"/>
      <c r="P15" s="64"/>
      <c r="Q15" s="17"/>
      <c r="R15" s="18">
        <f>IF($C$25=TRUE,(100%+10%*1.75+$V$18)/(100%+$V$18)-1,0)</f>
        <v>0.1260806916</v>
      </c>
      <c r="S15" s="3"/>
      <c r="T15" s="11" t="s">
        <v>17</v>
      </c>
      <c r="U15" s="30">
        <f>(100%+I6+O6+I18+O18)</f>
        <v>1.9</v>
      </c>
      <c r="V15" s="30">
        <f>U15+(J6+P6+J18+P18)</f>
        <v>1.9</v>
      </c>
      <c r="W15" s="3"/>
      <c r="X15" s="3"/>
      <c r="Y15" s="3"/>
      <c r="Z15" s="3"/>
      <c r="AA15" s="3"/>
      <c r="AB15" s="3"/>
      <c r="AC15" s="3"/>
      <c r="AD15" s="3"/>
    </row>
    <row r="16">
      <c r="A16" s="3"/>
      <c r="B16" s="8" t="s">
        <v>118</v>
      </c>
      <c r="C16" s="35">
        <v>614.0</v>
      </c>
      <c r="D16" s="3"/>
      <c r="E16" s="8" t="s">
        <v>53</v>
      </c>
      <c r="F16" s="26">
        <v>0.4</v>
      </c>
      <c r="G16" s="3"/>
      <c r="H16" s="10" t="s">
        <v>54</v>
      </c>
      <c r="I16" s="11" t="s">
        <v>6</v>
      </c>
      <c r="J16" s="11" t="s">
        <v>7</v>
      </c>
      <c r="K16" s="17" t="s">
        <v>8</v>
      </c>
      <c r="L16" s="11" t="s">
        <v>9</v>
      </c>
      <c r="M16" s="3"/>
      <c r="N16" s="10" t="s">
        <v>55</v>
      </c>
      <c r="O16" s="11" t="s">
        <v>6</v>
      </c>
      <c r="P16" s="11" t="s">
        <v>7</v>
      </c>
      <c r="Q16" s="17" t="s">
        <v>8</v>
      </c>
      <c r="R16" s="11" t="s">
        <v>9</v>
      </c>
      <c r="S16" s="3"/>
      <c r="T16" s="11" t="s">
        <v>21</v>
      </c>
      <c r="U16" s="24">
        <f>IF(C24=TRUE,(100%+I7+O7+I19+O19+I30+O30+I46),100%)</f>
        <v>1</v>
      </c>
      <c r="V16" s="30">
        <f>U16+(J7+P7+J19+P19+J30+P30+J46)</f>
        <v>1</v>
      </c>
      <c r="W16" s="3"/>
      <c r="X16" s="3"/>
      <c r="Y16" s="3"/>
      <c r="Z16" s="3"/>
      <c r="AA16" s="3"/>
      <c r="AB16" s="3"/>
      <c r="AC16" s="3"/>
      <c r="AD16" s="3"/>
    </row>
    <row r="17">
      <c r="A17" s="3"/>
      <c r="B17" s="4" t="s">
        <v>56</v>
      </c>
      <c r="C17" s="5"/>
      <c r="D17" s="3"/>
      <c r="E17" s="8" t="s">
        <v>57</v>
      </c>
      <c r="F17" s="37">
        <v>1.936</v>
      </c>
      <c r="G17" s="3"/>
      <c r="H17" s="11" t="s">
        <v>15</v>
      </c>
      <c r="I17" s="48"/>
      <c r="J17" s="32"/>
      <c r="K17" s="17"/>
      <c r="L17" s="18">
        <f>((25%*1.75+$V$14)*($V$24/$V$14)*($V$9)+(V23*(1-$V$9)))/($V$24*($V$9)+(V23*(1-$V$9)))-1</f>
        <v>0.3219339623</v>
      </c>
      <c r="M17" s="3"/>
      <c r="N17" s="11" t="s">
        <v>15</v>
      </c>
      <c r="O17" s="32"/>
      <c r="P17" s="32"/>
      <c r="Q17" s="18">
        <f>((P17+$U$14)*($U$9)+(1*(1-$U$9)))/(($U$14)*($U$9)+(1*(1-$U$9)))-1</f>
        <v>0</v>
      </c>
      <c r="R17" s="18">
        <f>((25%*1.75+$V$14)*($V$24/$V$14)*($V$9)+(V23*(1-$V$9)))/($V$24*($V$9)+(V23*(1-$V$9)))-1</f>
        <v>0.3219339623</v>
      </c>
      <c r="S17" s="3"/>
      <c r="T17" s="11" t="s">
        <v>58</v>
      </c>
      <c r="U17" s="30">
        <f>(100%+I8+O8+I20+O20+I31+O31+I47+I9+O9)+C7</f>
        <v>2.81</v>
      </c>
      <c r="V17" s="30">
        <f>U17+(J8+P8+J20+P20+J31+P31+J47+J9+P9)+J52</f>
        <v>2.81</v>
      </c>
      <c r="W17" s="3"/>
      <c r="X17" s="3"/>
      <c r="Y17" s="3"/>
      <c r="Z17" s="3"/>
      <c r="AA17" s="3"/>
      <c r="AB17" s="3"/>
      <c r="AC17" s="3"/>
      <c r="AD17" s="3"/>
    </row>
    <row r="18">
      <c r="A18" s="3"/>
      <c r="B18" s="8" t="s">
        <v>59</v>
      </c>
      <c r="C18" s="26">
        <v>0.65</v>
      </c>
      <c r="D18" s="3"/>
      <c r="E18" s="8" t="s">
        <v>60</v>
      </c>
      <c r="F18" s="37">
        <f>435.9%*0.7</f>
        <v>3.0513</v>
      </c>
      <c r="G18" s="3"/>
      <c r="H18" s="11" t="s">
        <v>17</v>
      </c>
      <c r="I18" s="55">
        <v>0.13</v>
      </c>
      <c r="J18" s="48"/>
      <c r="K18" s="18">
        <f>($U$15+J18)/$U$15-1</f>
        <v>0</v>
      </c>
      <c r="L18" s="18">
        <f>(14%*1.75+V15)/V15-1</f>
        <v>0.1289473684</v>
      </c>
      <c r="M18" s="3"/>
      <c r="N18" s="11" t="s">
        <v>17</v>
      </c>
      <c r="O18" s="48"/>
      <c r="P18" s="48"/>
      <c r="Q18" s="18">
        <f>($U$15+P18)/$U$15-1</f>
        <v>0</v>
      </c>
      <c r="R18" s="18">
        <f>(14%*1.75+V15)/V15-1</f>
        <v>0.1289473684</v>
      </c>
      <c r="S18" s="3"/>
      <c r="T18" s="11" t="s">
        <v>119</v>
      </c>
      <c r="U18" s="30">
        <f>IF(C23+I15+I25+O25+O15+I38+O38+I54&gt;100%,100%,C23+I15+I25+O25+O15+I38+O38+I54)</f>
        <v>0.388</v>
      </c>
      <c r="V18" s="30">
        <f>IF(U18+J15+P15+P25+J25+J38+P38+J54&gt;100%,100%,U18+J15+P15+P25+J25+J38+P38+J54)</f>
        <v>0.388</v>
      </c>
      <c r="W18" s="3"/>
      <c r="X18" s="3"/>
      <c r="Y18" s="3"/>
      <c r="Z18" s="3"/>
      <c r="AA18" s="3"/>
      <c r="AB18" s="3"/>
      <c r="AC18" s="3"/>
      <c r="AD18" s="3"/>
    </row>
    <row r="19">
      <c r="A19" s="3"/>
      <c r="B19" s="8" t="s">
        <v>61</v>
      </c>
      <c r="C19" s="35">
        <v>15.0</v>
      </c>
      <c r="D19" s="3"/>
      <c r="E19" s="8" t="s">
        <v>62</v>
      </c>
      <c r="F19" s="35">
        <f>123.7%*0.2</f>
        <v>0.2474</v>
      </c>
      <c r="G19" s="3"/>
      <c r="H19" s="11" t="s">
        <v>21</v>
      </c>
      <c r="I19" s="55">
        <v>0.51</v>
      </c>
      <c r="J19" s="48"/>
      <c r="K19" s="18">
        <f>($U$16+J19)/$U$16-1</f>
        <v>0</v>
      </c>
      <c r="L19" s="18">
        <f>IF(C24=TRUE,(30%*1.75+V16)/V16-1,0)</f>
        <v>0</v>
      </c>
      <c r="M19" s="3"/>
      <c r="N19" s="11" t="s">
        <v>21</v>
      </c>
      <c r="O19" s="48"/>
      <c r="P19" s="48"/>
      <c r="Q19" s="18">
        <f>($U$16+P19)/$U$16-1</f>
        <v>0</v>
      </c>
      <c r="R19" s="18">
        <f>IF(C24=TRUE,(30%*1.75+V16)/V16-1,0)</f>
        <v>0</v>
      </c>
      <c r="S19" s="3"/>
      <c r="T19" s="11" t="s">
        <v>120</v>
      </c>
      <c r="U19" s="30">
        <f>IF(C25=TRUE,(IF(I40=TRUE,1.1,IF(I41=TRUE,1.2,0))+(IF(O40=TRUE,1.1,IF(O41=TRUE,1.2,0))))/2*(100%+U18),1)</f>
        <v>1.5268</v>
      </c>
      <c r="V19" s="30">
        <f>IF(C25=TRUE,(IF(I40=TRUE,1.1,IF(I41=TRUE,1.2,0))+(IF(O40=TRUE,1.1,IF(O41=TRUE,1.2,0))))/2*(100%+V18),1)</f>
        <v>1.5268</v>
      </c>
      <c r="W19" s="3"/>
      <c r="X19" s="3"/>
      <c r="Y19" s="3"/>
      <c r="Z19" s="3"/>
      <c r="AA19" s="3"/>
      <c r="AB19" s="3"/>
      <c r="AC19" s="3"/>
      <c r="AD19" s="3"/>
    </row>
    <row r="20">
      <c r="A20" s="3"/>
      <c r="B20" s="8" t="s">
        <v>63</v>
      </c>
      <c r="C20" s="35">
        <f>14+7</f>
        <v>21</v>
      </c>
      <c r="D20" s="3"/>
      <c r="E20" s="8" t="s">
        <v>64</v>
      </c>
      <c r="F20" s="29"/>
      <c r="G20" s="3"/>
      <c r="H20" s="31" t="s">
        <v>65</v>
      </c>
      <c r="I20" s="32"/>
      <c r="J20" s="48"/>
      <c r="K20" s="18">
        <f>($U$17+J20)/$U$17-1</f>
        <v>0</v>
      </c>
      <c r="L20" s="18">
        <f>(10%*1.75+V17)/V17-1</f>
        <v>0.06227758007</v>
      </c>
      <c r="M20" s="3"/>
      <c r="N20" s="31" t="s">
        <v>65</v>
      </c>
      <c r="O20" s="32"/>
      <c r="P20" s="32"/>
      <c r="Q20" s="18">
        <f>($U$17+P20)/$U$17-1</f>
        <v>0</v>
      </c>
      <c r="R20" s="18">
        <f>(10%*1.75+V17)/V17-1</f>
        <v>0.06227758007</v>
      </c>
      <c r="S20" s="3"/>
      <c r="T20" s="11" t="s">
        <v>66</v>
      </c>
      <c r="U20" s="40">
        <f t="shared" ref="U20:V20" si="5">U6*U8*U12*U15*U16*U17*U11*0.2*U19</f>
        <v>1245942.355</v>
      </c>
      <c r="V20" s="40">
        <f t="shared" si="5"/>
        <v>1245942.355</v>
      </c>
      <c r="W20" s="3"/>
      <c r="X20" s="3"/>
      <c r="Y20" s="3"/>
      <c r="Z20" s="3"/>
      <c r="AA20" s="3"/>
      <c r="AB20" s="3"/>
      <c r="AC20" s="3"/>
      <c r="AD20" s="3"/>
    </row>
    <row r="21">
      <c r="A21" s="3"/>
      <c r="B21" s="8"/>
      <c r="C21" s="8"/>
      <c r="D21" s="3"/>
      <c r="E21" s="8" t="s">
        <v>67</v>
      </c>
      <c r="F21" s="29"/>
      <c r="G21" s="3"/>
      <c r="H21" s="11" t="s">
        <v>115</v>
      </c>
      <c r="I21" s="47">
        <v>139.0</v>
      </c>
      <c r="J21" s="32"/>
      <c r="K21" s="18">
        <f>(1+($U$7+J21)/800)/$U$8-1</f>
        <v>0</v>
      </c>
      <c r="L21" s="18">
        <f>(1+(V7+(121*1.75))/800)/(1+V7/800)-1</f>
        <v>0.06326561099</v>
      </c>
      <c r="M21" s="3"/>
      <c r="N21" s="11" t="s">
        <v>115</v>
      </c>
      <c r="O21" s="47">
        <v>214.0</v>
      </c>
      <c r="P21" s="32"/>
      <c r="Q21" s="18">
        <f>(1+($U$7+P21)/800)/$U$8-1</f>
        <v>0</v>
      </c>
      <c r="R21" s="18">
        <f>(1+(V7+(121*1.75))/800)/(1+V7/800)-1</f>
        <v>0.06326561099</v>
      </c>
      <c r="S21" s="3"/>
      <c r="T21" s="11" t="s">
        <v>68</v>
      </c>
      <c r="U21" s="36">
        <f>U20/V20-1</f>
        <v>0</v>
      </c>
      <c r="V21" s="36">
        <f>V20/U20-1</f>
        <v>0</v>
      </c>
      <c r="W21" s="3"/>
      <c r="X21" s="3"/>
      <c r="Y21" s="3"/>
      <c r="Z21" s="3"/>
      <c r="AA21" s="3"/>
      <c r="AB21" s="3"/>
      <c r="AC21" s="3"/>
      <c r="AD21" s="3"/>
    </row>
    <row r="22">
      <c r="A22" s="3"/>
      <c r="B22" s="8" t="s">
        <v>69</v>
      </c>
      <c r="C22" s="26">
        <v>0.5</v>
      </c>
      <c r="D22" s="3"/>
      <c r="E22" s="8" t="s">
        <v>70</v>
      </c>
      <c r="F22" s="29"/>
      <c r="G22" s="3"/>
      <c r="H22" s="11" t="s">
        <v>42</v>
      </c>
      <c r="I22" s="32"/>
      <c r="J22" s="32"/>
      <c r="K22" s="17"/>
      <c r="L22" s="18">
        <f>IF($C$24=TRUE,0%,(($V$24*IF(((5%*1.75)+$V$9)&gt;100%,100%,((5%*1.75)+$V$9)))+($V$23*(1-(IF(((5%*1.75)+$V$9)&gt;100%,100%,((5%*1.75)+$V$9))))))/(($V$24*($V$9))+($V$23*(1-$V$9)))-1)</f>
        <v>0.03301886792</v>
      </c>
      <c r="M22" s="3"/>
      <c r="N22" s="11" t="s">
        <v>42</v>
      </c>
      <c r="O22" s="55">
        <v>0.15</v>
      </c>
      <c r="P22" s="32"/>
      <c r="Q22" s="17"/>
      <c r="R22" s="18">
        <f>IF($C$24=TRUE,0%,(($V$24*IF(((5%*1.75)+$V$9)&gt;100%,100%,((5%*1.75)+$V$9)))+($V$23*(1-(IF(((5%*1.75)+$V$9)&gt;100%,100%,((5%*1.75)+$V$9))))))/(($V$24*($V$9))+($V$23*(1-$V$9)))-1)</f>
        <v>0.03301886792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3"/>
      <c r="B23" s="8" t="s">
        <v>71</v>
      </c>
      <c r="C23" s="26">
        <v>0.2</v>
      </c>
      <c r="D23" s="3"/>
      <c r="E23" s="8" t="s">
        <v>72</v>
      </c>
      <c r="F23" s="29"/>
      <c r="G23" s="3"/>
      <c r="H23" s="11" t="s">
        <v>46</v>
      </c>
      <c r="I23" s="55">
        <v>0.75</v>
      </c>
      <c r="J23" s="32"/>
      <c r="K23" s="18">
        <f>($U$12+J23)/($U$12)-1</f>
        <v>0</v>
      </c>
      <c r="L23" s="18">
        <f>(40%*1.75+V12)/(V12)-1</f>
        <v>0.04719939045</v>
      </c>
      <c r="M23" s="3"/>
      <c r="N23" s="11" t="s">
        <v>46</v>
      </c>
      <c r="O23" s="55">
        <v>0.75</v>
      </c>
      <c r="P23" s="32"/>
      <c r="Q23" s="17"/>
      <c r="R23" s="18">
        <f>(40%*1.75+V12)/(V12)-1</f>
        <v>0.04719939045</v>
      </c>
      <c r="S23" s="3"/>
      <c r="T23" s="11" t="s">
        <v>73</v>
      </c>
      <c r="U23" s="42">
        <f>U6*U8*U12*U15*U17*U11*0.2*U19*(1+U34)</f>
        <v>1245942.355</v>
      </c>
      <c r="V23" s="42">
        <f>V6*V8*V12*V15*V17*V11*0.2*V19*(1+U34+V35)</f>
        <v>1245942.355</v>
      </c>
      <c r="W23" s="3"/>
      <c r="X23" s="3"/>
      <c r="Y23" s="3"/>
      <c r="Z23" s="3"/>
      <c r="AA23" s="3"/>
      <c r="AB23" s="3"/>
      <c r="AC23" s="3"/>
      <c r="AD23" s="3"/>
    </row>
    <row r="24">
      <c r="A24" s="3"/>
      <c r="B24" s="7" t="s">
        <v>74</v>
      </c>
      <c r="C24" s="43" t="b">
        <v>0</v>
      </c>
      <c r="D24" s="3"/>
      <c r="E24" s="8" t="s">
        <v>121</v>
      </c>
      <c r="F24" s="29"/>
      <c r="G24" s="3"/>
      <c r="H24" s="11" t="s">
        <v>49</v>
      </c>
      <c r="I24" s="32"/>
      <c r="J24" s="32"/>
      <c r="K24" s="17"/>
      <c r="L24" s="18">
        <f>((50%*1.75+$V$13)*($V$9)+(1*(1-$V$9)))/(($V$13)*($V$9)+(1*(1-$V$9)))-1</f>
        <v>0.05693218838</v>
      </c>
      <c r="M24" s="3"/>
      <c r="N24" s="11" t="s">
        <v>49</v>
      </c>
      <c r="O24" s="32"/>
      <c r="P24" s="32"/>
      <c r="Q24" s="17"/>
      <c r="R24" s="18">
        <f>((50%*1.75+$V$13)*($V$9)+(1*(1-$V$9)))/(($V$13)*($V$9)+(1*(1-$V$9)))-1</f>
        <v>0.05693218838</v>
      </c>
      <c r="S24" s="3"/>
      <c r="T24" s="11" t="s">
        <v>76</v>
      </c>
      <c r="U24" s="42">
        <f>U6*U8*U13*U15*U14*U17*U11*1.5*0.2*U19*(1+U33+U34)</f>
        <v>1868913.532</v>
      </c>
      <c r="V24" s="42">
        <f>V6*V8*V13*V15*V14*V17*V11*1.5*0.2*V19*(1+U33+V33+U34+V34)</f>
        <v>1868913.532</v>
      </c>
      <c r="W24" s="3"/>
      <c r="X24" s="3"/>
      <c r="Y24" s="3"/>
      <c r="Z24" s="3"/>
      <c r="AA24" s="3"/>
      <c r="AB24" s="3"/>
      <c r="AC24" s="3"/>
      <c r="AD24" s="3"/>
    </row>
    <row r="25">
      <c r="A25" s="3"/>
      <c r="B25" s="7" t="s">
        <v>122</v>
      </c>
      <c r="C25" s="43" t="b">
        <v>1</v>
      </c>
      <c r="D25" s="3"/>
      <c r="E25" s="8" t="s">
        <v>123</v>
      </c>
      <c r="F25" s="29"/>
      <c r="G25" s="3"/>
      <c r="H25" s="11" t="s">
        <v>117</v>
      </c>
      <c r="I25" s="32"/>
      <c r="J25" s="32"/>
      <c r="K25" s="17"/>
      <c r="L25" s="18">
        <f>IF($C$25=TRUE,(100%+10%*1.75+$V$18)/(100%+$V$18)-1,0)</f>
        <v>0.1260806916</v>
      </c>
      <c r="M25" s="3"/>
      <c r="N25" s="11" t="s">
        <v>117</v>
      </c>
      <c r="O25" s="55">
        <v>0.188</v>
      </c>
      <c r="P25" s="51"/>
      <c r="Q25" s="17"/>
      <c r="R25" s="18">
        <f>IF($C$25=TRUE,(100%+10%*1.75+$V$18)/(100%+$V$18)-1,0)</f>
        <v>0.1260806916</v>
      </c>
      <c r="S25" s="3"/>
      <c r="T25" s="11" t="s">
        <v>78</v>
      </c>
      <c r="U25" s="42">
        <f t="shared" ref="U25:V25" si="6">U24*(U9)+U23*(1-U9)</f>
        <v>1650873.62</v>
      </c>
      <c r="V25" s="42">
        <f t="shared" si="6"/>
        <v>1650873.62</v>
      </c>
      <c r="W25" s="3"/>
      <c r="X25" s="3"/>
      <c r="Y25" s="3"/>
      <c r="Z25" s="3"/>
      <c r="AA25" s="3"/>
      <c r="AB25" s="3"/>
      <c r="AC25" s="3"/>
      <c r="AD25" s="3"/>
    </row>
    <row r="26">
      <c r="A26" s="3"/>
      <c r="B26" s="3"/>
      <c r="C26" s="3"/>
      <c r="D26" s="3"/>
      <c r="E26" s="8" t="s">
        <v>124</v>
      </c>
      <c r="F26" s="2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11" t="s">
        <v>81</v>
      </c>
      <c r="U26" s="36">
        <f>U25/V25-1</f>
        <v>0</v>
      </c>
      <c r="V26" s="36">
        <f>V25/U25-1</f>
        <v>0</v>
      </c>
      <c r="W26" s="3"/>
      <c r="X26" s="3"/>
      <c r="Y26" s="3"/>
      <c r="Z26" s="3"/>
      <c r="AA26" s="3"/>
      <c r="AB26" s="3"/>
      <c r="AC26" s="3"/>
      <c r="AD26" s="3"/>
    </row>
    <row r="27">
      <c r="A27" s="3"/>
      <c r="B27" s="7" t="s">
        <v>125</v>
      </c>
      <c r="C27" s="65">
        <v>1.3</v>
      </c>
      <c r="D27" s="3"/>
      <c r="E27" s="8" t="s">
        <v>126</v>
      </c>
      <c r="F27" s="29"/>
      <c r="G27" s="3"/>
      <c r="H27" s="44" t="s">
        <v>80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3"/>
      <c r="B28" s="7" t="s">
        <v>127</v>
      </c>
      <c r="C28" s="65">
        <v>0.65</v>
      </c>
      <c r="D28" s="3"/>
      <c r="E28" s="8" t="s">
        <v>128</v>
      </c>
      <c r="F28" s="29"/>
      <c r="G28" s="3"/>
      <c r="H28" s="10" t="s">
        <v>83</v>
      </c>
      <c r="I28" s="11" t="s">
        <v>6</v>
      </c>
      <c r="J28" s="11" t="s">
        <v>7</v>
      </c>
      <c r="K28" s="17" t="s">
        <v>8</v>
      </c>
      <c r="L28" s="11" t="s">
        <v>9</v>
      </c>
      <c r="M28" s="3"/>
      <c r="N28" s="10" t="s">
        <v>84</v>
      </c>
      <c r="O28" s="11" t="s">
        <v>6</v>
      </c>
      <c r="P28" s="11" t="s">
        <v>7</v>
      </c>
      <c r="Q28" s="17" t="s">
        <v>8</v>
      </c>
      <c r="R28" s="11" t="s">
        <v>9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3"/>
      <c r="B29" s="3"/>
      <c r="C29" s="66"/>
      <c r="D29" s="3"/>
      <c r="E29" s="8"/>
      <c r="F29" s="8"/>
      <c r="G29" s="3"/>
      <c r="H29" s="11" t="s">
        <v>15</v>
      </c>
      <c r="I29" s="32"/>
      <c r="J29" s="32"/>
      <c r="K29" s="17"/>
      <c r="L29" s="18">
        <f>((25%*1.75+$V$14)*($V$24/$V$14)*($V$9)+(V23*(1-$V$9)))/($V$24*($V$9)+(V23*(1-$V$9)))-1</f>
        <v>0.3219339623</v>
      </c>
      <c r="M29" s="3"/>
      <c r="N29" s="11" t="s">
        <v>15</v>
      </c>
      <c r="O29" s="32"/>
      <c r="P29" s="32"/>
      <c r="Q29" s="17"/>
      <c r="R29" s="18">
        <f>((25%*1.75+$V$14)*($V$24/$V$14)*($V$9)+(V23*(1-$V$9)))/($V$24*($V$9)+(V23*(1-$V$9)))-1</f>
        <v>0.3219339623</v>
      </c>
      <c r="S29" s="3"/>
      <c r="T29" s="45" t="s">
        <v>86</v>
      </c>
      <c r="U29" s="46"/>
      <c r="V29" s="46"/>
      <c r="W29" s="5"/>
      <c r="X29" s="3"/>
      <c r="Y29" s="3"/>
      <c r="Z29" s="3"/>
      <c r="AA29" s="3"/>
      <c r="AB29" s="3"/>
      <c r="AC29" s="3"/>
      <c r="AD29" s="3"/>
    </row>
    <row r="30">
      <c r="A30" s="3"/>
      <c r="B30" s="3"/>
      <c r="C30" s="3"/>
      <c r="D30" s="3"/>
      <c r="E30" s="8" t="s">
        <v>87</v>
      </c>
      <c r="F30" s="25">
        <f>SUM(F7:F28)</f>
        <v>7.9507</v>
      </c>
      <c r="G30" s="3"/>
      <c r="H30" s="11" t="s">
        <v>21</v>
      </c>
      <c r="I30" s="55">
        <v>0.49</v>
      </c>
      <c r="J30" s="32"/>
      <c r="K30" s="18">
        <f>($U$16+J30)/$U$16-1</f>
        <v>0</v>
      </c>
      <c r="L30" s="18">
        <f>IF(C24=TRUE,(30%*1.75+V16)/V16-1,0)</f>
        <v>0</v>
      </c>
      <c r="M30" s="3"/>
      <c r="N30" s="11" t="s">
        <v>21</v>
      </c>
      <c r="O30" s="51">
        <v>0.45</v>
      </c>
      <c r="P30" s="32"/>
      <c r="Q30" s="18">
        <f>($U$16+P30)/$U$16-1</f>
        <v>0</v>
      </c>
      <c r="R30" s="18">
        <f>IF(C24=TRUE,(30%*1.75+V16)/V16-1,0)</f>
        <v>0</v>
      </c>
      <c r="S30" s="3"/>
      <c r="T30" s="11" t="s">
        <v>6</v>
      </c>
      <c r="U30" s="31" t="s">
        <v>6</v>
      </c>
      <c r="V30" s="31" t="s">
        <v>7</v>
      </c>
      <c r="W30" s="11" t="s">
        <v>9</v>
      </c>
      <c r="X30" s="3"/>
      <c r="Y30" s="3"/>
      <c r="Z30" s="3"/>
      <c r="AA30" s="3"/>
      <c r="AB30" s="3"/>
      <c r="AC30" s="3"/>
      <c r="AD30" s="3"/>
    </row>
    <row r="31">
      <c r="A31" s="3"/>
      <c r="B31" s="3"/>
      <c r="C31" s="3"/>
      <c r="D31" s="3"/>
      <c r="E31" s="8" t="s">
        <v>88</v>
      </c>
      <c r="F31" s="25">
        <f>SUM(F6:F28)</f>
        <v>7.9507</v>
      </c>
      <c r="G31" s="3"/>
      <c r="H31" s="31" t="s">
        <v>65</v>
      </c>
      <c r="I31" s="32"/>
      <c r="J31" s="32"/>
      <c r="K31" s="18">
        <f>($U$17+J31)/$U$17-1</f>
        <v>0</v>
      </c>
      <c r="L31" s="18">
        <f>(10%*1.75+V17)/V17-1</f>
        <v>0.06227758007</v>
      </c>
      <c r="M31" s="3"/>
      <c r="N31" s="31" t="s">
        <v>65</v>
      </c>
      <c r="O31" s="55">
        <v>0.45</v>
      </c>
      <c r="P31" s="32"/>
      <c r="Q31" s="18">
        <f>($U$17+P31)/$U$17-1</f>
        <v>0</v>
      </c>
      <c r="R31" s="18">
        <f>(10%*1.75+V17)/V17-1</f>
        <v>0.06227758007</v>
      </c>
      <c r="S31" s="3"/>
      <c r="T31" s="38" t="s">
        <v>89</v>
      </c>
      <c r="U31" s="48"/>
      <c r="V31" s="48"/>
      <c r="W31" s="49">
        <f>(1+(U7*1.08/800))/(1+(U7/800))-1</f>
        <v>0.06087839857</v>
      </c>
      <c r="X31" s="3"/>
      <c r="Y31" s="3"/>
      <c r="Z31" s="3"/>
      <c r="AA31" s="3"/>
      <c r="AB31" s="3"/>
      <c r="AC31" s="3"/>
      <c r="AD31" s="3"/>
    </row>
    <row r="32">
      <c r="A32" s="3"/>
      <c r="B32" s="3"/>
      <c r="C32" s="3"/>
      <c r="D32" s="3"/>
      <c r="E32" s="8"/>
      <c r="F32" s="8"/>
      <c r="G32" s="3"/>
      <c r="H32" s="11" t="s">
        <v>115</v>
      </c>
      <c r="I32" s="47">
        <v>201.0</v>
      </c>
      <c r="J32" s="32"/>
      <c r="K32" s="18">
        <f>(1+($U$7+J32)/800)/$U$8-1</f>
        <v>0</v>
      </c>
      <c r="L32" s="18">
        <f>(1+(V7+(180*1.75))/800)/(1+V7/800)-1</f>
        <v>0.09411413206</v>
      </c>
      <c r="M32" s="3"/>
      <c r="N32" s="11" t="s">
        <v>115</v>
      </c>
      <c r="O32" s="47">
        <v>200.0</v>
      </c>
      <c r="P32" s="32"/>
      <c r="Q32" s="18">
        <f>(1+($U$7+P32)/800)/$U$8-1</f>
        <v>0</v>
      </c>
      <c r="R32" s="18">
        <f>(1+(V7+(180*1.75))/800)/(1+V7/800)-1</f>
        <v>0.09411413206</v>
      </c>
      <c r="S32" s="3"/>
      <c r="T32" s="38" t="s">
        <v>90</v>
      </c>
      <c r="U32" s="32"/>
      <c r="V32" s="32"/>
      <c r="W32" s="49">
        <f>(1+(U7*1.1/800))/(1+(U7/800))-1</f>
        <v>0.07609799821</v>
      </c>
      <c r="X32" s="3"/>
      <c r="Y32" s="3"/>
      <c r="Z32" s="3"/>
      <c r="AA32" s="3"/>
      <c r="AB32" s="3"/>
      <c r="AC32" s="3"/>
      <c r="AD32" s="3"/>
    </row>
    <row r="33">
      <c r="A33" s="3"/>
      <c r="B33" s="3"/>
      <c r="C33" s="3"/>
      <c r="D33" s="3"/>
      <c r="E33" s="8" t="s">
        <v>91</v>
      </c>
      <c r="F33" s="23"/>
      <c r="G33" s="3"/>
      <c r="H33" s="11" t="s">
        <v>46</v>
      </c>
      <c r="I33" s="55">
        <v>0.75</v>
      </c>
      <c r="J33" s="32"/>
      <c r="K33" s="18">
        <f>($U$12+J33)/($U$12)-1</f>
        <v>0</v>
      </c>
      <c r="L33" s="18">
        <f>(40%*1.75+V12)/(V12)-1</f>
        <v>0.04719939045</v>
      </c>
      <c r="M33" s="3"/>
      <c r="N33" s="11" t="s">
        <v>46</v>
      </c>
      <c r="O33" s="55">
        <v>0.75</v>
      </c>
      <c r="P33" s="32"/>
      <c r="Q33" s="18">
        <f>($U$12+P33)/($U$12)-1</f>
        <v>0</v>
      </c>
      <c r="R33" s="18">
        <f>(40%*1.75+V12)/(V12)-1</f>
        <v>0.04719939045</v>
      </c>
      <c r="S33" s="3"/>
      <c r="T33" s="38" t="s">
        <v>92</v>
      </c>
      <c r="U33" s="32"/>
      <c r="V33" s="51"/>
      <c r="W33" s="52">
        <f>0.25*((V24*V9)/((V24*V9)+V23*(1-V9)))</f>
        <v>0.1839622642</v>
      </c>
      <c r="X33" s="3"/>
      <c r="Y33" s="3"/>
      <c r="Z33" s="3"/>
      <c r="AA33" s="3"/>
      <c r="AB33" s="3"/>
      <c r="AC33" s="3"/>
      <c r="AD33" s="3"/>
    </row>
    <row r="34">
      <c r="A34" s="3"/>
      <c r="B34" s="3"/>
      <c r="C34" s="3"/>
      <c r="D34" s="3"/>
      <c r="E34" s="3"/>
      <c r="F34" s="3"/>
      <c r="G34" s="3"/>
      <c r="H34" s="11" t="s">
        <v>49</v>
      </c>
      <c r="I34" s="32"/>
      <c r="J34" s="32"/>
      <c r="K34" s="17"/>
      <c r="L34" s="18">
        <f>((50%*1.75+$V$13)*($V$9)+(1*(1-$V$9)))/(($V$13)*($V$9)+(1*(1-$V$9)))-1</f>
        <v>0.05693218838</v>
      </c>
      <c r="M34" s="3"/>
      <c r="N34" s="11" t="s">
        <v>49</v>
      </c>
      <c r="O34" s="32"/>
      <c r="P34" s="32"/>
      <c r="Q34" s="17"/>
      <c r="R34" s="18">
        <f>((50%*1.75+$V$13)*($V$9)+(1*(1-$V$9)))/(($V$13)*($V$9)+(1*(1-$V$9)))-1</f>
        <v>0.05693218838</v>
      </c>
      <c r="S34" s="3"/>
      <c r="T34" s="38" t="s">
        <v>93</v>
      </c>
      <c r="U34" s="19"/>
      <c r="V34" s="19"/>
      <c r="W34" s="54">
        <v>0.2</v>
      </c>
      <c r="X34" s="3"/>
      <c r="Y34" s="3"/>
      <c r="Z34" s="3"/>
      <c r="AA34" s="3"/>
      <c r="AB34" s="3"/>
      <c r="AC34" s="3"/>
      <c r="AD34" s="3"/>
    </row>
    <row r="35">
      <c r="A35" s="3"/>
      <c r="B35" s="3"/>
      <c r="C35" s="3"/>
      <c r="D35" s="3"/>
      <c r="E35" s="3"/>
      <c r="F35" s="3"/>
      <c r="G35" s="3"/>
      <c r="H35" s="11" t="s">
        <v>129</v>
      </c>
      <c r="I35" s="47">
        <v>139.0</v>
      </c>
      <c r="J35" s="32"/>
      <c r="K35" s="17"/>
      <c r="L35" s="18">
        <f>(U6+IF(I40=TRUE,157*1.75,IF(I41=TRUE,143*1.75,0)))/U6-1</f>
        <v>0.07032249808</v>
      </c>
      <c r="M35" s="3"/>
      <c r="N35" s="11" t="s">
        <v>129</v>
      </c>
      <c r="O35" s="47"/>
      <c r="P35" s="32"/>
      <c r="Q35" s="17"/>
      <c r="R35" s="18">
        <f>(U6+IF(O40=TRUE,157*1.75,IF(O41=TRUE,143*1.75,0)))/U6-1</f>
        <v>0.07032249808</v>
      </c>
      <c r="S35" s="3"/>
      <c r="T35" s="38" t="s">
        <v>95</v>
      </c>
      <c r="U35" s="32"/>
      <c r="V35" s="51"/>
      <c r="W35" s="52">
        <f>IF($C$24=TRUE,0%,(($V$24*IF(((10%)+$V$9)&gt;100%,100%,((10%)+$V$9)))+($V$23*(1-(IF(((10%)+$V$9)&gt;100%,100%,((10%)+$V$9))))))/(($V$24*($V$9))+($V$23*(1-$V$9)))-1)</f>
        <v>0.03773584906</v>
      </c>
      <c r="X35" s="3"/>
      <c r="Y35" s="3"/>
      <c r="Z35" s="3"/>
      <c r="AA35" s="3"/>
      <c r="AB35" s="3"/>
      <c r="AC35" s="3"/>
      <c r="AD35" s="3"/>
    </row>
    <row r="36">
      <c r="A36" s="3"/>
      <c r="B36" s="3"/>
      <c r="C36" s="3"/>
      <c r="D36" s="3"/>
      <c r="E36" s="3"/>
      <c r="F36" s="3"/>
      <c r="G36" s="3"/>
      <c r="H36" s="11" t="s">
        <v>94</v>
      </c>
      <c r="I36" s="55">
        <v>0.22</v>
      </c>
      <c r="J36" s="48"/>
      <c r="K36" s="17"/>
      <c r="L36" s="17"/>
      <c r="M36" s="3"/>
      <c r="N36" s="11" t="s">
        <v>94</v>
      </c>
      <c r="O36" s="55">
        <v>0.22</v>
      </c>
      <c r="P36" s="32"/>
      <c r="Q36" s="17"/>
      <c r="R36" s="1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3"/>
      <c r="B37" s="3"/>
      <c r="C37" s="3"/>
      <c r="D37" s="3"/>
      <c r="E37" s="3"/>
      <c r="F37" s="3"/>
      <c r="G37" s="3"/>
      <c r="H37" s="31" t="s">
        <v>96</v>
      </c>
      <c r="I37" s="55"/>
      <c r="J37" s="32"/>
      <c r="K37" s="11"/>
      <c r="L37" s="57">
        <f>IF($C$24=TRUE,0%,(($V$24*IF(((2%*1.75)+$V$9)&gt;100%,100%,((2%*1.75)+$V$9)))+($V$23*(1-(IF(((2%*1.75)+$V$9)&gt;100%,100%,((2%*1.75)+$V$9))))))/(($V$24*($V$9))+($V$23*(1-$V$9)))-1)</f>
        <v>0.01320754717</v>
      </c>
      <c r="M37" s="3"/>
      <c r="N37" s="31" t="s">
        <v>96</v>
      </c>
      <c r="O37" s="55"/>
      <c r="P37" s="32"/>
      <c r="Q37" s="11"/>
      <c r="R37" s="57">
        <f>IF($C$24=TRUE,0%,(($V$24*IF(((2%*1.75)+$V$9)&gt;100%,100%,((2%*1.75)+$V$9)))+($V$23*(1-(IF(((2%*1.75)+$V$9)&gt;100%,100%,((2%*1.75)+$V$9))))))/(($V$24*($V$9))+($V$23*(1-$V$9)))-1)</f>
        <v>0.01320754717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3"/>
      <c r="B38" s="3"/>
      <c r="C38" s="3"/>
      <c r="D38" s="3"/>
      <c r="E38" s="3"/>
      <c r="F38" s="3"/>
      <c r="G38" s="3"/>
      <c r="H38" s="11" t="s">
        <v>117</v>
      </c>
      <c r="I38" s="32"/>
      <c r="J38" s="32"/>
      <c r="K38" s="17"/>
      <c r="L38" s="18">
        <f>IF($C$25=TRUE,(100%+8%*1.75+$V$18)/(100%+$V$18)-1,0)</f>
        <v>0.1008645533</v>
      </c>
      <c r="M38" s="3"/>
      <c r="N38" s="11" t="s">
        <v>117</v>
      </c>
      <c r="O38" s="32"/>
      <c r="P38" s="32"/>
      <c r="Q38" s="17"/>
      <c r="R38" s="18">
        <f>IF($C$25=TRUE,(100%+8%*1.75+$V$18)/(100%+$V$18)-1,0)</f>
        <v>0.1008645533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3"/>
      <c r="B40" s="3"/>
      <c r="C40" s="3"/>
      <c r="D40" s="3"/>
      <c r="E40" s="3"/>
      <c r="F40" s="3"/>
      <c r="G40" s="3"/>
      <c r="H40" s="7" t="s">
        <v>108</v>
      </c>
      <c r="I40" s="60" t="b">
        <v>1</v>
      </c>
      <c r="J40" s="3"/>
      <c r="K40" s="59"/>
      <c r="L40" s="59"/>
      <c r="M40" s="3"/>
      <c r="N40" s="7" t="s">
        <v>108</v>
      </c>
      <c r="O40" s="60" t="b">
        <v>1</v>
      </c>
      <c r="P40" s="3"/>
      <c r="Q40" s="59"/>
      <c r="R40" s="59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3"/>
      <c r="B41" s="3"/>
      <c r="C41" s="3"/>
      <c r="D41" s="3"/>
      <c r="E41" s="3"/>
      <c r="F41" s="3"/>
      <c r="G41" s="3"/>
      <c r="H41" s="7" t="s">
        <v>130</v>
      </c>
      <c r="I41" s="60" t="b">
        <v>0</v>
      </c>
      <c r="J41" s="3"/>
      <c r="K41" s="59"/>
      <c r="L41" s="59"/>
      <c r="M41" s="3"/>
      <c r="N41" s="7" t="s">
        <v>130</v>
      </c>
      <c r="O41" s="60" t="b">
        <v>0</v>
      </c>
      <c r="P41" s="3"/>
      <c r="Q41" s="59"/>
      <c r="R41" s="59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59"/>
      <c r="L42" s="59"/>
      <c r="M42" s="3"/>
      <c r="N42" s="3"/>
      <c r="O42" s="3"/>
      <c r="P42" s="3"/>
      <c r="Q42" s="59"/>
      <c r="R42" s="59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59"/>
      <c r="L43" s="59"/>
      <c r="M43" s="3"/>
      <c r="N43" s="3"/>
      <c r="O43" s="3"/>
      <c r="P43" s="3"/>
      <c r="Q43" s="59"/>
      <c r="R43" s="59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3"/>
      <c r="B44" s="3"/>
      <c r="C44" s="3"/>
      <c r="D44" s="3"/>
      <c r="E44" s="3"/>
      <c r="F44" s="3"/>
      <c r="G44" s="3"/>
      <c r="H44" s="10" t="s">
        <v>101</v>
      </c>
      <c r="I44" s="11" t="s">
        <v>6</v>
      </c>
      <c r="J44" s="11" t="s">
        <v>7</v>
      </c>
      <c r="K44" s="17" t="s">
        <v>8</v>
      </c>
      <c r="L44" s="11" t="s">
        <v>9</v>
      </c>
      <c r="M44" s="3"/>
      <c r="N44" s="3"/>
      <c r="O44" s="3"/>
      <c r="P44" s="3"/>
      <c r="Q44" s="3"/>
      <c r="R44" s="59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3"/>
      <c r="B45" s="3"/>
      <c r="C45" s="3"/>
      <c r="D45" s="3"/>
      <c r="E45" s="3"/>
      <c r="F45" s="3"/>
      <c r="G45" s="3"/>
      <c r="H45" s="11" t="s">
        <v>15</v>
      </c>
      <c r="I45" s="32"/>
      <c r="J45" s="32"/>
      <c r="K45" s="17"/>
      <c r="L45" s="18">
        <f>((50%*1.75+$V$14)*($V$24/$V$14)*($V$9)+(V23*(1-$V$9)))/($V$24*($V$9)+(V23*(1-$V$9)))-1</f>
        <v>0.6438679245</v>
      </c>
      <c r="M45" s="3"/>
      <c r="N45" s="3"/>
      <c r="O45" s="3"/>
      <c r="P45" s="3"/>
      <c r="Q45" s="3"/>
      <c r="R45" s="59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3"/>
      <c r="B46" s="3"/>
      <c r="C46" s="3"/>
      <c r="D46" s="3"/>
      <c r="E46" s="3"/>
      <c r="F46" s="3"/>
      <c r="G46" s="3"/>
      <c r="H46" s="11" t="s">
        <v>21</v>
      </c>
      <c r="I46" s="55">
        <v>1.2</v>
      </c>
      <c r="J46" s="32"/>
      <c r="K46" s="18">
        <f>($U$16+J46)/$U$16-1</f>
        <v>0</v>
      </c>
      <c r="L46" s="18">
        <f>IF(C24=TRUE,(60%*1.75+V16)/V16-1,0)</f>
        <v>0</v>
      </c>
      <c r="M46" s="3"/>
      <c r="N46" s="3"/>
      <c r="O46" s="3"/>
      <c r="P46" s="3"/>
      <c r="Q46" s="3"/>
      <c r="R46" s="59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"/>
      <c r="B47" s="3"/>
      <c r="C47" s="3"/>
      <c r="D47" s="3"/>
      <c r="E47" s="3"/>
      <c r="F47" s="3"/>
      <c r="G47" s="3"/>
      <c r="H47" s="31" t="s">
        <v>65</v>
      </c>
      <c r="I47" s="55">
        <v>0.25</v>
      </c>
      <c r="J47" s="32"/>
      <c r="K47" s="18">
        <f>($U$17+J47)/$U$17-1</f>
        <v>0</v>
      </c>
      <c r="L47" s="18">
        <f>(20%*1.75+V17)/V17-1</f>
        <v>0.1245551601</v>
      </c>
      <c r="M47" s="3"/>
      <c r="N47" s="3"/>
      <c r="O47" s="3"/>
      <c r="P47" s="3"/>
      <c r="Q47" s="3"/>
      <c r="R47" s="59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3"/>
      <c r="B48" s="3"/>
      <c r="C48" s="3"/>
      <c r="D48" s="3"/>
      <c r="E48" s="3"/>
      <c r="F48" s="3"/>
      <c r="G48" s="3"/>
      <c r="H48" s="11" t="s">
        <v>115</v>
      </c>
      <c r="I48" s="47">
        <v>378.0</v>
      </c>
      <c r="J48" s="32"/>
      <c r="K48" s="18">
        <f>(1+($U$7+J48)/800)/$U$8-1</f>
        <v>0</v>
      </c>
      <c r="L48" s="18">
        <f>(1+(V7+(360*1.75))/800)/(1+V7/800)-1</f>
        <v>0.1882282641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"/>
      <c r="B49" s="3"/>
      <c r="C49" s="3"/>
      <c r="D49" s="3"/>
      <c r="E49" s="3"/>
      <c r="F49" s="3"/>
      <c r="G49" s="3"/>
      <c r="H49" s="11" t="s">
        <v>46</v>
      </c>
      <c r="I49" s="55">
        <v>1.5</v>
      </c>
      <c r="J49" s="32"/>
      <c r="K49" s="18">
        <f>($U$12+J49)/($U$12)-1</f>
        <v>0</v>
      </c>
      <c r="L49" s="18">
        <f>(80%*1.75+V12)/(V12)-1</f>
        <v>0.09439878091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"/>
      <c r="B50" s="3"/>
      <c r="C50" s="3"/>
      <c r="D50" s="3"/>
      <c r="E50" s="3"/>
      <c r="F50" s="3"/>
      <c r="G50" s="3"/>
      <c r="H50" s="11" t="s">
        <v>49</v>
      </c>
      <c r="I50" s="32"/>
      <c r="J50" s="32"/>
      <c r="K50" s="17"/>
      <c r="L50" s="18">
        <f>((100%*1.75+$V$13)*($V$9)+(1*(1-$V$9)))/(($V$13)*($V$9)+(1*(1-$V$9)))-1</f>
        <v>0.1138643768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/>
      <c r="B51" s="3"/>
      <c r="C51" s="3"/>
      <c r="D51" s="3"/>
      <c r="E51" s="3"/>
      <c r="F51" s="3"/>
      <c r="G51" s="3"/>
      <c r="H51" s="11" t="s">
        <v>129</v>
      </c>
      <c r="I51" s="32"/>
      <c r="J51" s="32"/>
      <c r="K51" s="17"/>
      <c r="L51" s="18">
        <f>(U6+IF(I56=TRUE,383*1.75,IF(I57=TRUE,314*1.75,0)))/U6-1</f>
        <v>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/>
      <c r="B52" s="3"/>
      <c r="C52" s="3"/>
      <c r="D52" s="3"/>
      <c r="E52" s="3"/>
      <c r="F52" s="3"/>
      <c r="G52" s="3"/>
      <c r="H52" s="11" t="s">
        <v>103</v>
      </c>
      <c r="I52" s="55">
        <v>0.44</v>
      </c>
      <c r="J52" s="32"/>
      <c r="K52" s="11"/>
      <c r="L52" s="17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"/>
      <c r="B53" s="3"/>
      <c r="C53" s="3"/>
      <c r="D53" s="3"/>
      <c r="E53" s="3"/>
      <c r="F53" s="3"/>
      <c r="G53" s="3"/>
      <c r="H53" s="31" t="s">
        <v>96</v>
      </c>
      <c r="I53" s="55"/>
      <c r="J53" s="32"/>
      <c r="K53" s="11"/>
      <c r="L53" s="63">
        <f>IF($C$24=TRUE,0%,(($V$24*IF(((5%*1.75)+$V$9)&gt;100%,100%,((5%*1.75)+$V$9)))+($V$23*(1-(IF(((5%*1.75)+$V$9)&gt;100%,100%,((5%*1.75)+$V$9))))))/(($V$24*($V$9))+($V$23*(1-$V$9)))-1)</f>
        <v>0.03301886792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"/>
      <c r="B54" s="3"/>
      <c r="C54" s="3"/>
      <c r="D54" s="3"/>
      <c r="E54" s="3"/>
      <c r="F54" s="3"/>
      <c r="G54" s="3"/>
      <c r="H54" s="11" t="s">
        <v>117</v>
      </c>
      <c r="I54" s="32"/>
      <c r="J54" s="32"/>
      <c r="K54" s="17"/>
      <c r="L54" s="18">
        <f>IF($C$25=TRUE,(100%+16%*1.75+$V$18)/(100%+$V$18)-1,0)</f>
        <v>0.2017291066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"/>
      <c r="B56" s="3"/>
      <c r="C56" s="3"/>
      <c r="D56" s="3"/>
      <c r="E56" s="3"/>
      <c r="F56" s="3"/>
      <c r="G56" s="3"/>
      <c r="H56" s="7" t="s">
        <v>131</v>
      </c>
      <c r="I56" s="58" t="b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3"/>
      <c r="C57" s="3"/>
      <c r="D57" s="3"/>
      <c r="E57" s="3"/>
      <c r="F57" s="3"/>
      <c r="G57" s="3"/>
      <c r="H57" s="7" t="s">
        <v>132</v>
      </c>
      <c r="I57" s="58" t="b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</sheetData>
  <mergeCells count="8">
    <mergeCell ref="B1:O2"/>
    <mergeCell ref="B3:C3"/>
    <mergeCell ref="E4:F4"/>
    <mergeCell ref="T4:V4"/>
    <mergeCell ref="B9:C9"/>
    <mergeCell ref="B17:C17"/>
    <mergeCell ref="H27:R27"/>
    <mergeCell ref="T29:W29"/>
  </mergeCells>
  <conditionalFormatting sqref="L5:L15">
    <cfRule type="expression" dxfId="0" priority="1">
      <formula>L5&gt;=LARGE($L$5:$L$15,4)</formula>
    </cfRule>
  </conditionalFormatting>
  <conditionalFormatting sqref="L17:L25">
    <cfRule type="expression" dxfId="0" priority="2">
      <formula>L17&gt;=LARGE($L$17:$L$25,4)</formula>
    </cfRule>
  </conditionalFormatting>
  <conditionalFormatting sqref="L29:L38">
    <cfRule type="expression" dxfId="0" priority="3">
      <formula>L29&gt;=LARGE($L$29:$L$38,4)</formula>
    </cfRule>
  </conditionalFormatting>
  <conditionalFormatting sqref="R5:R15">
    <cfRule type="expression" dxfId="0" priority="4">
      <formula>R5&gt;=LARGE($R$5:$R$15,4)</formula>
    </cfRule>
  </conditionalFormatting>
  <conditionalFormatting sqref="R17:R25">
    <cfRule type="expression" dxfId="0" priority="5">
      <formula>R17&gt;=LARGE($R$17:$R$25,4)</formula>
    </cfRule>
  </conditionalFormatting>
  <conditionalFormatting sqref="R29:R38">
    <cfRule type="expression" dxfId="0" priority="6">
      <formula>R29&gt;=LARGE($R$29:$R$38,4)</formula>
    </cfRule>
  </conditionalFormatting>
  <conditionalFormatting sqref="L45:L54">
    <cfRule type="expression" dxfId="0" priority="7">
      <formula>L45&gt;=LARGE($L$45:$L$54,4)</formula>
    </cfRule>
  </conditionalFormatting>
  <conditionalFormatting sqref="U21:V21">
    <cfRule type="cellIs" dxfId="0" priority="8" operator="greaterThan">
      <formula>"0%"</formula>
    </cfRule>
  </conditionalFormatting>
  <conditionalFormatting sqref="U21:V21">
    <cfRule type="cellIs" dxfId="1" priority="9" operator="lessThan">
      <formula>"0%"</formula>
    </cfRule>
  </conditionalFormatting>
  <conditionalFormatting sqref="U26:V26">
    <cfRule type="cellIs" dxfId="0" priority="10" operator="greaterThan">
      <formula>"0%"</formula>
    </cfRule>
  </conditionalFormatting>
  <conditionalFormatting sqref="U26:V26">
    <cfRule type="cellIs" dxfId="1" priority="11" operator="lessThan">
      <formula>"0%"</formula>
    </cfRule>
  </conditionalFormatting>
  <hyperlinks>
    <hyperlink r:id="rId1" ref="D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25"/>
    <col customWidth="1" min="6" max="6" width="15.13"/>
    <col customWidth="1" min="7" max="7" width="2.5"/>
    <col customWidth="1" min="8" max="8" width="12.5"/>
    <col customWidth="1" min="9" max="9" width="1.88"/>
    <col customWidth="1" min="10" max="10" width="11.0"/>
    <col customWidth="1" min="11" max="11" width="2.38"/>
    <col customWidth="1" min="12" max="12" width="5.0"/>
  </cols>
  <sheetData>
    <row r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67"/>
      <c r="B2" s="67"/>
      <c r="C2" s="2" t="s">
        <v>0</v>
      </c>
      <c r="Q2" s="67"/>
      <c r="R2" s="67"/>
      <c r="S2" s="67"/>
      <c r="T2" s="67"/>
      <c r="U2" s="67"/>
      <c r="V2" s="67"/>
      <c r="W2" s="67"/>
      <c r="X2" s="67"/>
      <c r="Y2" s="67"/>
      <c r="Z2" s="67"/>
    </row>
    <row r="3">
      <c r="A3" s="67"/>
      <c r="B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>
      <c r="A4" s="67"/>
      <c r="B4" s="67"/>
      <c r="C4" s="67"/>
      <c r="D4" s="67"/>
      <c r="E4" s="67"/>
      <c r="F4" s="68" t="s">
        <v>133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>
      <c r="A5" s="67"/>
      <c r="B5" s="67"/>
      <c r="C5" s="67"/>
      <c r="D5" s="67"/>
      <c r="E5" s="69"/>
      <c r="F5" s="67"/>
      <c r="G5" s="67"/>
      <c r="H5" s="67"/>
      <c r="I5" s="67"/>
      <c r="J5" s="67"/>
      <c r="K5" s="67"/>
      <c r="L5" s="67"/>
      <c r="M5" s="70" t="s">
        <v>134</v>
      </c>
      <c r="Q5" s="67"/>
      <c r="R5" s="70" t="s">
        <v>135</v>
      </c>
      <c r="V5" s="67"/>
      <c r="W5" s="67"/>
      <c r="X5" s="67"/>
      <c r="Y5" s="67"/>
      <c r="Z5" s="67"/>
    </row>
    <row r="6">
      <c r="A6" s="67"/>
      <c r="B6" s="67"/>
      <c r="C6" s="71"/>
      <c r="D6" s="71"/>
      <c r="E6" s="72"/>
      <c r="F6" s="73" t="s">
        <v>136</v>
      </c>
      <c r="G6" s="71"/>
      <c r="H6" s="73" t="s">
        <v>137</v>
      </c>
      <c r="I6" s="71"/>
      <c r="J6" s="73" t="s">
        <v>138</v>
      </c>
      <c r="K6" s="73"/>
      <c r="L6" s="74"/>
      <c r="M6" s="71"/>
      <c r="N6" s="73"/>
      <c r="O6" s="73" t="s">
        <v>139</v>
      </c>
      <c r="P6" s="73" t="s">
        <v>138</v>
      </c>
      <c r="Q6" s="67"/>
      <c r="R6" s="71"/>
      <c r="S6" s="75" t="s">
        <v>140</v>
      </c>
      <c r="T6" s="76"/>
      <c r="U6" s="77">
        <f>(1+$F$7+T6)/(1+$F$7)-1</f>
        <v>0</v>
      </c>
      <c r="V6" s="67"/>
      <c r="W6" s="67"/>
      <c r="X6" s="67"/>
      <c r="Y6" s="67"/>
      <c r="Z6" s="67"/>
    </row>
    <row r="7">
      <c r="A7" s="67"/>
      <c r="B7" s="67"/>
      <c r="C7" s="71"/>
      <c r="D7" s="71"/>
      <c r="E7" s="75" t="s">
        <v>140</v>
      </c>
      <c r="F7" s="78">
        <v>1.42</v>
      </c>
      <c r="G7" s="79"/>
      <c r="H7" s="78">
        <v>0.24</v>
      </c>
      <c r="I7" s="79"/>
      <c r="J7" s="80">
        <f>(1+F7+H7)/(1+F7)-1</f>
        <v>0.09917355372</v>
      </c>
      <c r="K7" s="71"/>
      <c r="L7" s="67"/>
      <c r="M7" s="71"/>
      <c r="N7" s="75" t="s">
        <v>140</v>
      </c>
      <c r="O7" s="76">
        <v>0.14</v>
      </c>
      <c r="P7" s="77">
        <f>(1+$F$7+O7)/(1+$F$7)-1</f>
        <v>0.05785123967</v>
      </c>
      <c r="Q7" s="67"/>
      <c r="R7" s="71"/>
      <c r="S7" s="75" t="s">
        <v>141</v>
      </c>
      <c r="T7" s="76">
        <v>0.25</v>
      </c>
      <c r="U7" s="77">
        <f>(1+(((1+$F$8+T7)*($F$9)+(1-$F$9))-1))/(1+(((1+$F$8)*($F$9)+(1-$F$9))-1))-1</f>
        <v>0.04578754579</v>
      </c>
      <c r="V7" s="67"/>
      <c r="W7" s="67"/>
      <c r="X7" s="67"/>
      <c r="Y7" s="67"/>
      <c r="Z7" s="67"/>
    </row>
    <row r="8">
      <c r="A8" s="67"/>
      <c r="B8" s="67"/>
      <c r="C8" s="71"/>
      <c r="D8" s="71"/>
      <c r="E8" s="75" t="s">
        <v>141</v>
      </c>
      <c r="F8" s="78">
        <v>4.21</v>
      </c>
      <c r="G8" s="79"/>
      <c r="H8" s="78">
        <v>0.8</v>
      </c>
      <c r="I8" s="79"/>
      <c r="J8" s="80">
        <f>(1+(((1+F8+H8)*(F9)+(1-F9))-1))/(1+(((1+F8)*(F9)+(1-F9))-1))-1</f>
        <v>0.1465201465</v>
      </c>
      <c r="K8" s="73"/>
      <c r="L8" s="67"/>
      <c r="M8" s="71"/>
      <c r="N8" s="75" t="s">
        <v>141</v>
      </c>
      <c r="O8" s="76">
        <v>0.25</v>
      </c>
      <c r="P8" s="77">
        <f>(1+(((1+$F$8+O8)*($F$9)+(1-$F$9))-1))/(1+(((1+$F$8)*($F$9)+(1-$F$9))-1))-1</f>
        <v>0.04578754579</v>
      </c>
      <c r="Q8" s="67"/>
      <c r="R8" s="71"/>
      <c r="S8" s="75" t="s">
        <v>142</v>
      </c>
      <c r="T8" s="76"/>
      <c r="U8" s="81">
        <f>(1+(((1+$F$8)*($F$9+T8)+(1-$F$9-T8))-1))/(1+(((1+$F$8)*($F$9)+(1-$F$9))-1))-1</f>
        <v>0</v>
      </c>
      <c r="V8" s="67"/>
      <c r="W8" s="67"/>
      <c r="X8" s="67"/>
      <c r="Y8" s="67"/>
      <c r="Z8" s="67"/>
    </row>
    <row r="9">
      <c r="A9" s="67"/>
      <c r="B9" s="67"/>
      <c r="C9" s="71"/>
      <c r="D9" s="71"/>
      <c r="E9" s="75" t="s">
        <v>142</v>
      </c>
      <c r="F9" s="78">
        <v>0.8</v>
      </c>
      <c r="G9" s="79"/>
      <c r="H9" s="78">
        <v>0.13</v>
      </c>
      <c r="I9" s="79"/>
      <c r="J9" s="80">
        <f>(1+(((1+F8)*(F9+H9)+(1-F9-H9))-1))/(1+(((1+F8)*(F9)+(1-F9))-1))-1</f>
        <v>0.125297619</v>
      </c>
      <c r="K9" s="73"/>
      <c r="L9" s="74"/>
      <c r="M9" s="71"/>
      <c r="N9" s="75" t="s">
        <v>142</v>
      </c>
      <c r="O9" s="76">
        <v>0.05</v>
      </c>
      <c r="P9" s="81">
        <f>(1+(((1+$F$8)*($F$9+O9)+(1-$F$9-O9))-1))/(1+(((1+$F$8)*($F$9)+(1-$F$9))-1))-1</f>
        <v>0.04819139194</v>
      </c>
      <c r="Q9" s="67"/>
      <c r="R9" s="71"/>
      <c r="S9" s="75" t="s">
        <v>143</v>
      </c>
      <c r="T9" s="76">
        <v>0.3</v>
      </c>
      <c r="U9" s="77">
        <f>(1+$F$10+T9)/(1+$F$10)-1</f>
        <v>0.07159904535</v>
      </c>
      <c r="V9" s="67"/>
      <c r="W9" s="67"/>
      <c r="X9" s="67"/>
      <c r="Y9" s="67"/>
      <c r="Z9" s="67"/>
    </row>
    <row r="10">
      <c r="A10" s="67"/>
      <c r="B10" s="67"/>
      <c r="C10" s="71"/>
      <c r="D10" s="71"/>
      <c r="E10" s="75" t="s">
        <v>143</v>
      </c>
      <c r="F10" s="78">
        <v>3.19</v>
      </c>
      <c r="G10" s="79"/>
      <c r="H10" s="78">
        <v>0.4</v>
      </c>
      <c r="I10" s="79"/>
      <c r="J10" s="80">
        <f>(1+F10+H10)/(1+F10)-1</f>
        <v>0.09546539379</v>
      </c>
      <c r="K10" s="71"/>
      <c r="L10" s="67"/>
      <c r="M10" s="71"/>
      <c r="N10" s="75" t="s">
        <v>143</v>
      </c>
      <c r="O10" s="76">
        <v>0.3</v>
      </c>
      <c r="P10" s="77">
        <f>(1+$F$10+O10)/(1+$F$10)-1</f>
        <v>0.07159904535</v>
      </c>
      <c r="Q10" s="67"/>
      <c r="R10" s="71"/>
      <c r="S10" s="75" t="s">
        <v>144</v>
      </c>
      <c r="T10" s="76">
        <v>0.1</v>
      </c>
      <c r="U10" s="77">
        <f>(1+$F$11+T10+$F$12)/(1+$F$11+$F$12)-1</f>
        <v>0.02702702703</v>
      </c>
      <c r="V10" s="67"/>
      <c r="W10" s="67"/>
      <c r="X10" s="67"/>
      <c r="Y10" s="67"/>
      <c r="Z10" s="67"/>
    </row>
    <row r="11">
      <c r="A11" s="67"/>
      <c r="B11" s="67"/>
      <c r="C11" s="71"/>
      <c r="D11" s="71"/>
      <c r="E11" s="75" t="s">
        <v>144</v>
      </c>
      <c r="F11" s="78">
        <v>0.2</v>
      </c>
      <c r="G11" s="79"/>
      <c r="H11" s="78">
        <v>0.05</v>
      </c>
      <c r="I11" s="79"/>
      <c r="J11" s="80">
        <f>(1+F11+H11+F12)/(1+F11+F12)-1</f>
        <v>0.01351351351</v>
      </c>
      <c r="K11" s="71"/>
      <c r="L11" s="67"/>
      <c r="M11" s="71"/>
      <c r="N11" s="75" t="s">
        <v>144</v>
      </c>
      <c r="O11" s="76">
        <v>0.1</v>
      </c>
      <c r="P11" s="77">
        <f>(1+$F$11+O11+$F$12)/(1+$F$11+$F$12)-1</f>
        <v>0.02702702703</v>
      </c>
      <c r="Q11" s="67"/>
      <c r="R11" s="71"/>
      <c r="S11" s="75" t="s">
        <v>145</v>
      </c>
      <c r="T11" s="76">
        <v>0.1</v>
      </c>
      <c r="U11" s="77">
        <f>(1+$F$12+T11+$F$11)/(1+$F$12+$F$11)-1</f>
        <v>0.02702702703</v>
      </c>
      <c r="V11" s="67"/>
      <c r="W11" s="67"/>
      <c r="X11" s="67"/>
      <c r="Y11" s="67"/>
      <c r="Z11" s="67"/>
    </row>
    <row r="12">
      <c r="A12" s="67"/>
      <c r="B12" s="67"/>
      <c r="C12" s="71"/>
      <c r="D12" s="71"/>
      <c r="E12" s="75" t="s">
        <v>145</v>
      </c>
      <c r="F12" s="78">
        <v>2.5</v>
      </c>
      <c r="G12" s="79"/>
      <c r="H12" s="78">
        <v>0.1</v>
      </c>
      <c r="I12" s="79"/>
      <c r="J12" s="80">
        <f>(1+F12+H12+F11)/(1+F12+F11)-1</f>
        <v>0.02702702703</v>
      </c>
      <c r="K12" s="71"/>
      <c r="L12" s="67"/>
      <c r="M12" s="71"/>
      <c r="N12" s="75" t="s">
        <v>145</v>
      </c>
      <c r="O12" s="76">
        <v>0.1</v>
      </c>
      <c r="P12" s="77">
        <f>(1+$F$12+O12+$F$11)/(1+$F$12+$F$11)-1</f>
        <v>0.02702702703</v>
      </c>
      <c r="Q12" s="67"/>
      <c r="R12" s="71"/>
      <c r="S12" s="75" t="s">
        <v>146</v>
      </c>
      <c r="T12" s="73">
        <v>180.0</v>
      </c>
      <c r="U12" s="77">
        <f>(1+($F$13+T12)/800)/(1+$F$13/800)-1</f>
        <v>0.04990296645</v>
      </c>
      <c r="V12" s="67"/>
      <c r="W12" s="67"/>
      <c r="X12" s="67"/>
      <c r="Y12" s="67"/>
      <c r="Z12" s="67"/>
    </row>
    <row r="13">
      <c r="A13" s="67"/>
      <c r="B13" s="67"/>
      <c r="C13" s="71"/>
      <c r="D13" s="71"/>
      <c r="E13" s="75" t="s">
        <v>146</v>
      </c>
      <c r="F13" s="82">
        <v>2807.0</v>
      </c>
      <c r="G13" s="79"/>
      <c r="H13" s="82">
        <v>132.0</v>
      </c>
      <c r="I13" s="79"/>
      <c r="J13" s="80">
        <f t="shared" ref="J13:J14" si="1">(1+(F13+H13)/800)/(1+F13/800)-1</f>
        <v>0.03659550873</v>
      </c>
      <c r="K13" s="71"/>
      <c r="L13" s="67"/>
      <c r="M13" s="71"/>
      <c r="N13" s="75" t="s">
        <v>146</v>
      </c>
      <c r="O13" s="73">
        <v>121.0</v>
      </c>
      <c r="P13" s="77">
        <f>(1+($F$13+O13)/800)/(1+$F$13/800)-1</f>
        <v>0.03354588301</v>
      </c>
      <c r="Q13" s="67"/>
      <c r="R13" s="71"/>
      <c r="S13" s="75" t="s">
        <v>147</v>
      </c>
      <c r="T13" s="73">
        <v>157.0</v>
      </c>
      <c r="U13" s="77">
        <f>($F$14+T13)/$F$14-1</f>
        <v>0.03830202488</v>
      </c>
      <c r="V13" s="67"/>
      <c r="W13" s="67"/>
      <c r="X13" s="67"/>
      <c r="Y13" s="67"/>
      <c r="Z13" s="67"/>
    </row>
    <row r="14">
      <c r="A14" s="67"/>
      <c r="B14" s="67"/>
      <c r="C14" s="71"/>
      <c r="D14" s="71"/>
      <c r="E14" s="75" t="s">
        <v>18</v>
      </c>
      <c r="F14" s="82">
        <v>4099.0</v>
      </c>
      <c r="G14" s="79"/>
      <c r="H14" s="82">
        <v>160.0</v>
      </c>
      <c r="I14" s="79"/>
      <c r="J14" s="80">
        <f t="shared" si="1"/>
        <v>0.03265972647</v>
      </c>
      <c r="K14" s="71"/>
      <c r="L14" s="67"/>
      <c r="M14" s="67"/>
      <c r="N14" s="67"/>
      <c r="O14" s="67"/>
      <c r="P14" s="67"/>
      <c r="Q14" s="67"/>
      <c r="R14" s="73"/>
      <c r="S14" s="75"/>
      <c r="T14" s="73"/>
      <c r="U14" s="77"/>
      <c r="V14" s="67"/>
      <c r="W14" s="67"/>
      <c r="X14" s="67"/>
      <c r="Y14" s="67"/>
      <c r="Z14" s="67"/>
    </row>
    <row r="15">
      <c r="A15" s="67"/>
      <c r="B15" s="67"/>
      <c r="C15" s="71"/>
      <c r="D15" s="71"/>
      <c r="E15" s="72"/>
      <c r="F15" s="73" t="s">
        <v>136</v>
      </c>
      <c r="G15" s="71"/>
      <c r="H15" s="73" t="s">
        <v>137</v>
      </c>
      <c r="I15" s="71"/>
      <c r="J15" s="73" t="s">
        <v>138</v>
      </c>
      <c r="K15" s="71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67"/>
      <c r="B16" s="67"/>
      <c r="C16" s="71"/>
      <c r="D16" s="71"/>
      <c r="E16" s="75" t="s">
        <v>148</v>
      </c>
      <c r="F16" s="83">
        <v>0.0</v>
      </c>
      <c r="G16" s="71"/>
      <c r="H16" s="83">
        <v>0.3</v>
      </c>
      <c r="I16" s="71"/>
      <c r="J16" s="77">
        <f>(1+((1+F16+H16)*(100%/248%)+(1-(100%/248%)-1)))/(1+((1+F16)*(100%/248%)+(1-(100%/248%)-1)))-1</f>
        <v>0.1209677419</v>
      </c>
      <c r="K16" s="71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67"/>
      <c r="B17" s="67"/>
      <c r="C17" s="71"/>
      <c r="D17" s="71"/>
      <c r="E17" s="75" t="s">
        <v>117</v>
      </c>
      <c r="F17" s="83">
        <v>0.188</v>
      </c>
      <c r="G17" s="71"/>
      <c r="H17" s="83">
        <v>0.6</v>
      </c>
      <c r="I17" s="71"/>
      <c r="J17" s="77">
        <f>(1+F17+H17)/(1+F17)-1</f>
        <v>0.5050505051</v>
      </c>
      <c r="K17" s="71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67"/>
      <c r="B18" s="67"/>
      <c r="C18" s="71"/>
      <c r="D18" s="71"/>
      <c r="E18" s="75"/>
      <c r="F18" s="73" t="s">
        <v>149</v>
      </c>
      <c r="G18" s="71"/>
      <c r="H18" s="73" t="s">
        <v>150</v>
      </c>
      <c r="I18" s="71"/>
      <c r="J18" s="73" t="s">
        <v>138</v>
      </c>
      <c r="K18" s="71"/>
      <c r="L18" s="67"/>
      <c r="M18" s="71"/>
      <c r="N18" s="75" t="s">
        <v>151</v>
      </c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67"/>
      <c r="B19" s="67"/>
      <c r="C19" s="71"/>
      <c r="D19" s="71"/>
      <c r="E19" s="75" t="s">
        <v>152</v>
      </c>
      <c r="F19" s="83">
        <v>3.65</v>
      </c>
      <c r="G19" s="71"/>
      <c r="H19" s="83">
        <v>4.5</v>
      </c>
      <c r="I19" s="71"/>
      <c r="J19" s="81">
        <f>H19/F19-1</f>
        <v>0.2328767123</v>
      </c>
      <c r="K19" s="71"/>
      <c r="L19" s="67"/>
      <c r="M19" s="71"/>
      <c r="N19" s="75" t="s">
        <v>24</v>
      </c>
      <c r="O19" s="84">
        <v>1.441</v>
      </c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67"/>
      <c r="B20" s="67"/>
      <c r="C20" s="71"/>
      <c r="D20" s="71"/>
      <c r="E20" s="75" t="s">
        <v>153</v>
      </c>
      <c r="F20" s="71"/>
      <c r="G20" s="71"/>
      <c r="H20" s="71"/>
      <c r="I20" s="71"/>
      <c r="J20" s="71"/>
      <c r="K20" s="71"/>
      <c r="L20" s="67"/>
      <c r="M20" s="71"/>
      <c r="N20" s="75" t="s">
        <v>37</v>
      </c>
      <c r="O20" s="85">
        <v>1.534</v>
      </c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>
      <c r="A21" s="67"/>
      <c r="B21" s="67"/>
      <c r="C21" s="71"/>
      <c r="D21" s="71"/>
      <c r="E21" s="72"/>
      <c r="F21" s="73" t="s">
        <v>136</v>
      </c>
      <c r="G21" s="71"/>
      <c r="H21" s="73" t="s">
        <v>137</v>
      </c>
      <c r="I21" s="71"/>
      <c r="J21" s="73" t="s">
        <v>138</v>
      </c>
      <c r="K21" s="71"/>
      <c r="L21" s="67"/>
      <c r="M21" s="71"/>
      <c r="N21" s="75" t="s">
        <v>154</v>
      </c>
      <c r="O21" s="85">
        <v>5.775</v>
      </c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>
      <c r="A22" s="67"/>
      <c r="B22" s="67"/>
      <c r="C22" s="71"/>
      <c r="D22" s="71"/>
      <c r="E22" s="75" t="s">
        <v>155</v>
      </c>
      <c r="F22" s="83">
        <v>13.1</v>
      </c>
      <c r="G22" s="71"/>
      <c r="H22" s="83">
        <v>1.5</v>
      </c>
      <c r="I22" s="71"/>
      <c r="J22" s="77">
        <f>(1+F22+H22)/(1+F22)-1</f>
        <v>0.1063829787</v>
      </c>
      <c r="K22" s="71"/>
      <c r="L22" s="67"/>
      <c r="M22" s="71"/>
      <c r="N22" s="75" t="s">
        <v>156</v>
      </c>
      <c r="O22" s="84">
        <v>0.18</v>
      </c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>
      <c r="A23" s="67"/>
      <c r="B23" s="67"/>
      <c r="C23" s="71"/>
      <c r="D23" s="71"/>
      <c r="E23" s="75" t="s">
        <v>157</v>
      </c>
      <c r="F23" s="71"/>
      <c r="G23" s="71"/>
      <c r="H23" s="71"/>
      <c r="I23" s="71"/>
      <c r="J23" s="71"/>
      <c r="K23" s="71"/>
      <c r="L23" s="67"/>
      <c r="M23" s="71"/>
      <c r="N23" s="75" t="s">
        <v>158</v>
      </c>
      <c r="O23" s="85">
        <v>1.711</v>
      </c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>
      <c r="A24" s="67"/>
      <c r="B24" s="67"/>
      <c r="C24" s="71"/>
      <c r="D24" s="71"/>
      <c r="E24" s="72"/>
      <c r="F24" s="71"/>
      <c r="G24" s="71"/>
      <c r="H24" s="71"/>
      <c r="I24" s="71"/>
      <c r="J24" s="71"/>
      <c r="K24" s="71"/>
      <c r="L24" s="67"/>
      <c r="M24" s="71"/>
      <c r="N24" s="75" t="s">
        <v>159</v>
      </c>
      <c r="O24" s="84">
        <f>350.4%*0.5</f>
        <v>1.752</v>
      </c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>
      <c r="A25" s="67"/>
      <c r="B25" s="67"/>
      <c r="C25" s="86" t="s">
        <v>160</v>
      </c>
      <c r="D25" s="71"/>
      <c r="E25" s="71"/>
      <c r="F25" s="72"/>
      <c r="G25" s="71"/>
      <c r="H25" s="71"/>
      <c r="I25" s="71"/>
      <c r="J25" s="71"/>
      <c r="K25" s="71"/>
      <c r="L25" s="67"/>
      <c r="M25" s="71"/>
      <c r="N25" s="75" t="s">
        <v>161</v>
      </c>
      <c r="O25" s="85">
        <f>123.7%*0.2</f>
        <v>0.2474</v>
      </c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>
      <c r="A26" s="67"/>
      <c r="B26" s="67"/>
      <c r="C26" s="71"/>
      <c r="D26" s="71"/>
      <c r="E26" s="71"/>
      <c r="F26" s="72"/>
      <c r="G26" s="71"/>
      <c r="H26" s="71"/>
      <c r="I26" s="71"/>
      <c r="J26" s="71"/>
      <c r="K26" s="71"/>
      <c r="L26" s="67"/>
      <c r="M26" s="71"/>
      <c r="N26" s="75" t="s">
        <v>162</v>
      </c>
      <c r="O26" s="84">
        <v>0.45</v>
      </c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>
      <c r="A27" s="67"/>
      <c r="B27" s="67"/>
      <c r="C27" s="71"/>
      <c r="D27" s="71"/>
      <c r="E27" s="71"/>
      <c r="F27" s="72"/>
      <c r="G27" s="71"/>
      <c r="H27" s="71"/>
      <c r="I27" s="71"/>
      <c r="J27" s="71"/>
      <c r="K27" s="71"/>
      <c r="L27" s="67"/>
      <c r="M27" s="71"/>
      <c r="N27" s="72"/>
      <c r="O27" s="72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>
      <c r="A28" s="67"/>
      <c r="B28" s="67"/>
      <c r="C28" s="71"/>
      <c r="D28" s="71"/>
      <c r="E28" s="71"/>
      <c r="F28" s="72"/>
      <c r="G28" s="71"/>
      <c r="H28" s="71"/>
      <c r="I28" s="71"/>
      <c r="J28" s="71"/>
      <c r="K28" s="71"/>
      <c r="L28" s="67"/>
      <c r="M28" s="71"/>
      <c r="N28" s="75" t="s">
        <v>163</v>
      </c>
      <c r="O28" s="87">
        <f>SUM(O19:O26)</f>
        <v>13.0904</v>
      </c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67"/>
      <c r="B29" s="67"/>
      <c r="C29" s="71"/>
      <c r="D29" s="71"/>
      <c r="E29" s="71"/>
      <c r="F29" s="72"/>
      <c r="G29" s="71"/>
      <c r="H29" s="71"/>
      <c r="I29" s="71"/>
      <c r="J29" s="71"/>
      <c r="K29" s="71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mergeCells count="4">
    <mergeCell ref="C2:P3"/>
    <mergeCell ref="M5:P5"/>
    <mergeCell ref="R5:U5"/>
    <mergeCell ref="N18:O18"/>
  </mergeCells>
  <drawing r:id="rId1"/>
</worksheet>
</file>