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old\Documents\GitHub\A42\"/>
    </mc:Choice>
  </mc:AlternateContent>
  <bookViews>
    <workbookView xWindow="0" yWindow="0" windowWidth="17250" windowHeight="5640" firstSheet="2" activeTab="4"/>
  </bookViews>
  <sheets>
    <sheet name="Input" sheetId="1" r:id="rId1"/>
    <sheet name="Cross-sectional properties" sheetId="2" r:id="rId2"/>
    <sheet name="Aileron shear" sheetId="3" r:id="rId3"/>
    <sheet name="Aileron torsion" sheetId="4" r:id="rId4"/>
    <sheet name="Superpositioning" sheetId="6" r:id="rId5"/>
    <sheet name="Internal Force Diagrams" sheetId="7" r:id="rId6"/>
    <sheet name="V_z" sheetId="9" r:id="rId7"/>
    <sheet name="V_y" sheetId="10" r:id="rId8"/>
    <sheet name="M_z" sheetId="11" r:id="rId9"/>
    <sheet name="M_y" sheetId="12" r:id="rId10"/>
    <sheet name="Torsion" sheetId="8" r:id="rId11"/>
  </sheets>
  <definedNames>
    <definedName name="_xlnm.Print_Area" localSheetId="0">Input!$A$1:$D$19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6" l="1"/>
  <c r="F14" i="6"/>
  <c r="D14" i="6" s="1"/>
  <c r="B2" i="3"/>
  <c r="B5" i="3" l="1"/>
  <c r="H5" i="3"/>
  <c r="P5" i="3" s="1"/>
  <c r="P4" i="3"/>
  <c r="J101" i="2"/>
  <c r="I82" i="2"/>
  <c r="I80" i="2"/>
  <c r="I79" i="2"/>
  <c r="H48" i="2"/>
  <c r="I21" i="2"/>
  <c r="K101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79" i="2"/>
  <c r="J79" i="2" s="1"/>
  <c r="K44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1" i="2"/>
  <c r="K40" i="2" s="1"/>
  <c r="K41" i="2" s="1"/>
  <c r="J18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K38" i="2" s="1"/>
  <c r="H19" i="2"/>
  <c r="H20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F33" i="2"/>
  <c r="F34" i="2"/>
  <c r="F35" i="2"/>
  <c r="F36" i="2"/>
  <c r="F37" i="2"/>
  <c r="F24" i="2"/>
  <c r="F21" i="2"/>
  <c r="E51" i="2"/>
  <c r="L79" i="2" l="1"/>
  <c r="L16" i="6"/>
  <c r="J6" i="6"/>
  <c r="X6" i="6"/>
  <c r="X7" i="6"/>
  <c r="X8" i="6"/>
  <c r="X9" i="6"/>
  <c r="X5" i="6"/>
  <c r="X4" i="6"/>
  <c r="X23" i="6"/>
  <c r="Y9" i="6"/>
  <c r="L6" i="6"/>
  <c r="L19" i="6"/>
  <c r="L17" i="6"/>
  <c r="L18" i="6"/>
  <c r="L15" i="6"/>
  <c r="L14" i="6"/>
  <c r="J5" i="6"/>
  <c r="J7" i="6"/>
  <c r="J8" i="6"/>
  <c r="J9" i="6"/>
  <c r="J4" i="6"/>
  <c r="I44" i="6"/>
  <c r="I34" i="6"/>
  <c r="I24" i="6"/>
  <c r="I14" i="6"/>
  <c r="I4" i="6"/>
  <c r="G20" i="6"/>
  <c r="C21" i="6" s="1"/>
  <c r="C20" i="6"/>
  <c r="F23" i="6"/>
  <c r="C24" i="6" s="1"/>
  <c r="D23" i="6"/>
  <c r="D13" i="6"/>
  <c r="B4" i="3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I5" i="4"/>
  <c r="B4" i="4"/>
  <c r="B8" i="4"/>
  <c r="B7" i="4"/>
  <c r="B6" i="4"/>
  <c r="B5" i="4"/>
  <c r="M5" i="4" s="1"/>
  <c r="B7" i="3"/>
  <c r="K7" i="3"/>
  <c r="H7" i="3"/>
  <c r="H9" i="3" s="1"/>
  <c r="S18" i="6" s="1"/>
  <c r="U18" i="6" s="1"/>
  <c r="K4" i="3"/>
  <c r="H4" i="3"/>
  <c r="H6" i="3" s="1"/>
  <c r="S15" i="6" s="1"/>
  <c r="B6" i="3"/>
  <c r="Y8" i="6" s="1"/>
  <c r="Y7" i="6"/>
  <c r="M7" i="4" l="1"/>
  <c r="Y6" i="6"/>
  <c r="H13" i="7"/>
  <c r="C7" i="7"/>
  <c r="I8" i="4"/>
  <c r="M6" i="4"/>
  <c r="E5" i="4"/>
  <c r="E9" i="4"/>
  <c r="I9" i="6" s="1"/>
  <c r="E6" i="4"/>
  <c r="E7" i="4"/>
  <c r="I35" i="6"/>
  <c r="I5" i="6"/>
  <c r="I6" i="4"/>
  <c r="I7" i="4"/>
  <c r="I45" i="6"/>
  <c r="L9" i="6"/>
  <c r="L8" i="6"/>
  <c r="L5" i="6"/>
  <c r="L7" i="6"/>
  <c r="L4" i="6"/>
  <c r="D25" i="6"/>
  <c r="C3" i="7"/>
  <c r="C10" i="7"/>
  <c r="C6" i="7"/>
  <c r="E3" i="7"/>
  <c r="C13" i="7"/>
  <c r="C9" i="7"/>
  <c r="C5" i="7"/>
  <c r="C12" i="7"/>
  <c r="C8" i="7"/>
  <c r="C4" i="7"/>
  <c r="C11" i="7"/>
  <c r="K18" i="6"/>
  <c r="U15" i="6"/>
  <c r="K15" i="6"/>
  <c r="H4" i="7"/>
  <c r="H11" i="7"/>
  <c r="H9" i="7"/>
  <c r="H7" i="7"/>
  <c r="H5" i="7"/>
  <c r="C25" i="6"/>
  <c r="H12" i="7"/>
  <c r="H10" i="7"/>
  <c r="H8" i="7"/>
  <c r="H6" i="7"/>
  <c r="D24" i="6"/>
  <c r="H3" i="7"/>
  <c r="E8" i="4"/>
  <c r="M9" i="4"/>
  <c r="M8" i="4"/>
  <c r="I9" i="4"/>
  <c r="U20" i="3"/>
  <c r="O23" i="3" s="1"/>
  <c r="B38" i="7"/>
  <c r="E8" i="7"/>
  <c r="E13" i="7"/>
  <c r="E5" i="7"/>
  <c r="E12" i="7"/>
  <c r="E4" i="7"/>
  <c r="E9" i="7"/>
  <c r="U21" i="3"/>
  <c r="E11" i="7"/>
  <c r="E7" i="7"/>
  <c r="E10" i="7"/>
  <c r="E6" i="7"/>
  <c r="C23" i="6"/>
  <c r="K11" i="7"/>
  <c r="K13" i="7"/>
  <c r="K5" i="7"/>
  <c r="K7" i="7"/>
  <c r="K9" i="7"/>
  <c r="J12" i="7"/>
  <c r="J4" i="7"/>
  <c r="J6" i="7"/>
  <c r="J8" i="7"/>
  <c r="J10" i="7"/>
  <c r="J3" i="7"/>
  <c r="K12" i="7"/>
  <c r="K4" i="7"/>
  <c r="K6" i="7"/>
  <c r="K8" i="7"/>
  <c r="K10" i="7"/>
  <c r="J11" i="7"/>
  <c r="J13" i="7"/>
  <c r="J5" i="7"/>
  <c r="J7" i="7"/>
  <c r="J9" i="7"/>
  <c r="K3" i="7"/>
  <c r="C22" i="6"/>
  <c r="D20" i="6"/>
  <c r="D22" i="6"/>
  <c r="D21" i="6"/>
  <c r="G5" i="3"/>
  <c r="H8" i="3"/>
  <c r="O18" i="6" s="1"/>
  <c r="G8" i="3"/>
  <c r="O15" i="6"/>
  <c r="R17" i="3"/>
  <c r="N11" i="2"/>
  <c r="B35" i="2"/>
  <c r="B36" i="2"/>
  <c r="B37" i="2"/>
  <c r="B38" i="2"/>
  <c r="N5" i="2"/>
  <c r="B10" i="2" s="1"/>
  <c r="B56" i="2" s="1"/>
  <c r="N3" i="2"/>
  <c r="N2" i="2"/>
  <c r="I29" i="6" l="1"/>
  <c r="I39" i="6"/>
  <c r="I19" i="6"/>
  <c r="I49" i="6"/>
  <c r="I15" i="6"/>
  <c r="I25" i="6"/>
  <c r="B3" i="2"/>
  <c r="P6" i="4"/>
  <c r="U46" i="6" s="1"/>
  <c r="L6" i="4"/>
  <c r="Q46" i="6" s="1"/>
  <c r="H6" i="4"/>
  <c r="M46" i="6" s="1"/>
  <c r="N9" i="2"/>
  <c r="C4" i="2" s="1"/>
  <c r="D4" i="2" s="1"/>
  <c r="D50" i="2" s="1"/>
  <c r="B23" i="4"/>
  <c r="B13" i="4"/>
  <c r="B18" i="4"/>
  <c r="B3" i="4"/>
  <c r="O6" i="4"/>
  <c r="S46" i="6" s="1"/>
  <c r="K6" i="4"/>
  <c r="O46" i="6" s="1"/>
  <c r="G6" i="4"/>
  <c r="K46" i="6" s="1"/>
  <c r="I47" i="6"/>
  <c r="I17" i="6"/>
  <c r="I7" i="6"/>
  <c r="Y38" i="3" s="1"/>
  <c r="I37" i="6"/>
  <c r="I27" i="6"/>
  <c r="I16" i="6"/>
  <c r="I46" i="6"/>
  <c r="I36" i="6"/>
  <c r="I6" i="6"/>
  <c r="I26" i="6"/>
  <c r="M18" i="6"/>
  <c r="Q18" i="6"/>
  <c r="G9" i="3"/>
  <c r="R18" i="6" s="1"/>
  <c r="N18" i="6"/>
  <c r="M15" i="6"/>
  <c r="Q15" i="6"/>
  <c r="G6" i="3"/>
  <c r="R15" i="6" s="1"/>
  <c r="N15" i="6"/>
  <c r="R23" i="3"/>
  <c r="Y23" i="6"/>
  <c r="D6" i="7"/>
  <c r="D10" i="7"/>
  <c r="D3" i="7"/>
  <c r="D7" i="7"/>
  <c r="D4" i="7"/>
  <c r="D8" i="7"/>
  <c r="D12" i="7"/>
  <c r="D5" i="7"/>
  <c r="D9" i="7"/>
  <c r="D13" i="7"/>
  <c r="D11" i="7"/>
  <c r="M3" i="7"/>
  <c r="M11" i="7"/>
  <c r="M5" i="7"/>
  <c r="M6" i="7"/>
  <c r="M8" i="7"/>
  <c r="M10" i="7"/>
  <c r="M12" i="7"/>
  <c r="M7" i="7"/>
  <c r="M9" i="7"/>
  <c r="M13" i="7"/>
  <c r="M4" i="7"/>
  <c r="I6" i="7"/>
  <c r="I8" i="7"/>
  <c r="I10" i="7"/>
  <c r="I12" i="7"/>
  <c r="I3" i="7"/>
  <c r="I5" i="7"/>
  <c r="I7" i="7"/>
  <c r="I9" i="7"/>
  <c r="I11" i="7"/>
  <c r="I13" i="7"/>
  <c r="I4" i="7"/>
  <c r="N4" i="7"/>
  <c r="N6" i="7"/>
  <c r="N8" i="7"/>
  <c r="N10" i="7"/>
  <c r="N12" i="7"/>
  <c r="N5" i="7"/>
  <c r="N7" i="7"/>
  <c r="N9" i="7"/>
  <c r="N11" i="7"/>
  <c r="N13" i="7"/>
  <c r="N3" i="7"/>
  <c r="B39" i="7"/>
  <c r="I38" i="6"/>
  <c r="I18" i="6"/>
  <c r="I28" i="6"/>
  <c r="I8" i="6"/>
  <c r="I48" i="6"/>
  <c r="V21" i="3"/>
  <c r="U22" i="3"/>
  <c r="O22" i="3" s="1"/>
  <c r="V22" i="3"/>
  <c r="P22" i="3" s="1"/>
  <c r="O21" i="3"/>
  <c r="O24" i="3"/>
  <c r="AC23" i="6" s="1"/>
  <c r="V20" i="3"/>
  <c r="P20" i="3" s="1"/>
  <c r="S20" i="3" s="1"/>
  <c r="O18" i="3"/>
  <c r="AB23" i="6" s="1"/>
  <c r="O4" i="7"/>
  <c r="O6" i="7"/>
  <c r="O8" i="7"/>
  <c r="O10" i="7"/>
  <c r="O12" i="7"/>
  <c r="O3" i="7"/>
  <c r="O5" i="7"/>
  <c r="O7" i="7"/>
  <c r="O9" i="7"/>
  <c r="O11" i="7"/>
  <c r="O13" i="7"/>
  <c r="P3" i="7"/>
  <c r="P4" i="7"/>
  <c r="P6" i="7"/>
  <c r="P8" i="7"/>
  <c r="P10" i="7"/>
  <c r="P12" i="7"/>
  <c r="P5" i="7"/>
  <c r="P7" i="7"/>
  <c r="P9" i="7"/>
  <c r="P11" i="7"/>
  <c r="P13" i="7"/>
  <c r="F5" i="7"/>
  <c r="F7" i="7"/>
  <c r="F9" i="7"/>
  <c r="F11" i="7"/>
  <c r="F13" i="7"/>
  <c r="F3" i="7"/>
  <c r="F10" i="7"/>
  <c r="F8" i="7"/>
  <c r="F6" i="7"/>
  <c r="F4" i="7"/>
  <c r="F12" i="7"/>
  <c r="R20" i="3"/>
  <c r="F3" i="2"/>
  <c r="F22" i="2" s="1"/>
  <c r="B4" i="2"/>
  <c r="B5" i="2"/>
  <c r="B51" i="2" s="1"/>
  <c r="D5" i="2"/>
  <c r="D51" i="2" s="1"/>
  <c r="N4" i="2"/>
  <c r="N6" i="2" s="1"/>
  <c r="D2" i="2"/>
  <c r="D48" i="2" s="1"/>
  <c r="F4" i="2"/>
  <c r="F23" i="2" s="1"/>
  <c r="B33" i="2"/>
  <c r="B17" i="2"/>
  <c r="B63" i="2" s="1"/>
  <c r="B13" i="2"/>
  <c r="B59" i="2" s="1"/>
  <c r="B9" i="2"/>
  <c r="B55" i="2" s="1"/>
  <c r="B2" i="2"/>
  <c r="B48" i="2" s="1"/>
  <c r="E2" i="2"/>
  <c r="E48" i="2" s="1"/>
  <c r="G3" i="2"/>
  <c r="B20" i="2"/>
  <c r="B16" i="2"/>
  <c r="B62" i="2" s="1"/>
  <c r="B12" i="2"/>
  <c r="B58" i="2" s="1"/>
  <c r="B8" i="2"/>
  <c r="B54" i="2" s="1"/>
  <c r="G4" i="2"/>
  <c r="B6" i="2"/>
  <c r="B19" i="2"/>
  <c r="B15" i="2"/>
  <c r="B61" i="2" s="1"/>
  <c r="B11" i="2"/>
  <c r="B57" i="2" s="1"/>
  <c r="B7" i="2"/>
  <c r="B53" i="2" s="1"/>
  <c r="B34" i="2"/>
  <c r="B18" i="2"/>
  <c r="B64" i="2" s="1"/>
  <c r="B14" i="2"/>
  <c r="B60" i="2" s="1"/>
  <c r="P21" i="3" l="1"/>
  <c r="S22" i="3" s="1"/>
  <c r="P18" i="3"/>
  <c r="E4" i="2"/>
  <c r="E50" i="2" s="1"/>
  <c r="I3" i="2"/>
  <c r="B49" i="2"/>
  <c r="B52" i="2"/>
  <c r="C3" i="2"/>
  <c r="D3" i="2" s="1"/>
  <c r="D49" i="2" s="1"/>
  <c r="H4" i="2"/>
  <c r="J4" i="2" s="1"/>
  <c r="J50" i="2" s="1"/>
  <c r="B50" i="2"/>
  <c r="Z31" i="3"/>
  <c r="Z34" i="3" s="1"/>
  <c r="Y36" i="3"/>
  <c r="Z37" i="3"/>
  <c r="Z38" i="3"/>
  <c r="Y32" i="3"/>
  <c r="Y35" i="3" s="1"/>
  <c r="L44" i="2"/>
  <c r="H3" i="2"/>
  <c r="B21" i="4"/>
  <c r="B16" i="4"/>
  <c r="B11" i="4"/>
  <c r="Z36" i="3"/>
  <c r="Z30" i="3"/>
  <c r="Z33" i="3" s="1"/>
  <c r="Y37" i="3"/>
  <c r="Y31" i="3"/>
  <c r="Z32" i="3"/>
  <c r="Y30" i="3"/>
  <c r="X30" i="3"/>
  <c r="X36" i="3"/>
  <c r="I4" i="2"/>
  <c r="P18" i="6"/>
  <c r="P8" i="6" s="1"/>
  <c r="N8" i="6"/>
  <c r="T18" i="6"/>
  <c r="T8" i="6" s="1"/>
  <c r="R8" i="6"/>
  <c r="P15" i="6"/>
  <c r="P5" i="6" s="1"/>
  <c r="N5" i="6"/>
  <c r="T15" i="6"/>
  <c r="T5" i="6" s="1"/>
  <c r="R5" i="6"/>
  <c r="B40" i="7"/>
  <c r="P24" i="3"/>
  <c r="P23" i="3"/>
  <c r="P19" i="3"/>
  <c r="AH23" i="6" s="1"/>
  <c r="O19" i="3"/>
  <c r="AF23" i="6" s="1"/>
  <c r="P17" i="3"/>
  <c r="P25" i="3"/>
  <c r="AI23" i="6" s="1"/>
  <c r="O25" i="3"/>
  <c r="AG23" i="6" s="1"/>
  <c r="R22" i="3"/>
  <c r="H5" i="2"/>
  <c r="J5" i="2" s="1"/>
  <c r="J51" i="2" s="1"/>
  <c r="I5" i="2"/>
  <c r="K5" i="2" s="1"/>
  <c r="K51" i="2" s="1"/>
  <c r="N7" i="2"/>
  <c r="B44" i="2"/>
  <c r="I2" i="2"/>
  <c r="K2" i="2" s="1"/>
  <c r="K48" i="2" s="1"/>
  <c r="H2" i="2"/>
  <c r="J2" i="2" s="1"/>
  <c r="J48" i="2" s="1"/>
  <c r="R21" i="3" l="1"/>
  <c r="Z35" i="3"/>
  <c r="S21" i="3"/>
  <c r="B68" i="2"/>
  <c r="J3" i="2"/>
  <c r="J49" i="2" s="1"/>
  <c r="B2" i="4"/>
  <c r="F4" i="4" s="1"/>
  <c r="L45" i="2"/>
  <c r="K4" i="2"/>
  <c r="K50" i="2" s="1"/>
  <c r="E3" i="2"/>
  <c r="Y33" i="3"/>
  <c r="Y34" i="3"/>
  <c r="G17" i="7"/>
  <c r="G16" i="7"/>
  <c r="G15" i="7"/>
  <c r="G13" i="7"/>
  <c r="G12" i="7"/>
  <c r="G11" i="7"/>
  <c r="G9" i="7"/>
  <c r="G8" i="7"/>
  <c r="G7" i="7"/>
  <c r="G19" i="7"/>
  <c r="B12" i="4"/>
  <c r="G25" i="7" s="1"/>
  <c r="G18" i="7"/>
  <c r="G23" i="7"/>
  <c r="G22" i="7"/>
  <c r="G10" i="7"/>
  <c r="G4" i="7"/>
  <c r="G14" i="7"/>
  <c r="G21" i="7"/>
  <c r="G6" i="7"/>
  <c r="G3" i="7"/>
  <c r="G24" i="7"/>
  <c r="G20" i="7"/>
  <c r="G5" i="7"/>
  <c r="B17" i="4"/>
  <c r="L39" i="7" s="1"/>
  <c r="L4" i="7"/>
  <c r="L23" i="7"/>
  <c r="L21" i="7"/>
  <c r="L19" i="7"/>
  <c r="L17" i="7"/>
  <c r="L15" i="7"/>
  <c r="L9" i="7"/>
  <c r="L7" i="7"/>
  <c r="L3" i="7"/>
  <c r="L5" i="7"/>
  <c r="L24" i="7"/>
  <c r="L18" i="7"/>
  <c r="L10" i="7"/>
  <c r="L8" i="7"/>
  <c r="L13" i="7"/>
  <c r="L22" i="7"/>
  <c r="L20" i="7"/>
  <c r="L16" i="7"/>
  <c r="L6" i="7"/>
  <c r="L14" i="7"/>
  <c r="L12" i="7"/>
  <c r="L11" i="7"/>
  <c r="X33" i="3"/>
  <c r="V33" i="3" s="1"/>
  <c r="P30" i="3" s="1"/>
  <c r="S30" i="3" s="1"/>
  <c r="Q15" i="7"/>
  <c r="Q6" i="7"/>
  <c r="Q9" i="7"/>
  <c r="Q4" i="7"/>
  <c r="Q7" i="7"/>
  <c r="Q12" i="7"/>
  <c r="Q19" i="7"/>
  <c r="Q21" i="7"/>
  <c r="Q13" i="7"/>
  <c r="Q22" i="7"/>
  <c r="Q23" i="7"/>
  <c r="Q16" i="7"/>
  <c r="Q8" i="7"/>
  <c r="Q18" i="7"/>
  <c r="Q10" i="7"/>
  <c r="Q3" i="7"/>
  <c r="Q24" i="7"/>
  <c r="Q11" i="7"/>
  <c r="Q14" i="7"/>
  <c r="Q17" i="7"/>
  <c r="Q5" i="7"/>
  <c r="Q20" i="7"/>
  <c r="B22" i="4"/>
  <c r="Q32" i="7" s="1"/>
  <c r="S18" i="3"/>
  <c r="AD23" i="6"/>
  <c r="S17" i="3"/>
  <c r="Z23" i="6"/>
  <c r="S24" i="3"/>
  <c r="AE23" i="6"/>
  <c r="S23" i="3"/>
  <c r="AA23" i="6"/>
  <c r="S25" i="3"/>
  <c r="R25" i="3"/>
  <c r="R24" i="3"/>
  <c r="B41" i="7"/>
  <c r="R19" i="3"/>
  <c r="R18" i="3"/>
  <c r="S19" i="3"/>
  <c r="C12" i="2"/>
  <c r="C8" i="2"/>
  <c r="C6" i="2"/>
  <c r="C9" i="2"/>
  <c r="C15" i="2"/>
  <c r="C11" i="2"/>
  <c r="C7" i="2"/>
  <c r="C14" i="2"/>
  <c r="C10" i="2"/>
  <c r="C13" i="2"/>
  <c r="N8" i="2"/>
  <c r="N10" i="2"/>
  <c r="C36" i="2" s="1"/>
  <c r="J4" i="4" l="1"/>
  <c r="K4" i="4" s="1"/>
  <c r="O44" i="6" s="1"/>
  <c r="N4" i="4"/>
  <c r="P4" i="4" s="1"/>
  <c r="U44" i="6" s="1"/>
  <c r="G36" i="7"/>
  <c r="L38" i="7"/>
  <c r="D6" i="2"/>
  <c r="F6" i="2"/>
  <c r="K3" i="2"/>
  <c r="K49" i="2" s="1"/>
  <c r="E49" i="2"/>
  <c r="C16" i="2"/>
  <c r="E16" i="2" s="1"/>
  <c r="E62" i="2" s="1"/>
  <c r="L35" i="7"/>
  <c r="G40" i="7"/>
  <c r="C17" i="2"/>
  <c r="D17" i="2" s="1"/>
  <c r="D63" i="2" s="1"/>
  <c r="L28" i="7"/>
  <c r="L27" i="7"/>
  <c r="Z33" i="6"/>
  <c r="G29" i="7"/>
  <c r="G34" i="7"/>
  <c r="P33" i="3"/>
  <c r="S33" i="3" s="1"/>
  <c r="L32" i="7"/>
  <c r="G31" i="7"/>
  <c r="L37" i="7"/>
  <c r="Q29" i="7"/>
  <c r="L25" i="7"/>
  <c r="Q35" i="7"/>
  <c r="L36" i="7"/>
  <c r="Q25" i="7"/>
  <c r="L29" i="7"/>
  <c r="Q26" i="7"/>
  <c r="Q34" i="7"/>
  <c r="L26" i="7"/>
  <c r="G26" i="7"/>
  <c r="L40" i="7"/>
  <c r="O4" i="4"/>
  <c r="S44" i="6" s="1"/>
  <c r="G33" i="7"/>
  <c r="B14" i="4"/>
  <c r="F13" i="6" s="1"/>
  <c r="C13" i="6" s="1"/>
  <c r="P36" i="3"/>
  <c r="Q38" i="7"/>
  <c r="G37" i="7"/>
  <c r="Q28" i="7"/>
  <c r="Q30" i="7"/>
  <c r="G38" i="7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5" i="7"/>
  <c r="Q27" i="7"/>
  <c r="B24" i="4"/>
  <c r="F15" i="6" s="1"/>
  <c r="Q39" i="7"/>
  <c r="Q36" i="7"/>
  <c r="G32" i="7"/>
  <c r="N8" i="4"/>
  <c r="F7" i="4"/>
  <c r="F9" i="4"/>
  <c r="J5" i="4"/>
  <c r="J9" i="4"/>
  <c r="F5" i="4"/>
  <c r="N9" i="4"/>
  <c r="N5" i="4"/>
  <c r="N7" i="4"/>
  <c r="H4" i="4"/>
  <c r="M44" i="6" s="1"/>
  <c r="J7" i="4"/>
  <c r="J8" i="4"/>
  <c r="G4" i="4"/>
  <c r="K44" i="6" s="1"/>
  <c r="F8" i="4"/>
  <c r="L30" i="7"/>
  <c r="B19" i="4"/>
  <c r="G39" i="7"/>
  <c r="Q40" i="7"/>
  <c r="Q31" i="7"/>
  <c r="L34" i="7"/>
  <c r="L31" i="7"/>
  <c r="G27" i="7"/>
  <c r="G28" i="7"/>
  <c r="Q37" i="7"/>
  <c r="Q33" i="7"/>
  <c r="L33" i="7"/>
  <c r="G30" i="7"/>
  <c r="B42" i="7"/>
  <c r="G41" i="7"/>
  <c r="Q41" i="7"/>
  <c r="L41" i="7"/>
  <c r="G36" i="2"/>
  <c r="C38" i="2"/>
  <c r="C18" i="2"/>
  <c r="D18" i="2" s="1"/>
  <c r="D64" i="2" s="1"/>
  <c r="C20" i="2"/>
  <c r="C19" i="2"/>
  <c r="D19" i="2" s="1"/>
  <c r="D65" i="2" s="1"/>
  <c r="C33" i="2"/>
  <c r="E33" i="2" s="1"/>
  <c r="E67" i="2" s="1"/>
  <c r="D36" i="2"/>
  <c r="D70" i="2" s="1"/>
  <c r="E36" i="2"/>
  <c r="E70" i="2" s="1"/>
  <c r="E10" i="2"/>
  <c r="E56" i="2" s="1"/>
  <c r="D10" i="2"/>
  <c r="D56" i="2" s="1"/>
  <c r="D12" i="2"/>
  <c r="D58" i="2" s="1"/>
  <c r="E12" i="2"/>
  <c r="E58" i="2" s="1"/>
  <c r="D14" i="2"/>
  <c r="D60" i="2" s="1"/>
  <c r="E14" i="2"/>
  <c r="E60" i="2" s="1"/>
  <c r="E15" i="2"/>
  <c r="E61" i="2" s="1"/>
  <c r="D15" i="2"/>
  <c r="D61" i="2" s="1"/>
  <c r="D33" i="2"/>
  <c r="D67" i="2" s="1"/>
  <c r="E7" i="2"/>
  <c r="E53" i="2" s="1"/>
  <c r="D7" i="2"/>
  <c r="D53" i="2" s="1"/>
  <c r="C35" i="2"/>
  <c r="E6" i="2"/>
  <c r="E20" i="2"/>
  <c r="E66" i="2" s="1"/>
  <c r="D20" i="2"/>
  <c r="D66" i="2" s="1"/>
  <c r="C37" i="2"/>
  <c r="G37" i="2" s="1"/>
  <c r="D13" i="2"/>
  <c r="D59" i="2" s="1"/>
  <c r="E13" i="2"/>
  <c r="E59" i="2" s="1"/>
  <c r="C34" i="2"/>
  <c r="E11" i="2"/>
  <c r="E57" i="2" s="1"/>
  <c r="D11" i="2"/>
  <c r="D57" i="2" s="1"/>
  <c r="D9" i="2"/>
  <c r="D55" i="2" s="1"/>
  <c r="E9" i="2"/>
  <c r="E55" i="2" s="1"/>
  <c r="E8" i="2"/>
  <c r="E54" i="2" s="1"/>
  <c r="D8" i="2"/>
  <c r="D54" i="2" s="1"/>
  <c r="L4" i="4" l="1"/>
  <c r="Q44" i="6" s="1"/>
  <c r="F7" i="2"/>
  <c r="F25" i="2"/>
  <c r="F16" i="2"/>
  <c r="F17" i="2" s="1"/>
  <c r="F18" i="2" s="1"/>
  <c r="F19" i="2" s="1"/>
  <c r="F20" i="2" s="1"/>
  <c r="D16" i="2"/>
  <c r="D62" i="2" s="1"/>
  <c r="E17" i="2"/>
  <c r="E63" i="2" s="1"/>
  <c r="E52" i="2"/>
  <c r="D52" i="2"/>
  <c r="G17" i="2"/>
  <c r="G18" i="2" s="1"/>
  <c r="G19" i="2" s="1"/>
  <c r="G20" i="2" s="1"/>
  <c r="G33" i="2" s="1"/>
  <c r="E18" i="2"/>
  <c r="E64" i="2" s="1"/>
  <c r="L5" i="4"/>
  <c r="Q45" i="6" s="1"/>
  <c r="Q5" i="6" s="1"/>
  <c r="K5" i="4"/>
  <c r="O45" i="6" s="1"/>
  <c r="O5" i="6" s="1"/>
  <c r="H9" i="4"/>
  <c r="M49" i="6" s="1"/>
  <c r="G9" i="4"/>
  <c r="K49" i="6" s="1"/>
  <c r="C14" i="6"/>
  <c r="E19" i="2"/>
  <c r="E65" i="2" s="1"/>
  <c r="H8" i="4"/>
  <c r="M48" i="6" s="1"/>
  <c r="M8" i="6" s="1"/>
  <c r="G8" i="4"/>
  <c r="K48" i="6" s="1"/>
  <c r="K8" i="6" s="1"/>
  <c r="H7" i="4"/>
  <c r="M47" i="6" s="1"/>
  <c r="G7" i="4"/>
  <c r="K47" i="6" s="1"/>
  <c r="O8" i="4"/>
  <c r="S48" i="6" s="1"/>
  <c r="S8" i="6" s="1"/>
  <c r="P8" i="4"/>
  <c r="U48" i="6" s="1"/>
  <c r="U8" i="6" s="1"/>
  <c r="K8" i="4"/>
  <c r="O48" i="6" s="1"/>
  <c r="O8" i="6" s="1"/>
  <c r="L8" i="4"/>
  <c r="Q48" i="6" s="1"/>
  <c r="Q8" i="6" s="1"/>
  <c r="L7" i="4"/>
  <c r="Q47" i="6" s="1"/>
  <c r="K7" i="4"/>
  <c r="O47" i="6" s="1"/>
  <c r="AA33" i="6"/>
  <c r="S36" i="3"/>
  <c r="W36" i="3"/>
  <c r="W30" i="3"/>
  <c r="O7" i="4"/>
  <c r="S47" i="6" s="1"/>
  <c r="P7" i="4"/>
  <c r="U47" i="6" s="1"/>
  <c r="C15" i="6"/>
  <c r="D15" i="6"/>
  <c r="O5" i="4"/>
  <c r="S45" i="6" s="1"/>
  <c r="S5" i="6" s="1"/>
  <c r="P5" i="4"/>
  <c r="U45" i="6" s="1"/>
  <c r="U5" i="6" s="1"/>
  <c r="P9" i="4"/>
  <c r="U49" i="6" s="1"/>
  <c r="O9" i="4"/>
  <c r="S49" i="6" s="1"/>
  <c r="G5" i="4"/>
  <c r="K45" i="6" s="1"/>
  <c r="K5" i="6" s="1"/>
  <c r="H5" i="4"/>
  <c r="M45" i="6" s="1"/>
  <c r="M5" i="6" s="1"/>
  <c r="L9" i="4"/>
  <c r="Q49" i="6" s="1"/>
  <c r="K9" i="4"/>
  <c r="O49" i="6" s="1"/>
  <c r="B43" i="7"/>
  <c r="L42" i="7"/>
  <c r="Q42" i="7"/>
  <c r="G42" i="7"/>
  <c r="D38" i="2"/>
  <c r="E38" i="2"/>
  <c r="G35" i="2"/>
  <c r="G38" i="2"/>
  <c r="G34" i="2"/>
  <c r="H99" i="2" s="1"/>
  <c r="E34" i="2"/>
  <c r="D34" i="2"/>
  <c r="D68" i="2" s="1"/>
  <c r="H6" i="2"/>
  <c r="J36" i="2"/>
  <c r="I6" i="2"/>
  <c r="D35" i="2"/>
  <c r="D69" i="2" s="1"/>
  <c r="E35" i="2"/>
  <c r="E69" i="2" s="1"/>
  <c r="E37" i="2"/>
  <c r="D37" i="2"/>
  <c r="J37" i="2" s="1"/>
  <c r="F8" i="2" l="1"/>
  <c r="F26" i="2"/>
  <c r="D44" i="2"/>
  <c r="D45" i="2" s="1"/>
  <c r="E44" i="2"/>
  <c r="E45" i="2" s="1"/>
  <c r="K6" i="2"/>
  <c r="K52" i="2" s="1"/>
  <c r="I83" i="2"/>
  <c r="J6" i="2"/>
  <c r="H83" i="2"/>
  <c r="E68" i="2"/>
  <c r="J34" i="2"/>
  <c r="J38" i="2"/>
  <c r="W33" i="3"/>
  <c r="U33" i="3" s="1"/>
  <c r="O33" i="3" s="1"/>
  <c r="R33" i="3" s="1"/>
  <c r="X37" i="3"/>
  <c r="X31" i="3"/>
  <c r="W31" i="3"/>
  <c r="W37" i="3"/>
  <c r="X32" i="3"/>
  <c r="X38" i="3"/>
  <c r="W32" i="3"/>
  <c r="W38" i="3"/>
  <c r="B44" i="7"/>
  <c r="G43" i="7"/>
  <c r="Q43" i="7"/>
  <c r="L43" i="7"/>
  <c r="J35" i="2"/>
  <c r="I7" i="2"/>
  <c r="H7" i="2"/>
  <c r="F9" i="2" l="1"/>
  <c r="F27" i="2"/>
  <c r="K7" i="2"/>
  <c r="K53" i="2" s="1"/>
  <c r="I84" i="2"/>
  <c r="J52" i="2"/>
  <c r="J7" i="2"/>
  <c r="J53" i="2" s="1"/>
  <c r="H84" i="2"/>
  <c r="O36" i="3"/>
  <c r="R36" i="3" s="1"/>
  <c r="X35" i="3"/>
  <c r="V35" i="3" s="1"/>
  <c r="P35" i="3" s="1"/>
  <c r="X34" i="3"/>
  <c r="V34" i="3" s="1"/>
  <c r="P34" i="3" s="1"/>
  <c r="W34" i="3"/>
  <c r="U34" i="3" s="1"/>
  <c r="O34" i="3" s="1"/>
  <c r="W35" i="3"/>
  <c r="U35" i="3" s="1"/>
  <c r="O35" i="3" s="1"/>
  <c r="O30" i="3"/>
  <c r="B45" i="7"/>
  <c r="L44" i="7"/>
  <c r="Q44" i="7"/>
  <c r="G44" i="7"/>
  <c r="I8" i="2"/>
  <c r="H8" i="2"/>
  <c r="P31" i="3" l="1"/>
  <c r="P44" i="3" s="1"/>
  <c r="F10" i="2"/>
  <c r="F28" i="2"/>
  <c r="K8" i="2"/>
  <c r="K54" i="2" s="1"/>
  <c r="I85" i="2"/>
  <c r="J8" i="2"/>
  <c r="H85" i="2"/>
  <c r="P37" i="3"/>
  <c r="AE33" i="6" s="1"/>
  <c r="Y33" i="6"/>
  <c r="O38" i="3"/>
  <c r="AG33" i="6" s="1"/>
  <c r="O31" i="3"/>
  <c r="S34" i="3"/>
  <c r="R34" i="3"/>
  <c r="S35" i="3"/>
  <c r="P38" i="3"/>
  <c r="AI33" i="6" s="1"/>
  <c r="R35" i="3"/>
  <c r="X33" i="6"/>
  <c r="R30" i="3"/>
  <c r="O37" i="3"/>
  <c r="O32" i="3"/>
  <c r="AF33" i="6" s="1"/>
  <c r="P32" i="3"/>
  <c r="AH33" i="6" s="1"/>
  <c r="B46" i="7"/>
  <c r="Q45" i="7"/>
  <c r="G45" i="7"/>
  <c r="L45" i="7"/>
  <c r="H9" i="2"/>
  <c r="I9" i="2"/>
  <c r="AD33" i="6" l="1"/>
  <c r="I99" i="2"/>
  <c r="F11" i="2"/>
  <c r="F29" i="2"/>
  <c r="K69" i="2" s="1"/>
  <c r="J9" i="2"/>
  <c r="J55" i="2" s="1"/>
  <c r="H86" i="2"/>
  <c r="J54" i="2"/>
  <c r="K9" i="2"/>
  <c r="K55" i="2" s="1"/>
  <c r="I86" i="2"/>
  <c r="AC33" i="6"/>
  <c r="S37" i="3"/>
  <c r="R37" i="3"/>
  <c r="S38" i="3"/>
  <c r="R38" i="3"/>
  <c r="AB33" i="6"/>
  <c r="R31" i="3"/>
  <c r="S32" i="3"/>
  <c r="S31" i="3"/>
  <c r="R32" i="3"/>
  <c r="B47" i="7"/>
  <c r="L46" i="7"/>
  <c r="G46" i="7"/>
  <c r="Q46" i="7"/>
  <c r="I10" i="2"/>
  <c r="H10" i="2"/>
  <c r="F12" i="2" l="1"/>
  <c r="F30" i="2"/>
  <c r="J10" i="2"/>
  <c r="H87" i="2"/>
  <c r="K10" i="2"/>
  <c r="K56" i="2" s="1"/>
  <c r="I87" i="2"/>
  <c r="B48" i="7"/>
  <c r="L47" i="7"/>
  <c r="G47" i="7"/>
  <c r="Q47" i="7"/>
  <c r="H11" i="2"/>
  <c r="I11" i="2"/>
  <c r="F13" i="2" l="1"/>
  <c r="F31" i="2"/>
  <c r="J11" i="2"/>
  <c r="J57" i="2" s="1"/>
  <c r="H88" i="2"/>
  <c r="K11" i="2"/>
  <c r="K57" i="2" s="1"/>
  <c r="I88" i="2"/>
  <c r="J56" i="2"/>
  <c r="B49" i="7"/>
  <c r="L48" i="7"/>
  <c r="G48" i="7"/>
  <c r="Q48" i="7"/>
  <c r="I12" i="2"/>
  <c r="H12" i="2"/>
  <c r="F14" i="2" l="1"/>
  <c r="F15" i="2" s="1"/>
  <c r="F32" i="2"/>
  <c r="K12" i="2"/>
  <c r="K58" i="2" s="1"/>
  <c r="I89" i="2"/>
  <c r="J12" i="2"/>
  <c r="J58" i="2" s="1"/>
  <c r="H89" i="2"/>
  <c r="B50" i="7"/>
  <c r="L49" i="7"/>
  <c r="G49" i="7"/>
  <c r="Q49" i="7"/>
  <c r="H13" i="2"/>
  <c r="I13" i="2"/>
  <c r="J13" i="2" l="1"/>
  <c r="J59" i="2" s="1"/>
  <c r="H90" i="2"/>
  <c r="K13" i="2"/>
  <c r="K59" i="2" s="1"/>
  <c r="I90" i="2"/>
  <c r="B51" i="7"/>
  <c r="L50" i="7"/>
  <c r="Q50" i="7"/>
  <c r="G50" i="7"/>
  <c r="I14" i="2"/>
  <c r="H14" i="2"/>
  <c r="J14" i="2" l="1"/>
  <c r="J60" i="2" s="1"/>
  <c r="H91" i="2"/>
  <c r="K14" i="2"/>
  <c r="K60" i="2" s="1"/>
  <c r="I91" i="2"/>
  <c r="B52" i="7"/>
  <c r="L51" i="7"/>
  <c r="Q51" i="7"/>
  <c r="G51" i="7"/>
  <c r="H15" i="2"/>
  <c r="I15" i="2"/>
  <c r="K15" i="2" l="1"/>
  <c r="K61" i="2" s="1"/>
  <c r="I92" i="2"/>
  <c r="J15" i="2"/>
  <c r="J61" i="2" s="1"/>
  <c r="H92" i="2"/>
  <c r="B53" i="7"/>
  <c r="L52" i="7"/>
  <c r="G52" i="7"/>
  <c r="Q52" i="7"/>
  <c r="I16" i="2"/>
  <c r="H16" i="2"/>
  <c r="K16" i="2" l="1"/>
  <c r="K62" i="2" s="1"/>
  <c r="I93" i="2"/>
  <c r="J16" i="2"/>
  <c r="J62" i="2" s="1"/>
  <c r="H93" i="2"/>
  <c r="L53" i="7"/>
  <c r="G53" i="7"/>
  <c r="Q53" i="7"/>
  <c r="H17" i="2"/>
  <c r="I17" i="2"/>
  <c r="K17" i="2" l="1"/>
  <c r="K63" i="2" s="1"/>
  <c r="I94" i="2"/>
  <c r="J17" i="2"/>
  <c r="J63" i="2" s="1"/>
  <c r="H94" i="2"/>
  <c r="I18" i="2"/>
  <c r="H18" i="2"/>
  <c r="J64" i="2" l="1"/>
  <c r="J68" i="2" s="1"/>
  <c r="J71" i="2" s="1"/>
  <c r="J74" i="2" s="1"/>
  <c r="H95" i="2"/>
  <c r="K18" i="2"/>
  <c r="K64" i="2" s="1"/>
  <c r="K68" i="2" s="1"/>
  <c r="K71" i="2" s="1"/>
  <c r="K74" i="2" s="1"/>
  <c r="I95" i="2"/>
  <c r="I19" i="2"/>
  <c r="K19" i="2" l="1"/>
  <c r="K65" i="2" s="1"/>
  <c r="I96" i="2"/>
  <c r="J19" i="2"/>
  <c r="J65" i="2" s="1"/>
  <c r="H96" i="2"/>
  <c r="I20" i="2"/>
  <c r="I98" i="2" l="1"/>
  <c r="J33" i="2"/>
  <c r="H98" i="2"/>
  <c r="J20" i="2"/>
  <c r="J66" i="2" s="1"/>
  <c r="H97" i="2"/>
  <c r="K20" i="2"/>
  <c r="K66" i="2" s="1"/>
  <c r="I97" i="2"/>
  <c r="K67" i="2" l="1"/>
  <c r="J67" i="2"/>
  <c r="J44" i="2"/>
  <c r="J45" i="2" s="1"/>
  <c r="K45" i="2"/>
  <c r="B3" i="3" l="1"/>
  <c r="Y4" i="6"/>
  <c r="O4" i="3"/>
  <c r="O6" i="3"/>
  <c r="O5" i="3"/>
  <c r="Y5" i="6" l="1"/>
  <c r="S5" i="3"/>
  <c r="S44" i="3" s="1"/>
  <c r="G5" i="6" s="1"/>
  <c r="P6" i="3"/>
  <c r="AB13" i="6"/>
  <c r="N14" i="6" s="1"/>
  <c r="N4" i="6" s="1"/>
  <c r="O11" i="3"/>
  <c r="O8" i="3" s="1"/>
  <c r="O47" i="3" s="1"/>
  <c r="C8" i="6" s="1"/>
  <c r="O44" i="3"/>
  <c r="O45" i="3"/>
  <c r="C6" i="6" s="1"/>
  <c r="AF13" i="6"/>
  <c r="O12" i="3"/>
  <c r="R4" i="3"/>
  <c r="R43" i="3" s="1"/>
  <c r="F4" i="6" s="1"/>
  <c r="O43" i="3"/>
  <c r="C4" i="6" s="1"/>
  <c r="X13" i="6"/>
  <c r="O10" i="3"/>
  <c r="C5" i="6" l="1"/>
  <c r="P14" i="6"/>
  <c r="P4" i="6" s="1"/>
  <c r="N16" i="6"/>
  <c r="P16" i="6" s="1"/>
  <c r="P6" i="6" s="1"/>
  <c r="R6" i="3"/>
  <c r="R45" i="3" s="1"/>
  <c r="F6" i="6" s="1"/>
  <c r="S6" i="3"/>
  <c r="S45" i="3" s="1"/>
  <c r="G6" i="6" s="1"/>
  <c r="R5" i="3"/>
  <c r="R44" i="3" s="1"/>
  <c r="F5" i="6" s="1"/>
  <c r="AH13" i="6"/>
  <c r="P12" i="3"/>
  <c r="P9" i="3" s="1"/>
  <c r="P48" i="3" s="1"/>
  <c r="D9" i="6" s="1"/>
  <c r="P45" i="3"/>
  <c r="D6" i="6" s="1"/>
  <c r="AD13" i="6"/>
  <c r="D5" i="6"/>
  <c r="P11" i="3"/>
  <c r="P8" i="3" s="1"/>
  <c r="Z13" i="6"/>
  <c r="P43" i="3"/>
  <c r="D4" i="6" s="1"/>
  <c r="P10" i="3"/>
  <c r="P7" i="3" s="1"/>
  <c r="S4" i="3"/>
  <c r="S43" i="3" s="1"/>
  <c r="G4" i="6" s="1"/>
  <c r="C20" i="7"/>
  <c r="E17" i="7"/>
  <c r="C24" i="7"/>
  <c r="E28" i="7"/>
  <c r="C21" i="7"/>
  <c r="E30" i="7"/>
  <c r="E26" i="7"/>
  <c r="E14" i="7"/>
  <c r="C14" i="7"/>
  <c r="C15" i="7"/>
  <c r="E24" i="7"/>
  <c r="C22" i="7"/>
  <c r="E27" i="7"/>
  <c r="C30" i="7"/>
  <c r="E23" i="7"/>
  <c r="C28" i="7"/>
  <c r="C16" i="7"/>
  <c r="E15" i="7"/>
  <c r="E29" i="7"/>
  <c r="E21" i="7"/>
  <c r="C29" i="7"/>
  <c r="C27" i="7"/>
  <c r="C23" i="7"/>
  <c r="E20" i="7"/>
  <c r="C18" i="7"/>
  <c r="E19" i="7"/>
  <c r="E25" i="7"/>
  <c r="C26" i="7"/>
  <c r="C25" i="7"/>
  <c r="E18" i="7"/>
  <c r="C19" i="7"/>
  <c r="E16" i="7"/>
  <c r="E22" i="7"/>
  <c r="C17" i="7"/>
  <c r="O51" i="3"/>
  <c r="C12" i="6" s="1"/>
  <c r="AG13" i="6"/>
  <c r="O9" i="3"/>
  <c r="O48" i="3" s="1"/>
  <c r="C9" i="6" s="1"/>
  <c r="M38" i="7" s="1"/>
  <c r="R14" i="6"/>
  <c r="T14" i="6" s="1"/>
  <c r="T4" i="6" s="1"/>
  <c r="R16" i="6"/>
  <c r="M16" i="7"/>
  <c r="M25" i="7"/>
  <c r="O29" i="7"/>
  <c r="O16" i="7"/>
  <c r="M24" i="7"/>
  <c r="O30" i="7"/>
  <c r="M19" i="7"/>
  <c r="O22" i="7"/>
  <c r="M18" i="7"/>
  <c r="M28" i="7"/>
  <c r="O20" i="7"/>
  <c r="O19" i="7"/>
  <c r="M22" i="7"/>
  <c r="O18" i="7"/>
  <c r="M14" i="7"/>
  <c r="O28" i="7"/>
  <c r="M27" i="7"/>
  <c r="M17" i="7"/>
  <c r="M15" i="7"/>
  <c r="M23" i="7"/>
  <c r="O27" i="7"/>
  <c r="M26" i="7"/>
  <c r="O26" i="7"/>
  <c r="O14" i="7"/>
  <c r="O23" i="7"/>
  <c r="M20" i="7"/>
  <c r="O17" i="7"/>
  <c r="M30" i="7"/>
  <c r="O21" i="7"/>
  <c r="M29" i="7"/>
  <c r="M21" i="7"/>
  <c r="O24" i="7"/>
  <c r="O25" i="7"/>
  <c r="O15" i="7"/>
  <c r="H28" i="7"/>
  <c r="H18" i="7"/>
  <c r="J23" i="7"/>
  <c r="H20" i="7"/>
  <c r="J18" i="7"/>
  <c r="J19" i="7"/>
  <c r="H24" i="7"/>
  <c r="J15" i="7"/>
  <c r="J17" i="7"/>
  <c r="H30" i="7"/>
  <c r="J21" i="7"/>
  <c r="H27" i="7"/>
  <c r="J20" i="7"/>
  <c r="H15" i="7"/>
  <c r="H22" i="7"/>
  <c r="J28" i="7"/>
  <c r="H17" i="7"/>
  <c r="H19" i="7"/>
  <c r="H29" i="7"/>
  <c r="H21" i="7"/>
  <c r="J22" i="7"/>
  <c r="J26" i="7"/>
  <c r="J27" i="7"/>
  <c r="H23" i="7"/>
  <c r="H14" i="7"/>
  <c r="J16" i="7"/>
  <c r="J29" i="7"/>
  <c r="H25" i="7"/>
  <c r="J24" i="7"/>
  <c r="J30" i="7"/>
  <c r="H26" i="7"/>
  <c r="H16" i="7"/>
  <c r="J14" i="7"/>
  <c r="J25" i="7"/>
  <c r="AC13" i="6"/>
  <c r="O50" i="3"/>
  <c r="C11" i="6" s="1"/>
  <c r="J52" i="7" s="1"/>
  <c r="Y13" i="6"/>
  <c r="R10" i="3"/>
  <c r="R49" i="3" s="1"/>
  <c r="F10" i="6" s="1"/>
  <c r="O49" i="3"/>
  <c r="C10" i="6" s="1"/>
  <c r="O7" i="3"/>
  <c r="M40" i="7"/>
  <c r="H32" i="7"/>
  <c r="H37" i="7"/>
  <c r="H35" i="7"/>
  <c r="H38" i="7"/>
  <c r="H42" i="7"/>
  <c r="H46" i="7"/>
  <c r="H34" i="7"/>
  <c r="H31" i="7"/>
  <c r="H39" i="7"/>
  <c r="H43" i="7"/>
  <c r="H47" i="7"/>
  <c r="H36" i="7"/>
  <c r="H40" i="7"/>
  <c r="H44" i="7"/>
  <c r="H33" i="7"/>
  <c r="H41" i="7"/>
  <c r="H45" i="7"/>
  <c r="J42" i="7"/>
  <c r="J38" i="7"/>
  <c r="J35" i="7"/>
  <c r="J47" i="7"/>
  <c r="J31" i="7"/>
  <c r="J46" i="7"/>
  <c r="J45" i="7"/>
  <c r="J37" i="7"/>
  <c r="J34" i="7"/>
  <c r="J41" i="7"/>
  <c r="J44" i="7"/>
  <c r="J40" i="7"/>
  <c r="J43" i="7"/>
  <c r="J39" i="7"/>
  <c r="J36" i="7"/>
  <c r="J32" i="7"/>
  <c r="J33" i="7"/>
  <c r="O54" i="3" l="1"/>
  <c r="O38" i="7"/>
  <c r="H53" i="7"/>
  <c r="J49" i="7"/>
  <c r="H50" i="7"/>
  <c r="J53" i="7"/>
  <c r="H49" i="7"/>
  <c r="N6" i="6"/>
  <c r="H52" i="7"/>
  <c r="M44" i="7"/>
  <c r="P47" i="7"/>
  <c r="S11" i="3"/>
  <c r="S50" i="3" s="1"/>
  <c r="G11" i="6" s="1"/>
  <c r="R4" i="6"/>
  <c r="O49" i="7"/>
  <c r="J50" i="7"/>
  <c r="S7" i="3"/>
  <c r="S46" i="3" s="1"/>
  <c r="G7" i="6" s="1"/>
  <c r="P46" i="3"/>
  <c r="D7" i="6" s="1"/>
  <c r="F36" i="7" s="1"/>
  <c r="P47" i="3"/>
  <c r="S9" i="3"/>
  <c r="S48" i="3" s="1"/>
  <c r="G9" i="6" s="1"/>
  <c r="S8" i="3"/>
  <c r="S47" i="3" s="1"/>
  <c r="G8" i="6" s="1"/>
  <c r="R9" i="3"/>
  <c r="R48" i="3" s="1"/>
  <c r="F9" i="6" s="1"/>
  <c r="R8" i="3"/>
  <c r="R47" i="3" s="1"/>
  <c r="F8" i="6" s="1"/>
  <c r="AE13" i="6"/>
  <c r="P50" i="3"/>
  <c r="D11" i="6" s="1"/>
  <c r="O37" i="7"/>
  <c r="I15" i="7"/>
  <c r="K14" i="7"/>
  <c r="K28" i="7"/>
  <c r="I17" i="7"/>
  <c r="K19" i="7"/>
  <c r="I21" i="7"/>
  <c r="K21" i="7"/>
  <c r="K26" i="7"/>
  <c r="I23" i="7"/>
  <c r="K22" i="7"/>
  <c r="I16" i="7"/>
  <c r="K24" i="7"/>
  <c r="I20" i="7"/>
  <c r="K15" i="7"/>
  <c r="I24" i="7"/>
  <c r="K25" i="7"/>
  <c r="I14" i="7"/>
  <c r="I25" i="7"/>
  <c r="K23" i="7"/>
  <c r="I27" i="7"/>
  <c r="K16" i="7"/>
  <c r="I18" i="7"/>
  <c r="K20" i="7"/>
  <c r="I29" i="7"/>
  <c r="I26" i="7"/>
  <c r="I22" i="7"/>
  <c r="K17" i="7"/>
  <c r="I28" i="7"/>
  <c r="K29" i="7"/>
  <c r="I30" i="7"/>
  <c r="K18" i="7"/>
  <c r="K30" i="7"/>
  <c r="K27" i="7"/>
  <c r="I19" i="7"/>
  <c r="R11" i="3"/>
  <c r="R50" i="3" s="1"/>
  <c r="F11" i="6" s="1"/>
  <c r="O16" i="6"/>
  <c r="O14" i="6"/>
  <c r="N26" i="7"/>
  <c r="N23" i="7"/>
  <c r="P21" i="7"/>
  <c r="N15" i="7"/>
  <c r="N14" i="7"/>
  <c r="P16" i="7"/>
  <c r="N27" i="7"/>
  <c r="N19" i="7"/>
  <c r="P15" i="7"/>
  <c r="P29" i="7"/>
  <c r="P27" i="7"/>
  <c r="P26" i="7"/>
  <c r="N30" i="7"/>
  <c r="N29" i="7"/>
  <c r="P18" i="7"/>
  <c r="P23" i="7"/>
  <c r="P17" i="7"/>
  <c r="P20" i="7"/>
  <c r="N28" i="7"/>
  <c r="N21" i="7"/>
  <c r="N16" i="7"/>
  <c r="P25" i="7"/>
  <c r="P24" i="7"/>
  <c r="N18" i="7"/>
  <c r="P14" i="7"/>
  <c r="P28" i="7"/>
  <c r="N20" i="7"/>
  <c r="N22" i="7"/>
  <c r="N24" i="7"/>
  <c r="P19" i="7"/>
  <c r="P30" i="7"/>
  <c r="N25" i="7"/>
  <c r="N17" i="7"/>
  <c r="P22" i="7"/>
  <c r="N41" i="7"/>
  <c r="N44" i="7"/>
  <c r="N37" i="7"/>
  <c r="P43" i="7"/>
  <c r="P42" i="7"/>
  <c r="N40" i="7"/>
  <c r="N35" i="7"/>
  <c r="P34" i="7"/>
  <c r="P37" i="7"/>
  <c r="P38" i="7"/>
  <c r="P35" i="7"/>
  <c r="P39" i="7"/>
  <c r="N33" i="7"/>
  <c r="P33" i="7"/>
  <c r="P46" i="7"/>
  <c r="N46" i="7"/>
  <c r="N31" i="7"/>
  <c r="P41" i="7"/>
  <c r="N47" i="7"/>
  <c r="P31" i="7"/>
  <c r="N43" i="7"/>
  <c r="N42" i="7"/>
  <c r="P44" i="7"/>
  <c r="P36" i="7"/>
  <c r="N39" i="7"/>
  <c r="N38" i="7"/>
  <c r="P32" i="7"/>
  <c r="N45" i="7"/>
  <c r="N34" i="7"/>
  <c r="N36" i="7"/>
  <c r="P45" i="7"/>
  <c r="P40" i="7"/>
  <c r="N32" i="7"/>
  <c r="AI13" i="6"/>
  <c r="P51" i="3"/>
  <c r="D12" i="6" s="1"/>
  <c r="N52" i="7" s="1"/>
  <c r="F47" i="7"/>
  <c r="S12" i="3"/>
  <c r="S51" i="3" s="1"/>
  <c r="G12" i="6" s="1"/>
  <c r="S16" i="6"/>
  <c r="S14" i="6"/>
  <c r="R12" i="3"/>
  <c r="R51" i="3" s="1"/>
  <c r="F12" i="6" s="1"/>
  <c r="M31" i="7"/>
  <c r="AA13" i="6"/>
  <c r="P49" i="3"/>
  <c r="D10" i="6" s="1"/>
  <c r="S10" i="3"/>
  <c r="S49" i="3" s="1"/>
  <c r="G10" i="6" s="1"/>
  <c r="F19" i="7"/>
  <c r="F28" i="7"/>
  <c r="D20" i="7"/>
  <c r="F27" i="7"/>
  <c r="D24" i="7"/>
  <c r="F20" i="7"/>
  <c r="F23" i="7"/>
  <c r="D26" i="7"/>
  <c r="F21" i="7"/>
  <c r="F30" i="7"/>
  <c r="D30" i="7"/>
  <c r="F17" i="7"/>
  <c r="D19" i="7"/>
  <c r="F22" i="7"/>
  <c r="F18" i="7"/>
  <c r="F14" i="7"/>
  <c r="D17" i="7"/>
  <c r="D18" i="7"/>
  <c r="F26" i="7"/>
  <c r="F25" i="7"/>
  <c r="D21" i="7"/>
  <c r="F15" i="7"/>
  <c r="D28" i="7"/>
  <c r="D14" i="7"/>
  <c r="D15" i="7"/>
  <c r="D27" i="7"/>
  <c r="F24" i="7"/>
  <c r="D22" i="7"/>
  <c r="D29" i="7"/>
  <c r="F16" i="7"/>
  <c r="D23" i="7"/>
  <c r="D25" i="7"/>
  <c r="F29" i="7"/>
  <c r="D16" i="7"/>
  <c r="K16" i="6"/>
  <c r="K14" i="6"/>
  <c r="R17" i="6"/>
  <c r="R19" i="6"/>
  <c r="O52" i="7"/>
  <c r="H48" i="7"/>
  <c r="N17" i="6"/>
  <c r="N19" i="6"/>
  <c r="R7" i="3"/>
  <c r="R46" i="3" s="1"/>
  <c r="F7" i="6" s="1"/>
  <c r="O46" i="3"/>
  <c r="C7" i="6" s="1"/>
  <c r="T16" i="6"/>
  <c r="T6" i="6" s="1"/>
  <c r="R6" i="6"/>
  <c r="H51" i="7"/>
  <c r="J51" i="7"/>
  <c r="J48" i="7"/>
  <c r="O46" i="7"/>
  <c r="M42" i="7"/>
  <c r="O35" i="7"/>
  <c r="M36" i="7"/>
  <c r="O45" i="7"/>
  <c r="M48" i="7"/>
  <c r="O43" i="7"/>
  <c r="M35" i="7"/>
  <c r="O47" i="7"/>
  <c r="M46" i="7"/>
  <c r="O42" i="7"/>
  <c r="M37" i="7"/>
  <c r="M52" i="7"/>
  <c r="M51" i="7"/>
  <c r="O33" i="7"/>
  <c r="M50" i="7"/>
  <c r="M33" i="7"/>
  <c r="M41" i="7"/>
  <c r="O41" i="7"/>
  <c r="O53" i="7"/>
  <c r="O34" i="7"/>
  <c r="O39" i="7"/>
  <c r="M39" i="7"/>
  <c r="M53" i="7"/>
  <c r="O44" i="7"/>
  <c r="O48" i="7"/>
  <c r="M43" i="7"/>
  <c r="M45" i="7"/>
  <c r="O32" i="7"/>
  <c r="O51" i="7"/>
  <c r="M47" i="7"/>
  <c r="M49" i="7"/>
  <c r="O31" i="7"/>
  <c r="O36" i="7"/>
  <c r="O40" i="7"/>
  <c r="O50" i="7"/>
  <c r="M32" i="7"/>
  <c r="M34" i="7"/>
  <c r="D8" i="6" l="1"/>
  <c r="K35" i="7" s="1"/>
  <c r="P54" i="3"/>
  <c r="P49" i="7"/>
  <c r="K50" i="7"/>
  <c r="I34" i="7"/>
  <c r="N49" i="7"/>
  <c r="F42" i="7"/>
  <c r="I31" i="7"/>
  <c r="D39" i="7"/>
  <c r="P53" i="7"/>
  <c r="D41" i="7"/>
  <c r="K53" i="7"/>
  <c r="K39" i="7"/>
  <c r="D43" i="7"/>
  <c r="N48" i="7"/>
  <c r="I45" i="7"/>
  <c r="D45" i="7"/>
  <c r="K34" i="7"/>
  <c r="P52" i="7"/>
  <c r="P48" i="7"/>
  <c r="K47" i="7"/>
  <c r="I48" i="7"/>
  <c r="K36" i="7"/>
  <c r="P50" i="7"/>
  <c r="D51" i="7"/>
  <c r="I37" i="7"/>
  <c r="N53" i="7"/>
  <c r="P51" i="7"/>
  <c r="I40" i="7"/>
  <c r="D37" i="7"/>
  <c r="N51" i="7"/>
  <c r="I51" i="7"/>
  <c r="K48" i="7"/>
  <c r="F52" i="7"/>
  <c r="K37" i="7"/>
  <c r="K42" i="7"/>
  <c r="K6" i="6"/>
  <c r="M16" i="6"/>
  <c r="M6" i="6" s="1"/>
  <c r="I52" i="7"/>
  <c r="K31" i="7"/>
  <c r="I36" i="7"/>
  <c r="O6" i="6"/>
  <c r="Q16" i="6"/>
  <c r="Q6" i="6" s="1"/>
  <c r="K19" i="6"/>
  <c r="K17" i="6"/>
  <c r="S19" i="6"/>
  <c r="S17" i="6"/>
  <c r="N50" i="7"/>
  <c r="I43" i="7"/>
  <c r="K51" i="7"/>
  <c r="K32" i="7"/>
  <c r="O17" i="6"/>
  <c r="O19" i="6"/>
  <c r="K49" i="7"/>
  <c r="I35" i="7"/>
  <c r="I38" i="7"/>
  <c r="U14" i="6"/>
  <c r="U4" i="6" s="1"/>
  <c r="S4" i="6"/>
  <c r="K45" i="7"/>
  <c r="K52" i="7"/>
  <c r="I44" i="7"/>
  <c r="I42" i="7"/>
  <c r="S6" i="6"/>
  <c r="U16" i="6"/>
  <c r="U6" i="6" s="1"/>
  <c r="K46" i="7"/>
  <c r="I46" i="7"/>
  <c r="I39" i="7"/>
  <c r="M14" i="6"/>
  <c r="M4" i="6" s="1"/>
  <c r="K4" i="6"/>
  <c r="D48" i="7"/>
  <c r="F50" i="7"/>
  <c r="D42" i="7"/>
  <c r="D52" i="7"/>
  <c r="F44" i="7"/>
  <c r="D36" i="7"/>
  <c r="D31" i="7"/>
  <c r="F45" i="7"/>
  <c r="F48" i="7"/>
  <c r="D40" i="7"/>
  <c r="F34" i="7"/>
  <c r="F51" i="7"/>
  <c r="D47" i="7"/>
  <c r="D49" i="7"/>
  <c r="D35" i="7"/>
  <c r="F43" i="7"/>
  <c r="F49" i="7"/>
  <c r="D34" i="7"/>
  <c r="F37" i="7"/>
  <c r="D53" i="7"/>
  <c r="F31" i="7"/>
  <c r="F41" i="7"/>
  <c r="F32" i="7"/>
  <c r="D33" i="7"/>
  <c r="D32" i="7"/>
  <c r="F35" i="7"/>
  <c r="F38" i="7"/>
  <c r="D44" i="7"/>
  <c r="D46" i="7"/>
  <c r="F40" i="7"/>
  <c r="F39" i="7"/>
  <c r="D50" i="7"/>
  <c r="F33" i="7"/>
  <c r="F53" i="7"/>
  <c r="F46" i="7"/>
  <c r="Q14" i="6"/>
  <c r="Q4" i="6" s="1"/>
  <c r="O4" i="6"/>
  <c r="I53" i="7"/>
  <c r="K43" i="7"/>
  <c r="D38" i="7"/>
  <c r="C37" i="7"/>
  <c r="C35" i="7"/>
  <c r="E50" i="7"/>
  <c r="C40" i="7"/>
  <c r="E31" i="7"/>
  <c r="E47" i="7"/>
  <c r="C33" i="7"/>
  <c r="C31" i="7"/>
  <c r="E52" i="7"/>
  <c r="E39" i="7"/>
  <c r="C38" i="7"/>
  <c r="E34" i="7"/>
  <c r="C41" i="7"/>
  <c r="C34" i="7"/>
  <c r="C32" i="7"/>
  <c r="E33" i="7"/>
  <c r="C39" i="7"/>
  <c r="C47" i="7"/>
  <c r="E44" i="7"/>
  <c r="E40" i="7"/>
  <c r="C42" i="7"/>
  <c r="E35" i="7"/>
  <c r="E37" i="7"/>
  <c r="C49" i="7"/>
  <c r="E53" i="7"/>
  <c r="C43" i="7"/>
  <c r="E41" i="7"/>
  <c r="E42" i="7"/>
  <c r="E45" i="7"/>
  <c r="E32" i="7"/>
  <c r="E46" i="7"/>
  <c r="C45" i="7"/>
  <c r="C50" i="7"/>
  <c r="E43" i="7"/>
  <c r="E36" i="7"/>
  <c r="C46" i="7"/>
  <c r="E38" i="7"/>
  <c r="E49" i="7"/>
  <c r="C51" i="7"/>
  <c r="C48" i="7"/>
  <c r="C44" i="7"/>
  <c r="E51" i="7"/>
  <c r="C53" i="7"/>
  <c r="C52" i="7"/>
  <c r="E48" i="7"/>
  <c r="C36" i="7"/>
  <c r="N9" i="6"/>
  <c r="P19" i="6"/>
  <c r="P9" i="6" s="1"/>
  <c r="N7" i="6"/>
  <c r="P17" i="6"/>
  <c r="P7" i="6" s="1"/>
  <c r="T19" i="6"/>
  <c r="T9" i="6" s="1"/>
  <c r="R9" i="6"/>
  <c r="T17" i="6"/>
  <c r="T7" i="6" s="1"/>
  <c r="R7" i="6"/>
  <c r="K33" i="7" l="1"/>
  <c r="K41" i="7"/>
  <c r="I47" i="7"/>
  <c r="K40" i="7"/>
  <c r="I41" i="7"/>
  <c r="I49" i="7"/>
  <c r="I50" i="7"/>
  <c r="K44" i="7"/>
  <c r="I32" i="7"/>
  <c r="I33" i="7"/>
  <c r="K38" i="7"/>
  <c r="M17" i="6"/>
  <c r="M7" i="6" s="1"/>
  <c r="K7" i="6"/>
  <c r="S7" i="6"/>
  <c r="U17" i="6"/>
  <c r="U7" i="6" s="1"/>
  <c r="S9" i="6"/>
  <c r="U19" i="6"/>
  <c r="U9" i="6" s="1"/>
  <c r="M19" i="6"/>
  <c r="M9" i="6" s="1"/>
  <c r="K9" i="6"/>
  <c r="Q19" i="6"/>
  <c r="Q9" i="6" s="1"/>
  <c r="O9" i="6"/>
  <c r="O7" i="6"/>
  <c r="Q17" i="6"/>
  <c r="Q7" i="6" s="1"/>
</calcChain>
</file>

<file path=xl/sharedStrings.xml><?xml version="1.0" encoding="utf-8"?>
<sst xmlns="http://schemas.openxmlformats.org/spreadsheetml/2006/main" count="592" uniqueCount="188">
  <si>
    <t>Property</t>
  </si>
  <si>
    <t>Symbol</t>
  </si>
  <si>
    <t>Value</t>
  </si>
  <si>
    <t>Unit</t>
  </si>
  <si>
    <t>Chord length aileron</t>
  </si>
  <si>
    <t>m</t>
  </si>
  <si>
    <t>Span of the aileron</t>
  </si>
  <si>
    <t>x-location of hinge 1</t>
  </si>
  <si>
    <t>x-location of hinge 2</t>
  </si>
  <si>
    <t>x-location of hinge 3</t>
  </si>
  <si>
    <t>Distance between actuator 1 and 2</t>
  </si>
  <si>
    <t>cm</t>
  </si>
  <si>
    <t>Aileron height</t>
  </si>
  <si>
    <t>h</t>
  </si>
  <si>
    <t>Skin thickness</t>
  </si>
  <si>
    <t>mm</t>
  </si>
  <si>
    <t>Spar thickness</t>
  </si>
  <si>
    <t>Thickness of stiffener</t>
  </si>
  <si>
    <t>Height of stiffener</t>
  </si>
  <si>
    <t>Width of stiffener</t>
  </si>
  <si>
    <t>Number of stiffeners (equally spaced along the periphery of the cross-section)</t>
  </si>
  <si>
    <t>-</t>
  </si>
  <si>
    <t>Vertical displacement hinge 1</t>
  </si>
  <si>
    <t>Vertical displacement hinge 3</t>
  </si>
  <si>
    <t>Maximum upward deflection</t>
  </si>
  <si>
    <t>q</t>
  </si>
  <si>
    <t>deg</t>
  </si>
  <si>
    <t>Load in actuator 2</t>
  </si>
  <si>
    <t>P</t>
  </si>
  <si>
    <t>kN</t>
  </si>
  <si>
    <t>Net aerodynamic load</t>
  </si>
  <si>
    <t>kN/m</t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</si>
  <si>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</si>
  <si>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r>
      <t>l</t>
    </r>
    <r>
      <rPr>
        <i/>
        <vertAlign val="subscript"/>
        <sz val="12"/>
        <color theme="1"/>
        <rFont val="Times New Roman"/>
        <family val="1"/>
      </rPr>
      <t>a</t>
    </r>
  </si>
  <si>
    <r>
      <t>x</t>
    </r>
    <r>
      <rPr>
        <i/>
        <vertAlign val="subscript"/>
        <sz val="12"/>
        <color theme="1"/>
        <rFont val="Times New Roman"/>
        <family val="1"/>
      </rPr>
      <t>1</t>
    </r>
  </si>
  <si>
    <r>
      <t>x</t>
    </r>
    <r>
      <rPr>
        <i/>
        <vertAlign val="subscript"/>
        <sz val="12"/>
        <color theme="1"/>
        <rFont val="Times New Roman"/>
        <family val="1"/>
      </rPr>
      <t>2</t>
    </r>
  </si>
  <si>
    <r>
      <t>x</t>
    </r>
    <r>
      <rPr>
        <i/>
        <vertAlign val="subscript"/>
        <sz val="12"/>
        <color theme="1"/>
        <rFont val="Times New Roman"/>
        <family val="1"/>
      </rPr>
      <t>3</t>
    </r>
  </si>
  <si>
    <r>
      <t>x</t>
    </r>
    <r>
      <rPr>
        <i/>
        <vertAlign val="subscript"/>
        <sz val="12"/>
        <color theme="1"/>
        <rFont val="Times New Roman"/>
        <family val="1"/>
      </rPr>
      <t>a</t>
    </r>
  </si>
  <si>
    <r>
      <t>t</t>
    </r>
    <r>
      <rPr>
        <i/>
        <vertAlign val="subscript"/>
        <sz val="12"/>
        <color theme="1"/>
        <rFont val="Times New Roman"/>
        <family val="1"/>
      </rPr>
      <t>sk</t>
    </r>
  </si>
  <si>
    <r>
      <t>t</t>
    </r>
    <r>
      <rPr>
        <i/>
        <vertAlign val="subscript"/>
        <sz val="12"/>
        <color theme="1"/>
        <rFont val="Times New Roman"/>
        <family val="1"/>
      </rPr>
      <t>sp</t>
    </r>
  </si>
  <si>
    <r>
      <t>t</t>
    </r>
    <r>
      <rPr>
        <i/>
        <vertAlign val="subscript"/>
        <sz val="12"/>
        <color theme="1"/>
        <rFont val="Times New Roman"/>
        <family val="1"/>
      </rPr>
      <t>st</t>
    </r>
  </si>
  <si>
    <r>
      <t>h</t>
    </r>
    <r>
      <rPr>
        <i/>
        <vertAlign val="subscript"/>
        <sz val="12"/>
        <color theme="1"/>
        <rFont val="Times New Roman"/>
        <family val="1"/>
      </rPr>
      <t>st</t>
    </r>
  </si>
  <si>
    <r>
      <t>w</t>
    </r>
    <r>
      <rPr>
        <i/>
        <vertAlign val="subscript"/>
        <sz val="12"/>
        <color theme="1"/>
        <rFont val="Times New Roman"/>
        <family val="1"/>
      </rPr>
      <t>st</t>
    </r>
  </si>
  <si>
    <r>
      <t>n</t>
    </r>
    <r>
      <rPr>
        <i/>
        <vertAlign val="subscript"/>
        <sz val="12"/>
        <color theme="1"/>
        <rFont val="Times New Roman"/>
        <family val="1"/>
      </rPr>
      <t>st</t>
    </r>
  </si>
  <si>
    <r>
      <t>d</t>
    </r>
    <r>
      <rPr>
        <i/>
        <vertAlign val="subscript"/>
        <sz val="12"/>
        <color theme="1"/>
        <rFont val="Times New Roman"/>
        <family val="1"/>
      </rPr>
      <t>1</t>
    </r>
  </si>
  <si>
    <r>
      <t>d</t>
    </r>
    <r>
      <rPr>
        <i/>
        <vertAlign val="subscript"/>
        <sz val="12"/>
        <color theme="1"/>
        <rFont val="Times New Roman"/>
        <family val="1"/>
      </rPr>
      <t>3</t>
    </r>
  </si>
  <si>
    <t>Part</t>
  </si>
  <si>
    <t>Upper skin</t>
  </si>
  <si>
    <t>Lower skin</t>
  </si>
  <si>
    <t>Stiffener 1</t>
  </si>
  <si>
    <t>Stiffener 2</t>
  </si>
  <si>
    <t>Stiffener 3</t>
  </si>
  <si>
    <t>Stiffener 4</t>
  </si>
  <si>
    <t>Stiffener 5</t>
  </si>
  <si>
    <t>Stiffener 6</t>
  </si>
  <si>
    <t>Stiffener 7</t>
  </si>
  <si>
    <t>Stiffener 8</t>
  </si>
  <si>
    <t>Stiffener 9</t>
  </si>
  <si>
    <t>Stiffener 10</t>
  </si>
  <si>
    <t>Stiffener 11</t>
  </si>
  <si>
    <t>Stiffener 12</t>
  </si>
  <si>
    <t>Stiffener 13</t>
  </si>
  <si>
    <t>Stiffener 14</t>
  </si>
  <si>
    <t>Stiffener 15</t>
  </si>
  <si>
    <t>Stiffener 16</t>
  </si>
  <si>
    <t>Stiffener 17</t>
  </si>
  <si>
    <t>Stiffener 18</t>
  </si>
  <si>
    <t>Stiffener 19</t>
  </si>
  <si>
    <t>Stiffener 20</t>
  </si>
  <si>
    <t>Stiffener 21</t>
  </si>
  <si>
    <t>Leading edge</t>
  </si>
  <si>
    <t>Area [mm^2]</t>
  </si>
  <si>
    <t>d_y [mm]</t>
  </si>
  <si>
    <t>I_yy (centroid) [mm^4]</t>
  </si>
  <si>
    <t>A*(d_y^2)</t>
  </si>
  <si>
    <t>I_yy [mm^4]</t>
  </si>
  <si>
    <t>Total</t>
  </si>
  <si>
    <t>I_zz (centroid) [mm^4]</t>
  </si>
  <si>
    <t>d_z [mm]</t>
  </si>
  <si>
    <t>A*(d_z^2)</t>
  </si>
  <si>
    <t>I_zz [mm^4]</t>
  </si>
  <si>
    <t>Usefull measures</t>
  </si>
  <si>
    <t>Radius</t>
  </si>
  <si>
    <t>Circumference</t>
  </si>
  <si>
    <t>Length behind hinge line</t>
  </si>
  <si>
    <t>[mm]</t>
  </si>
  <si>
    <t>Area stiffener</t>
  </si>
  <si>
    <t>[mm^2]</t>
  </si>
  <si>
    <t>Stiffener Pitch</t>
  </si>
  <si>
    <t>[-]</t>
  </si>
  <si>
    <t>Stiffeners on leading edge</t>
  </si>
  <si>
    <t>Stiffeners on upper/lower skin</t>
  </si>
  <si>
    <t>Slope upper/lower skin</t>
  </si>
  <si>
    <t>[rad]</t>
  </si>
  <si>
    <t>Inclination w.r.t. z-axis [rad]</t>
  </si>
  <si>
    <t>Opening angle leading edge</t>
  </si>
  <si>
    <t>Spar</t>
  </si>
  <si>
    <t>Stiffener centroid from base</t>
  </si>
  <si>
    <t>Modulus of Elasticity Al 2024-T3</t>
  </si>
  <si>
    <t>E</t>
  </si>
  <si>
    <t>GPa</t>
  </si>
  <si>
    <t>Useful constants</t>
  </si>
  <si>
    <t>L12</t>
  </si>
  <si>
    <t>L23</t>
  </si>
  <si>
    <t>EI_zz</t>
  </si>
  <si>
    <t>EI_yy</t>
  </si>
  <si>
    <t>[kNmm^2]</t>
  </si>
  <si>
    <t>Local</t>
  </si>
  <si>
    <t>Global</t>
  </si>
  <si>
    <t>Displacements per hinge per load case</t>
  </si>
  <si>
    <t>y [mm]</t>
  </si>
  <si>
    <t>z [mm]</t>
  </si>
  <si>
    <t>Rotation</t>
  </si>
  <si>
    <t>Up</t>
  </si>
  <si>
    <t>Down</t>
  </si>
  <si>
    <t>Neutral</t>
  </si>
  <si>
    <t>Reaction loads per hinge per load case</t>
  </si>
  <si>
    <t>R_z [kN]</t>
  </si>
  <si>
    <t>R_y [kN]</t>
  </si>
  <si>
    <t>Hinge 1</t>
  </si>
  <si>
    <t>Hinge 2</t>
  </si>
  <si>
    <t>Hinge 3</t>
  </si>
  <si>
    <t>Act. 1</t>
  </si>
  <si>
    <t>Location</t>
  </si>
  <si>
    <t>Reaction loads due to boundary conditions per hinge per load case</t>
  </si>
  <si>
    <t>J [mm^4]</t>
  </si>
  <si>
    <t>L34</t>
  </si>
  <si>
    <t>L01</t>
  </si>
  <si>
    <t>Shear Modulus of Al 2024-T3</t>
  </si>
  <si>
    <t>G</t>
  </si>
  <si>
    <t>GJ</t>
  </si>
  <si>
    <t>d</t>
  </si>
  <si>
    <t>x [mm]</t>
  </si>
  <si>
    <t>theta [rad]</t>
  </si>
  <si>
    <t>Deflection</t>
  </si>
  <si>
    <t>leading edge [mm]</t>
  </si>
  <si>
    <t>trailing edge [mm]</t>
  </si>
  <si>
    <t xml:space="preserve">Up </t>
  </si>
  <si>
    <t>Distributed torque</t>
  </si>
  <si>
    <t>Torque actuator 2</t>
  </si>
  <si>
    <t>[kN]</t>
  </si>
  <si>
    <t>[kNm]</t>
  </si>
  <si>
    <t>[kNm/m]</t>
  </si>
  <si>
    <t>Torque actuator 1</t>
  </si>
  <si>
    <t>dq</t>
  </si>
  <si>
    <t>Force actuator 1</t>
  </si>
  <si>
    <t>Reaction loads due to distributed load per hinge per load case</t>
  </si>
  <si>
    <t>Reaction loads due to actuator loads per hinge per load case</t>
  </si>
  <si>
    <t>Combined reaction loads</t>
  </si>
  <si>
    <t>Act. 2</t>
  </si>
  <si>
    <t>Other loads</t>
  </si>
  <si>
    <t>M_z [kNm]</t>
  </si>
  <si>
    <t>M_y [kNm]</t>
  </si>
  <si>
    <t>Rotation up</t>
  </si>
  <si>
    <t>Rotaion down</t>
  </si>
  <si>
    <t>LE_y [mm]</t>
  </si>
  <si>
    <t>LE_z [mm]</t>
  </si>
  <si>
    <t>TE_y [mm]</t>
  </si>
  <si>
    <t>TE_z [mm]</t>
  </si>
  <si>
    <t>LE = Leading Edge</t>
  </si>
  <si>
    <t>TE = Trainling Edge</t>
  </si>
  <si>
    <t>Total displacements</t>
  </si>
  <si>
    <t>Due to Rotation</t>
  </si>
  <si>
    <t>Due to displacement of hinges 1 and 3</t>
  </si>
  <si>
    <t>Due to distributed load</t>
  </si>
  <si>
    <t>Due to actuator shear loads</t>
  </si>
  <si>
    <t>N.B.: all displacements given are in the local coordinate system of the aileron</t>
  </si>
  <si>
    <t>T [kNm]</t>
  </si>
  <si>
    <t>N.B.: twist is assumed zero at the location of actuator 1</t>
  </si>
  <si>
    <t>V_z [kN]</t>
  </si>
  <si>
    <t>V_y[kN]</t>
  </si>
  <si>
    <t>Rotation down</t>
  </si>
  <si>
    <t>in z dir</t>
  </si>
  <si>
    <t>in y dir</t>
  </si>
  <si>
    <t>R1</t>
  </si>
  <si>
    <t>R3</t>
  </si>
  <si>
    <t>Netural z</t>
  </si>
  <si>
    <t>Netural y</t>
  </si>
  <si>
    <t>Up z</t>
  </si>
  <si>
    <t>Up y</t>
  </si>
  <si>
    <t>Down z</t>
  </si>
  <si>
    <t>Down y</t>
  </si>
  <si>
    <t>LE</t>
  </si>
  <si>
    <t>upper skin</t>
  </si>
  <si>
    <t>lower skin</t>
  </si>
  <si>
    <t>spar</t>
  </si>
  <si>
    <t>only steiner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</si>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</sst>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#,##0.000"/>
    <numFmt numFmtId="166" formatCode="0.0000%"/>
    <numFmt numFmtId="167" formatCode="0.00000%"/>
    <numFmt numFmtId="168" formatCode="0.00000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1" xfId="0" applyBorder="1"/>
    <xf numFmtId="0" fontId="6" fillId="0" borderId="10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2" xfId="0" applyFont="1" applyBorder="1"/>
    <xf numFmtId="164" fontId="0" fillId="0" borderId="11" xfId="0" applyNumberFormat="1" applyBorder="1"/>
    <xf numFmtId="164" fontId="0" fillId="0" borderId="7" xfId="0" applyNumberFormat="1" applyBorder="1"/>
    <xf numFmtId="0" fontId="7" fillId="0" borderId="0" xfId="0" applyFont="1" applyFill="1"/>
    <xf numFmtId="0" fontId="8" fillId="0" borderId="0" xfId="0" applyFont="1" applyFill="1"/>
    <xf numFmtId="0" fontId="6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2" xfId="0" applyBorder="1"/>
    <xf numFmtId="0" fontId="0" fillId="0" borderId="22" xfId="0" applyBorder="1"/>
    <xf numFmtId="3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/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0" xfId="0" applyFont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164" fontId="0" fillId="0" borderId="0" xfId="0" applyNumberFormat="1"/>
    <xf numFmtId="9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x-z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-12.895326584644117</c:v>
                </c:pt>
                <c:pt idx="12">
                  <c:v>-12.895326584644117</c:v>
                </c:pt>
                <c:pt idx="13">
                  <c:v>-12.895326584644117</c:v>
                </c:pt>
                <c:pt idx="14">
                  <c:v>-12.895326584644117</c:v>
                </c:pt>
                <c:pt idx="15">
                  <c:v>-12.895326584644117</c:v>
                </c:pt>
                <c:pt idx="16">
                  <c:v>-12.895326584644117</c:v>
                </c:pt>
                <c:pt idx="17">
                  <c:v>-12.895326584644117</c:v>
                </c:pt>
                <c:pt idx="18">
                  <c:v>-12.895326584644117</c:v>
                </c:pt>
                <c:pt idx="19">
                  <c:v>-12.895326584644117</c:v>
                </c:pt>
                <c:pt idx="20">
                  <c:v>-12.895326584644117</c:v>
                </c:pt>
                <c:pt idx="21">
                  <c:v>-12.895326584644117</c:v>
                </c:pt>
                <c:pt idx="22">
                  <c:v>26.832419600326986</c:v>
                </c:pt>
                <c:pt idx="23">
                  <c:v>26.832419600326986</c:v>
                </c:pt>
                <c:pt idx="24">
                  <c:v>26.832419600326986</c:v>
                </c:pt>
                <c:pt idx="25">
                  <c:v>26.832419600326986</c:v>
                </c:pt>
                <c:pt idx="26">
                  <c:v>26.832419600326986</c:v>
                </c:pt>
                <c:pt idx="27">
                  <c:v>26.832419600326986</c:v>
                </c:pt>
                <c:pt idx="28">
                  <c:v>32.494968374493212</c:v>
                </c:pt>
                <c:pt idx="29">
                  <c:v>32.494968374493212</c:v>
                </c:pt>
                <c:pt idx="30">
                  <c:v>32.494968374493212</c:v>
                </c:pt>
                <c:pt idx="31">
                  <c:v>32.494968374493212</c:v>
                </c:pt>
                <c:pt idx="32">
                  <c:v>32.494968374493212</c:v>
                </c:pt>
                <c:pt idx="33">
                  <c:v>32.494968374493212</c:v>
                </c:pt>
                <c:pt idx="34">
                  <c:v>-5.405031625506787</c:v>
                </c:pt>
                <c:pt idx="35">
                  <c:v>-5.405031625506787</c:v>
                </c:pt>
                <c:pt idx="36">
                  <c:v>-5.405031625506787</c:v>
                </c:pt>
                <c:pt idx="37">
                  <c:v>-5.405031625506787</c:v>
                </c:pt>
                <c:pt idx="38">
                  <c:v>-5.405031625506787</c:v>
                </c:pt>
                <c:pt idx="39">
                  <c:v>-5.405031625506787</c:v>
                </c:pt>
                <c:pt idx="40">
                  <c:v>-5.405031625506787</c:v>
                </c:pt>
                <c:pt idx="41">
                  <c:v>-5.405031625506787</c:v>
                </c:pt>
                <c:pt idx="42">
                  <c:v>-5.405031625506787</c:v>
                </c:pt>
                <c:pt idx="43">
                  <c:v>-5.405031625506787</c:v>
                </c:pt>
                <c:pt idx="44">
                  <c:v>-5.405031625506787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2-C94C-A788-D7E235540B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Diagrams'!$H$3:$H$53</c:f>
              <c:numCache>
                <c:formatCode>General</c:formatCode>
                <c:ptCount val="51"/>
                <c:pt idx="0">
                  <c:v>0</c:v>
                </c:pt>
                <c:pt idx="1">
                  <c:v>1.7700988536196158E-2</c:v>
                </c:pt>
                <c:pt idx="2">
                  <c:v>3.5401977072392316E-2</c:v>
                </c:pt>
                <c:pt idx="3">
                  <c:v>5.3102965608588473E-2</c:v>
                </c:pt>
                <c:pt idx="4">
                  <c:v>7.0803954144784631E-2</c:v>
                </c:pt>
                <c:pt idx="5">
                  <c:v>8.8504942680980789E-2</c:v>
                </c:pt>
                <c:pt idx="6">
                  <c:v>0.10620593121717695</c:v>
                </c:pt>
                <c:pt idx="7">
                  <c:v>0.12390691975337312</c:v>
                </c:pt>
                <c:pt idx="8">
                  <c:v>0.14160790828956929</c:v>
                </c:pt>
                <c:pt idx="9">
                  <c:v>0.15930889682576543</c:v>
                </c:pt>
                <c:pt idx="10">
                  <c:v>0.17700988536196161</c:v>
                </c:pt>
                <c:pt idx="11">
                  <c:v>-454.75828575023121</c:v>
                </c:pt>
                <c:pt idx="12">
                  <c:v>-454.72632893200142</c:v>
                </c:pt>
                <c:pt idx="13">
                  <c:v>-454.69437211377164</c:v>
                </c:pt>
                <c:pt idx="14">
                  <c:v>-454.66241529554185</c:v>
                </c:pt>
                <c:pt idx="15">
                  <c:v>-454.63045847731206</c:v>
                </c:pt>
                <c:pt idx="16">
                  <c:v>-454.59850165908233</c:v>
                </c:pt>
                <c:pt idx="17">
                  <c:v>-454.56654484085254</c:v>
                </c:pt>
                <c:pt idx="18">
                  <c:v>-454.53458802262276</c:v>
                </c:pt>
                <c:pt idx="19">
                  <c:v>-454.50263120439297</c:v>
                </c:pt>
                <c:pt idx="20">
                  <c:v>-454.47067438616318</c:v>
                </c:pt>
                <c:pt idx="21">
                  <c:v>-454.4387175679334</c:v>
                </c:pt>
                <c:pt idx="22">
                  <c:v>-418.7316558239969</c:v>
                </c:pt>
                <c:pt idx="23">
                  <c:v>-418.69934261002481</c:v>
                </c:pt>
                <c:pt idx="24">
                  <c:v>-418.66702939605267</c:v>
                </c:pt>
                <c:pt idx="25">
                  <c:v>-418.63471618208058</c:v>
                </c:pt>
                <c:pt idx="26">
                  <c:v>-418.60240296810844</c:v>
                </c:pt>
                <c:pt idx="27">
                  <c:v>-418.57008975413635</c:v>
                </c:pt>
                <c:pt idx="28">
                  <c:v>210.36854941455769</c:v>
                </c:pt>
                <c:pt idx="29">
                  <c:v>210.40086262852984</c:v>
                </c:pt>
                <c:pt idx="30">
                  <c:v>210.43317584250192</c:v>
                </c:pt>
                <c:pt idx="31">
                  <c:v>210.46548905647407</c:v>
                </c:pt>
                <c:pt idx="32">
                  <c:v>210.49780227044616</c:v>
                </c:pt>
                <c:pt idx="33">
                  <c:v>210.5301154844183</c:v>
                </c:pt>
                <c:pt idx="34">
                  <c:v>176.46582112967988</c:v>
                </c:pt>
                <c:pt idx="35">
                  <c:v>176.56691872192349</c:v>
                </c:pt>
                <c:pt idx="36">
                  <c:v>176.66801631416715</c:v>
                </c:pt>
                <c:pt idx="37">
                  <c:v>176.76911390641081</c:v>
                </c:pt>
                <c:pt idx="38">
                  <c:v>176.87021149865441</c:v>
                </c:pt>
                <c:pt idx="39">
                  <c:v>176.97130909089807</c:v>
                </c:pt>
                <c:pt idx="40">
                  <c:v>177.07240668314174</c:v>
                </c:pt>
                <c:pt idx="41">
                  <c:v>177.17350427538534</c:v>
                </c:pt>
                <c:pt idx="42">
                  <c:v>177.274601867629</c:v>
                </c:pt>
                <c:pt idx="43">
                  <c:v>177.37569945987266</c:v>
                </c:pt>
                <c:pt idx="44">
                  <c:v>177.47679705211627</c:v>
                </c:pt>
                <c:pt idx="45">
                  <c:v>-0.17819787116965813</c:v>
                </c:pt>
                <c:pt idx="46">
                  <c:v>-0.14255829693567534</c:v>
                </c:pt>
                <c:pt idx="47">
                  <c:v>-0.1069187227017494</c:v>
                </c:pt>
                <c:pt idx="48">
                  <c:v>-7.1279148467766618E-2</c:v>
                </c:pt>
                <c:pt idx="49">
                  <c:v>-3.5639574233840676E-2</c:v>
                </c:pt>
                <c:pt idx="50">
                  <c:v>1.4210854715202004E-13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2-C94C-A788-D7E235540B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Diagrams'!$M$3:$M$53</c:f>
              <c:numCache>
                <c:formatCode>General</c:formatCode>
                <c:ptCount val="51"/>
                <c:pt idx="0">
                  <c:v>0</c:v>
                </c:pt>
                <c:pt idx="1">
                  <c:v>-1.7700988536196158E-2</c:v>
                </c:pt>
                <c:pt idx="2">
                  <c:v>-3.5401977072392316E-2</c:v>
                </c:pt>
                <c:pt idx="3">
                  <c:v>-5.3102965608588473E-2</c:v>
                </c:pt>
                <c:pt idx="4">
                  <c:v>-7.0803954144784631E-2</c:v>
                </c:pt>
                <c:pt idx="5">
                  <c:v>-8.8504942680980789E-2</c:v>
                </c:pt>
                <c:pt idx="6">
                  <c:v>-0.10620593121717695</c:v>
                </c:pt>
                <c:pt idx="7">
                  <c:v>-0.12390691975337312</c:v>
                </c:pt>
                <c:pt idx="8">
                  <c:v>-0.14160790828956929</c:v>
                </c:pt>
                <c:pt idx="9">
                  <c:v>-0.15930889682576543</c:v>
                </c:pt>
                <c:pt idx="10">
                  <c:v>-0.17700988536196161</c:v>
                </c:pt>
                <c:pt idx="11">
                  <c:v>431.57780023150821</c:v>
                </c:pt>
                <c:pt idx="12">
                  <c:v>431.54584341327842</c:v>
                </c:pt>
                <c:pt idx="13">
                  <c:v>431.51388659504863</c:v>
                </c:pt>
                <c:pt idx="14">
                  <c:v>431.48192977681884</c:v>
                </c:pt>
                <c:pt idx="15">
                  <c:v>431.44997295858906</c:v>
                </c:pt>
                <c:pt idx="16">
                  <c:v>431.41801614035933</c:v>
                </c:pt>
                <c:pt idx="17">
                  <c:v>431.38605932212954</c:v>
                </c:pt>
                <c:pt idx="18">
                  <c:v>431.35410250389975</c:v>
                </c:pt>
                <c:pt idx="19">
                  <c:v>431.32214568566997</c:v>
                </c:pt>
                <c:pt idx="20">
                  <c:v>431.29018886744018</c:v>
                </c:pt>
                <c:pt idx="21">
                  <c:v>431.25823204921039</c:v>
                </c:pt>
                <c:pt idx="22">
                  <c:v>466.96529379314688</c:v>
                </c:pt>
                <c:pt idx="23">
                  <c:v>466.9329805791748</c:v>
                </c:pt>
                <c:pt idx="24">
                  <c:v>466.90066736520265</c:v>
                </c:pt>
                <c:pt idx="25">
                  <c:v>466.86835415123056</c:v>
                </c:pt>
                <c:pt idx="26">
                  <c:v>466.83604093725842</c:v>
                </c:pt>
                <c:pt idx="27">
                  <c:v>466.80372772328633</c:v>
                </c:pt>
                <c:pt idx="28">
                  <c:v>-151.95598119520915</c:v>
                </c:pt>
                <c:pt idx="29">
                  <c:v>-151.98829440918129</c:v>
                </c:pt>
                <c:pt idx="30">
                  <c:v>-152.02060762315338</c:v>
                </c:pt>
                <c:pt idx="31">
                  <c:v>-152.05292083712553</c:v>
                </c:pt>
                <c:pt idx="32">
                  <c:v>-152.08523405109761</c:v>
                </c:pt>
                <c:pt idx="33">
                  <c:v>-152.11754726506976</c:v>
                </c:pt>
                <c:pt idx="34">
                  <c:v>-186.18184161980818</c:v>
                </c:pt>
                <c:pt idx="35">
                  <c:v>-186.28293921205179</c:v>
                </c:pt>
                <c:pt idx="36">
                  <c:v>-186.38403680429545</c:v>
                </c:pt>
                <c:pt idx="37">
                  <c:v>-186.48513439653911</c:v>
                </c:pt>
                <c:pt idx="38">
                  <c:v>-186.58623198878271</c:v>
                </c:pt>
                <c:pt idx="39">
                  <c:v>-186.68732958102638</c:v>
                </c:pt>
                <c:pt idx="40">
                  <c:v>-186.78842717327004</c:v>
                </c:pt>
                <c:pt idx="41">
                  <c:v>-186.88952476551364</c:v>
                </c:pt>
                <c:pt idx="42">
                  <c:v>-186.9906223577573</c:v>
                </c:pt>
                <c:pt idx="43">
                  <c:v>-187.09171995000096</c:v>
                </c:pt>
                <c:pt idx="44">
                  <c:v>-187.19281754224457</c:v>
                </c:pt>
                <c:pt idx="45">
                  <c:v>0.17819787116977182</c:v>
                </c:pt>
                <c:pt idx="46">
                  <c:v>0.14255829693578903</c:v>
                </c:pt>
                <c:pt idx="47">
                  <c:v>0.10691872270186309</c:v>
                </c:pt>
                <c:pt idx="48">
                  <c:v>7.1279148467880304E-2</c:v>
                </c:pt>
                <c:pt idx="49">
                  <c:v>3.5639574233954363E-2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A2-C94C-A788-D7E23554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02248"/>
        <c:axId val="306301072"/>
      </c:scatterChart>
      <c:valAx>
        <c:axId val="30630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1072"/>
        <c:crosses val="autoZero"/>
        <c:crossBetween val="midCat"/>
      </c:valAx>
      <c:valAx>
        <c:axId val="3063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V_z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x-y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68119716782406E-2"/>
          <c:y val="7.9650818929293113E-2"/>
          <c:w val="0.78787472191047359"/>
          <c:h val="0.867642380677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Diagrams'!$D$3:$D$53</c:f>
              <c:numCache>
                <c:formatCode>General</c:formatCode>
                <c:ptCount val="51"/>
                <c:pt idx="0">
                  <c:v>0</c:v>
                </c:pt>
                <c:pt idx="1">
                  <c:v>-4.0378999999999998E-2</c:v>
                </c:pt>
                <c:pt idx="2">
                  <c:v>-8.0757999999999996E-2</c:v>
                </c:pt>
                <c:pt idx="3">
                  <c:v>-0.12113699999999999</c:v>
                </c:pt>
                <c:pt idx="4">
                  <c:v>-0.16151599999999999</c:v>
                </c:pt>
                <c:pt idx="5">
                  <c:v>-0.20189500000000002</c:v>
                </c:pt>
                <c:pt idx="6">
                  <c:v>-0.24227399999999999</c:v>
                </c:pt>
                <c:pt idx="7">
                  <c:v>-0.28265300000000004</c:v>
                </c:pt>
                <c:pt idx="8">
                  <c:v>-0.32303200000000004</c:v>
                </c:pt>
                <c:pt idx="9">
                  <c:v>-0.36341100000000004</c:v>
                </c:pt>
                <c:pt idx="10">
                  <c:v>-0.40379000000000009</c:v>
                </c:pt>
                <c:pt idx="11">
                  <c:v>83.522197367942098</c:v>
                </c:pt>
                <c:pt idx="12">
                  <c:v>83.449298367942106</c:v>
                </c:pt>
                <c:pt idx="13">
                  <c:v>83.376399367942099</c:v>
                </c:pt>
                <c:pt idx="14">
                  <c:v>83.303500367942092</c:v>
                </c:pt>
                <c:pt idx="15">
                  <c:v>83.2306013679421</c:v>
                </c:pt>
                <c:pt idx="16">
                  <c:v>83.157702367942093</c:v>
                </c:pt>
                <c:pt idx="17">
                  <c:v>83.084803367942101</c:v>
                </c:pt>
                <c:pt idx="18">
                  <c:v>83.011904367942094</c:v>
                </c:pt>
                <c:pt idx="19">
                  <c:v>82.939005367942102</c:v>
                </c:pt>
                <c:pt idx="20">
                  <c:v>82.866106367942095</c:v>
                </c:pt>
                <c:pt idx="21">
                  <c:v>82.793207367942102</c:v>
                </c:pt>
                <c:pt idx="22">
                  <c:v>82.793207367942102</c:v>
                </c:pt>
                <c:pt idx="23">
                  <c:v>82.719495367942102</c:v>
                </c:pt>
                <c:pt idx="24">
                  <c:v>82.645783367942101</c:v>
                </c:pt>
                <c:pt idx="25">
                  <c:v>82.572071367942101</c:v>
                </c:pt>
                <c:pt idx="26">
                  <c:v>82.498359367942101</c:v>
                </c:pt>
                <c:pt idx="27">
                  <c:v>82.4246473679421</c:v>
                </c:pt>
                <c:pt idx="28">
                  <c:v>-32.709870525852637</c:v>
                </c:pt>
                <c:pt idx="29">
                  <c:v>-32.783582525852637</c:v>
                </c:pt>
                <c:pt idx="30">
                  <c:v>-32.857294525852637</c:v>
                </c:pt>
                <c:pt idx="31">
                  <c:v>-32.931006525852638</c:v>
                </c:pt>
                <c:pt idx="32">
                  <c:v>-33.004718525852638</c:v>
                </c:pt>
                <c:pt idx="33">
                  <c:v>-33.078430525852639</c:v>
                </c:pt>
                <c:pt idx="34">
                  <c:v>-33.078430525852639</c:v>
                </c:pt>
                <c:pt idx="35">
                  <c:v>-33.309051525852638</c:v>
                </c:pt>
                <c:pt idx="36">
                  <c:v>-33.539672525852637</c:v>
                </c:pt>
                <c:pt idx="37">
                  <c:v>-33.770293525852637</c:v>
                </c:pt>
                <c:pt idx="38">
                  <c:v>-34.000914525852636</c:v>
                </c:pt>
                <c:pt idx="39">
                  <c:v>-34.231535525852635</c:v>
                </c:pt>
                <c:pt idx="40">
                  <c:v>-34.462156525852635</c:v>
                </c:pt>
                <c:pt idx="41">
                  <c:v>-34.692777525852634</c:v>
                </c:pt>
                <c:pt idx="42">
                  <c:v>-34.923398525852633</c:v>
                </c:pt>
                <c:pt idx="43">
                  <c:v>-35.154019525852632</c:v>
                </c:pt>
                <c:pt idx="44">
                  <c:v>-35.384640525852632</c:v>
                </c:pt>
                <c:pt idx="45">
                  <c:v>0.4065000000000083</c:v>
                </c:pt>
                <c:pt idx="46">
                  <c:v>0.32520000000000948</c:v>
                </c:pt>
                <c:pt idx="47">
                  <c:v>0.24390000000001066</c:v>
                </c:pt>
                <c:pt idx="48">
                  <c:v>0.16259999999999764</c:v>
                </c:pt>
                <c:pt idx="49">
                  <c:v>8.1299999999998818E-2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93-E941-8136-8B12487291B1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Diagrams'!$I$3:$I$53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69.416314625000197</c:v>
                </c:pt>
                <c:pt idx="12">
                  <c:v>69.350793437819036</c:v>
                </c:pt>
                <c:pt idx="13">
                  <c:v>69.285272250637874</c:v>
                </c:pt>
                <c:pt idx="14">
                  <c:v>69.219751063456712</c:v>
                </c:pt>
                <c:pt idx="15">
                  <c:v>69.154229876275551</c:v>
                </c:pt>
                <c:pt idx="16">
                  <c:v>69.088708689094389</c:v>
                </c:pt>
                <c:pt idx="17">
                  <c:v>69.023187501913227</c:v>
                </c:pt>
                <c:pt idx="18">
                  <c:v>68.957666314732066</c:v>
                </c:pt>
                <c:pt idx="19">
                  <c:v>68.892145127550904</c:v>
                </c:pt>
                <c:pt idx="20">
                  <c:v>68.826623940369743</c:v>
                </c:pt>
                <c:pt idx="21">
                  <c:v>68.761102753188581</c:v>
                </c:pt>
                <c:pt idx="22">
                  <c:v>86.176600407639754</c:v>
                </c:pt>
                <c:pt idx="23">
                  <c:v>86.110348500898937</c:v>
                </c:pt>
                <c:pt idx="24">
                  <c:v>86.044096594158134</c:v>
                </c:pt>
                <c:pt idx="25">
                  <c:v>85.977844687417331</c:v>
                </c:pt>
                <c:pt idx="26">
                  <c:v>85.911592780676528</c:v>
                </c:pt>
                <c:pt idx="27">
                  <c:v>85.845340873935726</c:v>
                </c:pt>
                <c:pt idx="28">
                  <c:v>-15.154580332651573</c:v>
                </c:pt>
                <c:pt idx="29">
                  <c:v>-15.220832239392376</c:v>
                </c:pt>
                <c:pt idx="30">
                  <c:v>-15.287084146133179</c:v>
                </c:pt>
                <c:pt idx="31">
                  <c:v>-15.353336052873981</c:v>
                </c:pt>
                <c:pt idx="32">
                  <c:v>-15.419587959614784</c:v>
                </c:pt>
                <c:pt idx="33">
                  <c:v>-15.485839866355601</c:v>
                </c:pt>
                <c:pt idx="34">
                  <c:v>-32.100106329661635</c:v>
                </c:pt>
                <c:pt idx="35">
                  <c:v>-32.307387111413185</c:v>
                </c:pt>
                <c:pt idx="36">
                  <c:v>-32.514667893164749</c:v>
                </c:pt>
                <c:pt idx="37">
                  <c:v>-32.721948674916312</c:v>
                </c:pt>
                <c:pt idx="38">
                  <c:v>-32.929229456667876</c:v>
                </c:pt>
                <c:pt idx="39">
                  <c:v>-33.136510238419426</c:v>
                </c:pt>
                <c:pt idx="40">
                  <c:v>-33.34379102017099</c:v>
                </c:pt>
                <c:pt idx="41">
                  <c:v>-33.551071801922554</c:v>
                </c:pt>
                <c:pt idx="42">
                  <c:v>-33.758352583674103</c:v>
                </c:pt>
                <c:pt idx="43">
                  <c:v>-33.965633365425667</c:v>
                </c:pt>
                <c:pt idx="44">
                  <c:v>-34.172914147177231</c:v>
                </c:pt>
                <c:pt idx="45">
                  <c:v>0.36535977982060786</c:v>
                </c:pt>
                <c:pt idx="46">
                  <c:v>0.29228782385648344</c:v>
                </c:pt>
                <c:pt idx="47">
                  <c:v>0.21921586789235903</c:v>
                </c:pt>
                <c:pt idx="48">
                  <c:v>0.14614391192824883</c:v>
                </c:pt>
                <c:pt idx="49">
                  <c:v>7.3071955964124413E-2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93-E941-8136-8B12487291B1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Diagrams'!$N$3:$N$53</c:f>
              <c:numCache>
                <c:formatCode>General</c:formatCode>
                <c:ptCount val="51"/>
                <c:pt idx="0">
                  <c:v>0</c:v>
                </c:pt>
                <c:pt idx="1">
                  <c:v>-3.6292404795514065E-2</c:v>
                </c:pt>
                <c:pt idx="2">
                  <c:v>-7.2584809591028129E-2</c:v>
                </c:pt>
                <c:pt idx="3">
                  <c:v>-0.1088772143865422</c:v>
                </c:pt>
                <c:pt idx="4">
                  <c:v>-0.14516961918205626</c:v>
                </c:pt>
                <c:pt idx="5">
                  <c:v>-0.18146202397757033</c:v>
                </c:pt>
                <c:pt idx="6">
                  <c:v>-0.2177544287730844</c:v>
                </c:pt>
                <c:pt idx="7">
                  <c:v>-0.25404683356859847</c:v>
                </c:pt>
                <c:pt idx="8">
                  <c:v>-0.29033923836411257</c:v>
                </c:pt>
                <c:pt idx="9">
                  <c:v>-0.32663164315962667</c:v>
                </c:pt>
                <c:pt idx="10">
                  <c:v>-0.36292404795514072</c:v>
                </c:pt>
                <c:pt idx="11">
                  <c:v>80.722192831260443</c:v>
                </c:pt>
                <c:pt idx="12">
                  <c:v>80.656671644079282</c:v>
                </c:pt>
                <c:pt idx="13">
                  <c:v>80.59115045689812</c:v>
                </c:pt>
                <c:pt idx="14">
                  <c:v>80.525629269716958</c:v>
                </c:pt>
                <c:pt idx="15">
                  <c:v>80.460108082535797</c:v>
                </c:pt>
                <c:pt idx="16">
                  <c:v>80.394586895354635</c:v>
                </c:pt>
                <c:pt idx="17">
                  <c:v>80.329065708173474</c:v>
                </c:pt>
                <c:pt idx="18">
                  <c:v>80.263544520992312</c:v>
                </c:pt>
                <c:pt idx="19">
                  <c:v>80.19802333381115</c:v>
                </c:pt>
                <c:pt idx="20">
                  <c:v>80.132502146629989</c:v>
                </c:pt>
                <c:pt idx="21">
                  <c:v>80.066980959448827</c:v>
                </c:pt>
                <c:pt idx="22">
                  <c:v>62.651483304997654</c:v>
                </c:pt>
                <c:pt idx="23">
                  <c:v>62.585231398256838</c:v>
                </c:pt>
                <c:pt idx="24">
                  <c:v>62.518979491516035</c:v>
                </c:pt>
                <c:pt idx="25">
                  <c:v>62.452727584775232</c:v>
                </c:pt>
                <c:pt idx="26">
                  <c:v>62.386475678034429</c:v>
                </c:pt>
                <c:pt idx="27">
                  <c:v>62.320223771293627</c:v>
                </c:pt>
                <c:pt idx="28">
                  <c:v>-43.644293435054337</c:v>
                </c:pt>
                <c:pt idx="29">
                  <c:v>-43.71054534179514</c:v>
                </c:pt>
                <c:pt idx="30">
                  <c:v>-43.776797248535942</c:v>
                </c:pt>
                <c:pt idx="31">
                  <c:v>-43.843049155276745</c:v>
                </c:pt>
                <c:pt idx="32">
                  <c:v>-43.909301062017548</c:v>
                </c:pt>
                <c:pt idx="33">
                  <c:v>-43.975552968758365</c:v>
                </c:pt>
                <c:pt idx="34">
                  <c:v>-27.36128650545233</c:v>
                </c:pt>
                <c:pt idx="35">
                  <c:v>-27.56856728720388</c:v>
                </c:pt>
                <c:pt idx="36">
                  <c:v>-27.775848068955444</c:v>
                </c:pt>
                <c:pt idx="37">
                  <c:v>-27.983128850707008</c:v>
                </c:pt>
                <c:pt idx="38">
                  <c:v>-28.190409632458572</c:v>
                </c:pt>
                <c:pt idx="39">
                  <c:v>-28.397690414210121</c:v>
                </c:pt>
                <c:pt idx="40">
                  <c:v>-28.604971195961685</c:v>
                </c:pt>
                <c:pt idx="41">
                  <c:v>-28.812251977713249</c:v>
                </c:pt>
                <c:pt idx="42">
                  <c:v>-29.019532759464798</c:v>
                </c:pt>
                <c:pt idx="43">
                  <c:v>-29.226813541216362</c:v>
                </c:pt>
                <c:pt idx="44">
                  <c:v>-29.434094322967926</c:v>
                </c:pt>
                <c:pt idx="45">
                  <c:v>0.36535977982062207</c:v>
                </c:pt>
                <c:pt idx="46">
                  <c:v>0.29228782385649765</c:v>
                </c:pt>
                <c:pt idx="47">
                  <c:v>0.21921586789237324</c:v>
                </c:pt>
                <c:pt idx="48">
                  <c:v>0.14614391192826304</c:v>
                </c:pt>
                <c:pt idx="49">
                  <c:v>7.3071955964138624E-2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93-E941-8136-8B12487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68080"/>
        <c:axId val="309870824"/>
      </c:scatterChart>
      <c:valAx>
        <c:axId val="3098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0824"/>
        <c:crosses val="autoZero"/>
        <c:crossBetween val="midCat"/>
      </c:valAx>
      <c:valAx>
        <c:axId val="3098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V_y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</a:t>
            </a:r>
            <a:r>
              <a:rPr lang="en-US" baseline="0"/>
              <a:t> moment about z-axis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-0.34688428512692682</c:v>
                </c:pt>
                <c:pt idx="13">
                  <c:v>-0.69376857025385363</c:v>
                </c:pt>
                <c:pt idx="14">
                  <c:v>-1.0406528553807806</c:v>
                </c:pt>
                <c:pt idx="15">
                  <c:v>-1.387537140507707</c:v>
                </c:pt>
                <c:pt idx="16">
                  <c:v>-1.7344214256346335</c:v>
                </c:pt>
                <c:pt idx="17">
                  <c:v>-2.0813057107615598</c:v>
                </c:pt>
                <c:pt idx="18">
                  <c:v>-2.4281899958884865</c:v>
                </c:pt>
                <c:pt idx="19">
                  <c:v>-2.7750742810154128</c:v>
                </c:pt>
                <c:pt idx="20">
                  <c:v>-3.121958566142339</c:v>
                </c:pt>
                <c:pt idx="21">
                  <c:v>-3.4688428512692662</c:v>
                </c:pt>
                <c:pt idx="22">
                  <c:v>-3.4688428512692662</c:v>
                </c:pt>
                <c:pt idx="23">
                  <c:v>-2.7390010381403713</c:v>
                </c:pt>
                <c:pt idx="24">
                  <c:v>-2.0091592250114783</c:v>
                </c:pt>
                <c:pt idx="25">
                  <c:v>-1.2793174118825843</c:v>
                </c:pt>
                <c:pt idx="26">
                  <c:v>-0.54947559875369123</c:v>
                </c:pt>
                <c:pt idx="27">
                  <c:v>0.18036621437520495</c:v>
                </c:pt>
                <c:pt idx="28">
                  <c:v>0.18036621437520495</c:v>
                </c:pt>
                <c:pt idx="29">
                  <c:v>1.0642293541614209</c:v>
                </c:pt>
                <c:pt idx="30">
                  <c:v>1.9480924939476381</c:v>
                </c:pt>
                <c:pt idx="31">
                  <c:v>2.8319556337338549</c:v>
                </c:pt>
                <c:pt idx="32">
                  <c:v>3.7158187735200729</c:v>
                </c:pt>
                <c:pt idx="33">
                  <c:v>4.5996819133062896</c:v>
                </c:pt>
                <c:pt idx="34">
                  <c:v>4.5996819133062896</c:v>
                </c:pt>
                <c:pt idx="35">
                  <c:v>4.1397137219756619</c:v>
                </c:pt>
                <c:pt idx="36">
                  <c:v>3.6797455306450351</c:v>
                </c:pt>
                <c:pt idx="37">
                  <c:v>3.2197773393144047</c:v>
                </c:pt>
                <c:pt idx="38">
                  <c:v>2.7598091479837787</c:v>
                </c:pt>
                <c:pt idx="39">
                  <c:v>2.2998409566531528</c:v>
                </c:pt>
                <c:pt idx="40">
                  <c:v>1.8398727653225286</c:v>
                </c:pt>
                <c:pt idx="41">
                  <c:v>1.3799045739919009</c:v>
                </c:pt>
                <c:pt idx="42">
                  <c:v>0.91993638266127675</c:v>
                </c:pt>
                <c:pt idx="43">
                  <c:v>0.45996819133064193</c:v>
                </c:pt>
                <c:pt idx="44">
                  <c:v>0</c:v>
                </c:pt>
                <c:pt idx="45">
                  <c:v>2.1316282072803006E-14</c:v>
                </c:pt>
                <c:pt idx="46">
                  <c:v>2.2953861034125111E-14</c:v>
                </c:pt>
                <c:pt idx="47">
                  <c:v>1.7486012637846216E-14</c:v>
                </c:pt>
                <c:pt idx="48">
                  <c:v>1.9095836023552692E-14</c:v>
                </c:pt>
                <c:pt idx="49">
                  <c:v>1.3655743202889425E-14</c:v>
                </c:pt>
                <c:pt idx="50">
                  <c:v>8.1046280797636427E-15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1-2C4B-82D6-A7B18FB30DC0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Diagrams'!$J$3:$J$53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1.318723645946614E-2</c:v>
                </c:pt>
                <c:pt idx="12">
                  <c:v>-12.219380831016565</c:v>
                </c:pt>
                <c:pt idx="13">
                  <c:v>-24.451089260082217</c:v>
                </c:pt>
                <c:pt idx="14">
                  <c:v>-36.681938050737486</c:v>
                </c:pt>
                <c:pt idx="15">
                  <c:v>-48.911927202982362</c:v>
                </c:pt>
                <c:pt idx="16">
                  <c:v>-61.141056716816863</c:v>
                </c:pt>
                <c:pt idx="17">
                  <c:v>-73.369326592240967</c:v>
                </c:pt>
                <c:pt idx="18">
                  <c:v>-85.596736829254709</c:v>
                </c:pt>
                <c:pt idx="19">
                  <c:v>-97.823287427858048</c:v>
                </c:pt>
                <c:pt idx="20">
                  <c:v>-110.04897838805101</c:v>
                </c:pt>
                <c:pt idx="21">
                  <c:v>-122.27380970983363</c:v>
                </c:pt>
                <c:pt idx="22">
                  <c:v>-122.27380970983363</c:v>
                </c:pt>
                <c:pt idx="23">
                  <c:v>-133.66287128853625</c:v>
                </c:pt>
                <c:pt idx="24">
                  <c:v>-145.05105394781899</c:v>
                </c:pt>
                <c:pt idx="25">
                  <c:v>-156.43835768768153</c:v>
                </c:pt>
                <c:pt idx="26">
                  <c:v>-167.82478250812417</c:v>
                </c:pt>
                <c:pt idx="27">
                  <c:v>-179.21032840914665</c:v>
                </c:pt>
                <c:pt idx="28">
                  <c:v>-179.21032840914665</c:v>
                </c:pt>
                <c:pt idx="29">
                  <c:v>-173.48786440536065</c:v>
                </c:pt>
                <c:pt idx="30">
                  <c:v>-167.76452148215463</c:v>
                </c:pt>
                <c:pt idx="31">
                  <c:v>-162.0402996395286</c:v>
                </c:pt>
                <c:pt idx="32">
                  <c:v>-156.3151988774824</c:v>
                </c:pt>
                <c:pt idx="33">
                  <c:v>-150.5892191960163</c:v>
                </c:pt>
                <c:pt idx="34">
                  <c:v>-150.5892191960163</c:v>
                </c:pt>
                <c:pt idx="35">
                  <c:v>-135.56767611533056</c:v>
                </c:pt>
                <c:pt idx="36">
                  <c:v>-120.53752962954493</c:v>
                </c:pt>
                <c:pt idx="37">
                  <c:v>-105.49877973865928</c:v>
                </c:pt>
                <c:pt idx="38">
                  <c:v>-90.451426442673778</c:v>
                </c:pt>
                <c:pt idx="39">
                  <c:v>-75.395469741588329</c:v>
                </c:pt>
                <c:pt idx="40">
                  <c:v>-60.330909635402932</c:v>
                </c:pt>
                <c:pt idx="41">
                  <c:v>-45.257746124117624</c:v>
                </c:pt>
                <c:pt idx="42">
                  <c:v>-30.175979207732301</c:v>
                </c:pt>
                <c:pt idx="43">
                  <c:v>-15.085608886247297</c:v>
                </c:pt>
                <c:pt idx="44">
                  <c:v>1.3364840337892758E-2</c:v>
                </c:pt>
                <c:pt idx="45">
                  <c:v>1.3364840337892758E-2</c:v>
                </c:pt>
                <c:pt idx="46">
                  <c:v>8.5534978163703812E-3</c:v>
                </c:pt>
                <c:pt idx="47">
                  <c:v>4.8113425216378403E-3</c:v>
                </c:pt>
                <c:pt idx="48">
                  <c:v>2.1383744541498828E-3</c:v>
                </c:pt>
                <c:pt idx="49">
                  <c:v>5.3459361345176148E-4</c:v>
                </c:pt>
                <c:pt idx="50">
                  <c:v>1.1368683772161603E-13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01-2C4B-82D6-A7B18FB30DC0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Diagrams'!$O$3:$O$53</c:f>
              <c:numCache>
                <c:formatCode>General</c:formatCode>
                <c:ptCount val="51"/>
                <c:pt idx="0">
                  <c:v>0</c:v>
                </c:pt>
                <c:pt idx="1">
                  <c:v>-1.3187236459466137E-4</c:v>
                </c:pt>
                <c:pt idx="2">
                  <c:v>-5.274894583786455E-4</c:v>
                </c:pt>
                <c:pt idx="3">
                  <c:v>-1.1868512813519524E-3</c:v>
                </c:pt>
                <c:pt idx="4">
                  <c:v>-2.109957833514582E-3</c:v>
                </c:pt>
                <c:pt idx="5">
                  <c:v>-3.2968091148665342E-3</c:v>
                </c:pt>
                <c:pt idx="6">
                  <c:v>-4.7474051254078097E-3</c:v>
                </c:pt>
                <c:pt idx="7">
                  <c:v>-6.4617458651384102E-3</c:v>
                </c:pt>
                <c:pt idx="8">
                  <c:v>-8.4398313340583297E-3</c:v>
                </c:pt>
                <c:pt idx="9">
                  <c:v>-1.0681661532167574E-2</c:v>
                </c:pt>
                <c:pt idx="10">
                  <c:v>-1.318723645946614E-2</c:v>
                </c:pt>
                <c:pt idx="11">
                  <c:v>-1.318723645946614E-2</c:v>
                </c:pt>
                <c:pt idx="12">
                  <c:v>11.595825770562916</c:v>
                </c:pt>
                <c:pt idx="13">
                  <c:v>23.203979139174919</c:v>
                </c:pt>
                <c:pt idx="14">
                  <c:v>34.811272869376538</c:v>
                </c:pt>
                <c:pt idx="15">
                  <c:v>46.417706961167767</c:v>
                </c:pt>
                <c:pt idx="16">
                  <c:v>58.02328141454862</c:v>
                </c:pt>
                <c:pt idx="17">
                  <c:v>69.627996229519084</c:v>
                </c:pt>
                <c:pt idx="18">
                  <c:v>81.231851406079159</c:v>
                </c:pt>
                <c:pt idx="19">
                  <c:v>92.834846944228858</c:v>
                </c:pt>
                <c:pt idx="20">
                  <c:v>104.43698284396818</c:v>
                </c:pt>
                <c:pt idx="21">
                  <c:v>116.03825910529714</c:v>
                </c:pt>
                <c:pt idx="22">
                  <c:v>116.03825910529714</c:v>
                </c:pt>
                <c:pt idx="23">
                  <c:v>128.73927563676068</c:v>
                </c:pt>
                <c:pt idx="24">
                  <c:v>141.43941324880424</c:v>
                </c:pt>
                <c:pt idx="25">
                  <c:v>154.1386719414277</c:v>
                </c:pt>
                <c:pt idx="26">
                  <c:v>166.83705171463117</c:v>
                </c:pt>
                <c:pt idx="27">
                  <c:v>179.53455256841457</c:v>
                </c:pt>
                <c:pt idx="28">
                  <c:v>179.53455256841457</c:v>
                </c:pt>
                <c:pt idx="29">
                  <c:v>175.40091042019486</c:v>
                </c:pt>
                <c:pt idx="30">
                  <c:v>171.26638935255511</c:v>
                </c:pt>
                <c:pt idx="31">
                  <c:v>167.13098936549534</c:v>
                </c:pt>
                <c:pt idx="32">
                  <c:v>162.99471045901547</c:v>
                </c:pt>
                <c:pt idx="33">
                  <c:v>158.85755263311557</c:v>
                </c:pt>
                <c:pt idx="34">
                  <c:v>158.85755263311557</c:v>
                </c:pt>
                <c:pt idx="35">
                  <c:v>143.00917620871994</c:v>
                </c:pt>
                <c:pt idx="36">
                  <c:v>127.15219637922442</c:v>
                </c:pt>
                <c:pt idx="37">
                  <c:v>111.28661314462884</c:v>
                </c:pt>
                <c:pt idx="38">
                  <c:v>95.412426504933421</c:v>
                </c:pt>
                <c:pt idx="39">
                  <c:v>79.529636460138136</c:v>
                </c:pt>
                <c:pt idx="40">
                  <c:v>63.638243010242761</c:v>
                </c:pt>
                <c:pt idx="41">
                  <c:v>47.738246155247658</c:v>
                </c:pt>
                <c:pt idx="42">
                  <c:v>31.829645895152478</c:v>
                </c:pt>
                <c:pt idx="43">
                  <c:v>15.912442229957396</c:v>
                </c:pt>
                <c:pt idx="44">
                  <c:v>-1.3364840337764861E-2</c:v>
                </c:pt>
                <c:pt idx="45">
                  <c:v>-1.3364840337764861E-2</c:v>
                </c:pt>
                <c:pt idx="46">
                  <c:v>-8.5534978163330777E-3</c:v>
                </c:pt>
                <c:pt idx="47">
                  <c:v>-4.8113425214637573E-3</c:v>
                </c:pt>
                <c:pt idx="48">
                  <c:v>-2.1383744539527072E-3</c:v>
                </c:pt>
                <c:pt idx="49">
                  <c:v>-5.3459361345886691E-4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01-2C4B-82D6-A7B18FB3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3176"/>
        <c:axId val="309866904"/>
      </c:scatterChart>
      <c:valAx>
        <c:axId val="3098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6904"/>
        <c:crosses val="autoZero"/>
        <c:crossBetween val="midCat"/>
      </c:valAx>
      <c:valAx>
        <c:axId val="3098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M_z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monent about</a:t>
            </a:r>
            <a:r>
              <a:rPr lang="en-US" baseline="0"/>
              <a:t> y-axis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Diagrams'!$F$3:$F$53</c:f>
              <c:numCache>
                <c:formatCode>General</c:formatCode>
                <c:ptCount val="51"/>
                <c:pt idx="0">
                  <c:v>0</c:v>
                </c:pt>
                <c:pt idx="1">
                  <c:v>-3.0082355E-4</c:v>
                </c:pt>
                <c:pt idx="2">
                  <c:v>-1.2032942E-3</c:v>
                </c:pt>
                <c:pt idx="3">
                  <c:v>-2.70741195E-3</c:v>
                </c:pt>
                <c:pt idx="4">
                  <c:v>-4.8131768E-3</c:v>
                </c:pt>
                <c:pt idx="5">
                  <c:v>-7.5205887499999995E-3</c:v>
                </c:pt>
                <c:pt idx="6">
                  <c:v>-1.08296478E-2</c:v>
                </c:pt>
                <c:pt idx="7">
                  <c:v>-1.4740353950000005E-2</c:v>
                </c:pt>
                <c:pt idx="8">
                  <c:v>-1.9252707200000004E-2</c:v>
                </c:pt>
                <c:pt idx="9">
                  <c:v>-2.4366707550000005E-2</c:v>
                </c:pt>
                <c:pt idx="10">
                  <c:v>-3.0082355000000009E-2</c:v>
                </c:pt>
                <c:pt idx="11">
                  <c:v>-3.0082355000000009E-2</c:v>
                </c:pt>
                <c:pt idx="12">
                  <c:v>2.2156842626476432</c:v>
                </c:pt>
                <c:pt idx="13">
                  <c:v>4.4594898971952865</c:v>
                </c:pt>
                <c:pt idx="14">
                  <c:v>6.7013345486429294</c:v>
                </c:pt>
                <c:pt idx="15">
                  <c:v>8.9412182169905687</c:v>
                </c:pt>
                <c:pt idx="16">
                  <c:v>11.179140902238212</c:v>
                </c:pt>
                <c:pt idx="17">
                  <c:v>13.415102604385853</c:v>
                </c:pt>
                <c:pt idx="18">
                  <c:v>15.649103323433494</c:v>
                </c:pt>
                <c:pt idx="19">
                  <c:v>17.881143059381131</c:v>
                </c:pt>
                <c:pt idx="20">
                  <c:v>20.11122181222877</c:v>
                </c:pt>
                <c:pt idx="21">
                  <c:v>22.339339581976418</c:v>
                </c:pt>
                <c:pt idx="22">
                  <c:v>22.339339581976418</c:v>
                </c:pt>
                <c:pt idx="23">
                  <c:v>24.590312339184432</c:v>
                </c:pt>
                <c:pt idx="24">
                  <c:v>26.83928012999246</c:v>
                </c:pt>
                <c:pt idx="25">
                  <c:v>29.086242954400486</c:v>
                </c:pt>
                <c:pt idx="26">
                  <c:v>31.331200812408515</c:v>
                </c:pt>
                <c:pt idx="27">
                  <c:v>33.574153704016538</c:v>
                </c:pt>
                <c:pt idx="28">
                  <c:v>33.574153704016538</c:v>
                </c:pt>
                <c:pt idx="29">
                  <c:v>32.683442742513343</c:v>
                </c:pt>
                <c:pt idx="30">
                  <c:v>31.790726814610153</c:v>
                </c:pt>
                <c:pt idx="31">
                  <c:v>30.896005920306962</c:v>
                </c:pt>
                <c:pt idx="32">
                  <c:v>29.99928005960377</c:v>
                </c:pt>
                <c:pt idx="33">
                  <c:v>29.100549232500573</c:v>
                </c:pt>
                <c:pt idx="34">
                  <c:v>29.100549232500573</c:v>
                </c:pt>
                <c:pt idx="35">
                  <c:v>26.275761871200512</c:v>
                </c:pt>
                <c:pt idx="36">
                  <c:v>23.43134866280046</c:v>
                </c:pt>
                <c:pt idx="37">
                  <c:v>20.567309607300395</c:v>
                </c:pt>
                <c:pt idx="38">
                  <c:v>17.683644704700349</c:v>
                </c:pt>
                <c:pt idx="39">
                  <c:v>14.78035395500028</c:v>
                </c:pt>
                <c:pt idx="40">
                  <c:v>11.857437358200215</c:v>
                </c:pt>
                <c:pt idx="41">
                  <c:v>8.914894914300163</c:v>
                </c:pt>
                <c:pt idx="42">
                  <c:v>5.9527266233001086</c:v>
                </c:pt>
                <c:pt idx="43">
                  <c:v>2.9709324852000805</c:v>
                </c:pt>
                <c:pt idx="44">
                  <c:v>-3.0487500000020873E-2</c:v>
                </c:pt>
                <c:pt idx="45">
                  <c:v>-3.0487500000020873E-2</c:v>
                </c:pt>
                <c:pt idx="46">
                  <c:v>-1.9512000000000196E-2</c:v>
                </c:pt>
                <c:pt idx="47">
                  <c:v>-1.0975499999974936E-2</c:v>
                </c:pt>
                <c:pt idx="48">
                  <c:v>-4.8779999999735146E-3</c:v>
                </c:pt>
                <c:pt idx="49">
                  <c:v>-1.2194999999817213E-3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A-B94A-97E1-8D69C40B9E4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Diagrams'!$K$3:$K$53</c:f>
              <c:numCache>
                <c:formatCode>General</c:formatCode>
                <c:ptCount val="51"/>
                <c:pt idx="0">
                  <c:v>0</c:v>
                </c:pt>
                <c:pt idx="1">
                  <c:v>1.3187236459466137E-4</c:v>
                </c:pt>
                <c:pt idx="2">
                  <c:v>5.274894583786455E-4</c:v>
                </c:pt>
                <c:pt idx="3">
                  <c:v>1.1868512813519524E-3</c:v>
                </c:pt>
                <c:pt idx="4">
                  <c:v>2.109957833514582E-3</c:v>
                </c:pt>
                <c:pt idx="5">
                  <c:v>3.2968091148665342E-3</c:v>
                </c:pt>
                <c:pt idx="6">
                  <c:v>4.7474051254078097E-3</c:v>
                </c:pt>
                <c:pt idx="7">
                  <c:v>6.4617458651384102E-3</c:v>
                </c:pt>
                <c:pt idx="8">
                  <c:v>8.4398313340583297E-3</c:v>
                </c:pt>
                <c:pt idx="9">
                  <c:v>1.0681661532167574E-2</c:v>
                </c:pt>
                <c:pt idx="10">
                  <c:v>1.318723645946614E-2</c:v>
                </c:pt>
                <c:pt idx="11">
                  <c:v>-2.7037841572657987E-2</c:v>
                </c:pt>
                <c:pt idx="12">
                  <c:v>1.8393797618722612</c:v>
                </c:pt>
                <c:pt idx="13">
                  <c:v>3.7040348453820071</c:v>
                </c:pt>
                <c:pt idx="14">
                  <c:v>5.5669274089565803</c:v>
                </c:pt>
                <c:pt idx="15">
                  <c:v>7.4280574525959775</c:v>
                </c:pt>
                <c:pt idx="16">
                  <c:v>9.2874249763002013</c:v>
                </c:pt>
                <c:pt idx="17">
                  <c:v>11.145029980069253</c:v>
                </c:pt>
                <c:pt idx="18">
                  <c:v>13.00087246390313</c:v>
                </c:pt>
                <c:pt idx="19">
                  <c:v>14.854952427801834</c:v>
                </c:pt>
                <c:pt idx="20">
                  <c:v>16.707269871765366</c:v>
                </c:pt>
                <c:pt idx="21">
                  <c:v>18.557824795793728</c:v>
                </c:pt>
                <c:pt idx="22">
                  <c:v>18.557824795793728</c:v>
                </c:pt>
                <c:pt idx="23">
                  <c:v>20.900927300949846</c:v>
                </c:pt>
                <c:pt idx="24">
                  <c:v>23.242227754242624</c:v>
                </c:pt>
                <c:pt idx="25">
                  <c:v>25.581726155672047</c:v>
                </c:pt>
                <c:pt idx="26">
                  <c:v>27.919422505238128</c:v>
                </c:pt>
                <c:pt idx="27">
                  <c:v>30.255316802940857</c:v>
                </c:pt>
                <c:pt idx="28">
                  <c:v>30.255316802940857</c:v>
                </c:pt>
                <c:pt idx="29">
                  <c:v>29.842211191961059</c:v>
                </c:pt>
                <c:pt idx="30">
                  <c:v>29.427303529117911</c:v>
                </c:pt>
                <c:pt idx="31">
                  <c:v>29.010593814411415</c:v>
                </c:pt>
                <c:pt idx="32">
                  <c:v>28.592082047841565</c:v>
                </c:pt>
                <c:pt idx="33">
                  <c:v>28.171768229408361</c:v>
                </c:pt>
                <c:pt idx="34">
                  <c:v>28.171768229408361</c:v>
                </c:pt>
                <c:pt idx="35">
                  <c:v>25.431229383490631</c:v>
                </c:pt>
                <c:pt idx="36">
                  <c:v>22.673050943045833</c:v>
                </c:pt>
                <c:pt idx="37">
                  <c:v>19.897232908073992</c:v>
                </c:pt>
                <c:pt idx="38">
                  <c:v>17.103775278575082</c:v>
                </c:pt>
                <c:pt idx="39">
                  <c:v>14.292678054549132</c:v>
                </c:pt>
                <c:pt idx="40">
                  <c:v>11.463941235996103</c:v>
                </c:pt>
                <c:pt idx="41">
                  <c:v>8.6175648229160373</c:v>
                </c:pt>
                <c:pt idx="42">
                  <c:v>5.7535488153088874</c:v>
                </c:pt>
                <c:pt idx="43">
                  <c:v>2.8718932131746993</c:v>
                </c:pt>
                <c:pt idx="44">
                  <c:v>-2.7401983486544879E-2</c:v>
                </c:pt>
                <c:pt idx="45">
                  <c:v>-2.7401983486544879E-2</c:v>
                </c:pt>
                <c:pt idx="46">
                  <c:v>-1.7537269431403546E-2</c:v>
                </c:pt>
                <c:pt idx="47">
                  <c:v>-9.8647140551446633E-3</c:v>
                </c:pt>
                <c:pt idx="48">
                  <c:v>-4.3843173578479444E-3</c:v>
                </c:pt>
                <c:pt idx="49">
                  <c:v>-1.0960793394483304E-3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A-B94A-97E1-8D69C40B9E4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Diagrams'!$P$3:$P$53</c:f>
              <c:numCache>
                <c:formatCode>General</c:formatCode>
                <c:ptCount val="51"/>
                <c:pt idx="0">
                  <c:v>0</c:v>
                </c:pt>
                <c:pt idx="1">
                  <c:v>-2.7037841572657978E-4</c:v>
                </c:pt>
                <c:pt idx="2">
                  <c:v>-1.0815136629063191E-3</c:v>
                </c:pt>
                <c:pt idx="3">
                  <c:v>-2.4334057415392181E-3</c:v>
                </c:pt>
                <c:pt idx="4">
                  <c:v>-4.3260546516252765E-3</c:v>
                </c:pt>
                <c:pt idx="5">
                  <c:v>-6.7594603931644941E-3</c:v>
                </c:pt>
                <c:pt idx="6">
                  <c:v>-9.7336229661568723E-3</c:v>
                </c:pt>
                <c:pt idx="7">
                  <c:v>-1.3248542370602415E-2</c:v>
                </c:pt>
                <c:pt idx="8">
                  <c:v>-1.7304218606501109E-2</c:v>
                </c:pt>
                <c:pt idx="9">
                  <c:v>-2.190065167385297E-2</c:v>
                </c:pt>
                <c:pt idx="10">
                  <c:v>-2.7037841572657987E-2</c:v>
                </c:pt>
                <c:pt idx="11">
                  <c:v>-2.7037841572657987E-2</c:v>
                </c:pt>
                <c:pt idx="12">
                  <c:v>2.1435078856206622</c:v>
                </c:pt>
                <c:pt idx="13">
                  <c:v>4.3122910928788087</c:v>
                </c:pt>
                <c:pt idx="14">
                  <c:v>6.4793117802017814</c:v>
                </c:pt>
                <c:pt idx="15">
                  <c:v>8.6445699475895807</c:v>
                </c:pt>
                <c:pt idx="16">
                  <c:v>10.808065595042205</c:v>
                </c:pt>
                <c:pt idx="17">
                  <c:v>12.969798722559657</c:v>
                </c:pt>
                <c:pt idx="18">
                  <c:v>15.129769330141935</c:v>
                </c:pt>
                <c:pt idx="19">
                  <c:v>17.287977417789037</c:v>
                </c:pt>
                <c:pt idx="20">
                  <c:v>19.444422985500971</c:v>
                </c:pt>
                <c:pt idx="21">
                  <c:v>21.599106033277732</c:v>
                </c:pt>
                <c:pt idx="22">
                  <c:v>21.599106033277732</c:v>
                </c:pt>
                <c:pt idx="23">
                  <c:v>23.302325353241983</c:v>
                </c:pt>
                <c:pt idx="24">
                  <c:v>25.003742621342901</c:v>
                </c:pt>
                <c:pt idx="25">
                  <c:v>26.703357837580455</c:v>
                </c:pt>
                <c:pt idx="26">
                  <c:v>28.401171001954673</c:v>
                </c:pt>
                <c:pt idx="27">
                  <c:v>30.097182114465532</c:v>
                </c:pt>
                <c:pt idx="28">
                  <c:v>30.097182114465532</c:v>
                </c:pt>
                <c:pt idx="29">
                  <c:v>28.909156307100378</c:v>
                </c:pt>
                <c:pt idx="30">
                  <c:v>27.719328447871874</c:v>
                </c:pt>
                <c:pt idx="31">
                  <c:v>26.527698536780029</c:v>
                </c:pt>
                <c:pt idx="32">
                  <c:v>25.334266573824813</c:v>
                </c:pt>
                <c:pt idx="33">
                  <c:v>24.13903255900626</c:v>
                </c:pt>
                <c:pt idx="34">
                  <c:v>24.13903255900626</c:v>
                </c:pt>
                <c:pt idx="35">
                  <c:v>21.801767280128736</c:v>
                </c:pt>
                <c:pt idx="36">
                  <c:v>19.446862406724165</c:v>
                </c:pt>
                <c:pt idx="37">
                  <c:v>17.074317938792529</c:v>
                </c:pt>
                <c:pt idx="38">
                  <c:v>14.684133876333828</c:v>
                </c:pt>
                <c:pt idx="39">
                  <c:v>12.27631021934808</c:v>
                </c:pt>
                <c:pt idx="40">
                  <c:v>9.850846967835281</c:v>
                </c:pt>
                <c:pt idx="41">
                  <c:v>7.4077441217954174</c:v>
                </c:pt>
                <c:pt idx="42">
                  <c:v>4.9470016812284729</c:v>
                </c:pt>
                <c:pt idx="43">
                  <c:v>2.4686196461345151</c:v>
                </c:pt>
                <c:pt idx="44">
                  <c:v>-2.7401983486537773E-2</c:v>
                </c:pt>
                <c:pt idx="45">
                  <c:v>-2.7401983486537773E-2</c:v>
                </c:pt>
                <c:pt idx="46">
                  <c:v>-1.7537269431400326E-2</c:v>
                </c:pt>
                <c:pt idx="47">
                  <c:v>-9.8647140551275658E-3</c:v>
                </c:pt>
                <c:pt idx="48">
                  <c:v>-4.3843173578244077E-3</c:v>
                </c:pt>
                <c:pt idx="49">
                  <c:v>-1.0960793394425572E-3</c:v>
                </c:pt>
                <c:pt idx="50">
                  <c:v>1.5987211554602254E-14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BA-B94A-97E1-8D69C40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0040"/>
        <c:axId val="309873960"/>
      </c:scatterChart>
      <c:valAx>
        <c:axId val="30987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3960"/>
        <c:crosses val="autoZero"/>
        <c:crossBetween val="midCat"/>
      </c:valAx>
      <c:valAx>
        <c:axId val="30987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M_y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Diagrams'!$G$3:$G$53</c:f>
              <c:numCache>
                <c:formatCode>General</c:formatCode>
                <c:ptCount val="51"/>
                <c:pt idx="0">
                  <c:v>0</c:v>
                </c:pt>
                <c:pt idx="1">
                  <c:v>-1.3930755000000001E-3</c:v>
                </c:pt>
                <c:pt idx="2">
                  <c:v>-2.7861510000000002E-3</c:v>
                </c:pt>
                <c:pt idx="3">
                  <c:v>-4.1792265E-3</c:v>
                </c:pt>
                <c:pt idx="4">
                  <c:v>-5.5723020000000003E-3</c:v>
                </c:pt>
                <c:pt idx="5">
                  <c:v>-6.9653775000000006E-3</c:v>
                </c:pt>
                <c:pt idx="6">
                  <c:v>-8.3584530000000001E-3</c:v>
                </c:pt>
                <c:pt idx="7">
                  <c:v>-9.7515285000000021E-3</c:v>
                </c:pt>
                <c:pt idx="8">
                  <c:v>-1.1144604000000002E-2</c:v>
                </c:pt>
                <c:pt idx="9">
                  <c:v>-1.2537679500000003E-2</c:v>
                </c:pt>
                <c:pt idx="10">
                  <c:v>-1.3930755000000003E-2</c:v>
                </c:pt>
                <c:pt idx="11">
                  <c:v>-1.3930755000000003E-2</c:v>
                </c:pt>
                <c:pt idx="12">
                  <c:v>-1.6445770500000005E-2</c:v>
                </c:pt>
                <c:pt idx="13">
                  <c:v>-1.8960786000000007E-2</c:v>
                </c:pt>
                <c:pt idx="14">
                  <c:v>-2.1475801500000006E-2</c:v>
                </c:pt>
                <c:pt idx="15">
                  <c:v>-2.3990817000000005E-2</c:v>
                </c:pt>
                <c:pt idx="16">
                  <c:v>-2.6505832500000003E-2</c:v>
                </c:pt>
                <c:pt idx="17">
                  <c:v>-2.9020848000000002E-2</c:v>
                </c:pt>
                <c:pt idx="18">
                  <c:v>-3.1535863499999997E-2</c:v>
                </c:pt>
                <c:pt idx="19">
                  <c:v>-3.4050878999999992E-2</c:v>
                </c:pt>
                <c:pt idx="20">
                  <c:v>-3.6565894499999994E-2</c:v>
                </c:pt>
                <c:pt idx="21">
                  <c:v>-3.9080909999999996E-2</c:v>
                </c:pt>
                <c:pt idx="22">
                  <c:v>3.3973691349999999</c:v>
                </c:pt>
                <c:pt idx="23">
                  <c:v>3.3948260709999998</c:v>
                </c:pt>
                <c:pt idx="24">
                  <c:v>3.3922830070000001</c:v>
                </c:pt>
                <c:pt idx="25">
                  <c:v>3.3897399429999999</c:v>
                </c:pt>
                <c:pt idx="26">
                  <c:v>3.3871968789999998</c:v>
                </c:pt>
                <c:pt idx="27">
                  <c:v>3.3846538150000001</c:v>
                </c:pt>
                <c:pt idx="28">
                  <c:v>3.3846538150000001</c:v>
                </c:pt>
                <c:pt idx="29">
                  <c:v>3.3821107509999999</c:v>
                </c:pt>
                <c:pt idx="30">
                  <c:v>3.3795676869999998</c:v>
                </c:pt>
                <c:pt idx="31">
                  <c:v>3.3770246230000001</c:v>
                </c:pt>
                <c:pt idx="32">
                  <c:v>3.3744815589999999</c:v>
                </c:pt>
                <c:pt idx="33">
                  <c:v>3.3719384949999998</c:v>
                </c:pt>
                <c:pt idx="34">
                  <c:v>9.3588494999999661E-2</c:v>
                </c:pt>
                <c:pt idx="35">
                  <c:v>8.563207049999999E-2</c:v>
                </c:pt>
                <c:pt idx="36">
                  <c:v>7.7675645999999876E-2</c:v>
                </c:pt>
                <c:pt idx="37">
                  <c:v>6.9719221499999762E-2</c:v>
                </c:pt>
                <c:pt idx="38">
                  <c:v>6.1762796999999647E-2</c:v>
                </c:pt>
                <c:pt idx="39">
                  <c:v>5.3806372499999977E-2</c:v>
                </c:pt>
                <c:pt idx="40">
                  <c:v>4.5849947999999863E-2</c:v>
                </c:pt>
                <c:pt idx="41">
                  <c:v>3.7893523499999748E-2</c:v>
                </c:pt>
                <c:pt idx="42">
                  <c:v>2.9937099000000078E-2</c:v>
                </c:pt>
                <c:pt idx="43">
                  <c:v>2.1980674499999964E-2</c:v>
                </c:pt>
                <c:pt idx="44">
                  <c:v>1.4024249999999849E-2</c:v>
                </c:pt>
                <c:pt idx="45">
                  <c:v>1.4024249999999849E-2</c:v>
                </c:pt>
                <c:pt idx="46">
                  <c:v>1.1219399999999879E-2</c:v>
                </c:pt>
                <c:pt idx="47">
                  <c:v>8.4145499999999096E-3</c:v>
                </c:pt>
                <c:pt idx="48">
                  <c:v>5.6096999999999397E-3</c:v>
                </c:pt>
                <c:pt idx="49">
                  <c:v>2.8048499999999699E-3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A7-6D46-9109-745CF1C03C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Diagrams'!$L$3:$L$53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A7-6D46-9109-745CF1C03C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</c:v>
                </c:pt>
                <c:pt idx="1">
                  <c:v>14.9</c:v>
                </c:pt>
                <c:pt idx="2">
                  <c:v>29.8</c:v>
                </c:pt>
                <c:pt idx="3">
                  <c:v>44.7</c:v>
                </c:pt>
                <c:pt idx="4">
                  <c:v>59.6</c:v>
                </c:pt>
                <c:pt idx="5">
                  <c:v>74.5</c:v>
                </c:pt>
                <c:pt idx="6">
                  <c:v>89.4</c:v>
                </c:pt>
                <c:pt idx="7">
                  <c:v>104.30000000000001</c:v>
                </c:pt>
                <c:pt idx="8">
                  <c:v>119.20000000000002</c:v>
                </c:pt>
                <c:pt idx="9">
                  <c:v>134.10000000000002</c:v>
                </c:pt>
                <c:pt idx="10">
                  <c:v>149.00000000000003</c:v>
                </c:pt>
                <c:pt idx="11">
                  <c:v>149.00000000000003</c:v>
                </c:pt>
                <c:pt idx="12">
                  <c:v>175.90000000000003</c:v>
                </c:pt>
                <c:pt idx="13">
                  <c:v>202.80000000000004</c:v>
                </c:pt>
                <c:pt idx="14">
                  <c:v>229.70000000000005</c:v>
                </c:pt>
                <c:pt idx="15">
                  <c:v>256.60000000000002</c:v>
                </c:pt>
                <c:pt idx="16">
                  <c:v>283.5</c:v>
                </c:pt>
                <c:pt idx="17">
                  <c:v>310.39999999999998</c:v>
                </c:pt>
                <c:pt idx="18">
                  <c:v>337.29999999999995</c:v>
                </c:pt>
                <c:pt idx="19">
                  <c:v>364.19999999999993</c:v>
                </c:pt>
                <c:pt idx="20">
                  <c:v>391.09999999999991</c:v>
                </c:pt>
                <c:pt idx="21">
                  <c:v>417.99999999999989</c:v>
                </c:pt>
                <c:pt idx="22">
                  <c:v>417.99999999999989</c:v>
                </c:pt>
                <c:pt idx="23">
                  <c:v>445.19999999999987</c:v>
                </c:pt>
                <c:pt idx="24">
                  <c:v>472.39999999999986</c:v>
                </c:pt>
                <c:pt idx="25">
                  <c:v>499.59999999999985</c:v>
                </c:pt>
                <c:pt idx="26">
                  <c:v>526.79999999999984</c:v>
                </c:pt>
                <c:pt idx="27">
                  <c:v>553.99999999999989</c:v>
                </c:pt>
                <c:pt idx="28">
                  <c:v>553.99999999999989</c:v>
                </c:pt>
                <c:pt idx="29">
                  <c:v>581.19999999999993</c:v>
                </c:pt>
                <c:pt idx="30">
                  <c:v>608.4</c:v>
                </c:pt>
                <c:pt idx="31">
                  <c:v>635.6</c:v>
                </c:pt>
                <c:pt idx="32">
                  <c:v>662.80000000000007</c:v>
                </c:pt>
                <c:pt idx="33">
                  <c:v>690.00000000000011</c:v>
                </c:pt>
                <c:pt idx="34">
                  <c:v>690.00000000000011</c:v>
                </c:pt>
                <c:pt idx="35">
                  <c:v>775.10000000000014</c:v>
                </c:pt>
                <c:pt idx="36">
                  <c:v>860.20000000000016</c:v>
                </c:pt>
                <c:pt idx="37">
                  <c:v>945.30000000000018</c:v>
                </c:pt>
                <c:pt idx="38">
                  <c:v>1030.4000000000001</c:v>
                </c:pt>
                <c:pt idx="39">
                  <c:v>1115.5</c:v>
                </c:pt>
                <c:pt idx="40">
                  <c:v>1200.5999999999999</c:v>
                </c:pt>
                <c:pt idx="41">
                  <c:v>1285.6999999999998</c:v>
                </c:pt>
                <c:pt idx="42">
                  <c:v>1370.7999999999997</c:v>
                </c:pt>
                <c:pt idx="43">
                  <c:v>1455.8999999999996</c:v>
                </c:pt>
                <c:pt idx="44">
                  <c:v>1540.9999999999995</c:v>
                </c:pt>
                <c:pt idx="45">
                  <c:v>1540.9999999999995</c:v>
                </c:pt>
                <c:pt idx="46">
                  <c:v>1570.9999999999995</c:v>
                </c:pt>
                <c:pt idx="47">
                  <c:v>1600.9999999999995</c:v>
                </c:pt>
                <c:pt idx="48">
                  <c:v>1630.9999999999995</c:v>
                </c:pt>
                <c:pt idx="49">
                  <c:v>1660.9999999999995</c:v>
                </c:pt>
                <c:pt idx="50">
                  <c:v>1690.9999999999995</c:v>
                </c:pt>
              </c:numCache>
            </c:numRef>
          </c:xVal>
          <c:yVal>
            <c:numRef>
              <c:f>'Internal Force Diagrams'!$Q$3:$Q$53</c:f>
              <c:numCache>
                <c:formatCode>General</c:formatCode>
                <c:ptCount val="51"/>
                <c:pt idx="0">
                  <c:v>0</c:v>
                </c:pt>
                <c:pt idx="1">
                  <c:v>-1.2520879654452353E-3</c:v>
                </c:pt>
                <c:pt idx="2">
                  <c:v>-2.5041759308904706E-3</c:v>
                </c:pt>
                <c:pt idx="3">
                  <c:v>-3.7562638963357063E-3</c:v>
                </c:pt>
                <c:pt idx="4">
                  <c:v>-5.0083518617809412E-3</c:v>
                </c:pt>
                <c:pt idx="5">
                  <c:v>-6.260439827226176E-3</c:v>
                </c:pt>
                <c:pt idx="6">
                  <c:v>-7.5125277926714126E-3</c:v>
                </c:pt>
                <c:pt idx="7">
                  <c:v>-8.7646157581166475E-3</c:v>
                </c:pt>
                <c:pt idx="8">
                  <c:v>-1.0016703723561884E-2</c:v>
                </c:pt>
                <c:pt idx="9">
                  <c:v>-1.1268791689007121E-2</c:v>
                </c:pt>
                <c:pt idx="10">
                  <c:v>-1.2520879654452356E-2</c:v>
                </c:pt>
                <c:pt idx="11">
                  <c:v>-1.2520879654452356E-2</c:v>
                </c:pt>
                <c:pt idx="12">
                  <c:v>-1.4781360612202478E-2</c:v>
                </c:pt>
                <c:pt idx="13">
                  <c:v>-1.7041841569952601E-2</c:v>
                </c:pt>
                <c:pt idx="14">
                  <c:v>-1.9302322527702725E-2</c:v>
                </c:pt>
                <c:pt idx="15">
                  <c:v>-2.1562803485452847E-2</c:v>
                </c:pt>
                <c:pt idx="16">
                  <c:v>-2.3823284443202968E-2</c:v>
                </c:pt>
                <c:pt idx="17">
                  <c:v>-2.6083765400953089E-2</c:v>
                </c:pt>
                <c:pt idx="18">
                  <c:v>-2.834424635870321E-2</c:v>
                </c:pt>
                <c:pt idx="19">
                  <c:v>-3.0604727316453327E-2</c:v>
                </c:pt>
                <c:pt idx="20">
                  <c:v>-3.2865208274203452E-2</c:v>
                </c:pt>
                <c:pt idx="21">
                  <c:v>-3.5125689231953569E-2</c:v>
                </c:pt>
                <c:pt idx="22">
                  <c:v>3.0535351516185512</c:v>
                </c:pt>
                <c:pt idx="23">
                  <c:v>3.0512494608359932</c:v>
                </c:pt>
                <c:pt idx="24">
                  <c:v>3.0489637700534358</c:v>
                </c:pt>
                <c:pt idx="25">
                  <c:v>3.0466780792708779</c:v>
                </c:pt>
                <c:pt idx="26">
                  <c:v>3.0443923884883204</c:v>
                </c:pt>
                <c:pt idx="27">
                  <c:v>3.0421066977057625</c:v>
                </c:pt>
                <c:pt idx="28">
                  <c:v>3.0421066977057625</c:v>
                </c:pt>
                <c:pt idx="29">
                  <c:v>3.0398210069232046</c:v>
                </c:pt>
                <c:pt idx="30">
                  <c:v>3.0375353161406471</c:v>
                </c:pt>
                <c:pt idx="31">
                  <c:v>3.0352496253580892</c:v>
                </c:pt>
                <c:pt idx="32">
                  <c:v>3.0329639345755313</c:v>
                </c:pt>
                <c:pt idx="33">
                  <c:v>3.0306782437929738</c:v>
                </c:pt>
                <c:pt idx="34">
                  <c:v>8.4116782108099475E-2</c:v>
                </c:pt>
                <c:pt idx="35">
                  <c:v>7.696559513767065E-2</c:v>
                </c:pt>
                <c:pt idx="36">
                  <c:v>6.9814408167241826E-2</c:v>
                </c:pt>
                <c:pt idx="37">
                  <c:v>6.2663221196813002E-2</c:v>
                </c:pt>
                <c:pt idx="38">
                  <c:v>5.5512034226384177E-2</c:v>
                </c:pt>
                <c:pt idx="39">
                  <c:v>4.8360847255955353E-2</c:v>
                </c:pt>
                <c:pt idx="40">
                  <c:v>4.1209660285526528E-2</c:v>
                </c:pt>
                <c:pt idx="41">
                  <c:v>3.4058473315097704E-2</c:v>
                </c:pt>
                <c:pt idx="42">
                  <c:v>2.6907286344668879E-2</c:v>
                </c:pt>
                <c:pt idx="43">
                  <c:v>1.9756099374240055E-2</c:v>
                </c:pt>
                <c:pt idx="44">
                  <c:v>1.260491240381123E-2</c:v>
                </c:pt>
                <c:pt idx="45">
                  <c:v>1.260491240381123E-2</c:v>
                </c:pt>
                <c:pt idx="46">
                  <c:v>1.0083929923049073E-2</c:v>
                </c:pt>
                <c:pt idx="47">
                  <c:v>7.5629474422869158E-3</c:v>
                </c:pt>
                <c:pt idx="48">
                  <c:v>5.0419649615243145E-3</c:v>
                </c:pt>
                <c:pt idx="49">
                  <c:v>2.5209824807621573E-3</c:v>
                </c:pt>
                <c:pt idx="5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A7-6D46-9109-745CF1C0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67688"/>
        <c:axId val="309866512"/>
      </c:scatterChart>
      <c:valAx>
        <c:axId val="30986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6512"/>
        <c:crosses val="autoZero"/>
        <c:crossBetween val="midCat"/>
      </c:valAx>
      <c:valAx>
        <c:axId val="309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[kN]m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2BC4C7-472D-3E4B-9933-A6677CF1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7A342C-C4A4-8943-A548-B10AD8F4F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347263-DE93-5A41-BDB4-F912F6110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E843FD-8AFC-D543-9722-1E564CD7C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957833-F082-5F48-AC50-90C12C5A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opLeftCell="A11" workbookViewId="0">
      <selection activeCell="C7" sqref="C7"/>
    </sheetView>
  </sheetViews>
  <sheetFormatPr defaultColWidth="11.25" defaultRowHeight="34.15" customHeight="1" x14ac:dyDescent="0.25"/>
  <cols>
    <col min="1" max="1" width="32.75" style="3" customWidth="1"/>
    <col min="2" max="4" width="10.75" style="3"/>
  </cols>
  <sheetData>
    <row r="1" spans="1:4" ht="34.15" customHeight="1" thickBot="1" x14ac:dyDescent="0.3">
      <c r="A1" s="1" t="s">
        <v>0</v>
      </c>
      <c r="B1" s="4" t="s">
        <v>1</v>
      </c>
      <c r="C1" s="4" t="s">
        <v>2</v>
      </c>
      <c r="D1" s="4" t="s">
        <v>3</v>
      </c>
    </row>
    <row r="2" spans="1:4" ht="34.15" customHeight="1" thickBot="1" x14ac:dyDescent="0.3">
      <c r="A2" s="2" t="s">
        <v>4</v>
      </c>
      <c r="B2" s="5" t="s">
        <v>32</v>
      </c>
      <c r="C2" s="7">
        <v>0.48399999999999999</v>
      </c>
      <c r="D2" s="7" t="s">
        <v>5</v>
      </c>
    </row>
    <row r="3" spans="1:4" ht="34.15" customHeight="1" thickBot="1" x14ac:dyDescent="0.3">
      <c r="A3" s="2" t="s">
        <v>6</v>
      </c>
      <c r="B3" s="5" t="s">
        <v>33</v>
      </c>
      <c r="C3" s="41">
        <v>1.6910000000000001</v>
      </c>
      <c r="D3" s="7" t="s">
        <v>5</v>
      </c>
    </row>
    <row r="4" spans="1:4" ht="34.15" customHeight="1" thickBot="1" x14ac:dyDescent="0.3">
      <c r="A4" s="2" t="s">
        <v>7</v>
      </c>
      <c r="B4" s="5" t="s">
        <v>34</v>
      </c>
      <c r="C4" s="7">
        <v>0.14899999999999999</v>
      </c>
      <c r="D4" s="7" t="s">
        <v>5</v>
      </c>
    </row>
    <row r="5" spans="1:4" ht="34.15" customHeight="1" thickBot="1" x14ac:dyDescent="0.3">
      <c r="A5" s="2" t="s">
        <v>8</v>
      </c>
      <c r="B5" s="5" t="s">
        <v>35</v>
      </c>
      <c r="C5" s="41">
        <v>0.55400000000000005</v>
      </c>
      <c r="D5" s="7" t="s">
        <v>5</v>
      </c>
    </row>
    <row r="6" spans="1:4" ht="34.15" customHeight="1" thickBot="1" x14ac:dyDescent="0.3">
      <c r="A6" s="2" t="s">
        <v>9</v>
      </c>
      <c r="B6" s="5" t="s">
        <v>36</v>
      </c>
      <c r="C6" s="41">
        <v>1.5409999999999999</v>
      </c>
      <c r="D6" s="7" t="s">
        <v>5</v>
      </c>
    </row>
    <row r="7" spans="1:4" ht="34.15" customHeight="1" thickBot="1" x14ac:dyDescent="0.3">
      <c r="A7" s="2" t="s">
        <v>10</v>
      </c>
      <c r="B7" s="5" t="s">
        <v>37</v>
      </c>
      <c r="C7" s="7">
        <v>27.2</v>
      </c>
      <c r="D7" s="7" t="s">
        <v>11</v>
      </c>
    </row>
    <row r="8" spans="1:4" ht="34.15" customHeight="1" thickBot="1" x14ac:dyDescent="0.3">
      <c r="A8" s="2" t="s">
        <v>12</v>
      </c>
      <c r="B8" s="5" t="s">
        <v>13</v>
      </c>
      <c r="C8" s="7">
        <v>17.3</v>
      </c>
      <c r="D8" s="7" t="s">
        <v>11</v>
      </c>
    </row>
    <row r="9" spans="1:4" ht="34.15" customHeight="1" thickBot="1" x14ac:dyDescent="0.3">
      <c r="A9" s="2" t="s">
        <v>14</v>
      </c>
      <c r="B9" s="5" t="s">
        <v>38</v>
      </c>
      <c r="C9" s="7">
        <v>1.1000000000000001</v>
      </c>
      <c r="D9" s="7" t="s">
        <v>15</v>
      </c>
    </row>
    <row r="10" spans="1:4" ht="34.15" customHeight="1" thickBot="1" x14ac:dyDescent="0.3">
      <c r="A10" s="2" t="s">
        <v>16</v>
      </c>
      <c r="B10" s="5" t="s">
        <v>39</v>
      </c>
      <c r="C10" s="7">
        <v>2.5</v>
      </c>
      <c r="D10" s="7" t="s">
        <v>15</v>
      </c>
    </row>
    <row r="11" spans="1:4" ht="34.15" customHeight="1" thickBot="1" x14ac:dyDescent="0.3">
      <c r="A11" s="2" t="s">
        <v>17</v>
      </c>
      <c r="B11" s="5" t="s">
        <v>40</v>
      </c>
      <c r="C11" s="7">
        <v>1.2</v>
      </c>
      <c r="D11" s="7" t="s">
        <v>15</v>
      </c>
    </row>
    <row r="12" spans="1:4" ht="34.15" customHeight="1" thickBot="1" x14ac:dyDescent="0.3">
      <c r="A12" s="2" t="s">
        <v>18</v>
      </c>
      <c r="B12" s="5" t="s">
        <v>41</v>
      </c>
      <c r="C12" s="7">
        <v>1.4</v>
      </c>
      <c r="D12" s="7" t="s">
        <v>11</v>
      </c>
    </row>
    <row r="13" spans="1:4" ht="34.15" customHeight="1" thickBot="1" x14ac:dyDescent="0.3">
      <c r="A13" s="2" t="s">
        <v>19</v>
      </c>
      <c r="B13" s="5" t="s">
        <v>42</v>
      </c>
      <c r="C13" s="7">
        <v>1.8</v>
      </c>
      <c r="D13" s="7" t="s">
        <v>11</v>
      </c>
    </row>
    <row r="14" spans="1:4" ht="34.15" customHeight="1" thickBot="1" x14ac:dyDescent="0.3">
      <c r="A14" s="2" t="s">
        <v>20</v>
      </c>
      <c r="B14" s="5" t="s">
        <v>43</v>
      </c>
      <c r="C14" s="7">
        <v>13</v>
      </c>
      <c r="D14" s="7" t="s">
        <v>21</v>
      </c>
    </row>
    <row r="15" spans="1:4" ht="34.15" customHeight="1" thickBot="1" x14ac:dyDescent="0.3">
      <c r="A15" s="2" t="s">
        <v>22</v>
      </c>
      <c r="B15" s="5" t="s">
        <v>44</v>
      </c>
      <c r="C15" s="7">
        <v>0.68100000000000005</v>
      </c>
      <c r="D15" s="7" t="s">
        <v>11</v>
      </c>
    </row>
    <row r="16" spans="1:4" ht="34.15" customHeight="1" thickBot="1" x14ac:dyDescent="0.3">
      <c r="A16" s="2" t="s">
        <v>23</v>
      </c>
      <c r="B16" s="5" t="s">
        <v>45</v>
      </c>
      <c r="C16" s="7">
        <v>2.0299999999999998</v>
      </c>
      <c r="D16" s="7" t="s">
        <v>11</v>
      </c>
    </row>
    <row r="17" spans="1:4" ht="34.15" customHeight="1" thickBot="1" x14ac:dyDescent="0.3">
      <c r="A17" s="2" t="s">
        <v>24</v>
      </c>
      <c r="B17" s="6" t="s">
        <v>25</v>
      </c>
      <c r="C17" s="7">
        <v>26</v>
      </c>
      <c r="D17" s="7" t="s">
        <v>26</v>
      </c>
    </row>
    <row r="18" spans="1:4" ht="34.15" customHeight="1" thickBot="1" x14ac:dyDescent="0.3">
      <c r="A18" s="2" t="s">
        <v>27</v>
      </c>
      <c r="B18" s="7" t="s">
        <v>28</v>
      </c>
      <c r="C18" s="7">
        <v>37.9</v>
      </c>
      <c r="D18" s="7" t="s">
        <v>29</v>
      </c>
    </row>
    <row r="19" spans="1:4" ht="34.15" customHeight="1" thickBot="1" x14ac:dyDescent="0.3">
      <c r="A19" s="2" t="s">
        <v>30</v>
      </c>
      <c r="B19" s="7" t="s">
        <v>25</v>
      </c>
      <c r="C19" s="7">
        <v>2.71</v>
      </c>
      <c r="D19" s="7" t="s">
        <v>31</v>
      </c>
    </row>
    <row r="20" spans="1:4" ht="34.15" customHeight="1" thickBot="1" x14ac:dyDescent="0.3">
      <c r="A20" s="2" t="s">
        <v>98</v>
      </c>
      <c r="B20" s="7" t="s">
        <v>99</v>
      </c>
      <c r="C20" s="7">
        <v>73.099999999999994</v>
      </c>
      <c r="D20" s="7" t="s">
        <v>100</v>
      </c>
    </row>
    <row r="21" spans="1:4" ht="34.15" customHeight="1" thickBot="1" x14ac:dyDescent="0.3">
      <c r="A21" s="2" t="s">
        <v>128</v>
      </c>
      <c r="B21" s="7" t="s">
        <v>129</v>
      </c>
      <c r="C21" s="7">
        <v>28</v>
      </c>
      <c r="D21" s="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J44" sqref="J44"/>
    </sheetView>
  </sheetViews>
  <sheetFormatPr defaultColWidth="11.25" defaultRowHeight="15.75" x14ac:dyDescent="0.25"/>
  <cols>
    <col min="1" max="1" width="12" style="9" bestFit="1" customWidth="1"/>
    <col min="2" max="2" width="12.25" bestFit="1" customWidth="1"/>
    <col min="3" max="3" width="24.75" bestFit="1" customWidth="1"/>
    <col min="4" max="5" width="20.5" bestFit="1" customWidth="1"/>
    <col min="9" max="9" width="11.875" bestFit="1" customWidth="1"/>
    <col min="10" max="10" width="13.5" bestFit="1" customWidth="1"/>
    <col min="11" max="11" width="11.75" bestFit="1" customWidth="1"/>
    <col min="12" max="12" width="11.875" style="24" bestFit="1" customWidth="1"/>
    <col min="13" max="13" width="26.25" style="29" bestFit="1" customWidth="1"/>
    <col min="14" max="14" width="10.75" style="29"/>
    <col min="15" max="15" width="7.75" style="29" bestFit="1" customWidth="1"/>
  </cols>
  <sheetData>
    <row r="1" spans="1:15" s="8" customFormat="1" ht="16.5" thickBot="1" x14ac:dyDescent="0.3">
      <c r="A1" s="18" t="s">
        <v>46</v>
      </c>
      <c r="B1" s="19" t="s">
        <v>71</v>
      </c>
      <c r="C1" s="19" t="s">
        <v>94</v>
      </c>
      <c r="D1" s="20" t="s">
        <v>77</v>
      </c>
      <c r="E1" s="20" t="s">
        <v>73</v>
      </c>
      <c r="F1" s="20" t="s">
        <v>72</v>
      </c>
      <c r="G1" s="20" t="s">
        <v>78</v>
      </c>
      <c r="H1" s="20" t="s">
        <v>79</v>
      </c>
      <c r="I1" s="20" t="s">
        <v>74</v>
      </c>
      <c r="J1" s="20" t="s">
        <v>80</v>
      </c>
      <c r="K1" s="20" t="s">
        <v>75</v>
      </c>
      <c r="L1" s="23"/>
      <c r="M1" s="25" t="s">
        <v>81</v>
      </c>
      <c r="N1" s="25"/>
      <c r="O1" s="25"/>
    </row>
    <row r="2" spans="1:15" x14ac:dyDescent="0.25">
      <c r="A2" s="17" t="s">
        <v>70</v>
      </c>
      <c r="B2" s="15">
        <f>PI()*N2*Input!C9</f>
        <v>298.92254098906881</v>
      </c>
      <c r="C2" s="15">
        <v>0</v>
      </c>
      <c r="D2" s="12">
        <f>PI()*N2^3*Input!C9/2</f>
        <v>1118306.5911577302</v>
      </c>
      <c r="E2" s="12">
        <f>PI()*N2^3*Input!C9/2</f>
        <v>1118306.5911577302</v>
      </c>
      <c r="F2" s="12">
        <v>0</v>
      </c>
      <c r="G2" s="12">
        <v>0</v>
      </c>
      <c r="H2" s="12">
        <f>$B2*G2^2</f>
        <v>0</v>
      </c>
      <c r="I2" s="12">
        <f>$B2*F2^2</f>
        <v>0</v>
      </c>
      <c r="J2" s="12">
        <f>D2+H2</f>
        <v>1118306.5911577302</v>
      </c>
      <c r="K2" s="12">
        <f>E2+I2</f>
        <v>1118306.5911577302</v>
      </c>
      <c r="M2" s="26" t="s">
        <v>82</v>
      </c>
      <c r="N2" s="26">
        <f>Input!C8*10/2</f>
        <v>86.5</v>
      </c>
      <c r="O2" s="26" t="s">
        <v>85</v>
      </c>
    </row>
    <row r="3" spans="1:15" x14ac:dyDescent="0.25">
      <c r="A3" s="14" t="s">
        <v>47</v>
      </c>
      <c r="B3" s="13">
        <f>SQRT((Input!C8*10/2)^2+N3^2)*Input!C9</f>
        <v>447.48305554512342</v>
      </c>
      <c r="C3" s="13">
        <f>-N9</f>
        <v>-0.21426956084537907</v>
      </c>
      <c r="D3" s="10">
        <f>(SQRT(N$2^2+N$3^2))^3*Input!C$9*(SIN(C3))^2/12</f>
        <v>279015.00769604166</v>
      </c>
      <c r="E3" s="10">
        <f>(SQRT(N$2^2+N$3^2))^3*Input!C$9*(COS(C3))^2/12</f>
        <v>5892093.2954355553</v>
      </c>
      <c r="F3" s="10">
        <f>-N3/2</f>
        <v>-198.75</v>
      </c>
      <c r="G3" s="10">
        <f>N2/2</f>
        <v>43.25</v>
      </c>
      <c r="H3" s="12">
        <f t="shared" ref="H3:H4" si="0">$B3*G3^2</f>
        <v>837045.02308812493</v>
      </c>
      <c r="I3" s="12">
        <f>$B3*F3^2</f>
        <v>17676279.886306666</v>
      </c>
      <c r="J3" s="12">
        <f t="shared" ref="J3:J38" si="1">D3+H3</f>
        <v>1116060.0307841667</v>
      </c>
      <c r="K3" s="12">
        <f t="shared" ref="K3:K20" si="2">E3+I3</f>
        <v>23568373.181742221</v>
      </c>
      <c r="M3" s="27" t="s">
        <v>84</v>
      </c>
      <c r="N3" s="27">
        <f>Input!C2*1000-Input!C8*10/2</f>
        <v>397.5</v>
      </c>
      <c r="O3" s="27" t="s">
        <v>85</v>
      </c>
    </row>
    <row r="4" spans="1:15" x14ac:dyDescent="0.25">
      <c r="A4" s="14" t="s">
        <v>48</v>
      </c>
      <c r="B4" s="13">
        <f>SQRT((Input!C8*10/2)^2+N3^2)*Input!C9</f>
        <v>447.48305554512342</v>
      </c>
      <c r="C4" s="13">
        <f>N9</f>
        <v>0.21426956084537907</v>
      </c>
      <c r="D4" s="10">
        <f>(SQRT(N$2^2+N$3^2))^3*Input!C$9*(SIN(C4))^2/12</f>
        <v>279015.00769604166</v>
      </c>
      <c r="E4" s="10">
        <f>(SQRT(N$2^2+N$3^2))^3*Input!C$9*(COS(C4))^2/12</f>
        <v>5892093.2954355553</v>
      </c>
      <c r="F4" s="10">
        <f>-N3/2</f>
        <v>-198.75</v>
      </c>
      <c r="G4" s="10">
        <f>-N2/2</f>
        <v>-43.25</v>
      </c>
      <c r="H4" s="12">
        <f t="shared" si="0"/>
        <v>837045.02308812493</v>
      </c>
      <c r="I4" s="12">
        <f>$B4*F4^2</f>
        <v>17676279.886306666</v>
      </c>
      <c r="J4" s="12">
        <f t="shared" si="1"/>
        <v>1116060.0307841667</v>
      </c>
      <c r="K4" s="12">
        <f t="shared" si="2"/>
        <v>23568373.181742221</v>
      </c>
      <c r="M4" s="27" t="s">
        <v>83</v>
      </c>
      <c r="N4" s="27">
        <f>PI()*N2+2*(SQRT(N2^2+N3^2))</f>
        <v>1085.3533200721051</v>
      </c>
      <c r="O4" s="27" t="s">
        <v>85</v>
      </c>
    </row>
    <row r="5" spans="1:15" x14ac:dyDescent="0.25">
      <c r="A5" s="14" t="s">
        <v>96</v>
      </c>
      <c r="B5" s="13">
        <f>2*N2*Input!C10</f>
        <v>432.5</v>
      </c>
      <c r="C5" s="13">
        <v>0</v>
      </c>
      <c r="D5" s="10">
        <f>1/12*(2*N2)^3*Input!C10</f>
        <v>1078691.0416666665</v>
      </c>
      <c r="E5" s="10">
        <v>0</v>
      </c>
      <c r="F5" s="10">
        <v>0</v>
      </c>
      <c r="G5" s="10">
        <v>0</v>
      </c>
      <c r="H5" s="12">
        <f t="shared" ref="H5" si="3">$B5*G5^2</f>
        <v>0</v>
      </c>
      <c r="I5" s="12">
        <f>$B5*F5^2</f>
        <v>0</v>
      </c>
      <c r="J5" s="12">
        <f t="shared" ref="J5" si="4">D5+H5</f>
        <v>1078691.0416666665</v>
      </c>
      <c r="K5" s="12">
        <f t="shared" ref="K5" si="5">E5+I5</f>
        <v>0</v>
      </c>
      <c r="M5" s="28" t="s">
        <v>86</v>
      </c>
      <c r="N5" s="27">
        <f>(Input!C12*10+Input!C13*10)*Input!C11</f>
        <v>38.4</v>
      </c>
      <c r="O5" s="28" t="s">
        <v>87</v>
      </c>
    </row>
    <row r="6" spans="1:15" x14ac:dyDescent="0.25">
      <c r="A6" s="14" t="s">
        <v>49</v>
      </c>
      <c r="B6" s="13">
        <f>IF(L6&gt;Input!C$14,0,N$5)</f>
        <v>38.4</v>
      </c>
      <c r="C6" s="13">
        <f>IF(L6&lt;=N$7,PI()+N$9,IF(L6&lt;=2*N$7,N$9,IF(L6&lt;=Input!C$14,(PI()-N$10)/2+N$10/(N$8-1)*(L6-2*N$7-1),0)))</f>
        <v>3.355862214435172</v>
      </c>
      <c r="D6" s="10">
        <f>IF(B6=0,0,(Input!C$13*10)^3*Input!C$11*(SIN(C6))^2/12+(Input!C$13*10*Input!C$11)*(N$11*COS(C6))^2+(Input!C$12*10)^3*Input!C$11*(COS(C6))^2/12+(Input!C$12*10*Input!C$11)*((0.5*Input!C$12-N$11)*SIN(C6))^2)</f>
        <v>486.02623997740017</v>
      </c>
      <c r="E6" s="10">
        <f>IF(B6=0,0,(Input!C$13*10)^3*Input!C$11*(COS(C6))^2/12+(Input!C$13*10*Input!C$11)*(N$11*SIN(C6))^2+(Input!C$12*10)^3*Input!C$11*(SIN(C6))^2/12+(Input!C$12*10*Input!C$11)*((0.5*Input!C$12-N$11)*COS(C6))^2)</f>
        <v>667.92576002259966</v>
      </c>
      <c r="F6" s="10">
        <f>-N3+N6*COS(N9)/2-(N$11+Input!C9/2)*SIN(C6)</f>
        <v>-358.85566669576525</v>
      </c>
      <c r="G6" s="10">
        <f>N6*SIN(N9)/2+(N$11+Input!C9/2)*COS(C6)</f>
        <v>4.7123516883731931</v>
      </c>
      <c r="H6" s="12">
        <f t="shared" ref="H6:H38" si="6">$B6*G6^2</f>
        <v>852.72032390068534</v>
      </c>
      <c r="I6" s="12">
        <f t="shared" ref="I6:I20" si="7">$B6*F6^2</f>
        <v>4945051.7575550266</v>
      </c>
      <c r="J6" s="12">
        <f t="shared" si="1"/>
        <v>1338.7465638780855</v>
      </c>
      <c r="K6" s="12">
        <f t="shared" si="2"/>
        <v>4945719.6833150489</v>
      </c>
      <c r="L6" s="24">
        <v>1</v>
      </c>
      <c r="M6" s="28" t="s">
        <v>88</v>
      </c>
      <c r="N6" s="27">
        <f>N4/(Input!C14+1)</f>
        <v>77.525237148007506</v>
      </c>
      <c r="O6" s="28" t="s">
        <v>85</v>
      </c>
    </row>
    <row r="7" spans="1:15" x14ac:dyDescent="0.25">
      <c r="A7" s="14" t="s">
        <v>50</v>
      </c>
      <c r="B7" s="13">
        <f>IF(L7&gt;Input!C$14,0,N$5)</f>
        <v>38.4</v>
      </c>
      <c r="C7" s="13">
        <f>IF(L7&lt;=N$7,PI()+N$9,IF(L7&lt;=2*N$7,N$9,IF(L7&lt;=Input!C$14,(PI()-N$10)/2+N$10/(N$8-1)*(L7-2*N$7-1),0)))</f>
        <v>3.355862214435172</v>
      </c>
      <c r="D7" s="10">
        <f>IF(B7=0,0,(Input!C$13*10)^3*Input!C$11*(SIN(C7))^2/12+(Input!C$13*10*Input!C$11)*(N$11*COS(C7))^2+(Input!C$12*10)^3*Input!C$11*(COS(C7))^2/12+(Input!C$12*10*Input!C$11)*((0.5*Input!C$12-N$11)*SIN(C7))^2)</f>
        <v>486.02623997740017</v>
      </c>
      <c r="E7" s="10">
        <f>IF(B7=0,0,(Input!C$13*10)^3*Input!C$11*(COS(C7))^2/12+(Input!C$13*10*Input!C$11)*(N$11*SIN(C7))^2+(Input!C$12*10)^3*Input!C$11*(SIN(C7))^2/12+(Input!C$12*10*Input!C$11)*((0.5*Input!C$12-N$11)*COS(C7))^2)</f>
        <v>667.92576002259966</v>
      </c>
      <c r="F7" s="10">
        <f>IF(L7&lt;=N$7,F6+N$6*COS(N$9),IF(L7=N$7+1,F$6,IF(L7&lt;=2*N$7,F6+N$6*COS(N$9),IF(L7&lt;=(N$7*2+N$8),(N$2-N$11)*SIN(C7),0))))</f>
        <v>-283.10327892842986</v>
      </c>
      <c r="G7" s="10">
        <f>IF(L7&lt;=N$7,G6+N$6*SIN(N$9),IF(L7=N$7+1,-G$6,IF(L7&lt;=2*N$7,G6-(N$6*SIN(N$9)),IF(L7&lt;=(N$7*2+N$8),-(N$2-N$11)*COS(C7),0))))</f>
        <v>21.196833554724172</v>
      </c>
      <c r="H7" s="12">
        <f t="shared" si="6"/>
        <v>17253.340905472534</v>
      </c>
      <c r="I7" s="12">
        <f t="shared" si="7"/>
        <v>3077662.7151370887</v>
      </c>
      <c r="J7" s="12">
        <f t="shared" si="1"/>
        <v>17739.367145449934</v>
      </c>
      <c r="K7" s="12">
        <f t="shared" si="2"/>
        <v>3078330.6408971115</v>
      </c>
      <c r="L7" s="24">
        <v>2</v>
      </c>
      <c r="M7" s="28" t="s">
        <v>91</v>
      </c>
      <c r="N7" s="27">
        <f>ROUND(SQRT(N2^2+N3^2)/N6,0)</f>
        <v>5</v>
      </c>
      <c r="O7" s="28" t="s">
        <v>89</v>
      </c>
    </row>
    <row r="8" spans="1:15" x14ac:dyDescent="0.25">
      <c r="A8" s="14" t="s">
        <v>51</v>
      </c>
      <c r="B8" s="13">
        <f>IF(L8&gt;Input!C$14,0,N$5)</f>
        <v>38.4</v>
      </c>
      <c r="C8" s="13">
        <f>IF(L8&lt;=N$7,PI()+N$9,IF(L8&lt;=2*N$7,N$9,IF(L8&lt;=Input!C$14,(PI()-N$10)/2+N$10/(N$8-1)*(L8-2*N$7-1),0)))</f>
        <v>3.355862214435172</v>
      </c>
      <c r="D8" s="10">
        <f>IF(B8=0,0,(Input!C$13*10)^3*Input!C$11*(SIN(C8))^2/12+(Input!C$13*10*Input!C$11)*(N$11*COS(C8))^2+(Input!C$12*10)^3*Input!C$11*(COS(C8))^2/12+(Input!C$12*10*Input!C$11)*((0.5*Input!C$12-N$11)*SIN(C8))^2)</f>
        <v>486.02623997740017</v>
      </c>
      <c r="E8" s="10">
        <f>IF(B8=0,0,(Input!C$13*10)^3*Input!C$11*(COS(C8))^2/12+(Input!C$13*10*Input!C$11)*(N$11*SIN(C8))^2+(Input!C$12*10)^3*Input!C$11*(SIN(C8))^2/12+(Input!C$12*10*Input!C$11)*((0.5*Input!C$12-N$11)*COS(C8))^2)</f>
        <v>667.92576002259966</v>
      </c>
      <c r="F8" s="10">
        <f t="shared" ref="F8:F20" si="8">IF(L8&lt;=N$7,F7+N$6*COS(N$9),IF(L8=N$7+1,F$6,IF(L8&lt;=2*N$7,F7+N$6*COS(N$9),IF(L8&lt;=(N$7*2+N$8),(N$2-N$11)*SIN(C8),0))))</f>
        <v>-207.35089116109444</v>
      </c>
      <c r="G8" s="10">
        <f t="shared" ref="G8:G38" si="9">IF(L8&lt;=N$7,G7+N$6*SIN(N$9),IF(L8=N$7+1,-G$6,IF(L8&lt;=2*N$7,G7-(N$6*SIN(N$9)),IF(L8&lt;=(N$7*2+N$8),-(N$2-N$11)*COS(C8),0))))</f>
        <v>37.681315421075155</v>
      </c>
      <c r="H8" s="12">
        <f t="shared" si="6"/>
        <v>54523.450823522166</v>
      </c>
      <c r="I8" s="12">
        <f t="shared" si="7"/>
        <v>1650984.6553075211</v>
      </c>
      <c r="J8" s="12">
        <f t="shared" si="1"/>
        <v>55009.477063499566</v>
      </c>
      <c r="K8" s="12">
        <f t="shared" si="2"/>
        <v>1651652.5810675437</v>
      </c>
      <c r="L8" s="24">
        <v>3</v>
      </c>
      <c r="M8" s="28" t="s">
        <v>90</v>
      </c>
      <c r="N8" s="27">
        <f>Input!C14-2*'Cross-sectional properties'!N7</f>
        <v>3</v>
      </c>
      <c r="O8" s="28" t="s">
        <v>89</v>
      </c>
    </row>
    <row r="9" spans="1:15" x14ac:dyDescent="0.25">
      <c r="A9" s="14" t="s">
        <v>52</v>
      </c>
      <c r="B9" s="13">
        <f>IF(L9&gt;Input!C$14,0,N$5)</f>
        <v>38.4</v>
      </c>
      <c r="C9" s="13">
        <f>IF(L9&lt;=N$7,PI()+N$9,IF(L9&lt;=2*N$7,N$9,IF(L9&lt;=Input!C$14,(PI()-N$10)/2+N$10/(N$8-1)*(L9-2*N$7-1),0)))</f>
        <v>3.355862214435172</v>
      </c>
      <c r="D9" s="10">
        <f>IF(B9=0,0,(Input!C$13*10)^3*Input!C$11*(SIN(C9))^2/12+(Input!C$13*10*Input!C$11)*(N$11*COS(C9))^2+(Input!C$12*10)^3*Input!C$11*(COS(C9))^2/12+(Input!C$12*10*Input!C$11)*((0.5*Input!C$12-N$11)*SIN(C9))^2)</f>
        <v>486.02623997740017</v>
      </c>
      <c r="E9" s="10">
        <f>IF(B9=0,0,(Input!C$13*10)^3*Input!C$11*(COS(C9))^2/12+(Input!C$13*10*Input!C$11)*(N$11*SIN(C9))^2+(Input!C$12*10)^3*Input!C$11*(SIN(C9))^2/12+(Input!C$12*10*Input!C$11)*((0.5*Input!C$12-N$11)*COS(C9))^2)</f>
        <v>667.92576002259966</v>
      </c>
      <c r="F9" s="10">
        <f t="shared" si="8"/>
        <v>-131.59850339375902</v>
      </c>
      <c r="G9" s="10">
        <f t="shared" si="9"/>
        <v>54.16579728742613</v>
      </c>
      <c r="H9" s="12">
        <f t="shared" si="6"/>
        <v>112663.05007804953</v>
      </c>
      <c r="I9" s="12">
        <f t="shared" si="7"/>
        <v>665017.5780663247</v>
      </c>
      <c r="J9" s="12">
        <f t="shared" si="1"/>
        <v>113149.07631802694</v>
      </c>
      <c r="K9" s="12">
        <f t="shared" si="2"/>
        <v>665685.5038263473</v>
      </c>
      <c r="L9" s="24">
        <v>4</v>
      </c>
      <c r="M9" s="27" t="s">
        <v>92</v>
      </c>
      <c r="N9" s="27">
        <f>ATAN(N2/N3)</f>
        <v>0.21426956084537907</v>
      </c>
      <c r="O9" s="27" t="s">
        <v>93</v>
      </c>
    </row>
    <row r="10" spans="1:15" x14ac:dyDescent="0.25">
      <c r="A10" s="14" t="s">
        <v>53</v>
      </c>
      <c r="B10" s="13">
        <f>IF(L10&gt;Input!C$14,0,N$5)</f>
        <v>38.4</v>
      </c>
      <c r="C10" s="13">
        <f>IF(L10&lt;=N$7,PI()+N$9,IF(L10&lt;=2*N$7,N$9,IF(L10&lt;=Input!C$14,(PI()-N$10)/2+N$10/(N$8-1)*(L10-2*N$7-1),0)))</f>
        <v>3.355862214435172</v>
      </c>
      <c r="D10" s="10">
        <f>IF(B10=0,0,(Input!C$13*10)^3*Input!C$11*(SIN(C10))^2/12+(Input!C$13*10*Input!C$11)*(N$11*COS(C10))^2+(Input!C$12*10)^3*Input!C$11*(COS(C10))^2/12+(Input!C$12*10*Input!C$11)*((0.5*Input!C$12-N$11)*SIN(C10))^2)</f>
        <v>486.02623997740017</v>
      </c>
      <c r="E10" s="10">
        <f>IF(B10=0,0,(Input!C$13*10)^3*Input!C$11*(COS(C10))^2/12+(Input!C$13*10*Input!C$11)*(N$11*SIN(C10))^2+(Input!C$12*10)^3*Input!C$11*(SIN(C10))^2/12+(Input!C$12*10*Input!C$11)*((0.5*Input!C$12-N$11)*COS(C10))^2)</f>
        <v>667.92576002259966</v>
      </c>
      <c r="F10" s="10">
        <f t="shared" si="8"/>
        <v>-55.846115626423597</v>
      </c>
      <c r="G10" s="10">
        <f t="shared" si="9"/>
        <v>70.650279153777106</v>
      </c>
      <c r="H10" s="12">
        <f t="shared" si="6"/>
        <v>191672.13866905466</v>
      </c>
      <c r="I10" s="12">
        <f t="shared" si="7"/>
        <v>119761.48341349915</v>
      </c>
      <c r="J10" s="12">
        <f t="shared" si="1"/>
        <v>192158.16490903206</v>
      </c>
      <c r="K10" s="12">
        <f t="shared" si="2"/>
        <v>120429.40917352175</v>
      </c>
      <c r="L10" s="24">
        <v>5</v>
      </c>
      <c r="M10" s="38" t="s">
        <v>95</v>
      </c>
      <c r="N10" s="32">
        <f>(PI()*N2+(SQRT(N2^2+N3^2)-(N7+0.5)*N6)*2)/N2</f>
        <v>2.6887365484858092</v>
      </c>
      <c r="O10" s="32" t="s">
        <v>93</v>
      </c>
    </row>
    <row r="11" spans="1:15" s="39" customFormat="1" x14ac:dyDescent="0.25">
      <c r="A11" s="33" t="s">
        <v>54</v>
      </c>
      <c r="B11" s="34">
        <f>IF(L11&gt;Input!C$14,0,N$5)</f>
        <v>38.4</v>
      </c>
      <c r="C11" s="13">
        <f>IF(L11&lt;=N$7,PI()+N$9,IF(L11&lt;=2*N$7,N$9,IF(L11&lt;=Input!C$14,(PI()-N$10)/2+N$10/(N$8-1)*(L11-2*N$7-1),0)))</f>
        <v>0.21426956084537907</v>
      </c>
      <c r="D11" s="10">
        <f>IF(B11=0,0,(Input!C$13*10)^3*Input!C$11*(SIN(C11))^2/12+(Input!C$13*10*Input!C$11)*(N$11*COS(C11))^2+(Input!C$12*10)^3*Input!C$11*(COS(C11))^2/12+(Input!C$12*10*Input!C$11)*((0.5*Input!C$12-N$11)*SIN(C11))^2)</f>
        <v>486.02623997740028</v>
      </c>
      <c r="E11" s="10">
        <f>IF(B11=0,0,(Input!C$13*10)^3*Input!C$11*(COS(C11))^2/12+(Input!C$13*10*Input!C$11)*(N$11*SIN(C11))^2+(Input!C$12*10)^3*Input!C$11*(SIN(C11))^2/12+(Input!C$12*10*Input!C$11)*((0.5*Input!C$12-N$11)*COS(C11))^2)</f>
        <v>667.92576002259989</v>
      </c>
      <c r="F11" s="10">
        <f t="shared" si="8"/>
        <v>-358.85566669576525</v>
      </c>
      <c r="G11" s="10">
        <f t="shared" si="9"/>
        <v>-4.7123516883731931</v>
      </c>
      <c r="H11" s="36">
        <f t="shared" si="6"/>
        <v>852.72032390068534</v>
      </c>
      <c r="I11" s="36">
        <f t="shared" si="7"/>
        <v>4945051.7575550266</v>
      </c>
      <c r="J11" s="36">
        <f t="shared" si="1"/>
        <v>1338.7465638780857</v>
      </c>
      <c r="K11" s="36">
        <f t="shared" si="2"/>
        <v>4945719.6833150489</v>
      </c>
      <c r="L11" s="37">
        <v>6</v>
      </c>
      <c r="M11" s="35" t="s">
        <v>97</v>
      </c>
      <c r="N11" s="35">
        <f>0.5*(Input!C12*10)^2/(Input!C12*10+Input!C13*10)</f>
        <v>3.0625</v>
      </c>
      <c r="O11" s="35" t="s">
        <v>85</v>
      </c>
    </row>
    <row r="12" spans="1:15" x14ac:dyDescent="0.25">
      <c r="A12" s="14" t="s">
        <v>55</v>
      </c>
      <c r="B12" s="13">
        <f>IF(L12&gt;Input!C$14,0,N$5)</f>
        <v>38.4</v>
      </c>
      <c r="C12" s="13">
        <f>IF(L12&lt;=N$7,PI()+N$9,IF(L12&lt;=2*N$7,N$9,IF(L12&lt;=Input!C$14,(PI()-N$10)/2+N$10/(N$8-1)*(L12-2*N$7-1),0)))</f>
        <v>0.21426956084537907</v>
      </c>
      <c r="D12" s="10">
        <f>IF(B12=0,0,(Input!C$13*10)^3*Input!C$11*(SIN(C12))^2/12+(Input!C$13*10*Input!C$11)*(N$11*COS(C12))^2+(Input!C$12*10)^3*Input!C$11*(COS(C12))^2/12+(Input!C$12*10*Input!C$11)*((0.5*Input!C$12-N$11)*SIN(C12))^2)</f>
        <v>486.02623997740028</v>
      </c>
      <c r="E12" s="10">
        <f>IF(B12=0,0,(Input!C$13*10)^3*Input!C$11*(COS(C12))^2/12+(Input!C$13*10*Input!C$11)*(N$11*SIN(C12))^2+(Input!C$12*10)^3*Input!C$11*(SIN(C12))^2/12+(Input!C$12*10*Input!C$11)*((0.5*Input!C$12-N$11)*COS(C12))^2)</f>
        <v>667.92576002259989</v>
      </c>
      <c r="F12" s="10">
        <f t="shared" si="8"/>
        <v>-283.10327892842986</v>
      </c>
      <c r="G12" s="10">
        <f t="shared" si="9"/>
        <v>-21.196833554724172</v>
      </c>
      <c r="H12" s="12">
        <f t="shared" si="6"/>
        <v>17253.340905472534</v>
      </c>
      <c r="I12" s="12">
        <f t="shared" si="7"/>
        <v>3077662.7151370887</v>
      </c>
      <c r="J12" s="12">
        <f t="shared" si="1"/>
        <v>17739.367145449934</v>
      </c>
      <c r="K12" s="12">
        <f t="shared" si="2"/>
        <v>3078330.6408971115</v>
      </c>
      <c r="L12" s="24">
        <v>7</v>
      </c>
    </row>
    <row r="13" spans="1:15" x14ac:dyDescent="0.25">
      <c r="A13" s="14" t="s">
        <v>56</v>
      </c>
      <c r="B13" s="13">
        <f>IF(L13&gt;Input!C$14,0,N$5)</f>
        <v>38.4</v>
      </c>
      <c r="C13" s="13">
        <f>IF(L13&lt;=N$7,PI()+N$9,IF(L13&lt;=2*N$7,N$9,IF(L13&lt;=Input!C$14,(PI()-N$10)/2+N$10/(N$8-1)*(L13-2*N$7-1),0)))</f>
        <v>0.21426956084537907</v>
      </c>
      <c r="D13" s="10">
        <f>IF(B13=0,0,(Input!C$13*10)^3*Input!C$11*(SIN(C13))^2/12+(Input!C$13*10*Input!C$11)*(N$11*COS(C13))^2+(Input!C$12*10)^3*Input!C$11*(COS(C13))^2/12+(Input!C$12*10*Input!C$11)*((0.5*Input!C$12-N$11)*SIN(C13))^2)</f>
        <v>486.02623997740028</v>
      </c>
      <c r="E13" s="10">
        <f>IF(B13=0,0,(Input!C$13*10)^3*Input!C$11*(COS(C13))^2/12+(Input!C$13*10*Input!C$11)*(N$11*SIN(C13))^2+(Input!C$12*10)^3*Input!C$11*(SIN(C13))^2/12+(Input!C$12*10*Input!C$11)*((0.5*Input!C$12-N$11)*COS(C13))^2)</f>
        <v>667.92576002259989</v>
      </c>
      <c r="F13" s="10">
        <f t="shared" si="8"/>
        <v>-207.35089116109444</v>
      </c>
      <c r="G13" s="10">
        <f t="shared" si="9"/>
        <v>-37.681315421075155</v>
      </c>
      <c r="H13" s="12">
        <f t="shared" si="6"/>
        <v>54523.450823522166</v>
      </c>
      <c r="I13" s="12">
        <f t="shared" si="7"/>
        <v>1650984.6553075211</v>
      </c>
      <c r="J13" s="12">
        <f t="shared" si="1"/>
        <v>55009.477063499566</v>
      </c>
      <c r="K13" s="12">
        <f t="shared" si="2"/>
        <v>1651652.5810675437</v>
      </c>
      <c r="L13" s="24">
        <v>8</v>
      </c>
    </row>
    <row r="14" spans="1:15" x14ac:dyDescent="0.25">
      <c r="A14" s="14" t="s">
        <v>57</v>
      </c>
      <c r="B14" s="13">
        <f>IF(L14&gt;Input!C$14,0,N$5)</f>
        <v>38.4</v>
      </c>
      <c r="C14" s="13">
        <f>IF(L14&lt;=N$7,PI()+N$9,IF(L14&lt;=2*N$7,N$9,IF(L14&lt;=Input!C$14,(PI()-N$10)/2+N$10/(N$8-1)*(L14-2*N$7-1),0)))</f>
        <v>0.21426956084537907</v>
      </c>
      <c r="D14" s="10">
        <f>IF(B14=0,0,(Input!C$13*10)^3*Input!C$11*(SIN(C14))^2/12+(Input!C$13*10*Input!C$11)*(N$11*COS(C14))^2+(Input!C$12*10)^3*Input!C$11*(COS(C14))^2/12+(Input!C$12*10*Input!C$11)*((0.5*Input!C$12-N$11)*SIN(C14))^2)</f>
        <v>486.02623997740028</v>
      </c>
      <c r="E14" s="10">
        <f>IF(B14=0,0,(Input!C$13*10)^3*Input!C$11*(COS(C14))^2/12+(Input!C$13*10*Input!C$11)*(N$11*SIN(C14))^2+(Input!C$12*10)^3*Input!C$11*(SIN(C14))^2/12+(Input!C$12*10*Input!C$11)*((0.5*Input!C$12-N$11)*COS(C14))^2)</f>
        <v>667.92576002259989</v>
      </c>
      <c r="F14" s="10">
        <f t="shared" si="8"/>
        <v>-131.59850339375902</v>
      </c>
      <c r="G14" s="10">
        <f t="shared" si="9"/>
        <v>-54.16579728742613</v>
      </c>
      <c r="H14" s="12">
        <f t="shared" si="6"/>
        <v>112663.05007804953</v>
      </c>
      <c r="I14" s="12">
        <f t="shared" si="7"/>
        <v>665017.5780663247</v>
      </c>
      <c r="J14" s="12">
        <f t="shared" si="1"/>
        <v>113149.07631802694</v>
      </c>
      <c r="K14" s="12">
        <f t="shared" si="2"/>
        <v>665685.5038263473</v>
      </c>
      <c r="L14" s="24">
        <v>9</v>
      </c>
    </row>
    <row r="15" spans="1:15" x14ac:dyDescent="0.25">
      <c r="A15" s="14" t="s">
        <v>58</v>
      </c>
      <c r="B15" s="13">
        <f>IF(L15&gt;Input!C$14,0,N$5)</f>
        <v>38.4</v>
      </c>
      <c r="C15" s="13">
        <f>IF(L15&lt;=N$7,PI()+N$9,IF(L15&lt;=2*N$7,N$9,IF(L15&lt;=Input!C$14,(PI()-N$10)/2+N$10/(N$8-1)*(L15-2*N$7-1),0)))</f>
        <v>0.21426956084537907</v>
      </c>
      <c r="D15" s="10">
        <f>IF(B15=0,0,(Input!C$13*10)^3*Input!C$11*(SIN(C15))^2/12+(Input!C$13*10*Input!C$11)*(N$11*COS(C15))^2+(Input!C$12*10)^3*Input!C$11*(COS(C15))^2/12+(Input!C$12*10*Input!C$11)*((0.5*Input!C$12-N$11)*SIN(C15))^2)</f>
        <v>486.02623997740028</v>
      </c>
      <c r="E15" s="10">
        <f>IF(B15=0,0,(Input!C$13*10)^3*Input!C$11*(COS(C15))^2/12+(Input!C$13*10*Input!C$11)*(N$11*SIN(C15))^2+(Input!C$12*10)^3*Input!C$11*(SIN(C15))^2/12+(Input!C$12*10*Input!C$11)*((0.5*Input!C$12-N$11)*COS(C15))^2)</f>
        <v>667.92576002259989</v>
      </c>
      <c r="F15" s="10">
        <f t="shared" si="8"/>
        <v>-55.846115626423597</v>
      </c>
      <c r="G15" s="10">
        <f t="shared" si="9"/>
        <v>-70.650279153777106</v>
      </c>
      <c r="H15" s="12">
        <f t="shared" si="6"/>
        <v>191672.13866905466</v>
      </c>
      <c r="I15" s="12">
        <f t="shared" si="7"/>
        <v>119761.48341349915</v>
      </c>
      <c r="J15" s="12">
        <f t="shared" si="1"/>
        <v>192158.16490903206</v>
      </c>
      <c r="K15" s="12">
        <f t="shared" si="2"/>
        <v>120429.40917352175</v>
      </c>
      <c r="L15" s="24">
        <v>10</v>
      </c>
    </row>
    <row r="16" spans="1:15" x14ac:dyDescent="0.25">
      <c r="A16" s="14" t="s">
        <v>59</v>
      </c>
      <c r="B16" s="13">
        <f>IF(L16&gt;Input!C$14,0,N$5)</f>
        <v>38.4</v>
      </c>
      <c r="C16" s="13">
        <f>IF(L16&lt;=N$7,PI()+N$9,IF(L16&lt;=2*N$7,N$9,IF(L16&lt;=Input!C$14,(PI()-N$10)/2+N$10/(N$8-1)*(L16-2*N$7-1),0)))</f>
        <v>0.22642805255199194</v>
      </c>
      <c r="D16" s="10">
        <f>IF(B16=0,0,(Input!C$13*10)^3*Input!C$11*(SIN(C16))^2/12+(Input!C$13*10*Input!C$11)*(N$11*COS(C16))^2+(Input!C$12*10)^3*Input!C$11*(COS(C16))^2/12+(Input!C$12*10*Input!C$11)*((0.5*Input!C$12-N$11)*SIN(C16))^2)</f>
        <v>487.06341839569654</v>
      </c>
      <c r="E16" s="10">
        <f>IF(B16=0,0,(Input!C$13*10)^3*Input!C$11*(COS(C16))^2/12+(Input!C$13*10*Input!C$11)*(N$11*SIN(C16))^2+(Input!C$12*10)^3*Input!C$11*(SIN(C16))^2/12+(Input!C$12*10*Input!C$11)*((0.5*Input!C$12-N$11)*COS(C16))^2)</f>
        <v>666.88858160430334</v>
      </c>
      <c r="F16" s="10">
        <f t="shared" si="8"/>
        <v>18.731567842993453</v>
      </c>
      <c r="G16" s="10">
        <f t="shared" si="9"/>
        <v>-81.307716561180925</v>
      </c>
      <c r="H16" s="12">
        <f t="shared" si="6"/>
        <v>253860.27925990403</v>
      </c>
      <c r="I16" s="12">
        <f t="shared" si="7"/>
        <v>13473.470740095989</v>
      </c>
      <c r="J16" s="12">
        <f t="shared" si="1"/>
        <v>254347.34267829973</v>
      </c>
      <c r="K16" s="12">
        <f t="shared" si="2"/>
        <v>14140.359321700293</v>
      </c>
      <c r="L16" s="24">
        <v>11</v>
      </c>
    </row>
    <row r="17" spans="1:15" x14ac:dyDescent="0.25">
      <c r="A17" s="14" t="s">
        <v>60</v>
      </c>
      <c r="B17" s="13">
        <f>IF(L17&gt;Input!C$14,0,N$5)</f>
        <v>38.4</v>
      </c>
      <c r="C17" s="13">
        <f>IF(L17&lt;=N$7,PI()+N$9,IF(L17&lt;=2*N$7,N$9,IF(L17&lt;=Input!C$14,(PI()-N$10)/2+N$10/(N$8-1)*(L17-2*N$7-1),0)))</f>
        <v>1.5707963267948966</v>
      </c>
      <c r="D17" s="10">
        <f>IF(B17=0,0,(Input!C$13*10)^3*Input!C$11*(SIN(C17))^2/12+(Input!C$13*10*Input!C$11)*(N$11*COS(C17))^2+(Input!C$12*10)^3*Input!C$11*(COS(C17))^2/12+(Input!C$12*10*Input!C$11)*((0.5*Input!C$12-N$11)*SIN(C17))^2)</f>
        <v>676.96762499999988</v>
      </c>
      <c r="E17" s="10">
        <f>IF(B17=0,0,(Input!C$13*10)^3*Input!C$11*(COS(C17))^2/12+(Input!C$13*10*Input!C$11)*(N$11*SIN(C17))^2+(Input!C$12*10)^3*Input!C$11*(SIN(C17))^2/12+(Input!C$12*10*Input!C$11)*((0.5*Input!C$12-N$11)*COS(C17))^2)</f>
        <v>476.98437499999994</v>
      </c>
      <c r="F17" s="10">
        <f t="shared" si="8"/>
        <v>83.4375</v>
      </c>
      <c r="G17" s="10">
        <f t="shared" si="9"/>
        <v>-5.1111662103218991E-15</v>
      </c>
      <c r="H17" s="12">
        <f t="shared" si="6"/>
        <v>1.0031623691341948E-27</v>
      </c>
      <c r="I17" s="12">
        <f t="shared" si="7"/>
        <v>267333.75</v>
      </c>
      <c r="J17" s="12">
        <f t="shared" si="1"/>
        <v>676.96762499999988</v>
      </c>
      <c r="K17" s="12">
        <f t="shared" si="2"/>
        <v>267810.734375</v>
      </c>
      <c r="L17" s="24">
        <v>12</v>
      </c>
      <c r="O17"/>
    </row>
    <row r="18" spans="1:15" x14ac:dyDescent="0.25">
      <c r="A18" s="14" t="s">
        <v>61</v>
      </c>
      <c r="B18" s="13">
        <f>IF(L18&gt;Input!C$14,0,N$5)</f>
        <v>38.4</v>
      </c>
      <c r="C18" s="13">
        <f>IF(L18&lt;=N$7,PI()+N$9,IF(L18&lt;=2*N$7,N$9,IF(L18&lt;=Input!C$14,(PI()-N$10)/2+N$10/(N$8-1)*(L18-2*N$7-1),0)))</f>
        <v>2.9151646010378012</v>
      </c>
      <c r="D18" s="10">
        <f>IF(B18=0,0,(Input!C$13*10)^3*Input!C$11*(SIN(C18))^2/12+(Input!C$13*10*Input!C$11)*(N$11*COS(C18))^2+(Input!C$12*10)^3*Input!C$11*(COS(C18))^2/12+(Input!C$12*10*Input!C$11)*((0.5*Input!C$12-N$11)*SIN(C18))^2)</f>
        <v>487.0634183956966</v>
      </c>
      <c r="E18" s="10">
        <f>IF(B18=0,0,(Input!C$13*10)^3*Input!C$11*(COS(C18))^2/12+(Input!C$13*10*Input!C$11)*(N$11*SIN(C18))^2+(Input!C$12*10)^3*Input!C$11*(SIN(C18))^2/12+(Input!C$12*10*Input!C$11)*((0.5*Input!C$12-N$11)*COS(C18))^2)</f>
        <v>666.88858160430345</v>
      </c>
      <c r="F18" s="10">
        <f t="shared" si="8"/>
        <v>18.731567842993467</v>
      </c>
      <c r="G18" s="10">
        <f t="shared" si="9"/>
        <v>81.307716561180925</v>
      </c>
      <c r="H18" s="12">
        <f t="shared" si="6"/>
        <v>253860.27925990403</v>
      </c>
      <c r="I18" s="12">
        <f t="shared" si="7"/>
        <v>13473.470740096009</v>
      </c>
      <c r="J18" s="12">
        <f>D18+H18</f>
        <v>254347.34267829973</v>
      </c>
      <c r="K18" s="12">
        <f t="shared" si="2"/>
        <v>14140.359321700313</v>
      </c>
      <c r="L18" s="24">
        <v>13</v>
      </c>
      <c r="O18"/>
    </row>
    <row r="19" spans="1:15" x14ac:dyDescent="0.25">
      <c r="A19" s="14" t="s">
        <v>62</v>
      </c>
      <c r="B19" s="13">
        <f>IF(L19&gt;Input!C$14,0,N$5)</f>
        <v>0</v>
      </c>
      <c r="C19" s="13">
        <f>IF(L19&lt;=N$7,PI()+N$9,IF(L19&lt;=2*N$7,N$9,IF(L19&lt;=Input!C$14,(PI()-N$10)/2+N$10/(N$8-1)*(L19-2*N$7-1),0)))</f>
        <v>0</v>
      </c>
      <c r="D19" s="10">
        <f>IF(B19=0,0,(Input!C$13*10)^3*Input!C$11*(SIN(C19))^2/12+(Input!C$13*10*Input!C$11)*(N$11*COS(C19))^2+(Input!C$12*10)^3*Input!C$11*(COS(C19))^2/12+(Input!C$12*10*Input!C$11)*((0.5*Input!C$12-N$11)*SIN(C19))^2)</f>
        <v>0</v>
      </c>
      <c r="E19" s="10">
        <f>IF(B19=0,0,(Input!C$13*10)^3*Input!C$11*(COS(C19))^2/12+(Input!C$13*10*Input!C$11)*(N$11*SIN(C19))^2+(Input!C$12*10)^3*Input!C$11*(SIN(C19))^2/12+(Input!C$12*10*Input!C$11)*((0.5*Input!C$12-N$11)*COS(C19))^2)</f>
        <v>0</v>
      </c>
      <c r="F19" s="10">
        <f t="shared" si="8"/>
        <v>0</v>
      </c>
      <c r="G19" s="10">
        <f t="shared" si="9"/>
        <v>0</v>
      </c>
      <c r="H19" s="12">
        <f t="shared" si="6"/>
        <v>0</v>
      </c>
      <c r="I19" s="12">
        <f t="shared" si="7"/>
        <v>0</v>
      </c>
      <c r="J19" s="12">
        <f t="shared" si="1"/>
        <v>0</v>
      </c>
      <c r="K19" s="12">
        <f t="shared" si="2"/>
        <v>0</v>
      </c>
      <c r="L19" s="24">
        <v>14</v>
      </c>
    </row>
    <row r="20" spans="1:15" x14ac:dyDescent="0.25">
      <c r="A20" s="14" t="s">
        <v>63</v>
      </c>
      <c r="B20" s="13">
        <f>IF(L20&gt;Input!C$14,0,N$5)</f>
        <v>0</v>
      </c>
      <c r="C20" s="13">
        <f>IF(L20&lt;=N$7,PI()+N$9,IF(L20&lt;=2*N$7,N$9,IF(L20&lt;=Input!C$14,(PI()-N$10)/2+N$10/(N$8-1)*(L20-2*N$7-1),0)))</f>
        <v>0</v>
      </c>
      <c r="D20" s="10">
        <f>IF(B20=0,0,(Input!C$13*10)^3*Input!C$11*(SIN(C20))^2/12+(Input!C$13*10*Input!C$11)*(N$11*COS(C20))^2+(Input!C$12*10)^3*Input!C$11*(COS(C20))^2/12+(Input!C$12*10*Input!C$11)*((0.5*Input!C$12-N$11)*SIN(C20))^2)</f>
        <v>0</v>
      </c>
      <c r="E20" s="10">
        <f>IF(B20=0,0,(Input!C$13*10)^3*Input!C$11*(COS(C20))^2/12+(Input!C$13*10*Input!C$11)*(N$11*SIN(C20))^2+(Input!C$12*10)^3*Input!C$11*(SIN(C20))^2/12+(Input!C$12*10*Input!C$11)*((0.5*Input!C$12-N$11)*COS(C20))^2)</f>
        <v>0</v>
      </c>
      <c r="F20" s="10">
        <f t="shared" si="8"/>
        <v>0</v>
      </c>
      <c r="G20" s="10">
        <f t="shared" si="9"/>
        <v>0</v>
      </c>
      <c r="H20" s="12">
        <f t="shared" si="6"/>
        <v>0</v>
      </c>
      <c r="I20" s="12">
        <f t="shared" si="7"/>
        <v>0</v>
      </c>
      <c r="J20" s="12">
        <f t="shared" si="1"/>
        <v>0</v>
      </c>
      <c r="K20" s="12">
        <f t="shared" si="2"/>
        <v>0</v>
      </c>
      <c r="L20" s="24">
        <v>15</v>
      </c>
    </row>
    <row r="21" spans="1:15" x14ac:dyDescent="0.25">
      <c r="A21" s="14"/>
      <c r="B21" s="13"/>
      <c r="C21" s="13"/>
      <c r="D21" s="10"/>
      <c r="E21" s="10"/>
      <c r="F21" s="10">
        <f>F2+107.56</f>
        <v>107.56</v>
      </c>
      <c r="G21" s="10"/>
      <c r="H21" s="12"/>
      <c r="I21" s="12">
        <f>B2*(F21+(Input!C8*10)/2)^2</f>
        <v>11257208.745539967</v>
      </c>
      <c r="J21" s="12"/>
      <c r="K21" s="12">
        <f>I21+E2</f>
        <v>12375515.336697698</v>
      </c>
    </row>
    <row r="22" spans="1:15" x14ac:dyDescent="0.25">
      <c r="A22" s="14"/>
      <c r="B22" s="13"/>
      <c r="C22" s="13"/>
      <c r="D22" s="10"/>
      <c r="E22" s="10"/>
      <c r="F22" s="10">
        <f t="shared" ref="F22:F26" si="10">F3+107.56</f>
        <v>-91.19</v>
      </c>
      <c r="G22" s="10"/>
      <c r="H22" s="12">
        <f t="shared" si="6"/>
        <v>0</v>
      </c>
      <c r="I22" s="12">
        <f t="shared" ref="I22:I38" si="11">B3*F22^2</f>
        <v>3721097.3011682224</v>
      </c>
      <c r="J22" s="12"/>
      <c r="K22" s="12">
        <f t="shared" ref="K22:K38" si="12">I22+E3</f>
        <v>9613190.5966037773</v>
      </c>
    </row>
    <row r="23" spans="1:15" x14ac:dyDescent="0.25">
      <c r="A23" s="14"/>
      <c r="B23" s="13"/>
      <c r="C23" s="13"/>
      <c r="D23" s="10"/>
      <c r="E23" s="10"/>
      <c r="F23" s="10">
        <f t="shared" si="10"/>
        <v>-91.19</v>
      </c>
      <c r="G23" s="10"/>
      <c r="H23" s="12">
        <f t="shared" si="6"/>
        <v>0</v>
      </c>
      <c r="I23" s="12">
        <f t="shared" si="11"/>
        <v>3721097.3011682224</v>
      </c>
      <c r="J23" s="12"/>
      <c r="K23" s="12">
        <f t="shared" si="12"/>
        <v>9613190.5966037773</v>
      </c>
    </row>
    <row r="24" spans="1:15" x14ac:dyDescent="0.25">
      <c r="A24" s="14"/>
      <c r="B24" s="13"/>
      <c r="C24" s="13"/>
      <c r="D24" s="10"/>
      <c r="E24" s="10"/>
      <c r="F24" s="10">
        <f t="shared" si="10"/>
        <v>107.56</v>
      </c>
      <c r="G24" s="10"/>
      <c r="H24" s="12">
        <f t="shared" si="6"/>
        <v>0</v>
      </c>
      <c r="I24" s="12">
        <f t="shared" si="11"/>
        <v>5003658.932</v>
      </c>
      <c r="J24" s="12"/>
      <c r="K24" s="12">
        <f t="shared" si="12"/>
        <v>5003658.932</v>
      </c>
    </row>
    <row r="25" spans="1:15" x14ac:dyDescent="0.25">
      <c r="A25" s="14"/>
      <c r="B25" s="13"/>
      <c r="C25" s="13"/>
      <c r="D25" s="10"/>
      <c r="E25" s="10"/>
      <c r="F25" s="10">
        <f t="shared" si="10"/>
        <v>-251.29566669576525</v>
      </c>
      <c r="G25" s="10"/>
      <c r="H25" s="12">
        <f t="shared" si="6"/>
        <v>0</v>
      </c>
      <c r="I25" s="12">
        <f t="shared" si="11"/>
        <v>2424941.2646426549</v>
      </c>
      <c r="J25" s="12"/>
      <c r="K25" s="12">
        <f t="shared" si="12"/>
        <v>2425609.1904026777</v>
      </c>
    </row>
    <row r="26" spans="1:15" x14ac:dyDescent="0.25">
      <c r="A26" s="14"/>
      <c r="B26" s="13"/>
      <c r="C26" s="13"/>
      <c r="D26" s="10"/>
      <c r="E26" s="10"/>
      <c r="F26" s="10">
        <f t="shared" si="10"/>
        <v>-175.54327892842986</v>
      </c>
      <c r="G26" s="10"/>
      <c r="H26" s="12">
        <f t="shared" si="6"/>
        <v>0</v>
      </c>
      <c r="I26" s="12">
        <f t="shared" si="11"/>
        <v>1183313.0026346697</v>
      </c>
      <c r="J26" s="12"/>
      <c r="K26" s="12">
        <f t="shared" si="12"/>
        <v>1183980.9283946923</v>
      </c>
    </row>
    <row r="27" spans="1:15" x14ac:dyDescent="0.25">
      <c r="A27" s="14"/>
      <c r="B27" s="13"/>
      <c r="C27" s="13"/>
      <c r="D27" s="10"/>
      <c r="E27" s="10"/>
      <c r="F27" s="10">
        <f t="shared" ref="F27:F32" si="13">F8+107.56</f>
        <v>-99.790891161094436</v>
      </c>
      <c r="G27" s="10"/>
      <c r="H27" s="12">
        <f t="shared" si="6"/>
        <v>0</v>
      </c>
      <c r="I27" s="12">
        <f t="shared" si="11"/>
        <v>382395.72321505513</v>
      </c>
      <c r="J27" s="12"/>
      <c r="K27" s="12">
        <f t="shared" si="12"/>
        <v>383063.64897507773</v>
      </c>
    </row>
    <row r="28" spans="1:15" x14ac:dyDescent="0.25">
      <c r="A28" s="14"/>
      <c r="B28" s="13"/>
      <c r="C28" s="13"/>
      <c r="D28" s="10"/>
      <c r="E28" s="10"/>
      <c r="F28" s="10">
        <f t="shared" si="13"/>
        <v>-24.038503393759015</v>
      </c>
      <c r="G28" s="10"/>
      <c r="H28" s="12">
        <f t="shared" si="6"/>
        <v>0</v>
      </c>
      <c r="I28" s="12">
        <f t="shared" si="11"/>
        <v>22189.426383811726</v>
      </c>
      <c r="J28" s="12"/>
      <c r="K28" s="12">
        <f t="shared" si="12"/>
        <v>22857.352143834327</v>
      </c>
    </row>
    <row r="29" spans="1:15" x14ac:dyDescent="0.25">
      <c r="A29" s="14"/>
      <c r="B29" s="13"/>
      <c r="C29" s="13"/>
      <c r="D29" s="10"/>
      <c r="E29" s="10"/>
      <c r="F29" s="10">
        <f t="shared" si="13"/>
        <v>51.713884373576406</v>
      </c>
      <c r="G29" s="10"/>
      <c r="H29" s="12">
        <f t="shared" si="6"/>
        <v>0</v>
      </c>
      <c r="I29" s="12">
        <f t="shared" si="11"/>
        <v>102694.1121409394</v>
      </c>
      <c r="J29" s="12"/>
      <c r="K29" s="12">
        <f t="shared" si="12"/>
        <v>103362.03790096199</v>
      </c>
    </row>
    <row r="30" spans="1:15" x14ac:dyDescent="0.25">
      <c r="A30" s="14"/>
      <c r="B30" s="13"/>
      <c r="C30" s="13"/>
      <c r="D30" s="10"/>
      <c r="E30" s="10"/>
      <c r="F30" s="10">
        <f t="shared" si="13"/>
        <v>-251.29566669576525</v>
      </c>
      <c r="G30" s="10"/>
      <c r="H30" s="12">
        <f t="shared" si="6"/>
        <v>0</v>
      </c>
      <c r="I30" s="12">
        <f t="shared" si="11"/>
        <v>2424941.2646426549</v>
      </c>
      <c r="J30" s="12"/>
      <c r="K30" s="12">
        <f t="shared" si="12"/>
        <v>2425609.1904026777</v>
      </c>
    </row>
    <row r="31" spans="1:15" x14ac:dyDescent="0.25">
      <c r="A31" s="14"/>
      <c r="B31" s="13"/>
      <c r="C31" s="13"/>
      <c r="D31" s="10"/>
      <c r="E31" s="10"/>
      <c r="F31" s="10">
        <f t="shared" si="13"/>
        <v>-175.54327892842986</v>
      </c>
      <c r="G31" s="10"/>
      <c r="H31" s="12">
        <f t="shared" si="6"/>
        <v>0</v>
      </c>
      <c r="I31" s="12">
        <f t="shared" si="11"/>
        <v>1183313.0026346697</v>
      </c>
      <c r="J31" s="12"/>
      <c r="K31" s="12">
        <f t="shared" si="12"/>
        <v>1183980.9283946923</v>
      </c>
    </row>
    <row r="32" spans="1:15" x14ac:dyDescent="0.25">
      <c r="A32" s="14"/>
      <c r="B32" s="13"/>
      <c r="C32" s="13"/>
      <c r="D32" s="10"/>
      <c r="E32" s="10"/>
      <c r="F32" s="10">
        <f t="shared" si="13"/>
        <v>-99.790891161094436</v>
      </c>
      <c r="G32" s="10"/>
      <c r="H32" s="12">
        <f t="shared" si="6"/>
        <v>0</v>
      </c>
      <c r="I32" s="12">
        <f t="shared" si="11"/>
        <v>382395.72321505513</v>
      </c>
      <c r="J32" s="12"/>
      <c r="K32" s="12">
        <f t="shared" si="12"/>
        <v>383063.64897507773</v>
      </c>
    </row>
    <row r="33" spans="1:12" x14ac:dyDescent="0.25">
      <c r="A33" s="14" t="s">
        <v>64</v>
      </c>
      <c r="B33" s="13">
        <f>IF(L33&gt;Input!C$14,0,N$5)</f>
        <v>0</v>
      </c>
      <c r="C33" s="13">
        <f>IF(L33&lt;=N$7,PI()+N$9,IF(L33&lt;=2*N$7,N$9,IF(L33&lt;=Input!C$14,(PI()-N$10)/2+N$10/(N$8-1)*(L33-2*N$7-1),0)))</f>
        <v>0</v>
      </c>
      <c r="D33" s="10">
        <f>IF(B33=0,0,(Input!C$13*10)^3*Input!C$11*(SIN(C33))^2/12+(Input!C$13*10*Input!C$11)*(N$11*COS(C33))^2+(Input!C$12*10)^3*Input!C$11*(COS(C33))^2/12+(Input!C$12*10*Input!C$11)*((0.5*Input!C$12-N$11)*SIN(C33))^2)</f>
        <v>0</v>
      </c>
      <c r="E33" s="10">
        <f>IF(B33=0,0,(Input!C$13*10)^3*Input!C$11*(COS(C33))^2/12+(Input!C$13*10*Input!C$11)*(N$11*SIN(C33))^2+(Input!C$12*10)^3*Input!C$11*(SIN(C33))^2/12+(Input!C$12*10*Input!C$11)*((0.5*Input!C$12-N$11)*COS(C33))^2)</f>
        <v>0</v>
      </c>
      <c r="F33" s="10">
        <f t="shared" ref="F33:F37" si="14">F14+107.56</f>
        <v>-24.038503393759015</v>
      </c>
      <c r="G33" s="10">
        <f>IF(L33&lt;=N$7,G20+N$6*SIN(N$9),IF(L33=N$7+1,-G$6,IF(L33&lt;=2*N$7,G20-(N$6*SIN(N$9)),IF(L33&lt;=(N$7*2+N$8),-(N$2-N$11)*COS(C33),0))))</f>
        <v>0</v>
      </c>
      <c r="H33" s="12">
        <f t="shared" si="6"/>
        <v>0</v>
      </c>
      <c r="I33" s="12">
        <f t="shared" si="11"/>
        <v>22189.426383811726</v>
      </c>
      <c r="J33" s="12">
        <f t="shared" si="1"/>
        <v>0</v>
      </c>
      <c r="K33" s="12">
        <f t="shared" si="12"/>
        <v>22857.352143834327</v>
      </c>
      <c r="L33" s="24">
        <v>16</v>
      </c>
    </row>
    <row r="34" spans="1:12" x14ac:dyDescent="0.25">
      <c r="A34" s="14" t="s">
        <v>65</v>
      </c>
      <c r="B34" s="13">
        <f>IF(L34&gt;Input!C$14,0,N$5)</f>
        <v>0</v>
      </c>
      <c r="C34" s="13">
        <f>IF(L34&lt;=N$7,PI()+N$9,IF(L34&lt;=2*N$7,N$9,IF(L34&lt;=Input!C$14,(PI()-N$10)/2+N$10/(N$8-1)*(L34-2*N$7-1),0)))</f>
        <v>0</v>
      </c>
      <c r="D34" s="10">
        <f>IF(B34=0,0,(Input!C$13*10)^3*Input!C$11*(SIN(C34))^2/12+(Input!C$13*10*Input!C$11)*(N$11*COS(C34))^2+(Input!C$12*10)^3*Input!C$11*(COS(C34))^2/12+(Input!C$12*10*Input!C$11)*((0.5*Input!C$12-N$11)*SIN(C34))^2)</f>
        <v>0</v>
      </c>
      <c r="E34" s="10">
        <f>IF(B34=0,0,(Input!C$13*10)^3*Input!C$11*(COS(C34))^2/12+(Input!C$13*10*Input!C$11)*(N$11*SIN(C34))^2+(Input!C$12*10)^3*Input!C$11*(SIN(C34))^2/12+(Input!C$12*10*Input!C$11)*((0.5*Input!C$12-N$11)*COS(C34))^2)</f>
        <v>0</v>
      </c>
      <c r="F34" s="10">
        <f t="shared" si="14"/>
        <v>51.713884373576406</v>
      </c>
      <c r="G34" s="10">
        <f t="shared" si="9"/>
        <v>0</v>
      </c>
      <c r="H34" s="12">
        <f t="shared" si="6"/>
        <v>0</v>
      </c>
      <c r="I34" s="12">
        <f t="shared" si="11"/>
        <v>102694.1121409394</v>
      </c>
      <c r="J34" s="12">
        <f t="shared" si="1"/>
        <v>0</v>
      </c>
      <c r="K34" s="12">
        <f t="shared" si="12"/>
        <v>103362.03790096199</v>
      </c>
      <c r="L34" s="24">
        <v>17</v>
      </c>
    </row>
    <row r="35" spans="1:12" x14ac:dyDescent="0.25">
      <c r="A35" s="14" t="s">
        <v>66</v>
      </c>
      <c r="B35" s="13">
        <f>IF(L35&gt;Input!C$14,0,N$5)</f>
        <v>0</v>
      </c>
      <c r="C35" s="13">
        <f>IF(L35&lt;=N$7,PI()+N$9,IF(L35&lt;=2*N$7,N$9,IF(L35&lt;=Input!C$14,(PI()-N$10)/2+N$10/(N$8-1)*(L35-2*N$7-1),0)))</f>
        <v>0</v>
      </c>
      <c r="D35" s="10">
        <f>IF(B35=0,0,(Input!C$13*10)^3*Input!C$11*(SIN(C35))^2/12+(Input!C$13*10*Input!C$11)*(N$11*COS(C35))^2+(Input!C$12*10)^3*Input!C$11*(COS(C35))^2/12+(Input!C$12*10*Input!C$11)*((0.5*Input!C$12-N$11)*SIN(C35))^2)</f>
        <v>0</v>
      </c>
      <c r="E35" s="10">
        <f>IF(B35=0,0,(Input!C$13*10)^3*Input!C$11*(COS(C35))^2/12+(Input!C$13*10*Input!C$11)*(N$11*SIN(C35))^2+(Input!C$12*10)^3*Input!C$11*(SIN(C35))^2/12+(Input!C$12*10*Input!C$11)*((0.5*Input!C$12-N$11)*COS(C35))^2)</f>
        <v>0</v>
      </c>
      <c r="F35" s="10">
        <f t="shared" si="14"/>
        <v>126.29156784299346</v>
      </c>
      <c r="G35" s="10">
        <f t="shared" si="9"/>
        <v>0</v>
      </c>
      <c r="H35" s="12">
        <f t="shared" si="6"/>
        <v>0</v>
      </c>
      <c r="I35" s="12">
        <f t="shared" si="11"/>
        <v>612463.10815647047</v>
      </c>
      <c r="J35" s="12">
        <f t="shared" si="1"/>
        <v>0</v>
      </c>
      <c r="K35" s="12">
        <f t="shared" si="12"/>
        <v>613129.99673807481</v>
      </c>
      <c r="L35" s="24">
        <v>18</v>
      </c>
    </row>
    <row r="36" spans="1:12" x14ac:dyDescent="0.25">
      <c r="A36" s="14" t="s">
        <v>67</v>
      </c>
      <c r="B36" s="13">
        <f>IF(L36&gt;Input!C$14,0,N$5)</f>
        <v>0</v>
      </c>
      <c r="C36" s="13">
        <f>IF(L36&lt;=N$7,PI()+N$9,IF(L36&lt;=2*N$7,N$9,IF(L36&lt;=Input!C$14,(PI()-N$10)/2+N$10/(N$8-1)*(L36-2*N$7-1),0)))</f>
        <v>0</v>
      </c>
      <c r="D36" s="10">
        <f>IF(B36=0,0,(Input!C$13*10)^3*Input!C$11*(SIN(C36))^2/12+(Input!C$13*10*Input!C$11)*(N$11*COS(C36))^2+(Input!C$12*10)^3*Input!C$11*(COS(C36))^2/12+(Input!C$12*10*Input!C$11)*((0.5*Input!C$12-N$11)*SIN(C36))^2)</f>
        <v>0</v>
      </c>
      <c r="E36" s="10">
        <f>IF(B36=0,0,(Input!C$13*10)^3*Input!C$11*(COS(C36))^2/12+(Input!C$13*10*Input!C$11)*(N$11*SIN(C36))^2+(Input!C$12*10)^3*Input!C$11*(SIN(C36))^2/12+(Input!C$12*10*Input!C$11)*((0.5*Input!C$12-N$11)*COS(C36))^2)</f>
        <v>0</v>
      </c>
      <c r="F36" s="10">
        <f t="shared" si="14"/>
        <v>190.9975</v>
      </c>
      <c r="G36" s="10">
        <f t="shared" si="9"/>
        <v>0</v>
      </c>
      <c r="H36" s="12">
        <f t="shared" si="6"/>
        <v>0</v>
      </c>
      <c r="I36" s="12">
        <f t="shared" si="11"/>
        <v>1400833.7282400001</v>
      </c>
      <c r="J36" s="12">
        <f t="shared" si="1"/>
        <v>0</v>
      </c>
      <c r="K36" s="12">
        <f t="shared" si="12"/>
        <v>1401310.7126150001</v>
      </c>
      <c r="L36" s="24">
        <v>19</v>
      </c>
    </row>
    <row r="37" spans="1:12" x14ac:dyDescent="0.25">
      <c r="A37" s="14" t="s">
        <v>68</v>
      </c>
      <c r="B37" s="13">
        <f>IF(L37&gt;Input!C$14,0,N$5)</f>
        <v>0</v>
      </c>
      <c r="C37" s="13">
        <f>IF(L37&lt;=N$7,PI()+N$9,IF(L37&lt;=2*N$7,N$9,IF(L37&lt;=Input!C$14,(PI()-N$10)/2+N$10/(N$8-1)*(L37-2*N$7-1),0)))</f>
        <v>0</v>
      </c>
      <c r="D37" s="10">
        <f>IF(B37=0,0,(Input!C$13*10)^3*Input!C$11*(SIN(C37))^2/12+(Input!C$13*10*Input!C$11)*(N$11*COS(C37))^2+(Input!C$12*10)^3*Input!C$11*(COS(C37))^2/12+(Input!C$12*10*Input!C$11)*((0.5*Input!C$12-N$11)*SIN(C37))^2)</f>
        <v>0</v>
      </c>
      <c r="E37" s="10">
        <f>IF(B37=0,0,(Input!C$13*10)^3*Input!C$11*(COS(C37))^2/12+(Input!C$13*10*Input!C$11)*(N$11*SIN(C37))^2+(Input!C$12*10)^3*Input!C$11*(SIN(C37))^2/12+(Input!C$12*10*Input!C$11)*((0.5*Input!C$12-N$11)*COS(C37))^2)</f>
        <v>0</v>
      </c>
      <c r="F37" s="10">
        <f t="shared" si="14"/>
        <v>126.29156784299347</v>
      </c>
      <c r="G37" s="10">
        <f t="shared" si="9"/>
        <v>0</v>
      </c>
      <c r="H37" s="12">
        <f t="shared" si="6"/>
        <v>0</v>
      </c>
      <c r="I37" s="12">
        <f t="shared" si="11"/>
        <v>612463.10815647058</v>
      </c>
      <c r="J37" s="12">
        <f t="shared" si="1"/>
        <v>0</v>
      </c>
      <c r="K37" s="12">
        <f t="shared" si="12"/>
        <v>613129.99673807493</v>
      </c>
      <c r="L37" s="24">
        <v>20</v>
      </c>
    </row>
    <row r="38" spans="1:12" x14ac:dyDescent="0.25">
      <c r="A38" s="14" t="s">
        <v>69</v>
      </c>
      <c r="B38" s="13">
        <f>IF(L38&gt;Input!C$14,0,N$5)</f>
        <v>0</v>
      </c>
      <c r="C38" s="13">
        <f>IF(L38&lt;=N$7,PI()+N$9,IF(L38&lt;=2*N$7,N$9,IF(L38&lt;=Input!C$14,(PI()-N$10)/2+N$10/(N$8-1)*(L38-2*N$7-1),0)))</f>
        <v>0</v>
      </c>
      <c r="D38" s="10">
        <f>IF(B38=0,0,(Input!C$13*10)^3*Input!C$11*(SIN(C38))^2/12+(Input!C$13*10*Input!C$11)*(N$11*COS(C38))^2+(Input!C$12*10)^3*Input!C$11*(COS(C38))^2/12+(Input!C$12*10*Input!C$11)*((0.5*Input!C$12-N$11)*SIN(C38))^2)</f>
        <v>0</v>
      </c>
      <c r="E38" s="10">
        <f>IF(B38=0,0,(Input!C$13*10)^3*Input!C$11*(COS(C38))^2/12+(Input!C$13*10*Input!C$11)*(N$11*SIN(C38))^2+(Input!C$12*10)^3*Input!C$11*(SIN(C38))^2/12+(Input!C$12*10*Input!C$11)*((0.5*Input!C$12-N$11)*COS(C38))^2)</f>
        <v>0</v>
      </c>
      <c r="F38" s="10"/>
      <c r="G38" s="10">
        <f t="shared" si="9"/>
        <v>0</v>
      </c>
      <c r="H38" s="12">
        <f t="shared" si="6"/>
        <v>0</v>
      </c>
      <c r="I38" s="12">
        <f t="shared" si="11"/>
        <v>0</v>
      </c>
      <c r="J38" s="12">
        <f t="shared" si="1"/>
        <v>0</v>
      </c>
      <c r="K38" s="12">
        <f t="shared" si="12"/>
        <v>0</v>
      </c>
      <c r="L38" s="24">
        <v>21</v>
      </c>
    </row>
    <row r="39" spans="1:12" x14ac:dyDescent="0.2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1:12" x14ac:dyDescent="0.25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4">
        <f>SUM(K21:K37)</f>
        <v>47470872.483630881</v>
      </c>
    </row>
    <row r="41" spans="1:12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>
        <f>K40*10^-12</f>
        <v>4.7470872483630879E-5</v>
      </c>
    </row>
    <row r="43" spans="1:12" ht="16.5" thickBot="1" x14ac:dyDescent="0.3">
      <c r="B43" s="11" t="s">
        <v>71</v>
      </c>
      <c r="C43" s="30"/>
      <c r="D43" s="8"/>
      <c r="E43" s="8"/>
      <c r="F43" s="8"/>
      <c r="G43" s="8"/>
      <c r="H43" s="8"/>
      <c r="I43" s="8"/>
      <c r="J43" s="11" t="s">
        <v>80</v>
      </c>
      <c r="K43" s="11" t="s">
        <v>75</v>
      </c>
      <c r="L43" s="11" t="s">
        <v>125</v>
      </c>
    </row>
    <row r="44" spans="1:12" x14ac:dyDescent="0.25">
      <c r="A44" s="16" t="s">
        <v>76</v>
      </c>
      <c r="B44" s="21">
        <f>SUM(B2:B38)</f>
        <v>2125.5886520793169</v>
      </c>
      <c r="C44" s="31"/>
      <c r="D44">
        <f>SUM(D6:D18)</f>
        <v>6511.3568615653949</v>
      </c>
      <c r="E44">
        <f>SUM(E6:E18)</f>
        <v>8490.0191384346053</v>
      </c>
      <c r="J44" s="22">
        <f>SUM(J2:J38)</f>
        <v>5697279.011374101</v>
      </c>
      <c r="K44" s="22">
        <f>SUM(K2:K18)</f>
        <v>69474780.044219717</v>
      </c>
      <c r="L44" s="22">
        <f>(4*(0.5*PI()*N2^2+0.5*N3*N2*2)^2)/(N4/Input!C9+2*N2/Input!C10)</f>
        <v>8063788.8036894705</v>
      </c>
    </row>
    <row r="45" spans="1:12" x14ac:dyDescent="0.25">
      <c r="D45">
        <f>D44*10^-12</f>
        <v>6.5113568615653944E-9</v>
      </c>
      <c r="E45">
        <f>E44*10^-12</f>
        <v>8.4900191384346044E-9</v>
      </c>
      <c r="J45" s="97">
        <f>J44*10^-12</f>
        <v>5.6972790113741013E-6</v>
      </c>
      <c r="K45" s="97">
        <f t="shared" ref="K45:L45" si="15">K44*10^-12</f>
        <v>6.9474780044219721E-5</v>
      </c>
      <c r="L45" s="97">
        <f t="shared" si="15"/>
        <v>8.0637888036894712E-6</v>
      </c>
    </row>
    <row r="48" spans="1:12" x14ac:dyDescent="0.25">
      <c r="B48">
        <f t="shared" ref="B48:B64" si="16">B2*10^-6</f>
        <v>2.9892254098906878E-4</v>
      </c>
      <c r="C48" s="9" t="s">
        <v>182</v>
      </c>
      <c r="D48">
        <f t="shared" ref="D48:E66" si="17">D2*10^-12</f>
        <v>1.1183065911577303E-6</v>
      </c>
      <c r="E48">
        <f t="shared" si="17"/>
        <v>1.1183065911577303E-6</v>
      </c>
      <c r="H48" s="98">
        <f>((9.024389*10^-6)-K48)/(9.024389*10^-6)</f>
        <v>0.87607952281780732</v>
      </c>
      <c r="I48" t="s">
        <v>182</v>
      </c>
      <c r="J48">
        <f>J2*10^-12</f>
        <v>1.1183065911577303E-6</v>
      </c>
      <c r="K48">
        <f>K2*10^-12</f>
        <v>1.1183065911577303E-6</v>
      </c>
    </row>
    <row r="49" spans="2:11" x14ac:dyDescent="0.25">
      <c r="B49">
        <f t="shared" si="16"/>
        <v>4.4748305554512339E-4</v>
      </c>
      <c r="C49" s="9" t="s">
        <v>47</v>
      </c>
      <c r="D49">
        <f t="shared" si="17"/>
        <v>2.7901500769604166E-7</v>
      </c>
      <c r="E49">
        <f t="shared" si="17"/>
        <v>5.8920932954355552E-6</v>
      </c>
      <c r="I49" t="s">
        <v>183</v>
      </c>
      <c r="J49">
        <f t="shared" ref="J49:K49" si="18">J3*10^-12</f>
        <v>1.1160600307841666E-6</v>
      </c>
      <c r="K49">
        <f t="shared" si="18"/>
        <v>2.3568373181742221E-5</v>
      </c>
    </row>
    <row r="50" spans="2:11" x14ac:dyDescent="0.25">
      <c r="B50">
        <f t="shared" si="16"/>
        <v>4.4748305554512339E-4</v>
      </c>
      <c r="C50" s="9" t="s">
        <v>48</v>
      </c>
      <c r="D50">
        <f t="shared" si="17"/>
        <v>2.7901500769604166E-7</v>
      </c>
      <c r="E50">
        <f t="shared" si="17"/>
        <v>5.8920932954355552E-6</v>
      </c>
      <c r="I50" t="s">
        <v>184</v>
      </c>
      <c r="J50">
        <f t="shared" ref="J50:K50" si="19">J4*10^-12</f>
        <v>1.1160600307841666E-6</v>
      </c>
      <c r="K50">
        <f t="shared" si="19"/>
        <v>2.3568373181742221E-5</v>
      </c>
    </row>
    <row r="51" spans="2:11" x14ac:dyDescent="0.25">
      <c r="B51">
        <f t="shared" si="16"/>
        <v>4.325E-4</v>
      </c>
      <c r="C51" s="9" t="s">
        <v>96</v>
      </c>
      <c r="D51">
        <f t="shared" si="17"/>
        <v>1.0786910416666665E-6</v>
      </c>
      <c r="E51">
        <f t="shared" si="17"/>
        <v>0</v>
      </c>
      <c r="I51" t="s">
        <v>185</v>
      </c>
      <c r="J51">
        <f t="shared" ref="J51:K51" si="20">J5*10^-12</f>
        <v>1.0786910416666665E-6</v>
      </c>
      <c r="K51">
        <f t="shared" si="20"/>
        <v>0</v>
      </c>
    </row>
    <row r="52" spans="2:11" x14ac:dyDescent="0.25">
      <c r="B52">
        <f t="shared" si="16"/>
        <v>3.8399999999999998E-5</v>
      </c>
      <c r="C52" s="9">
        <v>1</v>
      </c>
      <c r="D52">
        <f t="shared" si="17"/>
        <v>4.8602623997740011E-10</v>
      </c>
      <c r="E52">
        <f t="shared" si="17"/>
        <v>6.6792576002259963E-10</v>
      </c>
      <c r="I52">
        <v>1</v>
      </c>
      <c r="J52">
        <f t="shared" ref="J52:K52" si="21">J6*10^-12</f>
        <v>1.3387465638780855E-9</v>
      </c>
      <c r="K52">
        <f t="shared" si="21"/>
        <v>4.9457196833150491E-6</v>
      </c>
    </row>
    <row r="53" spans="2:11" x14ac:dyDescent="0.25">
      <c r="B53">
        <f t="shared" si="16"/>
        <v>3.8399999999999998E-5</v>
      </c>
      <c r="C53">
        <v>2</v>
      </c>
      <c r="D53">
        <f t="shared" si="17"/>
        <v>4.8602623997740011E-10</v>
      </c>
      <c r="E53">
        <f t="shared" si="17"/>
        <v>6.6792576002259963E-10</v>
      </c>
      <c r="I53">
        <v>2</v>
      </c>
      <c r="J53">
        <f t="shared" ref="J53:K53" si="22">J7*10^-12</f>
        <v>1.7739367145449936E-8</v>
      </c>
      <c r="K53">
        <f t="shared" si="22"/>
        <v>3.0783306408971112E-6</v>
      </c>
    </row>
    <row r="54" spans="2:11" x14ac:dyDescent="0.25">
      <c r="B54">
        <f t="shared" si="16"/>
        <v>3.8399999999999998E-5</v>
      </c>
      <c r="C54">
        <v>3</v>
      </c>
      <c r="D54">
        <f t="shared" si="17"/>
        <v>4.8602623997740011E-10</v>
      </c>
      <c r="E54">
        <f t="shared" si="17"/>
        <v>6.6792576002259963E-10</v>
      </c>
      <c r="I54">
        <v>3</v>
      </c>
      <c r="J54">
        <f t="shared" ref="J54:K54" si="23">J8*10^-12</f>
        <v>5.5009477063499562E-8</v>
      </c>
      <c r="K54">
        <f t="shared" si="23"/>
        <v>1.6516525810675437E-6</v>
      </c>
    </row>
    <row r="55" spans="2:11" x14ac:dyDescent="0.25">
      <c r="B55">
        <f t="shared" si="16"/>
        <v>3.8399999999999998E-5</v>
      </c>
      <c r="C55">
        <v>4</v>
      </c>
      <c r="D55">
        <f t="shared" si="17"/>
        <v>4.8602623997740011E-10</v>
      </c>
      <c r="E55">
        <f t="shared" si="17"/>
        <v>6.6792576002259963E-10</v>
      </c>
      <c r="I55">
        <v>4</v>
      </c>
      <c r="J55">
        <f t="shared" ref="J55:K55" si="24">J9*10^-12</f>
        <v>1.1314907631802694E-7</v>
      </c>
      <c r="K55">
        <f t="shared" si="24"/>
        <v>6.6568550382634731E-7</v>
      </c>
    </row>
    <row r="56" spans="2:11" x14ac:dyDescent="0.25">
      <c r="B56">
        <f t="shared" si="16"/>
        <v>3.8399999999999998E-5</v>
      </c>
      <c r="C56">
        <v>5</v>
      </c>
      <c r="D56">
        <f t="shared" si="17"/>
        <v>4.8602623997740011E-10</v>
      </c>
      <c r="E56">
        <f t="shared" si="17"/>
        <v>6.6792576002259963E-10</v>
      </c>
      <c r="I56">
        <v>5</v>
      </c>
      <c r="J56">
        <f t="shared" ref="J56:K56" si="25">J10*10^-12</f>
        <v>1.9215816490903206E-7</v>
      </c>
      <c r="K56">
        <f t="shared" si="25"/>
        <v>1.2042940917352174E-7</v>
      </c>
    </row>
    <row r="57" spans="2:11" x14ac:dyDescent="0.25">
      <c r="B57">
        <f t="shared" si="16"/>
        <v>3.8399999999999998E-5</v>
      </c>
      <c r="C57">
        <v>6</v>
      </c>
      <c r="D57">
        <f t="shared" si="17"/>
        <v>4.8602623997740032E-10</v>
      </c>
      <c r="E57">
        <f t="shared" si="17"/>
        <v>6.6792576002259984E-10</v>
      </c>
      <c r="I57">
        <v>6</v>
      </c>
      <c r="J57">
        <f t="shared" ref="J57:K57" si="26">J11*10^-12</f>
        <v>1.3387465638780857E-9</v>
      </c>
      <c r="K57">
        <f t="shared" si="26"/>
        <v>4.9457196833150491E-6</v>
      </c>
    </row>
    <row r="58" spans="2:11" x14ac:dyDescent="0.25">
      <c r="B58">
        <f t="shared" si="16"/>
        <v>3.8399999999999998E-5</v>
      </c>
      <c r="C58">
        <v>7</v>
      </c>
      <c r="D58">
        <f t="shared" si="17"/>
        <v>4.8602623997740032E-10</v>
      </c>
      <c r="E58">
        <f t="shared" si="17"/>
        <v>6.6792576002259984E-10</v>
      </c>
      <c r="I58">
        <v>7</v>
      </c>
      <c r="J58">
        <f t="shared" ref="J58:K58" si="27">J12*10^-12</f>
        <v>1.7739367145449936E-8</v>
      </c>
      <c r="K58">
        <f t="shared" si="27"/>
        <v>3.0783306408971112E-6</v>
      </c>
    </row>
    <row r="59" spans="2:11" x14ac:dyDescent="0.25">
      <c r="B59">
        <f t="shared" si="16"/>
        <v>3.8399999999999998E-5</v>
      </c>
      <c r="C59">
        <v>8</v>
      </c>
      <c r="D59">
        <f t="shared" si="17"/>
        <v>4.8602623997740032E-10</v>
      </c>
      <c r="E59">
        <f t="shared" si="17"/>
        <v>6.6792576002259984E-10</v>
      </c>
      <c r="I59">
        <v>8</v>
      </c>
      <c r="J59">
        <f t="shared" ref="J59:K59" si="28">J13*10^-12</f>
        <v>5.5009477063499562E-8</v>
      </c>
      <c r="K59">
        <f t="shared" si="28"/>
        <v>1.6516525810675437E-6</v>
      </c>
    </row>
    <row r="60" spans="2:11" x14ac:dyDescent="0.25">
      <c r="B60">
        <f t="shared" si="16"/>
        <v>3.8399999999999998E-5</v>
      </c>
      <c r="C60">
        <v>9</v>
      </c>
      <c r="D60">
        <f t="shared" si="17"/>
        <v>4.8602623997740032E-10</v>
      </c>
      <c r="E60">
        <f t="shared" si="17"/>
        <v>6.6792576002259984E-10</v>
      </c>
      <c r="I60">
        <v>9</v>
      </c>
      <c r="J60">
        <f t="shared" ref="J60:K60" si="29">J14*10^-12</f>
        <v>1.1314907631802694E-7</v>
      </c>
      <c r="K60">
        <f t="shared" si="29"/>
        <v>6.6568550382634731E-7</v>
      </c>
    </row>
    <row r="61" spans="2:11" x14ac:dyDescent="0.25">
      <c r="B61">
        <f t="shared" si="16"/>
        <v>3.8399999999999998E-5</v>
      </c>
      <c r="C61">
        <v>10</v>
      </c>
      <c r="D61">
        <f t="shared" si="17"/>
        <v>4.8602623997740032E-10</v>
      </c>
      <c r="E61">
        <f t="shared" si="17"/>
        <v>6.6792576002259984E-10</v>
      </c>
      <c r="I61">
        <v>10</v>
      </c>
      <c r="J61">
        <f t="shared" ref="J61:K61" si="30">J15*10^-12</f>
        <v>1.9215816490903206E-7</v>
      </c>
      <c r="K61">
        <f t="shared" si="30"/>
        <v>1.2042940917352174E-7</v>
      </c>
    </row>
    <row r="62" spans="2:11" x14ac:dyDescent="0.25">
      <c r="B62">
        <f t="shared" si="16"/>
        <v>3.8399999999999998E-5</v>
      </c>
      <c r="C62">
        <v>11</v>
      </c>
      <c r="D62">
        <f t="shared" si="17"/>
        <v>4.8706341839569655E-10</v>
      </c>
      <c r="E62">
        <f t="shared" si="17"/>
        <v>6.668885816043033E-10</v>
      </c>
      <c r="I62">
        <v>11</v>
      </c>
      <c r="J62">
        <f t="shared" ref="J62:K62" si="31">J16*10^-12</f>
        <v>2.5434734267829974E-7</v>
      </c>
      <c r="K62">
        <f t="shared" si="31"/>
        <v>1.4140359321700293E-8</v>
      </c>
    </row>
    <row r="63" spans="2:11" x14ac:dyDescent="0.25">
      <c r="B63">
        <f t="shared" si="16"/>
        <v>3.8399999999999998E-5</v>
      </c>
      <c r="C63">
        <v>12</v>
      </c>
      <c r="D63">
        <f t="shared" si="17"/>
        <v>6.7696762499999985E-10</v>
      </c>
      <c r="E63">
        <f t="shared" si="17"/>
        <v>4.7698437499999989E-10</v>
      </c>
      <c r="I63">
        <v>12</v>
      </c>
      <c r="J63">
        <f t="shared" ref="J63:K63" si="32">J17*10^-12</f>
        <v>6.7696762499999985E-10</v>
      </c>
      <c r="K63">
        <f t="shared" si="32"/>
        <v>2.6781073437499999E-7</v>
      </c>
    </row>
    <row r="64" spans="2:11" x14ac:dyDescent="0.25">
      <c r="B64">
        <f t="shared" si="16"/>
        <v>3.8399999999999998E-5</v>
      </c>
      <c r="C64">
        <v>13</v>
      </c>
      <c r="D64">
        <f t="shared" si="17"/>
        <v>4.8706341839569655E-10</v>
      </c>
      <c r="E64">
        <f t="shared" si="17"/>
        <v>6.668885816043034E-10</v>
      </c>
      <c r="I64">
        <v>13</v>
      </c>
      <c r="J64">
        <f t="shared" ref="J64:K64" si="33">J18*10^-12</f>
        <v>2.5434734267829974E-7</v>
      </c>
      <c r="K64">
        <f t="shared" si="33"/>
        <v>1.4140359321700312E-8</v>
      </c>
    </row>
    <row r="65" spans="2:12" x14ac:dyDescent="0.25">
      <c r="D65">
        <f t="shared" si="17"/>
        <v>0</v>
      </c>
      <c r="E65">
        <f t="shared" si="17"/>
        <v>0</v>
      </c>
      <c r="J65">
        <f t="shared" ref="J65:K65" si="34">J19*10^-12</f>
        <v>0</v>
      </c>
      <c r="K65">
        <f t="shared" si="34"/>
        <v>0</v>
      </c>
    </row>
    <row r="66" spans="2:12" x14ac:dyDescent="0.25">
      <c r="D66">
        <f t="shared" si="17"/>
        <v>0</v>
      </c>
      <c r="E66">
        <f t="shared" si="17"/>
        <v>0</v>
      </c>
      <c r="J66">
        <f t="shared" ref="J66:K66" si="35">J20*10^-12</f>
        <v>0</v>
      </c>
      <c r="K66">
        <f t="shared" si="35"/>
        <v>0</v>
      </c>
    </row>
    <row r="67" spans="2:12" x14ac:dyDescent="0.25">
      <c r="D67">
        <f t="shared" ref="D67:E70" si="36">D33*10^-12</f>
        <v>0</v>
      </c>
      <c r="E67">
        <f t="shared" si="36"/>
        <v>0</v>
      </c>
      <c r="J67">
        <f t="shared" ref="J67:K67" si="37">J33*10^-12</f>
        <v>0</v>
      </c>
      <c r="K67">
        <f t="shared" si="37"/>
        <v>2.2857352143834328E-8</v>
      </c>
    </row>
    <row r="68" spans="2:12" x14ac:dyDescent="0.25">
      <c r="B68">
        <f>SUM(B48:B64)</f>
        <v>2.1255886520793162E-3</v>
      </c>
      <c r="D68">
        <f t="shared" si="36"/>
        <v>0</v>
      </c>
      <c r="E68">
        <f t="shared" si="36"/>
        <v>0</v>
      </c>
      <c r="J68">
        <f>SUM(J52:J64)</f>
        <v>1.2681613169813726E-6</v>
      </c>
      <c r="K68">
        <f>SUM(K52:K64)</f>
        <v>2.1219727089577542E-5</v>
      </c>
    </row>
    <row r="69" spans="2:12" x14ac:dyDescent="0.25">
      <c r="D69">
        <f t="shared" si="36"/>
        <v>0</v>
      </c>
      <c r="E69">
        <f t="shared" si="36"/>
        <v>0</v>
      </c>
      <c r="K69">
        <f>K35*10^-12</f>
        <v>6.1312999673807483E-7</v>
      </c>
    </row>
    <row r="70" spans="2:12" x14ac:dyDescent="0.25">
      <c r="D70">
        <f t="shared" si="36"/>
        <v>0</v>
      </c>
      <c r="E70">
        <f t="shared" si="36"/>
        <v>0</v>
      </c>
    </row>
    <row r="71" spans="2:12" x14ac:dyDescent="0.25">
      <c r="I71" t="s">
        <v>186</v>
      </c>
      <c r="J71">
        <f>J68-D45</f>
        <v>1.2616499601198072E-6</v>
      </c>
      <c r="K71">
        <f>K68-E45</f>
        <v>2.1211237070439106E-5</v>
      </c>
    </row>
    <row r="74" spans="2:12" x14ac:dyDescent="0.25">
      <c r="J74" s="101">
        <f>1-J71/J68</f>
        <v>5.1344862632023425E-3</v>
      </c>
      <c r="K74" s="101">
        <f>1-K71/K68</f>
        <v>4.0010029830239713E-4</v>
      </c>
    </row>
    <row r="79" spans="2:12" x14ac:dyDescent="0.25">
      <c r="I79" s="99">
        <f>(K79-9.024389*10^-6)/(9.024389*10^-6)</f>
        <v>0.37134107768378533</v>
      </c>
      <c r="J79">
        <f>K79*2</f>
        <v>2.4751030673395394E-5</v>
      </c>
      <c r="K79">
        <f>K21*10^-12</f>
        <v>1.2375515336697697E-5</v>
      </c>
      <c r="L79" s="24">
        <f>K79*2</f>
        <v>2.4751030673395394E-5</v>
      </c>
    </row>
    <row r="80" spans="2:12" x14ac:dyDescent="0.25">
      <c r="I80" s="99">
        <f>((2.00042654847047*10^-5)-K80*2)/(K80*2)</f>
        <v>4.0459215058732116E-2</v>
      </c>
      <c r="K80">
        <f t="shared" ref="K80:K95" si="38">K22*10^-12</f>
        <v>9.6131905966037777E-6</v>
      </c>
    </row>
    <row r="81" spans="7:11" x14ac:dyDescent="0.25">
      <c r="K81">
        <f t="shared" si="38"/>
        <v>9.6131905966037777E-6</v>
      </c>
    </row>
    <row r="82" spans="7:11" x14ac:dyDescent="0.25">
      <c r="I82" s="101">
        <f>((5.00390440899964*10^-6)-K82)/K82</f>
        <v>4.90594988539758E-5</v>
      </c>
      <c r="K82">
        <f t="shared" si="38"/>
        <v>5.0036589319999997E-6</v>
      </c>
    </row>
    <row r="83" spans="7:11" x14ac:dyDescent="0.25">
      <c r="G83">
        <v>1</v>
      </c>
      <c r="H83">
        <f>H6*10^-12</f>
        <v>8.5272032390068537E-10</v>
      </c>
      <c r="I83">
        <f>I6*10^-12</f>
        <v>4.9450517575550265E-6</v>
      </c>
      <c r="K83">
        <f t="shared" si="38"/>
        <v>2.4256091904026776E-6</v>
      </c>
    </row>
    <row r="84" spans="7:11" x14ac:dyDescent="0.25">
      <c r="G84">
        <v>2</v>
      </c>
      <c r="H84">
        <f t="shared" ref="H84:I84" si="39">H7*10^-12</f>
        <v>1.7253340905472534E-8</v>
      </c>
      <c r="I84">
        <f t="shared" si="39"/>
        <v>3.0776627151370886E-6</v>
      </c>
      <c r="K84">
        <f t="shared" si="38"/>
        <v>1.1839809283946922E-6</v>
      </c>
    </row>
    <row r="85" spans="7:11" x14ac:dyDescent="0.25">
      <c r="G85">
        <v>3</v>
      </c>
      <c r="H85">
        <f t="shared" ref="H85:I85" si="40">H8*10^-12</f>
        <v>5.4523450823522167E-8</v>
      </c>
      <c r="I85">
        <f t="shared" si="40"/>
        <v>1.6509846553075211E-6</v>
      </c>
      <c r="K85">
        <f t="shared" si="38"/>
        <v>3.8306364897507774E-7</v>
      </c>
    </row>
    <row r="86" spans="7:11" x14ac:dyDescent="0.25">
      <c r="G86">
        <v>4</v>
      </c>
      <c r="H86">
        <f t="shared" ref="H86:I86" si="41">H9*10^-12</f>
        <v>1.1266305007804954E-7</v>
      </c>
      <c r="I86">
        <f t="shared" si="41"/>
        <v>6.650175780663247E-7</v>
      </c>
      <c r="K86">
        <f t="shared" si="38"/>
        <v>2.2857352143834328E-8</v>
      </c>
    </row>
    <row r="87" spans="7:11" x14ac:dyDescent="0.25">
      <c r="G87">
        <v>5</v>
      </c>
      <c r="H87">
        <f t="shared" ref="H87:I87" si="42">H10*10^-12</f>
        <v>1.9167213866905467E-7</v>
      </c>
      <c r="I87">
        <f t="shared" si="42"/>
        <v>1.1976148341349916E-7</v>
      </c>
      <c r="K87">
        <f t="shared" si="38"/>
        <v>1.03362037900962E-7</v>
      </c>
    </row>
    <row r="88" spans="7:11" x14ac:dyDescent="0.25">
      <c r="G88">
        <v>6</v>
      </c>
      <c r="H88">
        <f t="shared" ref="H88:I88" si="43">H11*10^-12</f>
        <v>8.5272032390068537E-10</v>
      </c>
      <c r="I88">
        <f t="shared" si="43"/>
        <v>4.9450517575550265E-6</v>
      </c>
      <c r="K88">
        <f t="shared" si="38"/>
        <v>2.4256091904026776E-6</v>
      </c>
    </row>
    <row r="89" spans="7:11" x14ac:dyDescent="0.25">
      <c r="G89">
        <v>7</v>
      </c>
      <c r="H89">
        <f t="shared" ref="H89:I89" si="44">H12*10^-12</f>
        <v>1.7253340905472534E-8</v>
      </c>
      <c r="I89">
        <f t="shared" si="44"/>
        <v>3.0776627151370886E-6</v>
      </c>
      <c r="K89">
        <f t="shared" si="38"/>
        <v>1.1839809283946922E-6</v>
      </c>
    </row>
    <row r="90" spans="7:11" x14ac:dyDescent="0.25">
      <c r="G90">
        <v>8</v>
      </c>
      <c r="H90">
        <f t="shared" ref="H90:I90" si="45">H13*10^-12</f>
        <v>5.4523450823522167E-8</v>
      </c>
      <c r="I90">
        <f t="shared" si="45"/>
        <v>1.6509846553075211E-6</v>
      </c>
      <c r="K90">
        <f t="shared" si="38"/>
        <v>3.8306364897507774E-7</v>
      </c>
    </row>
    <row r="91" spans="7:11" x14ac:dyDescent="0.25">
      <c r="G91">
        <v>9</v>
      </c>
      <c r="H91">
        <f t="shared" ref="H91:I91" si="46">H14*10^-12</f>
        <v>1.1266305007804954E-7</v>
      </c>
      <c r="I91">
        <f t="shared" si="46"/>
        <v>6.650175780663247E-7</v>
      </c>
      <c r="K91">
        <f t="shared" si="38"/>
        <v>2.2857352143834328E-8</v>
      </c>
    </row>
    <row r="92" spans="7:11" x14ac:dyDescent="0.25">
      <c r="G92">
        <v>10</v>
      </c>
      <c r="H92">
        <f t="shared" ref="H92:I92" si="47">H15*10^-12</f>
        <v>1.9167213866905467E-7</v>
      </c>
      <c r="I92">
        <f t="shared" si="47"/>
        <v>1.1976148341349916E-7</v>
      </c>
      <c r="K92">
        <f t="shared" si="38"/>
        <v>1.03362037900962E-7</v>
      </c>
    </row>
    <row r="93" spans="7:11" x14ac:dyDescent="0.25">
      <c r="G93">
        <v>11</v>
      </c>
      <c r="H93">
        <f t="shared" ref="H93:I93" si="48">H16*10^-12</f>
        <v>2.5386027925990404E-7</v>
      </c>
      <c r="I93">
        <f t="shared" si="48"/>
        <v>1.3473470740095989E-8</v>
      </c>
      <c r="K93">
        <f t="shared" si="38"/>
        <v>6.1312999673807483E-7</v>
      </c>
    </row>
    <row r="94" spans="7:11" x14ac:dyDescent="0.25">
      <c r="G94">
        <v>12</v>
      </c>
      <c r="H94">
        <f t="shared" ref="H94:I94" si="49">H17*10^-12</f>
        <v>1.0031623691341948E-39</v>
      </c>
      <c r="I94">
        <f t="shared" si="49"/>
        <v>2.6733375E-7</v>
      </c>
      <c r="K94">
        <f t="shared" si="38"/>
        <v>1.4013107126150001E-6</v>
      </c>
    </row>
    <row r="95" spans="7:11" x14ac:dyDescent="0.25">
      <c r="G95">
        <v>13</v>
      </c>
      <c r="H95">
        <f t="shared" ref="H95:I95" si="50">H18*10^-12</f>
        <v>2.5386027925990404E-7</v>
      </c>
      <c r="I95">
        <f t="shared" si="50"/>
        <v>1.3473470740096009E-8</v>
      </c>
      <c r="K95">
        <f t="shared" si="38"/>
        <v>6.1312999673807494E-7</v>
      </c>
    </row>
    <row r="96" spans="7:11" x14ac:dyDescent="0.25">
      <c r="H96">
        <f t="shared" ref="H96:I96" si="51">H19</f>
        <v>0</v>
      </c>
      <c r="I96">
        <f t="shared" si="51"/>
        <v>0</v>
      </c>
    </row>
    <row r="97" spans="8:11" x14ac:dyDescent="0.25">
      <c r="H97">
        <f t="shared" ref="H97:I97" si="52">H20</f>
        <v>0</v>
      </c>
      <c r="I97">
        <f t="shared" si="52"/>
        <v>0</v>
      </c>
    </row>
    <row r="98" spans="8:11" x14ac:dyDescent="0.25">
      <c r="H98">
        <f t="shared" ref="H98:I98" si="53">H33</f>
        <v>0</v>
      </c>
      <c r="I98">
        <f t="shared" si="53"/>
        <v>22189.426383811726</v>
      </c>
    </row>
    <row r="99" spans="8:11" x14ac:dyDescent="0.25">
      <c r="H99">
        <f t="shared" ref="H99:I99" si="54">H34</f>
        <v>0</v>
      </c>
      <c r="I99">
        <f t="shared" si="54"/>
        <v>102694.1121409394</v>
      </c>
    </row>
    <row r="101" spans="8:11" x14ac:dyDescent="0.25">
      <c r="J101" s="100">
        <f>((1.12849892310904*10^-5)-K101)/K101</f>
        <v>3.8624939201093833E-2</v>
      </c>
      <c r="K101">
        <f>SUM(K83:K95)</f>
        <v>1.0865317021725639E-5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showGridLines="0" topLeftCell="L29" workbookViewId="0">
      <selection activeCell="O47" sqref="O47"/>
    </sheetView>
  </sheetViews>
  <sheetFormatPr defaultColWidth="11.25" defaultRowHeight="15.75" x14ac:dyDescent="0.25"/>
  <cols>
    <col min="1" max="1" width="10.75" style="29"/>
    <col min="2" max="2" width="11.25" style="29" bestFit="1" customWidth="1"/>
    <col min="3" max="3" width="10.75" style="29"/>
    <col min="5" max="5" width="8" bestFit="1" customWidth="1"/>
    <col min="8" max="8" width="12.75" bestFit="1" customWidth="1"/>
    <col min="21" max="21" width="12.75" hidden="1" customWidth="1"/>
    <col min="22" max="22" width="0" hidden="1" customWidth="1"/>
    <col min="23" max="23" width="12.75" hidden="1" customWidth="1"/>
    <col min="24" max="26" width="0" hidden="1" customWidth="1"/>
  </cols>
  <sheetData>
    <row r="1" spans="1:19" ht="16.5" thickBot="1" x14ac:dyDescent="0.3">
      <c r="A1" s="117" t="s">
        <v>101</v>
      </c>
      <c r="B1" s="118"/>
      <c r="C1" s="119"/>
      <c r="F1" s="114" t="s">
        <v>109</v>
      </c>
      <c r="G1" s="115"/>
      <c r="H1" s="115"/>
      <c r="I1" s="115"/>
      <c r="J1" s="115"/>
      <c r="K1" s="116"/>
      <c r="N1" s="108" t="s">
        <v>124</v>
      </c>
      <c r="O1" s="109"/>
      <c r="P1" s="109"/>
      <c r="Q1" s="109"/>
      <c r="R1" s="109"/>
      <c r="S1" s="110"/>
    </row>
    <row r="2" spans="1:19" ht="16.5" thickBot="1" x14ac:dyDescent="0.3">
      <c r="A2" s="44" t="s">
        <v>105</v>
      </c>
      <c r="B2" s="27">
        <f>'Cross-sectional properties'!K44*Input!C20</f>
        <v>5078606421.232461</v>
      </c>
      <c r="C2" s="45" t="s">
        <v>106</v>
      </c>
      <c r="F2" s="111" t="s">
        <v>107</v>
      </c>
      <c r="G2" s="112"/>
      <c r="H2" s="120"/>
      <c r="I2" s="111" t="s">
        <v>108</v>
      </c>
      <c r="J2" s="112"/>
      <c r="K2" s="113"/>
      <c r="N2" s="111" t="s">
        <v>107</v>
      </c>
      <c r="O2" s="112"/>
      <c r="P2" s="113"/>
      <c r="Q2" s="111" t="s">
        <v>108</v>
      </c>
      <c r="R2" s="112"/>
      <c r="S2" s="113"/>
    </row>
    <row r="3" spans="1:19" ht="16.5" thickBot="1" x14ac:dyDescent="0.3">
      <c r="A3" s="44" t="s">
        <v>104</v>
      </c>
      <c r="B3" s="27">
        <f>Input!C20*'Cross-sectional properties'!J44</f>
        <v>416471095.73144674</v>
      </c>
      <c r="C3" s="45" t="s">
        <v>106</v>
      </c>
      <c r="E3" s="56" t="s">
        <v>123</v>
      </c>
      <c r="F3" s="57" t="s">
        <v>112</v>
      </c>
      <c r="G3" s="58" t="s">
        <v>111</v>
      </c>
      <c r="H3" s="60" t="s">
        <v>110</v>
      </c>
      <c r="I3" s="57" t="s">
        <v>112</v>
      </c>
      <c r="J3" s="58" t="s">
        <v>111</v>
      </c>
      <c r="K3" s="59" t="s">
        <v>110</v>
      </c>
      <c r="M3" s="56" t="s">
        <v>123</v>
      </c>
      <c r="N3" s="57" t="s">
        <v>112</v>
      </c>
      <c r="O3" s="58" t="s">
        <v>117</v>
      </c>
      <c r="P3" s="59" t="s">
        <v>118</v>
      </c>
      <c r="Q3" s="57" t="s">
        <v>112</v>
      </c>
      <c r="R3" s="58" t="s">
        <v>117</v>
      </c>
      <c r="S3" s="59" t="s">
        <v>118</v>
      </c>
    </row>
    <row r="4" spans="1:19" x14ac:dyDescent="0.25">
      <c r="A4" s="44" t="s">
        <v>127</v>
      </c>
      <c r="B4" s="27">
        <f>Input!C4*1000</f>
        <v>149</v>
      </c>
      <c r="C4" s="45" t="s">
        <v>85</v>
      </c>
      <c r="E4" s="106" t="s">
        <v>119</v>
      </c>
      <c r="F4" s="51" t="s">
        <v>115</v>
      </c>
      <c r="G4" s="26">
        <v>0</v>
      </c>
      <c r="H4" s="61">
        <f>Input!C15*10</f>
        <v>6.8100000000000005</v>
      </c>
      <c r="I4" s="51" t="s">
        <v>115</v>
      </c>
      <c r="J4" s="121">
        <v>0</v>
      </c>
      <c r="K4" s="124">
        <f>Input!C15*10</f>
        <v>6.8100000000000005</v>
      </c>
      <c r="M4" s="105" t="s">
        <v>119</v>
      </c>
      <c r="N4" s="51" t="s">
        <v>115</v>
      </c>
      <c r="O4" s="26">
        <f>3*$B$2*(G4/$B$5+G7/$B$6)/($B$5^2+$B$5*$B$6)</f>
        <v>0</v>
      </c>
      <c r="P4" s="50">
        <f>3*$B$3*(H4/$B$5+H7/$B$6)/($B$5^2+$B$5*$B$6)</f>
        <v>82.846966380527974</v>
      </c>
      <c r="Q4" s="51" t="s">
        <v>115</v>
      </c>
      <c r="R4" s="26">
        <f>O4</f>
        <v>0</v>
      </c>
      <c r="S4" s="50">
        <f>P4</f>
        <v>82.846966380527974</v>
      </c>
    </row>
    <row r="5" spans="1:19" x14ac:dyDescent="0.25">
      <c r="A5" s="44" t="s">
        <v>102</v>
      </c>
      <c r="B5" s="42">
        <f>(Input!C5-Input!C4)*1000</f>
        <v>405</v>
      </c>
      <c r="C5" s="45" t="s">
        <v>85</v>
      </c>
      <c r="E5" s="106"/>
      <c r="F5" s="44" t="s">
        <v>113</v>
      </c>
      <c r="G5" s="27">
        <f>-H4*SIN(PI()/180*Input!C17)</f>
        <v>-2.9853075096336172</v>
      </c>
      <c r="H5" s="62">
        <f>H4*COS(PI()/180*Input!C17)</f>
        <v>6.1207874552973278</v>
      </c>
      <c r="I5" s="44" t="s">
        <v>113</v>
      </c>
      <c r="J5" s="122"/>
      <c r="K5" s="125"/>
      <c r="M5" s="106"/>
      <c r="N5" s="44" t="s">
        <v>113</v>
      </c>
      <c r="O5" s="27">
        <f>3*$B$2*(G5/$B$5+G8/$B$6)/($B$5^2+$B$5*$B$6)</f>
        <v>-442.87204120856944</v>
      </c>
      <c r="P5" s="45">
        <f>3*$B$3*(H5/$B$5+H8/$B$6)/($B$5^2+$B$5*$B$6)</f>
        <v>74.46236013676581</v>
      </c>
      <c r="Q5" s="44" t="s">
        <v>113</v>
      </c>
      <c r="R5" s="27">
        <f>O5*COS(PI()/180*Input!C17)+P5*SIN(PI()/180*Input!C17)</f>
        <v>-365.40860370484626</v>
      </c>
      <c r="S5" s="45">
        <f>O5*SIN(PI()/180*Input!C17)+P5*COS(PI()/180*Input!C17)</f>
        <v>-127.2159986211106</v>
      </c>
    </row>
    <row r="6" spans="1:19" ht="16.5" thickBot="1" x14ac:dyDescent="0.3">
      <c r="A6" s="44" t="s">
        <v>103</v>
      </c>
      <c r="B6" s="42">
        <f>(Input!C6-Input!C5)*1000</f>
        <v>986.99999999999989</v>
      </c>
      <c r="C6" s="45" t="s">
        <v>85</v>
      </c>
      <c r="E6" s="107"/>
      <c r="F6" s="46" t="s">
        <v>114</v>
      </c>
      <c r="G6" s="47">
        <f>-G5</f>
        <v>2.9853075096336172</v>
      </c>
      <c r="H6" s="63">
        <f>H4*COS(PI()/180*Input!C17)</f>
        <v>6.1207874552973278</v>
      </c>
      <c r="I6" s="46" t="s">
        <v>114</v>
      </c>
      <c r="J6" s="123"/>
      <c r="K6" s="126"/>
      <c r="M6" s="107"/>
      <c r="N6" s="46" t="s">
        <v>114</v>
      </c>
      <c r="O6" s="47">
        <f>3*$B$2*(G6/$B$5+G9/$B$6)/($B$5^2+$B$5*$B$6)</f>
        <v>442.87204120856944</v>
      </c>
      <c r="P6" s="48">
        <f>3*$B$3*(H6/$B$5+H9/$B$6)/($B$5^2+$B$5*$B$6)</f>
        <v>74.46236013676581</v>
      </c>
      <c r="Q6" s="46" t="s">
        <v>114</v>
      </c>
      <c r="R6" s="47">
        <f>O5*COS(-PI()/180*Input!C17)+P5*SIN(-PI()/180*Input!C17)</f>
        <v>-430.69290411639685</v>
      </c>
      <c r="S6" s="48">
        <f>O5*SIN(-PI()/180*Input!C17)+P5*COS(-PI()/180*Input!C17)</f>
        <v>261.06865054972968</v>
      </c>
    </row>
    <row r="7" spans="1:19" ht="16.5" thickBot="1" x14ac:dyDescent="0.3">
      <c r="A7" s="64" t="s">
        <v>126</v>
      </c>
      <c r="B7" s="47">
        <f>Input!C3*1000-Input!C6*1000</f>
        <v>150</v>
      </c>
      <c r="C7" s="48" t="s">
        <v>85</v>
      </c>
      <c r="E7" s="106" t="s">
        <v>121</v>
      </c>
      <c r="F7" s="51" t="s">
        <v>115</v>
      </c>
      <c r="G7" s="26">
        <v>0</v>
      </c>
      <c r="H7" s="61">
        <f>Input!C16*10</f>
        <v>20.299999999999997</v>
      </c>
      <c r="I7" s="51" t="s">
        <v>115</v>
      </c>
      <c r="J7" s="121">
        <v>0</v>
      </c>
      <c r="K7" s="124">
        <f>Input!C16*10</f>
        <v>20.299999999999997</v>
      </c>
      <c r="M7" s="105" t="s">
        <v>120</v>
      </c>
      <c r="N7" s="51" t="s">
        <v>115</v>
      </c>
      <c r="O7" s="26">
        <f>-O4-O10</f>
        <v>0</v>
      </c>
      <c r="P7" s="50">
        <f>-P4-P10</f>
        <v>-116.84192219016711</v>
      </c>
      <c r="Q7" s="51" t="s">
        <v>115</v>
      </c>
      <c r="R7" s="26">
        <f>O7</f>
        <v>0</v>
      </c>
      <c r="S7" s="50">
        <f>P7</f>
        <v>-116.84192219016711</v>
      </c>
    </row>
    <row r="8" spans="1:19" x14ac:dyDescent="0.25">
      <c r="E8" s="106"/>
      <c r="F8" s="44" t="s">
        <v>113</v>
      </c>
      <c r="G8" s="27">
        <f>-H7*SIN(PI()/180*Input!C17)</f>
        <v>-8.8989342798182705</v>
      </c>
      <c r="H8" s="62">
        <f>H7*COS(PI()/180*Input!C17)</f>
        <v>18.245519139873089</v>
      </c>
      <c r="I8" s="44" t="s">
        <v>113</v>
      </c>
      <c r="J8" s="122"/>
      <c r="K8" s="125"/>
      <c r="M8" s="106"/>
      <c r="N8" s="44" t="s">
        <v>113</v>
      </c>
      <c r="O8" s="27">
        <f t="shared" ref="O8:O9" si="0">-O5-O11</f>
        <v>624.59765082302806</v>
      </c>
      <c r="P8" s="45">
        <f t="shared" ref="P8:P9" si="1">-P5-P11</f>
        <v>-105.01682402267275</v>
      </c>
      <c r="Q8" s="44" t="s">
        <v>113</v>
      </c>
      <c r="R8" s="27">
        <f>O8*COS(PI()/180*Input!C20)+P8*SIN(PI()/180*Input!C20)</f>
        <v>81.090383431089137</v>
      </c>
      <c r="S8" s="45">
        <f>O8*SIN(PI()/180*Input!C20)+P8*COS(PI()/180*Input!C20)</f>
        <v>567.09489576983094</v>
      </c>
    </row>
    <row r="9" spans="1:19" ht="16.5" thickBot="1" x14ac:dyDescent="0.3">
      <c r="E9" s="107"/>
      <c r="F9" s="46" t="s">
        <v>114</v>
      </c>
      <c r="G9" s="47">
        <f>-G8</f>
        <v>8.8989342798182705</v>
      </c>
      <c r="H9" s="63">
        <f>H7*COS(PI()/180*Input!C17)</f>
        <v>18.245519139873089</v>
      </c>
      <c r="I9" s="46" t="s">
        <v>114</v>
      </c>
      <c r="J9" s="123"/>
      <c r="K9" s="126"/>
      <c r="M9" s="107"/>
      <c r="N9" s="46" t="s">
        <v>114</v>
      </c>
      <c r="O9" s="47">
        <f t="shared" si="0"/>
        <v>-624.59765082302806</v>
      </c>
      <c r="P9" s="48">
        <f t="shared" si="1"/>
        <v>-105.01682402267275</v>
      </c>
      <c r="Q9" s="46" t="s">
        <v>114</v>
      </c>
      <c r="R9" s="47">
        <f>O8*COS(-PI()/180*Input!C20)+P8*SIN(-PI()/180*Input!C20)</f>
        <v>282.05343099005023</v>
      </c>
      <c r="S9" s="48">
        <f>O8*SIN(-PI()/180*Input!C20)+P8*COS(-PI()/180*Input!C20)</f>
        <v>-628.15213798605612</v>
      </c>
    </row>
    <row r="10" spans="1:19" x14ac:dyDescent="0.25">
      <c r="M10" s="105" t="s">
        <v>121</v>
      </c>
      <c r="N10" s="51" t="s">
        <v>115</v>
      </c>
      <c r="O10" s="26">
        <f>O4*$B$5/$B$6</f>
        <v>0</v>
      </c>
      <c r="P10" s="50">
        <f>P4*$B$5/$B$6</f>
        <v>33.994955809639144</v>
      </c>
      <c r="Q10" s="51" t="s">
        <v>115</v>
      </c>
      <c r="R10" s="26">
        <f>O10</f>
        <v>0</v>
      </c>
      <c r="S10" s="50">
        <f>P10</f>
        <v>33.994955809639144</v>
      </c>
    </row>
    <row r="11" spans="1:19" x14ac:dyDescent="0.25">
      <c r="M11" s="106"/>
      <c r="N11" s="44" t="s">
        <v>113</v>
      </c>
      <c r="O11" s="27">
        <f t="shared" ref="O11:O12" si="2">O5*$B$5/$B$6</f>
        <v>-181.72560961445862</v>
      </c>
      <c r="P11" s="45">
        <f t="shared" ref="P11:P12" si="3">P5*$B$5/$B$6</f>
        <v>30.554463885906948</v>
      </c>
      <c r="Q11" s="44" t="s">
        <v>113</v>
      </c>
      <c r="R11" s="27">
        <f>O11*COS(PI()/180*Input!C23)+P11*SIN(PI()/180*Input!C23)</f>
        <v>-181.72560961445862</v>
      </c>
      <c r="S11" s="45">
        <f>O11*SIN(PI()/180*Input!C23)+P11*COS(PI()/180*Input!C23)</f>
        <v>30.554463885906948</v>
      </c>
    </row>
    <row r="12" spans="1:19" ht="16.5" thickBot="1" x14ac:dyDescent="0.3">
      <c r="M12" s="107"/>
      <c r="N12" s="46" t="s">
        <v>114</v>
      </c>
      <c r="O12" s="47">
        <f t="shared" si="2"/>
        <v>181.72560961445862</v>
      </c>
      <c r="P12" s="48">
        <f t="shared" si="3"/>
        <v>30.554463885906948</v>
      </c>
      <c r="Q12" s="46" t="s">
        <v>114</v>
      </c>
      <c r="R12" s="47">
        <f>O11*COS(-PI()/180*Input!C23)+P11*SIN(-PI()/180*Input!C23)</f>
        <v>-181.72560961445862</v>
      </c>
      <c r="S12" s="48">
        <f>O11*SIN(-PI()/180*Input!C23)+P11*COS(-PI()/180*Input!C23)</f>
        <v>30.554463885906948</v>
      </c>
    </row>
    <row r="13" spans="1:19" ht="16.5" thickBot="1" x14ac:dyDescent="0.3"/>
    <row r="14" spans="1:19" ht="16.5" thickBot="1" x14ac:dyDescent="0.3">
      <c r="N14" s="108" t="s">
        <v>146</v>
      </c>
      <c r="O14" s="109"/>
      <c r="P14" s="109"/>
      <c r="Q14" s="109"/>
      <c r="R14" s="109"/>
      <c r="S14" s="110"/>
    </row>
    <row r="15" spans="1:19" ht="16.5" thickBot="1" x14ac:dyDescent="0.3">
      <c r="N15" s="111" t="s">
        <v>107</v>
      </c>
      <c r="O15" s="112"/>
      <c r="P15" s="113"/>
      <c r="Q15" s="111" t="s">
        <v>108</v>
      </c>
      <c r="R15" s="112"/>
      <c r="S15" s="113"/>
    </row>
    <row r="16" spans="1:19" ht="16.5" thickBot="1" x14ac:dyDescent="0.3">
      <c r="M16" s="56" t="s">
        <v>123</v>
      </c>
      <c r="N16" s="57" t="s">
        <v>112</v>
      </c>
      <c r="O16" s="58" t="s">
        <v>117</v>
      </c>
      <c r="P16" s="59" t="s">
        <v>118</v>
      </c>
      <c r="Q16" s="57" t="s">
        <v>112</v>
      </c>
      <c r="R16" s="58" t="s">
        <v>117</v>
      </c>
      <c r="S16" s="59" t="s">
        <v>118</v>
      </c>
    </row>
    <row r="17" spans="13:26" x14ac:dyDescent="0.25">
      <c r="M17" s="105" t="s">
        <v>119</v>
      </c>
      <c r="N17" s="51" t="s">
        <v>115</v>
      </c>
      <c r="O17" s="26">
        <v>0</v>
      </c>
      <c r="P17" s="50">
        <f>-Superpositioning!D20/1000*(SUM($B$4:$B$7) - (($B$5+$B$6+$B$7)^2-$B$4^2)/(2*($B$5+$B$6)))+3*V20*($B$5-$B$6)/($B$5^3*$B$6+$B$5^2*$B$6^2)</f>
        <v>1.0790209874141234</v>
      </c>
      <c r="Q17" s="51" t="s">
        <v>115</v>
      </c>
      <c r="R17" s="26">
        <f>O17</f>
        <v>0</v>
      </c>
      <c r="S17" s="50">
        <f>P17</f>
        <v>1.0790209874141234</v>
      </c>
    </row>
    <row r="18" spans="13:26" x14ac:dyDescent="0.25">
      <c r="M18" s="106"/>
      <c r="N18" s="44" t="s">
        <v>113</v>
      </c>
      <c r="O18" s="27">
        <f>-Superpositioning!C21/1000*(SUM($B$4:$B$7) - (($B$5+$B$6+$B$7)^2-$B$4^2)/(2*($B$5+$B$6)))+3*U21*($B$5-$B$6)/($B$5^3*$B$6+$B$5^2*$B$6^2)</f>
        <v>-0.47301166766221192</v>
      </c>
      <c r="P18" s="45">
        <f>-Superpositioning!D21/1000*(SUM($B$4:$B$7) - (($B$5+$B$6+$B$7)^2-$B$4^2)/(2*($B$5+$B$6)))+3*V21*($B$5-$B$6)/($B$5^3*$B$6+$B$5^2*$B$6^2)</f>
        <v>0.96981763931966269</v>
      </c>
      <c r="Q18" s="44" t="s">
        <v>113</v>
      </c>
      <c r="R18" s="27">
        <f>O18*COS(PI()/180*Input!C30)+P18*SIN(PI()/180*Input!C30)</f>
        <v>-0.47301166766221192</v>
      </c>
      <c r="S18" s="45">
        <f>O18*SIN(PI()/180*Input!C30)+P18*COS(PI()/180*Input!C30)</f>
        <v>0.96981763931966269</v>
      </c>
    </row>
    <row r="19" spans="13:26" ht="16.5" thickBot="1" x14ac:dyDescent="0.3">
      <c r="M19" s="107"/>
      <c r="N19" s="46" t="s">
        <v>114</v>
      </c>
      <c r="O19" s="47">
        <f>-Superpositioning!C22/1000*(SUM($B$4:$B$7) - (($B$5+$B$6+$B$7)^2-$B$4^2)/(2*($B$5+$B$6)))+3*U22*($B$5-$B$6)/($B$5^3*$B$6+$B$5^2*$B$6^2)</f>
        <v>0.47301166766221192</v>
      </c>
      <c r="P19" s="48">
        <f>-Superpositioning!D22/1000*(SUM($B$4:$B$7) - (($B$5+$B$6+$B$7)^2-$B$4^2)/(2*($B$5+$B$6)))+3*V22*($B$5-$B$6)/($B$5^3*$B$6+$B$5^2*$B$6^2)</f>
        <v>0.96981763931966269</v>
      </c>
      <c r="Q19" s="46" t="s">
        <v>114</v>
      </c>
      <c r="R19" s="47">
        <f>O18*COS(-PI()/180*Input!C30)+P18*SIN(-PI()/180*Input!C30)</f>
        <v>-0.47301166766221192</v>
      </c>
      <c r="S19" s="48">
        <f>O18*SIN(-PI()/180*Input!C30)+P18*COS(-PI()/180*Input!C30)</f>
        <v>0.96981763931966269</v>
      </c>
    </row>
    <row r="20" spans="13:26" x14ac:dyDescent="0.25">
      <c r="M20" s="105" t="s">
        <v>120</v>
      </c>
      <c r="N20" s="51" t="s">
        <v>115</v>
      </c>
      <c r="O20" s="26">
        <v>0</v>
      </c>
      <c r="P20" s="50">
        <f>-3*V20*($B$5-$B$6)/($B$5^3*$B$6+$B$5^2*$B$6^2)-3*V20*($B$5-$B$6)/($B$5^2*$B$6^2+$B$5*$B$6^3)</f>
        <v>1.7074042963723812</v>
      </c>
      <c r="Q20" s="51" t="s">
        <v>115</v>
      </c>
      <c r="R20" s="26">
        <f>O20</f>
        <v>0</v>
      </c>
      <c r="S20" s="50">
        <f>P20</f>
        <v>1.7074042963723812</v>
      </c>
      <c r="U20">
        <f>Superpositioning!C20/1000*(-1/24*($B$5^4-$B$5*($B$5+$B$6)^3)+1/6*(SUM($B$4:$B$7)-(($B$5+$B$6+$B$7)^2-$B$4^2)/(2*($B$5+$B$6)))*($B$5^3-$B$5*($B$5+$B$6)^2)-1/4*$B$4^2*($B$5^2-($B$5+$B$6)))</f>
        <v>0</v>
      </c>
      <c r="V20">
        <f>Superpositioning!D20/1000*(-1/24*($B$5^4-$B$5*($B$5+$B$6)^3)+1/6*(SUM($B$4:$B$7)-(($B$5+$B$6+$B$7)^2-$B$4^2)/(2*($B$5+$B$6)))*($B$5^3-$B$5*($B$5+$B$6)^2)-1/4*$B$4^2*($B$5^2-($B$5+$B$6)))</f>
        <v>156255920.73952851</v>
      </c>
    </row>
    <row r="21" spans="13:26" x14ac:dyDescent="0.25">
      <c r="M21" s="106"/>
      <c r="N21" s="44" t="s">
        <v>113</v>
      </c>
      <c r="O21" s="27">
        <f t="shared" ref="O21:P22" si="4">-3*U21*($B$5-$B$6)/($B$5^3*$B$6+$B$5^2*$B$6^2)-3*U21*($B$5-$B$6)/($B$5^2*$B$6^2+$B$5*$B$6^3)</f>
        <v>-0.74847677943335844</v>
      </c>
      <c r="P21" s="45">
        <f t="shared" si="4"/>
        <v>1.5346048162051147</v>
      </c>
      <c r="Q21" s="44" t="s">
        <v>113</v>
      </c>
      <c r="R21" s="27">
        <f>O21*COS(PI()/180*Input!C33)+P21*SIN(PI()/180*Input!C33)</f>
        <v>-0.74847677943335844</v>
      </c>
      <c r="S21" s="45">
        <f>O21*SIN(PI()/180*Input!C33)+P21*COS(PI()/180*Input!C33)</f>
        <v>1.5346048162051147</v>
      </c>
      <c r="U21">
        <f>Superpositioning!C21/1000*(-1/24*($B$5^4-$B$5*($B$5+$B$6)^3)+1/6*(SUM($B$4:$B$7)-(($B$5+$B$6+$B$7)^2-$B$4^2)/(2*($B$5+$B$6)))*($B$5^3-$B$5*($B$5+$B$6)^2)-1/4*$B$4^2*($B$5^2-($B$5+$B$6)))</f>
        <v>-68498087.167170286</v>
      </c>
      <c r="V21">
        <f>Superpositioning!D21/1000*(-1/24*($B$5^4-$B$5*($B$5+$B$6)^3)+1/6*(SUM($B$4:$B$7)-(($B$5+$B$6+$B$7)^2-$B$4^2)/(2*($B$5+$B$6)))*($B$5^3-$B$5*($B$5+$B$6)^2)-1/4*$B$4^2*($B$5^2-($B$5+$B$6)))</f>
        <v>140441891.25968277</v>
      </c>
    </row>
    <row r="22" spans="13:26" ht="16.5" thickBot="1" x14ac:dyDescent="0.3">
      <c r="M22" s="107"/>
      <c r="N22" s="46" t="s">
        <v>114</v>
      </c>
      <c r="O22" s="47">
        <f t="shared" si="4"/>
        <v>0.74847677943335844</v>
      </c>
      <c r="P22" s="48">
        <f t="shared" si="4"/>
        <v>1.5346048162051147</v>
      </c>
      <c r="Q22" s="46" t="s">
        <v>114</v>
      </c>
      <c r="R22" s="47">
        <f>O21*COS(-PI()/180*Input!C33)+P21*SIN(-PI()/180*Input!C33)</f>
        <v>-0.74847677943335844</v>
      </c>
      <c r="S22" s="48">
        <f>O21*SIN(-PI()/180*Input!C33)+P21*COS(-PI()/180*Input!C33)</f>
        <v>1.5346048162051147</v>
      </c>
      <c r="U22">
        <f>Superpositioning!C22/1000*(-1/24*($B$5^4-$B$5*($B$5+$B$6)^3)+1/6*(SUM($B$4:$B$7)-(($B$5+$B$6+$B$7)^2-$B$4^2)/(2*($B$5+$B$6)))*($B$5^3-$B$5*($B$5+$B$6)^2)-1/4*$B$4^2*($B$5^2-($B$5+$B$6)))</f>
        <v>68498087.167170286</v>
      </c>
      <c r="V22">
        <f>Superpositioning!D22/1000*(-1/24*($B$5^4-$B$5*($B$5+$B$6)^3)+1/6*(SUM($B$4:$B$7)-(($B$5+$B$6+$B$7)^2-$B$4^2)/(2*($B$5+$B$6)))*($B$5^3-$B$5*($B$5+$B$6)^2)-1/4*$B$4^2*($B$5^2-($B$5+$B$6)))</f>
        <v>140441891.25968277</v>
      </c>
    </row>
    <row r="23" spans="13:26" x14ac:dyDescent="0.25">
      <c r="M23" s="105" t="s">
        <v>121</v>
      </c>
      <c r="N23" s="51" t="s">
        <v>115</v>
      </c>
      <c r="O23" s="26">
        <f>-Superpositioning!C20/1000*(($B$5+$B$6+$B$7)^2-$B$4^2)/(2*($B$5+$B$6))+3*U20*($B$5-$B$6)/($B$5^2*$B$6^2+$B$5*$B$6^3)</f>
        <v>0</v>
      </c>
      <c r="P23" s="50">
        <f>-Superpositioning!D20/1000*(($B$5+$B$6+$B$7)^2-$B$4^2)/(2*($B$5+$B$6))+3*V20*($B$5-$B$6)/($B$5^2*$B$6^2+$B$5*$B$6^3)</f>
        <v>1.7961847162134956</v>
      </c>
      <c r="Q23" s="51" t="s">
        <v>115</v>
      </c>
      <c r="R23" s="26">
        <f>O23</f>
        <v>0</v>
      </c>
      <c r="S23" s="50">
        <f>P23</f>
        <v>1.7961847162134956</v>
      </c>
    </row>
    <row r="24" spans="13:26" x14ac:dyDescent="0.25">
      <c r="M24" s="106"/>
      <c r="N24" s="44" t="s">
        <v>113</v>
      </c>
      <c r="O24" s="27">
        <f>-Superpositioning!C21/1000*(($B$5+$B$6+$B$7)^2-$B$4^2)/(2*($B$5+$B$6))+3*U21*($B$5-$B$6)/($B$5^2*$B$6^2+$B$5*$B$6^3)</f>
        <v>-0.78739555389152349</v>
      </c>
      <c r="P24" s="45">
        <f>-Superpositioning!D21/1000*(($B$5+$B$6+$B$7)^2-$B$4^2)/(2*($B$5+$B$6))+3*V21*($B$5-$B$6)/($B$5^2*$B$6^2+$B$5*$B$6^3)</f>
        <v>1.6144001289862491</v>
      </c>
      <c r="Q24" s="44" t="s">
        <v>113</v>
      </c>
      <c r="R24" s="27">
        <f>O24*COS(PI()/180*Input!C36)+P24*SIN(PI()/180*Input!C36)</f>
        <v>-0.78739555389152349</v>
      </c>
      <c r="S24" s="45">
        <f>O24*SIN(PI()/180*Input!C36)+P24*COS(PI()/180*Input!C36)</f>
        <v>1.6144001289862491</v>
      </c>
    </row>
    <row r="25" spans="13:26" ht="16.5" thickBot="1" x14ac:dyDescent="0.3">
      <c r="M25" s="107"/>
      <c r="N25" s="46" t="s">
        <v>114</v>
      </c>
      <c r="O25" s="47">
        <f>-Superpositioning!C22/1000*(($B$5+$B$6+$B$7)^2-$B$4^2)/(2*($B$5+$B$6))+3*U22*($B$5-$B$6)/($B$5^2*$B$6^2+$B$5*$B$6^3)</f>
        <v>0.78739555389152349</v>
      </c>
      <c r="P25" s="48">
        <f>-Superpositioning!D22/1000*(($B$5+$B$6+$B$7)^2-$B$4^2)/(2*($B$5+$B$6))+3*V22*($B$5-$B$6)/($B$5^2*$B$6^2+$B$5*$B$6^3)</f>
        <v>1.6144001289862491</v>
      </c>
      <c r="Q25" s="46" t="s">
        <v>114</v>
      </c>
      <c r="R25" s="47">
        <f>O24*COS(-PI()/180*Input!C36)+P24*SIN(-PI()/180*Input!C36)</f>
        <v>-0.78739555389152349</v>
      </c>
      <c r="S25" s="48">
        <f>O24*SIN(-PI()/180*Input!C36)+P24*COS(-PI()/180*Input!C36)</f>
        <v>1.6144001289862491</v>
      </c>
    </row>
    <row r="26" spans="13:26" ht="16.5" thickBot="1" x14ac:dyDescent="0.3"/>
    <row r="27" spans="13:26" ht="16.5" thickBot="1" x14ac:dyDescent="0.3">
      <c r="N27" s="108" t="s">
        <v>147</v>
      </c>
      <c r="O27" s="109"/>
      <c r="P27" s="109"/>
      <c r="Q27" s="109"/>
      <c r="R27" s="109"/>
      <c r="S27" s="110"/>
    </row>
    <row r="28" spans="13:26" ht="16.5" thickBot="1" x14ac:dyDescent="0.3">
      <c r="N28" s="111" t="s">
        <v>107</v>
      </c>
      <c r="O28" s="112"/>
      <c r="P28" s="113"/>
      <c r="Q28" s="111" t="s">
        <v>108</v>
      </c>
      <c r="R28" s="112"/>
      <c r="S28" s="113"/>
    </row>
    <row r="29" spans="13:26" ht="16.5" thickBot="1" x14ac:dyDescent="0.3">
      <c r="M29" s="56" t="s">
        <v>123</v>
      </c>
      <c r="N29" s="57" t="s">
        <v>112</v>
      </c>
      <c r="O29" s="58" t="s">
        <v>117</v>
      </c>
      <c r="P29" s="59" t="s">
        <v>118</v>
      </c>
      <c r="Q29" s="57" t="s">
        <v>112</v>
      </c>
      <c r="R29" s="58" t="s">
        <v>117</v>
      </c>
      <c r="S29" s="59" t="s">
        <v>118</v>
      </c>
    </row>
    <row r="30" spans="13:26" x14ac:dyDescent="0.25">
      <c r="M30" s="105" t="s">
        <v>119</v>
      </c>
      <c r="N30" s="52" t="s">
        <v>115</v>
      </c>
      <c r="O30" s="53">
        <f>-W30-Y30+3*U33*($B$5-$B$6)/($B$5^3*$B$6+$B$5^2*$B$6^2)</f>
        <v>-12.895326584644117</v>
      </c>
      <c r="P30" s="53">
        <f>-X30-Z30+3*V33*($B$5-$B$6)/($B$5^3*$B$6+$B$5^2*$B$6^2)</f>
        <v>0</v>
      </c>
      <c r="Q30" s="52" t="s">
        <v>115</v>
      </c>
      <c r="R30" s="53">
        <f>O30</f>
        <v>-12.895326584644117</v>
      </c>
      <c r="S30" s="54">
        <f>P30</f>
        <v>0</v>
      </c>
      <c r="W30">
        <f>Superpositioning!C13*(1-(Superpositioning!$I$6-Superpositioning!$I$5)/($B$5+$B$6))</f>
        <v>32.05047339491562</v>
      </c>
      <c r="X30">
        <f>Superpositioning!D13*(1-(Superpositioning!$I$6-Superpositioning!$I$5)/($B$5+$B$6))</f>
        <v>0</v>
      </c>
      <c r="Y30">
        <f>Superpositioning!C23*(1-(Superpositioning!$I$7-Superpositioning!$I$5)/($B$5+$B$6))</f>
        <v>-23.170186781609196</v>
      </c>
      <c r="Z30">
        <f>Superpositioning!D23*(1-(Superpositioning!$I$7-Superpositioning!$I$5)/($B$5+$B$6))</f>
        <v>0</v>
      </c>
    </row>
    <row r="31" spans="13:26" x14ac:dyDescent="0.25">
      <c r="M31" s="106"/>
      <c r="N31" s="44" t="s">
        <v>113</v>
      </c>
      <c r="O31" s="26">
        <f t="shared" ref="O31:P32" si="5">-W31-Y31+3*U34*($B$5-$B$6)/($B$5^3*$B$6+$B$5^2*$B$6^2)</f>
        <v>-11.590242759361505</v>
      </c>
      <c r="P31" s="26">
        <f>-X31-Z31+3*V34*($B$5-$B$6)/($B$5^3*$B$6+$B$5^2*$B$6^2)</f>
        <v>-5.6529391031301177</v>
      </c>
      <c r="Q31" s="44" t="s">
        <v>113</v>
      </c>
      <c r="R31" s="27">
        <f>O31*COS(PI()/180*Input!C43)+P31*SIN(PI()/180*Input!C43)</f>
        <v>-11.590242759361505</v>
      </c>
      <c r="S31" s="45">
        <f>O31*SIN(PI()/180*Input!C43)+P31*COS(PI()/180*Input!C43)</f>
        <v>-5.6529391031301177</v>
      </c>
      <c r="W31">
        <f>Superpositioning!C14*(1-(Superpositioning!$I$6-Superpositioning!$I$5)/($B$5+$B$6))</f>
        <v>28.806774668420012</v>
      </c>
      <c r="X31">
        <f>Superpositioning!D14*(1-(Superpositioning!$I$6-Superpositioning!$I$5)/($B$5+$B$6))</f>
        <v>14.050002777261975</v>
      </c>
      <c r="Y31">
        <f>Superpositioning!C24*(1-(Superpositioning!$I$7-Superpositioning!$I$5)/($B$5+$B$6))</f>
        <v>-20.825225930950005</v>
      </c>
      <c r="Z31">
        <f>Superpositioning!D24*(1-(Superpositioning!$I$7-Superpositioning!$I$5)/($B$5+$B$6))</f>
        <v>-10.157141350771147</v>
      </c>
    </row>
    <row r="32" spans="13:26" ht="16.5" thickBot="1" x14ac:dyDescent="0.3">
      <c r="M32" s="107"/>
      <c r="N32" s="46" t="s">
        <v>114</v>
      </c>
      <c r="O32" s="26">
        <f t="shared" si="5"/>
        <v>-11.590242759361505</v>
      </c>
      <c r="P32" s="26">
        <f t="shared" si="5"/>
        <v>5.6529391031301177</v>
      </c>
      <c r="Q32" s="46" t="s">
        <v>114</v>
      </c>
      <c r="R32" s="47">
        <f>O31*COS(-PI()/180*Input!C43)+P31*SIN(-PI()/180*Input!C43)</f>
        <v>-11.590242759361505</v>
      </c>
      <c r="S32" s="48">
        <f>O31*SIN(-PI()/180*Input!C43)+P31*COS(-PI()/180*Input!C43)</f>
        <v>-5.6529391031301177</v>
      </c>
      <c r="W32">
        <f>Superpositioning!C15*(1-(Superpositioning!$I$6-Superpositioning!$I$5)/($B$5+$B$6))</f>
        <v>28.806774668420012</v>
      </c>
      <c r="X32">
        <f>Superpositioning!D15*(1-(Superpositioning!$I$6-Superpositioning!$I$5)/($B$5+$B$6))</f>
        <v>-14.050002777261975</v>
      </c>
      <c r="Y32">
        <f>Superpositioning!C25*(1-(Superpositioning!$I$7-Superpositioning!$I$5)/($B$5+$B$6))</f>
        <v>-20.825225930950005</v>
      </c>
      <c r="Z32">
        <f>Superpositioning!D25*(1-(Superpositioning!$I$7-Superpositioning!$I$5)/($B$5+$B$6))</f>
        <v>10.157141350771147</v>
      </c>
    </row>
    <row r="33" spans="13:26" x14ac:dyDescent="0.25">
      <c r="M33" s="105" t="s">
        <v>120</v>
      </c>
      <c r="N33" s="51" t="s">
        <v>115</v>
      </c>
      <c r="O33" s="26">
        <f>-3*U33*($B$5-$B$6)/($B$5^3*$B$6+$B$5^2*$B$6^2)-3*U33*($B$5-$B$6)/($B$5^2*$B$6^2+$B$5*$B$6^3)</f>
        <v>5.6625487741662281</v>
      </c>
      <c r="P33" s="50">
        <f>-3*V33*($B$5-$B$6)/($B$5^3*$B$6+$B$5^2*$B$6^2)-3*V33*($B$5-$B$6)/($B$5^2*$B$6^2+$B$5*$B$6^3)</f>
        <v>0</v>
      </c>
      <c r="Q33" s="51" t="s">
        <v>115</v>
      </c>
      <c r="R33" s="26">
        <f>O33</f>
        <v>5.6625487741662281</v>
      </c>
      <c r="S33" s="50">
        <f>P33</f>
        <v>0</v>
      </c>
      <c r="U33">
        <f>W33+Y33</f>
        <v>518217492.0841701</v>
      </c>
      <c r="V33">
        <f>X33+Z33</f>
        <v>0</v>
      </c>
      <c r="W33">
        <f>-((W30*((1/2*$B$5^2*$B$6+1/6*$B$5^3))+1/3*W36*$B$6^3)/($B$5+$B$6)*$B$5-1/6*W30*$B$5^3)</f>
        <v>-1219119006.5785446</v>
      </c>
      <c r="X33">
        <f t="shared" ref="X33:Z33" si="6">-((X30*((1/2*$B$5^2*$B$6+1/6*$B$5^3))+1/3*X36*$B$6^3)/($B$5+$B$6)*$B$5-1/6*X30*$B$5^3)</f>
        <v>0</v>
      </c>
      <c r="Y33">
        <f t="shared" si="6"/>
        <v>1737336498.6627147</v>
      </c>
      <c r="Z33">
        <f t="shared" si="6"/>
        <v>0</v>
      </c>
    </row>
    <row r="34" spans="13:26" x14ac:dyDescent="0.25">
      <c r="M34" s="106"/>
      <c r="N34" s="44" t="s">
        <v>113</v>
      </c>
      <c r="O34" s="27">
        <f t="shared" ref="O34:O35" si="7">-3*U34*($B$5-$B$6)/($B$5^3*$B$6+$B$5^2*$B$6^2)-3*U34*($B$5-$B$6)/($B$5^2*$B$6^2+$B$5*$B$6^3)</f>
        <v>5.0894651250992551</v>
      </c>
      <c r="P34" s="45">
        <f t="shared" ref="P34:P35" si="8">-3*V34*($B$5-$B$6)/($B$5^3*$B$6+$B$5^2*$B$6^2)-3*V34*($B$5-$B$6)/($B$5^2*$B$6^2+$B$5*$B$6^3)</f>
        <v>2.4822979998803354</v>
      </c>
      <c r="Q34" s="44" t="s">
        <v>113</v>
      </c>
      <c r="R34" s="27">
        <f>O34*COS(PI()/180*Input!C46)+P34*SIN(PI()/180*Input!C46)</f>
        <v>5.0894651250992551</v>
      </c>
      <c r="S34" s="45">
        <f>O34*SIN(PI()/180*Input!C46)+P34*COS(PI()/180*Input!C46)</f>
        <v>2.4822979998803354</v>
      </c>
      <c r="U34">
        <f t="shared" ref="U34:U35" si="9">W34+Y34</f>
        <v>465770796.57333803</v>
      </c>
      <c r="V34">
        <f t="shared" ref="V34:V35" si="10">X34+Z34</f>
        <v>227171596.2910974</v>
      </c>
      <c r="W34">
        <f t="shared" ref="W34:Z35" si="11">-((W31*((1/2*$B$5^2*$B$6+1/6*$B$5^3))+1/3*W37*$B$6^3)/($B$5+$B$6)*$B$5-1/6*W31*$B$5^3)</f>
        <v>-1095736904.8429511</v>
      </c>
      <c r="X34">
        <f t="shared" si="11"/>
        <v>-534426596.98619723</v>
      </c>
      <c r="Y34">
        <f t="shared" si="11"/>
        <v>1561507701.4162891</v>
      </c>
      <c r="Z34">
        <f t="shared" si="11"/>
        <v>761598193.27729464</v>
      </c>
    </row>
    <row r="35" spans="13:26" ht="16.5" thickBot="1" x14ac:dyDescent="0.3">
      <c r="M35" s="107"/>
      <c r="N35" s="46" t="s">
        <v>114</v>
      </c>
      <c r="O35" s="47">
        <f t="shared" si="7"/>
        <v>5.0894651250992551</v>
      </c>
      <c r="P35" s="48">
        <f t="shared" si="8"/>
        <v>-2.4822979998803354</v>
      </c>
      <c r="Q35" s="46" t="s">
        <v>114</v>
      </c>
      <c r="R35" s="47">
        <f>O34*COS(-PI()/180*Input!C46)+P34*SIN(-PI()/180*Input!C46)</f>
        <v>5.0894651250992551</v>
      </c>
      <c r="S35" s="48">
        <f>O34*SIN(-PI()/180*Input!C46)+P34*COS(-PI()/180*Input!C46)</f>
        <v>2.4822979998803354</v>
      </c>
      <c r="U35">
        <f t="shared" si="9"/>
        <v>465770796.57333803</v>
      </c>
      <c r="V35">
        <f t="shared" si="10"/>
        <v>-227171596.2910974</v>
      </c>
      <c r="W35">
        <f t="shared" si="11"/>
        <v>-1095736904.8429511</v>
      </c>
      <c r="X35">
        <f t="shared" si="11"/>
        <v>534426596.98619723</v>
      </c>
      <c r="Y35">
        <f t="shared" si="11"/>
        <v>1561507701.4162891</v>
      </c>
      <c r="Z35">
        <f t="shared" si="11"/>
        <v>-761598193.27729464</v>
      </c>
    </row>
    <row r="36" spans="13:26" x14ac:dyDescent="0.25">
      <c r="M36" s="105" t="s">
        <v>121</v>
      </c>
      <c r="N36" s="51" t="s">
        <v>115</v>
      </c>
      <c r="O36" s="26">
        <f>-W36-Y36+3*U33*($B$5-$B$6)/($B$5^2*$B$6^2+$B$5*$B$6^3)</f>
        <v>5.405031625506787</v>
      </c>
      <c r="P36" s="26">
        <f>-X36-Z36+3*V33*($B$5-$B$6)/($B$5^2*$B$6^2+$B$5*$B$6^3)</f>
        <v>0</v>
      </c>
      <c r="Q36" s="51" t="s">
        <v>115</v>
      </c>
      <c r="R36" s="26">
        <f>O36</f>
        <v>5.405031625506787</v>
      </c>
      <c r="S36" s="50">
        <f>P36</f>
        <v>0</v>
      </c>
      <c r="W36">
        <f>Superpositioning!C13*(Superpositioning!$I$6-Superpositioning!$I$5)/($B$5+$B$6)</f>
        <v>7.6772727900554791</v>
      </c>
      <c r="X36">
        <f>Superpositioning!D13*(Superpositioning!$I$6-Superpositioning!$I$5)/($B$5+$B$6)</f>
        <v>0</v>
      </c>
      <c r="Y36">
        <f>Superpositioning!C23*(Superpositioning!$I$7-Superpositioning!$I$5)/($B$5+$B$6)</f>
        <v>-14.729813218390802</v>
      </c>
      <c r="Z36">
        <f>Superpositioning!D23*(Superpositioning!$I$7-Superpositioning!$I$5)/($B$5+$B$6)</f>
        <v>0</v>
      </c>
    </row>
    <row r="37" spans="13:26" x14ac:dyDescent="0.25">
      <c r="M37" s="106"/>
      <c r="N37" s="44" t="s">
        <v>113</v>
      </c>
      <c r="O37" s="26">
        <f t="shared" ref="O37:P38" si="12">-W37-Y37+3*U34*($B$5-$B$6)/($B$5^2*$B$6^2+$B$5*$B$6^3)</f>
        <v>4.8580102450642118</v>
      </c>
      <c r="P37" s="26">
        <f t="shared" si="12"/>
        <v>2.3694099121046417</v>
      </c>
      <c r="Q37" s="44" t="s">
        <v>113</v>
      </c>
      <c r="R37" s="27">
        <f>O37*COS(PI()/180*Input!C49)+P37*SIN(PI()/180*Input!C49)</f>
        <v>4.8580102450642118</v>
      </c>
      <c r="S37" s="45">
        <f>O37*SIN(PI()/180*Input!C49)+P37*COS(PI()/180*Input!C49)</f>
        <v>2.3694099121046417</v>
      </c>
      <c r="W37">
        <f>Superpositioning!C14*(Superpositioning!$I$6-Superpositioning!$I$5)/($B$5+$B$6)</f>
        <v>6.9002870755164585</v>
      </c>
      <c r="X37">
        <f>Superpositioning!D14*(Superpositioning!$I$6-Superpositioning!$I$5)/($B$5+$B$6)</f>
        <v>3.3654948771891999</v>
      </c>
      <c r="Y37">
        <f>Superpositioning!C24*(Superpositioning!$I$7-Superpositioning!$I$5)/($B$5+$B$6)</f>
        <v>-13.239068423788428</v>
      </c>
      <c r="Z37">
        <f>Superpositioning!D24*(Superpositioning!$I$7-Superpositioning!$I$5)/($B$5+$B$6)</f>
        <v>-6.4571251125348876</v>
      </c>
    </row>
    <row r="38" spans="13:26" ht="16.5" thickBot="1" x14ac:dyDescent="0.3">
      <c r="M38" s="107"/>
      <c r="N38" s="46" t="s">
        <v>114</v>
      </c>
      <c r="O38" s="96">
        <f t="shared" si="12"/>
        <v>4.8580102450642118</v>
      </c>
      <c r="P38" s="96">
        <f t="shared" si="12"/>
        <v>-2.3694099121046417</v>
      </c>
      <c r="Q38" s="46" t="s">
        <v>114</v>
      </c>
      <c r="R38" s="47">
        <f>O37*COS(-PI()/180*Input!C49)+P37*SIN(-PI()/180*Input!C49)</f>
        <v>4.8580102450642118</v>
      </c>
      <c r="S38" s="48">
        <f>O37*SIN(-PI()/180*Input!C49)+P37*COS(-PI()/180*Input!C49)</f>
        <v>2.3694099121046417</v>
      </c>
      <c r="W38">
        <f>Superpositioning!C15*(Superpositioning!$I$6-Superpositioning!$I$5)/($B$5+$B$6)</f>
        <v>6.9002870755164585</v>
      </c>
      <c r="X38">
        <f>Superpositioning!D15*(Superpositioning!$I$6-Superpositioning!$I$5)/($B$5+$B$6)</f>
        <v>-3.3654948771891999</v>
      </c>
      <c r="Y38">
        <f>Superpositioning!C25*(Superpositioning!$I$7-Superpositioning!$I$5)/($B$5+$B$6)</f>
        <v>-13.239068423788428</v>
      </c>
      <c r="Z38">
        <f>Superpositioning!D25*(Superpositioning!$I$7-Superpositioning!$I$5)/($B$5+$B$6)</f>
        <v>6.4571251125348876</v>
      </c>
    </row>
    <row r="39" spans="13:26" ht="16.5" thickBot="1" x14ac:dyDescent="0.3"/>
    <row r="40" spans="13:26" ht="16.5" thickBot="1" x14ac:dyDescent="0.3">
      <c r="N40" s="108" t="s">
        <v>148</v>
      </c>
      <c r="O40" s="109"/>
      <c r="P40" s="109"/>
      <c r="Q40" s="109"/>
      <c r="R40" s="109"/>
      <c r="S40" s="110"/>
    </row>
    <row r="41" spans="13:26" ht="16.5" thickBot="1" x14ac:dyDescent="0.3">
      <c r="N41" s="111" t="s">
        <v>107</v>
      </c>
      <c r="O41" s="112"/>
      <c r="P41" s="113"/>
      <c r="Q41" s="111" t="s">
        <v>108</v>
      </c>
      <c r="R41" s="112"/>
      <c r="S41" s="113"/>
    </row>
    <row r="42" spans="13:26" ht="16.5" thickBot="1" x14ac:dyDescent="0.3">
      <c r="M42" s="56" t="s">
        <v>123</v>
      </c>
      <c r="N42" s="57" t="s">
        <v>112</v>
      </c>
      <c r="O42" s="58" t="s">
        <v>117</v>
      </c>
      <c r="P42" s="59" t="s">
        <v>118</v>
      </c>
      <c r="Q42" s="57" t="s">
        <v>112</v>
      </c>
      <c r="R42" s="58" t="s">
        <v>117</v>
      </c>
      <c r="S42" s="59" t="s">
        <v>118</v>
      </c>
    </row>
    <row r="43" spans="13:26" x14ac:dyDescent="0.25">
      <c r="M43" s="105" t="s">
        <v>119</v>
      </c>
      <c r="N43" s="51" t="s">
        <v>115</v>
      </c>
      <c r="O43" s="26">
        <f>O4+O17+O30</f>
        <v>-12.895326584644117</v>
      </c>
      <c r="P43" s="50">
        <f>P4+P17+P30</f>
        <v>83.925987367942099</v>
      </c>
      <c r="Q43" s="51" t="s">
        <v>115</v>
      </c>
      <c r="R43" s="26">
        <f>R4+R17+R30</f>
        <v>-12.895326584644117</v>
      </c>
      <c r="S43" s="50">
        <f>S4+S17+S30</f>
        <v>83.925987367942099</v>
      </c>
    </row>
    <row r="44" spans="13:26" x14ac:dyDescent="0.25">
      <c r="M44" s="106"/>
      <c r="N44" s="44" t="s">
        <v>113</v>
      </c>
      <c r="O44" s="27">
        <f t="shared" ref="O44" si="13">O5+O18+O31</f>
        <v>-454.93529563559315</v>
      </c>
      <c r="P44" s="45">
        <f>P5+P18+P31</f>
        <v>69.779238672955344</v>
      </c>
      <c r="Q44" s="44" t="s">
        <v>113</v>
      </c>
      <c r="R44" s="27">
        <f t="shared" ref="R44:S44" si="14">R5+R18+R31</f>
        <v>-377.47185813186996</v>
      </c>
      <c r="S44" s="45">
        <f t="shared" si="14"/>
        <v>-131.89912008492107</v>
      </c>
    </row>
    <row r="45" spans="13:26" ht="16.5" thickBot="1" x14ac:dyDescent="0.3">
      <c r="M45" s="107"/>
      <c r="N45" s="46" t="s">
        <v>114</v>
      </c>
      <c r="O45" s="47">
        <f t="shared" ref="O45:P45" si="15">O6+O19+O32</f>
        <v>431.75481011687015</v>
      </c>
      <c r="P45" s="48">
        <f t="shared" si="15"/>
        <v>81.08511687921559</v>
      </c>
      <c r="Q45" s="46" t="s">
        <v>114</v>
      </c>
      <c r="R45" s="47">
        <f t="shared" ref="R45:S45" si="16">R6+R19+R32</f>
        <v>-442.75615854342055</v>
      </c>
      <c r="S45" s="48">
        <f t="shared" si="16"/>
        <v>256.38552908591925</v>
      </c>
    </row>
    <row r="46" spans="13:26" x14ac:dyDescent="0.25">
      <c r="M46" s="105" t="s">
        <v>120</v>
      </c>
      <c r="N46" s="51" t="s">
        <v>115</v>
      </c>
      <c r="O46" s="26">
        <f t="shared" ref="O46:P46" si="17">O7+O20+O33</f>
        <v>5.6625487741662281</v>
      </c>
      <c r="P46" s="50">
        <f t="shared" si="17"/>
        <v>-115.13451789379474</v>
      </c>
      <c r="Q46" s="51" t="s">
        <v>115</v>
      </c>
      <c r="R46" s="26">
        <f t="shared" ref="R46:S46" si="18">R7+R20+R33</f>
        <v>5.6625487741662281</v>
      </c>
      <c r="S46" s="50">
        <f t="shared" si="18"/>
        <v>-115.13451789379474</v>
      </c>
    </row>
    <row r="47" spans="13:26" x14ac:dyDescent="0.25">
      <c r="M47" s="106"/>
      <c r="N47" s="44" t="s">
        <v>113</v>
      </c>
      <c r="O47" s="27">
        <f t="shared" ref="O47:P47" si="19">O8+O21+O34</f>
        <v>628.93863916869407</v>
      </c>
      <c r="P47" s="45">
        <f t="shared" si="19"/>
        <v>-100.9999212065873</v>
      </c>
      <c r="Q47" s="44" t="s">
        <v>113</v>
      </c>
      <c r="R47" s="27">
        <f t="shared" ref="R47:S47" si="20">R8+R21+R34</f>
        <v>85.431371776755029</v>
      </c>
      <c r="S47" s="45">
        <f t="shared" si="20"/>
        <v>571.1117985859164</v>
      </c>
    </row>
    <row r="48" spans="13:26" ht="16.5" thickBot="1" x14ac:dyDescent="0.3">
      <c r="M48" s="107"/>
      <c r="N48" s="46" t="s">
        <v>114</v>
      </c>
      <c r="O48" s="47">
        <f t="shared" ref="O48:P48" si="21">O9+O22+O35</f>
        <v>-618.75970891849545</v>
      </c>
      <c r="P48" s="48">
        <f t="shared" si="21"/>
        <v>-105.96451720634796</v>
      </c>
      <c r="Q48" s="46" t="s">
        <v>114</v>
      </c>
      <c r="R48" s="47">
        <f t="shared" ref="R48:S48" si="22">R9+R22+R35</f>
        <v>286.39441933571612</v>
      </c>
      <c r="S48" s="48">
        <f t="shared" si="22"/>
        <v>-624.13523516997066</v>
      </c>
    </row>
    <row r="49" spans="10:19" x14ac:dyDescent="0.25">
      <c r="M49" s="105" t="s">
        <v>121</v>
      </c>
      <c r="N49" s="51" t="s">
        <v>115</v>
      </c>
      <c r="O49" s="26">
        <f t="shared" ref="O49:P49" si="23">O10+O23+O36</f>
        <v>5.405031625506787</v>
      </c>
      <c r="P49" s="50">
        <f t="shared" si="23"/>
        <v>35.79114052585264</v>
      </c>
      <c r="Q49" s="51" t="s">
        <v>115</v>
      </c>
      <c r="R49" s="26">
        <f t="shared" ref="R49:S49" si="24">R10+R23+R36</f>
        <v>5.405031625506787</v>
      </c>
      <c r="S49" s="50">
        <f t="shared" si="24"/>
        <v>35.79114052585264</v>
      </c>
    </row>
    <row r="50" spans="10:19" x14ac:dyDescent="0.25">
      <c r="M50" s="106"/>
      <c r="N50" s="44" t="s">
        <v>113</v>
      </c>
      <c r="O50" s="27">
        <f t="shared" ref="O50:P50" si="25">O11+O24+O37</f>
        <v>-177.65499492328593</v>
      </c>
      <c r="P50" s="45">
        <f t="shared" si="25"/>
        <v>34.538273926997839</v>
      </c>
      <c r="Q50" s="44" t="s">
        <v>113</v>
      </c>
      <c r="R50" s="27">
        <f t="shared" ref="R50:S50" si="26">R11+R24+R37</f>
        <v>-177.65499492328593</v>
      </c>
      <c r="S50" s="45">
        <f t="shared" si="26"/>
        <v>34.538273926997839</v>
      </c>
    </row>
    <row r="51" spans="10:19" ht="16.5" thickBot="1" x14ac:dyDescent="0.3">
      <c r="J51" t="s">
        <v>187</v>
      </c>
      <c r="M51" s="107"/>
      <c r="N51" s="46" t="s">
        <v>114</v>
      </c>
      <c r="O51" s="47">
        <f t="shared" ref="O51:P51" si="27">O12+O25+O38</f>
        <v>187.37101541341434</v>
      </c>
      <c r="P51" s="48">
        <f t="shared" si="27"/>
        <v>29.799454102788552</v>
      </c>
      <c r="Q51" s="46" t="s">
        <v>114</v>
      </c>
      <c r="R51" s="47">
        <f t="shared" ref="R51:S51" si="28">R12+R25+R38</f>
        <v>-177.65499492328593</v>
      </c>
      <c r="S51" s="48">
        <f t="shared" si="28"/>
        <v>34.538273926997839</v>
      </c>
    </row>
    <row r="54" spans="10:19" x14ac:dyDescent="0.25">
      <c r="O54">
        <f>O44+O47+O50</f>
        <v>-3.6516513901850089</v>
      </c>
      <c r="P54">
        <f>P44+P47+P50</f>
        <v>3.3175913933658805</v>
      </c>
    </row>
  </sheetData>
  <mergeCells count="34">
    <mergeCell ref="A1:C1"/>
    <mergeCell ref="F2:H2"/>
    <mergeCell ref="I2:K2"/>
    <mergeCell ref="E4:E6"/>
    <mergeCell ref="E7:E9"/>
    <mergeCell ref="J4:J6"/>
    <mergeCell ref="K4:K6"/>
    <mergeCell ref="J7:J9"/>
    <mergeCell ref="K7:K9"/>
    <mergeCell ref="M4:M6"/>
    <mergeCell ref="M7:M9"/>
    <mergeCell ref="M10:M12"/>
    <mergeCell ref="Q2:S2"/>
    <mergeCell ref="F1:K1"/>
    <mergeCell ref="N14:S14"/>
    <mergeCell ref="N15:P15"/>
    <mergeCell ref="Q15:S15"/>
    <mergeCell ref="N1:S1"/>
    <mergeCell ref="N2:P2"/>
    <mergeCell ref="N40:S40"/>
    <mergeCell ref="N41:P41"/>
    <mergeCell ref="Q41:S41"/>
    <mergeCell ref="M17:M19"/>
    <mergeCell ref="M20:M22"/>
    <mergeCell ref="M23:M25"/>
    <mergeCell ref="N27:S27"/>
    <mergeCell ref="N28:P28"/>
    <mergeCell ref="Q28:S28"/>
    <mergeCell ref="M43:M45"/>
    <mergeCell ref="M46:M48"/>
    <mergeCell ref="M49:M51"/>
    <mergeCell ref="M30:M32"/>
    <mergeCell ref="M33:M35"/>
    <mergeCell ref="M36:M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workbookViewId="0">
      <selection activeCell="E23" sqref="E23"/>
    </sheetView>
  </sheetViews>
  <sheetFormatPr defaultColWidth="11.25" defaultRowHeight="15.75" x14ac:dyDescent="0.25"/>
  <cols>
    <col min="1" max="1" width="16" bestFit="1" customWidth="1"/>
    <col min="5" max="5" width="7.25" style="29" bestFit="1" customWidth="1"/>
    <col min="6" max="6" width="12.75" style="29" bestFit="1" customWidth="1"/>
    <col min="7" max="7" width="17" bestFit="1" customWidth="1"/>
    <col min="8" max="8" width="16.75" bestFit="1" customWidth="1"/>
    <col min="9" max="9" width="7.25" bestFit="1" customWidth="1"/>
    <col min="10" max="10" width="10" bestFit="1" customWidth="1"/>
    <col min="11" max="11" width="17" bestFit="1" customWidth="1"/>
    <col min="12" max="12" width="16.75" bestFit="1" customWidth="1"/>
    <col min="13" max="13" width="7.25" bestFit="1" customWidth="1"/>
    <col min="14" max="14" width="10" bestFit="1" customWidth="1"/>
    <col min="15" max="15" width="17" bestFit="1" customWidth="1"/>
    <col min="16" max="16" width="16.75" bestFit="1" customWidth="1"/>
  </cols>
  <sheetData>
    <row r="1" spans="1:16" ht="16.5" thickBot="1" x14ac:dyDescent="0.3">
      <c r="A1" s="117" t="s">
        <v>101</v>
      </c>
      <c r="B1" s="118"/>
      <c r="C1" s="119"/>
      <c r="E1" s="132" t="s">
        <v>115</v>
      </c>
      <c r="F1" s="133"/>
      <c r="G1" s="133"/>
      <c r="H1" s="134"/>
      <c r="I1" s="132" t="s">
        <v>137</v>
      </c>
      <c r="J1" s="133"/>
      <c r="K1" s="133"/>
      <c r="L1" s="134"/>
      <c r="M1" s="132" t="s">
        <v>114</v>
      </c>
      <c r="N1" s="133"/>
      <c r="O1" s="133"/>
      <c r="P1" s="134"/>
    </row>
    <row r="2" spans="1:16" ht="16.5" thickBot="1" x14ac:dyDescent="0.3">
      <c r="A2" s="44" t="s">
        <v>130</v>
      </c>
      <c r="B2" s="27">
        <f>'Cross-sectional properties'!L44*Input!C21</f>
        <v>225786086.50330517</v>
      </c>
      <c r="C2" s="45" t="s">
        <v>106</v>
      </c>
      <c r="E2" s="138" t="s">
        <v>112</v>
      </c>
      <c r="F2" s="139"/>
      <c r="G2" s="139" t="s">
        <v>134</v>
      </c>
      <c r="H2" s="140"/>
      <c r="I2" s="138" t="s">
        <v>112</v>
      </c>
      <c r="J2" s="139"/>
      <c r="K2" s="139" t="s">
        <v>134</v>
      </c>
      <c r="L2" s="140"/>
      <c r="M2" s="141" t="s">
        <v>112</v>
      </c>
      <c r="N2" s="130"/>
      <c r="O2" s="130" t="s">
        <v>134</v>
      </c>
      <c r="P2" s="131"/>
    </row>
    <row r="3" spans="1:16" ht="16.5" thickBot="1" x14ac:dyDescent="0.3">
      <c r="A3" s="44" t="s">
        <v>144</v>
      </c>
      <c r="B3" s="27">
        <f>0.25*Input!C2*1000-'Cross-sectional properties'!N2</f>
        <v>34.5</v>
      </c>
      <c r="C3" s="45" t="s">
        <v>85</v>
      </c>
      <c r="E3" s="57" t="s">
        <v>132</v>
      </c>
      <c r="F3" s="85" t="s">
        <v>133</v>
      </c>
      <c r="G3" s="85" t="s">
        <v>135</v>
      </c>
      <c r="H3" s="86" t="s">
        <v>136</v>
      </c>
      <c r="I3" s="57" t="s">
        <v>132</v>
      </c>
      <c r="J3" s="85" t="s">
        <v>133</v>
      </c>
      <c r="K3" s="85" t="s">
        <v>135</v>
      </c>
      <c r="L3" s="86" t="s">
        <v>136</v>
      </c>
      <c r="M3" s="57" t="s">
        <v>132</v>
      </c>
      <c r="N3" s="85" t="s">
        <v>133</v>
      </c>
      <c r="O3" s="85" t="s">
        <v>135</v>
      </c>
      <c r="P3" s="86" t="s">
        <v>136</v>
      </c>
    </row>
    <row r="4" spans="1:16" x14ac:dyDescent="0.25">
      <c r="A4" s="44" t="s">
        <v>131</v>
      </c>
      <c r="B4" s="27">
        <f>Input!C7*10</f>
        <v>272</v>
      </c>
      <c r="C4" s="45" t="s">
        <v>85</v>
      </c>
      <c r="E4" s="51">
        <v>0</v>
      </c>
      <c r="F4" s="26">
        <f>$B$11*E6^2/$B$2/2</f>
        <v>-3.6175436301210857E-5</v>
      </c>
      <c r="G4" s="12">
        <f>-F4*'Cross-sectional properties'!$N$2</f>
        <v>3.1291752400547392E-3</v>
      </c>
      <c r="H4" s="74">
        <f>F4*'Cross-sectional properties'!$N$3</f>
        <v>-1.4379735929731316E-2</v>
      </c>
      <c r="I4" s="51">
        <v>0</v>
      </c>
      <c r="J4" s="26">
        <f>$B$16*I6^2/$B$2/2</f>
        <v>-3.251426676980308E-5</v>
      </c>
      <c r="K4" s="12">
        <f>-J4*'Cross-sectional properties'!$N$2</f>
        <v>2.8124840755879665E-3</v>
      </c>
      <c r="L4" s="74">
        <f>J4*'Cross-sectional properties'!$N$3</f>
        <v>-1.2924421040996724E-2</v>
      </c>
      <c r="M4" s="51">
        <v>0</v>
      </c>
      <c r="N4" s="26">
        <f>$B$21*M6^2/$B$2/2</f>
        <v>-3.251426676980308E-5</v>
      </c>
      <c r="O4" s="12">
        <f>-N4*'Cross-sectional properties'!$N$2</f>
        <v>2.8124840755879665E-3</v>
      </c>
      <c r="P4" s="74">
        <f>N4*'Cross-sectional properties'!$N$3</f>
        <v>-1.2924421040996724E-2</v>
      </c>
    </row>
    <row r="5" spans="1:16" x14ac:dyDescent="0.25">
      <c r="A5" s="44" t="s">
        <v>127</v>
      </c>
      <c r="B5" s="27">
        <f>Input!C4*1000</f>
        <v>149</v>
      </c>
      <c r="C5" s="45" t="s">
        <v>85</v>
      </c>
      <c r="E5" s="44">
        <f>$B5</f>
        <v>149</v>
      </c>
      <c r="F5" s="27">
        <f>$F$4+$B$11*(E5^2)/$B$2/2</f>
        <v>-4.0772004954190312E-5</v>
      </c>
      <c r="G5" s="10">
        <f>-F5*'Cross-sectional properties'!$N$2</f>
        <v>3.526778428537462E-3</v>
      </c>
      <c r="H5" s="68">
        <f>F5*'Cross-sectional properties'!$N$3</f>
        <v>-1.6206871969290649E-2</v>
      </c>
      <c r="I5" s="44">
        <f>$B5</f>
        <v>149</v>
      </c>
      <c r="J5" s="27">
        <f>$F$4+$B$16*(I5^2)/$B$2/2</f>
        <v>-4.0306804839914173E-5</v>
      </c>
      <c r="K5" s="10">
        <f>-J5*'Cross-sectional properties'!$N$2</f>
        <v>3.4865386186525762E-3</v>
      </c>
      <c r="L5" s="68">
        <f>J5*'Cross-sectional properties'!$N$3</f>
        <v>-1.6021954923865885E-2</v>
      </c>
      <c r="M5" s="44">
        <f>$B5</f>
        <v>149</v>
      </c>
      <c r="N5" s="27">
        <f>$F$4+$B$21*(M5^2)/$B$2/2</f>
        <v>-4.0306804839914173E-5</v>
      </c>
      <c r="O5" s="10">
        <f>-N5*'Cross-sectional properties'!$N$2</f>
        <v>3.4865386186525762E-3</v>
      </c>
      <c r="P5" s="68">
        <f>N5*'Cross-sectional properties'!$N$3</f>
        <v>-1.6021954923865885E-2</v>
      </c>
    </row>
    <row r="6" spans="1:16" x14ac:dyDescent="0.25">
      <c r="A6" s="44" t="s">
        <v>102</v>
      </c>
      <c r="B6" s="42">
        <f>(Input!C5-Input!C4)*1000</f>
        <v>405</v>
      </c>
      <c r="C6" s="45" t="s">
        <v>85</v>
      </c>
      <c r="E6" s="44">
        <f>$B6-$B4/2+$B5</f>
        <v>418</v>
      </c>
      <c r="F6" s="27">
        <v>0</v>
      </c>
      <c r="G6" s="10">
        <f>-F6*'Cross-sectional properties'!$N$2</f>
        <v>0</v>
      </c>
      <c r="H6" s="68">
        <f>F6*'Cross-sectional properties'!$N$3</f>
        <v>0</v>
      </c>
      <c r="I6" s="44">
        <f>$B6-$B4/2+$B5</f>
        <v>418</v>
      </c>
      <c r="J6" s="27">
        <v>0</v>
      </c>
      <c r="K6" s="10">
        <f>-J6*'Cross-sectional properties'!$N$2</f>
        <v>0</v>
      </c>
      <c r="L6" s="68">
        <f>J6*'Cross-sectional properties'!$N$3</f>
        <v>0</v>
      </c>
      <c r="M6" s="44">
        <f>$B6-$B4/2+$B5</f>
        <v>418</v>
      </c>
      <c r="N6" s="27">
        <v>0</v>
      </c>
      <c r="O6" s="10">
        <f>-N6*'Cross-sectional properties'!$N$2</f>
        <v>0</v>
      </c>
      <c r="P6" s="68">
        <f>N6*'Cross-sectional properties'!$N$3</f>
        <v>0</v>
      </c>
    </row>
    <row r="7" spans="1:16" x14ac:dyDescent="0.25">
      <c r="A7" s="44" t="s">
        <v>103</v>
      </c>
      <c r="B7" s="42">
        <f>(Input!C6-Input!C5)*1000</f>
        <v>986.99999999999989</v>
      </c>
      <c r="C7" s="45" t="s">
        <v>85</v>
      </c>
      <c r="E7" s="44">
        <f>$B6+$B4/2+$B5</f>
        <v>690</v>
      </c>
      <c r="F7" s="27">
        <f>$F$4+$B$11*(E7^2)/$B$2/2+(E7-E6)*$B$13*1000/$B$2</f>
        <v>-4.0841116882837751E-3</v>
      </c>
      <c r="G7" s="10">
        <f>-F7*'Cross-sectional properties'!$N$2</f>
        <v>0.35327566103654656</v>
      </c>
      <c r="H7" s="68">
        <f>F7*'Cross-sectional properties'!$N$3</f>
        <v>-1.6234343960928006</v>
      </c>
      <c r="I7" s="44">
        <f>$B6+$B4/2+$B5</f>
        <v>690</v>
      </c>
      <c r="J7" s="27">
        <f>$F$4+$B$16*(I7^2)/$B$2/2+(I7-I6)*$B$18*1000/$B$2</f>
        <v>-3.6744364393817043E-3</v>
      </c>
      <c r="K7" s="10">
        <f>-J7*'Cross-sectional properties'!$N$2</f>
        <v>0.3178387520065174</v>
      </c>
      <c r="L7" s="68">
        <f>J7*'Cross-sectional properties'!$N$3</f>
        <v>-1.4605884846542274</v>
      </c>
      <c r="M7" s="44">
        <f>$B6+$B4/2+$B5</f>
        <v>690</v>
      </c>
      <c r="N7" s="27">
        <f>$F$4+$B$21*(M7^2)/$B$2/2+(M7-M6)*$B$23*1000/$B$2</f>
        <v>-3.6744364393817043E-3</v>
      </c>
      <c r="O7" s="10">
        <f>-N7*'Cross-sectional properties'!$N$2</f>
        <v>0.3178387520065174</v>
      </c>
      <c r="P7" s="68">
        <f>N7*'Cross-sectional properties'!$N$3</f>
        <v>-1.4605884846542274</v>
      </c>
    </row>
    <row r="8" spans="1:16" ht="16.5" thickBot="1" x14ac:dyDescent="0.3">
      <c r="A8" s="64" t="s">
        <v>126</v>
      </c>
      <c r="B8" s="47">
        <f>Input!C3*1000-Input!C6*1000</f>
        <v>150</v>
      </c>
      <c r="C8" s="48" t="s">
        <v>85</v>
      </c>
      <c r="E8" s="69">
        <f>$B5+$B6+$B7</f>
        <v>1541</v>
      </c>
      <c r="F8" s="27">
        <f>$F$4+$B$11*(E8^2)/$B$2/2+(E7-E6)*$B$13*1000/$B$2</f>
        <v>-4.4772001937448975E-3</v>
      </c>
      <c r="G8" s="10">
        <f>-F8*'Cross-sectional properties'!$N$2</f>
        <v>0.38727781675893364</v>
      </c>
      <c r="H8" s="68">
        <f>F8*'Cross-sectional properties'!$N$3</f>
        <v>-1.7796870770135969</v>
      </c>
      <c r="I8" s="69">
        <f>$B5+$B6+$B7</f>
        <v>1541</v>
      </c>
      <c r="J8" s="27">
        <f>$F$4+$B$16*(I8^2)/$B$2/2+(I7-I6)*$B$18*1000/$B$2</f>
        <v>-4.0277420477587986E-3</v>
      </c>
      <c r="K8" s="10">
        <f>-J8*'Cross-sectional properties'!$N$2</f>
        <v>0.34839968713113606</v>
      </c>
      <c r="L8" s="68">
        <f>J8*'Cross-sectional properties'!$N$3</f>
        <v>-1.6010274639841224</v>
      </c>
      <c r="M8" s="69">
        <f>$B5+$B6+$B7</f>
        <v>1541</v>
      </c>
      <c r="N8" s="27">
        <f>$F$4+$B$21*(M8^2)/$B$2/2+(M7-M6)*$B$23*1000/$B$2</f>
        <v>-4.0277420477587986E-3</v>
      </c>
      <c r="O8" s="10">
        <f>-N8*'Cross-sectional properties'!$N$2</f>
        <v>0.34839968713113606</v>
      </c>
      <c r="P8" s="68">
        <f>N8*'Cross-sectional properties'!$N$3</f>
        <v>-1.6010274639841224</v>
      </c>
    </row>
    <row r="9" spans="1:16" ht="16.5" thickBot="1" x14ac:dyDescent="0.3">
      <c r="E9" s="70">
        <f>$B5+$B6+$B7+$B8</f>
        <v>1691</v>
      </c>
      <c r="F9" s="47">
        <f>$F$4+$B$11*(E9^2)/$B$2/2+(E7-E6)*$B$13*1000/$B$2</f>
        <v>-4.5775747932207973E-3</v>
      </c>
      <c r="G9" s="67">
        <f>-F9*'Cross-sectional properties'!$N$2</f>
        <v>0.39596021961359895</v>
      </c>
      <c r="H9" s="71">
        <f>F9*'Cross-sectional properties'!$N$3</f>
        <v>-1.819585980305267</v>
      </c>
      <c r="I9" s="70">
        <f>$B5+$B6+$B7+$B8</f>
        <v>1691</v>
      </c>
      <c r="J9" s="47">
        <f>$F$4+$B$16*(I9^2)/$B$2/2+(I7-I6)*$B$18*1000/$B$2</f>
        <v>-4.1179581401674008E-3</v>
      </c>
      <c r="K9" s="67">
        <f>-J9*'Cross-sectional properties'!$N$2</f>
        <v>0.35620337912448019</v>
      </c>
      <c r="L9" s="71">
        <f>J9*'Cross-sectional properties'!$N$3</f>
        <v>-1.6368883607165419</v>
      </c>
      <c r="M9" s="70">
        <f>$B5+$B6+$B7+$B8</f>
        <v>1691</v>
      </c>
      <c r="N9" s="47">
        <f>$F$4+$B$21*(M9^2)/$B$2/2+(M7-M6)*$B$23*1000/$B$2</f>
        <v>-4.1179581401674008E-3</v>
      </c>
      <c r="O9" s="67">
        <f>-N9*'Cross-sectional properties'!$N$2</f>
        <v>0.35620337912448019</v>
      </c>
      <c r="P9" s="71">
        <f>N9*'Cross-sectional properties'!$N$3</f>
        <v>-1.6368883607165419</v>
      </c>
    </row>
    <row r="10" spans="1:16" x14ac:dyDescent="0.25">
      <c r="A10" s="135" t="s">
        <v>115</v>
      </c>
      <c r="B10" s="136"/>
      <c r="C10" s="137"/>
    </row>
    <row r="11" spans="1:16" x14ac:dyDescent="0.25">
      <c r="A11" s="65" t="s">
        <v>138</v>
      </c>
      <c r="B11" s="10">
        <f>-Input!C$19*B$3/1000</f>
        <v>-9.3495000000000009E-2</v>
      </c>
      <c r="C11" s="66" t="s">
        <v>142</v>
      </c>
      <c r="E11" s="84" t="s">
        <v>168</v>
      </c>
    </row>
    <row r="12" spans="1:16" x14ac:dyDescent="0.25">
      <c r="A12" s="65" t="s">
        <v>143</v>
      </c>
      <c r="B12" s="10">
        <f>-B$11*(B$5+B$6+B$7+B$8)/1000-B13</f>
        <v>3.436450045</v>
      </c>
      <c r="C12" s="66" t="s">
        <v>141</v>
      </c>
    </row>
    <row r="13" spans="1:16" x14ac:dyDescent="0.25">
      <c r="A13" s="65" t="s">
        <v>139</v>
      </c>
      <c r="B13" s="10">
        <f>-Input!C$18*'Cross-sectional properties'!N$2/1000</f>
        <v>-3.2783500000000001</v>
      </c>
      <c r="C13" s="66" t="s">
        <v>141</v>
      </c>
    </row>
    <row r="14" spans="1:16" ht="16.5" thickBot="1" x14ac:dyDescent="0.3">
      <c r="A14" s="64" t="s">
        <v>145</v>
      </c>
      <c r="B14" s="67">
        <f>B12/('Cross-sectional properties'!N$2/1000)</f>
        <v>39.727746184971103</v>
      </c>
      <c r="C14" s="48" t="s">
        <v>140</v>
      </c>
    </row>
    <row r="15" spans="1:16" x14ac:dyDescent="0.25">
      <c r="A15" s="127" t="s">
        <v>113</v>
      </c>
      <c r="B15" s="128"/>
      <c r="C15" s="129"/>
      <c r="E15" s="40"/>
    </row>
    <row r="16" spans="1:16" x14ac:dyDescent="0.25">
      <c r="A16" s="65" t="s">
        <v>138</v>
      </c>
      <c r="B16" s="10">
        <f>-Input!C$19*B$3/1000*COS(PI()/180*Input!C$17)</f>
        <v>-8.4032749358740624E-2</v>
      </c>
      <c r="C16" s="66" t="s">
        <v>142</v>
      </c>
    </row>
    <row r="17" spans="1:3" x14ac:dyDescent="0.25">
      <c r="A17" s="65" t="s">
        <v>143</v>
      </c>
      <c r="B17" s="10">
        <f>-B$16*(B$5+B$6+B$7+B$8)/1000-B18</f>
        <v>3.0886608408505047</v>
      </c>
      <c r="C17" s="66" t="s">
        <v>141</v>
      </c>
    </row>
    <row r="18" spans="1:3" x14ac:dyDescent="0.25">
      <c r="A18" s="65" t="s">
        <v>139</v>
      </c>
      <c r="B18" s="10">
        <f>-Input!C$18*'Cross-sectional properties'!N$2/1000*COS(PI()/180*Input!C$17)</f>
        <v>-2.9465614616848743</v>
      </c>
      <c r="C18" s="66" t="s">
        <v>141</v>
      </c>
    </row>
    <row r="19" spans="1:3" ht="16.5" thickBot="1" x14ac:dyDescent="0.3">
      <c r="A19" s="64" t="s">
        <v>145</v>
      </c>
      <c r="B19" s="67">
        <f>B17/('Cross-sectional properties'!N$2/1000*COS(PI()/180*Input!C$17))</f>
        <v>39.727746184971103</v>
      </c>
      <c r="C19" s="48" t="s">
        <v>140</v>
      </c>
    </row>
    <row r="20" spans="1:3" x14ac:dyDescent="0.25">
      <c r="A20" s="127" t="s">
        <v>114</v>
      </c>
      <c r="B20" s="128"/>
      <c r="C20" s="129"/>
    </row>
    <row r="21" spans="1:3" x14ac:dyDescent="0.25">
      <c r="A21" s="65" t="s">
        <v>138</v>
      </c>
      <c r="B21" s="10">
        <f>-Input!C$19*B$3/1000*COS(PI()/180*Input!C$17)</f>
        <v>-8.4032749358740624E-2</v>
      </c>
      <c r="C21" s="66" t="s">
        <v>142</v>
      </c>
    </row>
    <row r="22" spans="1:3" x14ac:dyDescent="0.25">
      <c r="A22" s="65" t="s">
        <v>143</v>
      </c>
      <c r="B22" s="10">
        <f>-B$21*(B$5+B$6+B$7+B$8)/1000-B23</f>
        <v>3.0886608408505047</v>
      </c>
      <c r="C22" s="66" t="s">
        <v>141</v>
      </c>
    </row>
    <row r="23" spans="1:3" x14ac:dyDescent="0.25">
      <c r="A23" s="65" t="s">
        <v>139</v>
      </c>
      <c r="B23" s="10">
        <f>-Input!C$18*'Cross-sectional properties'!N$2/1000*COS(PI()/180*Input!C$17)</f>
        <v>-2.9465614616848743</v>
      </c>
      <c r="C23" s="66" t="s">
        <v>141</v>
      </c>
    </row>
    <row r="24" spans="1:3" ht="16.5" thickBot="1" x14ac:dyDescent="0.3">
      <c r="A24" s="64" t="s">
        <v>145</v>
      </c>
      <c r="B24" s="67">
        <f>B22/('Cross-sectional properties'!N$2/1000*COS(PI()/180*Input!C$17))</f>
        <v>39.727746184971103</v>
      </c>
      <c r="C24" s="48" t="s">
        <v>140</v>
      </c>
    </row>
  </sheetData>
  <mergeCells count="13">
    <mergeCell ref="A15:C15"/>
    <mergeCell ref="A20:C20"/>
    <mergeCell ref="O2:P2"/>
    <mergeCell ref="E1:H1"/>
    <mergeCell ref="I1:L1"/>
    <mergeCell ref="M1:P1"/>
    <mergeCell ref="A10:C10"/>
    <mergeCell ref="A1:C1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showGridLines="0" tabSelected="1" workbookViewId="0">
      <selection activeCell="H15" sqref="H15"/>
    </sheetView>
  </sheetViews>
  <sheetFormatPr defaultColWidth="11.25" defaultRowHeight="15.75" x14ac:dyDescent="0.25"/>
  <cols>
    <col min="9" max="9" width="18" style="29" bestFit="1" customWidth="1"/>
    <col min="10" max="10" width="10" style="29" bestFit="1" customWidth="1"/>
    <col min="11" max="11" width="12.25" style="29" bestFit="1" customWidth="1"/>
    <col min="12" max="13" width="10" style="29" bestFit="1" customWidth="1"/>
    <col min="14" max="21" width="10.75" style="29"/>
    <col min="24" max="35" width="7.5" hidden="1" customWidth="1"/>
  </cols>
  <sheetData>
    <row r="1" spans="1:35" ht="16.5" thickBot="1" x14ac:dyDescent="0.3">
      <c r="B1" s="108" t="s">
        <v>116</v>
      </c>
      <c r="C1" s="109"/>
      <c r="D1" s="109"/>
      <c r="E1" s="109"/>
      <c r="F1" s="109"/>
      <c r="G1" s="110"/>
      <c r="I1" t="s">
        <v>159</v>
      </c>
      <c r="J1" s="143" t="s">
        <v>161</v>
      </c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</row>
    <row r="2" spans="1:35" ht="16.5" thickBot="1" x14ac:dyDescent="0.3">
      <c r="B2" s="111" t="s">
        <v>107</v>
      </c>
      <c r="C2" s="112"/>
      <c r="D2" s="113"/>
      <c r="E2" s="111" t="s">
        <v>108</v>
      </c>
      <c r="F2" s="112"/>
      <c r="G2" s="113"/>
      <c r="I2" t="s">
        <v>160</v>
      </c>
      <c r="J2" s="146" t="s">
        <v>115</v>
      </c>
      <c r="K2" s="147"/>
      <c r="L2" s="147"/>
      <c r="M2" s="148"/>
      <c r="N2" s="146" t="s">
        <v>153</v>
      </c>
      <c r="O2" s="147"/>
      <c r="P2" s="147"/>
      <c r="Q2" s="148"/>
      <c r="R2" s="146" t="s">
        <v>154</v>
      </c>
      <c r="S2" s="147"/>
      <c r="T2" s="147"/>
      <c r="U2" s="148"/>
    </row>
    <row r="3" spans="1:35" ht="16.5" thickBot="1" x14ac:dyDescent="0.3">
      <c r="A3" s="56" t="s">
        <v>123</v>
      </c>
      <c r="B3" s="57" t="s">
        <v>112</v>
      </c>
      <c r="C3" s="58" t="s">
        <v>117</v>
      </c>
      <c r="D3" s="59" t="s">
        <v>118</v>
      </c>
      <c r="E3" s="57" t="s">
        <v>112</v>
      </c>
      <c r="F3" s="58" t="s">
        <v>117</v>
      </c>
      <c r="G3" s="59" t="s">
        <v>118</v>
      </c>
      <c r="I3" s="79" t="s">
        <v>132</v>
      </c>
      <c r="J3" s="46" t="s">
        <v>156</v>
      </c>
      <c r="K3" s="47" t="s">
        <v>155</v>
      </c>
      <c r="L3" s="46" t="s">
        <v>158</v>
      </c>
      <c r="M3" s="48" t="s">
        <v>157</v>
      </c>
      <c r="N3" s="46" t="s">
        <v>156</v>
      </c>
      <c r="O3" s="47" t="s">
        <v>155</v>
      </c>
      <c r="P3" s="46" t="s">
        <v>158</v>
      </c>
      <c r="Q3" s="48" t="s">
        <v>157</v>
      </c>
      <c r="R3" s="46" t="s">
        <v>156</v>
      </c>
      <c r="S3" s="47" t="s">
        <v>155</v>
      </c>
      <c r="T3" s="46" t="s">
        <v>158</v>
      </c>
      <c r="U3" s="48" t="s">
        <v>157</v>
      </c>
    </row>
    <row r="4" spans="1:35" x14ac:dyDescent="0.25">
      <c r="A4" s="105" t="s">
        <v>119</v>
      </c>
      <c r="B4" s="51" t="s">
        <v>115</v>
      </c>
      <c r="C4" s="26">
        <f>'Aileron shear'!O43</f>
        <v>-12.895326584644117</v>
      </c>
      <c r="D4" s="50">
        <f>'Aileron shear'!P43</f>
        <v>83.925987367942099</v>
      </c>
      <c r="E4" s="51" t="s">
        <v>115</v>
      </c>
      <c r="F4" s="26">
        <f>'Aileron shear'!R43</f>
        <v>-12.895326584644117</v>
      </c>
      <c r="G4" s="50">
        <f>'Aileron shear'!S43</f>
        <v>83.925987367942099</v>
      </c>
      <c r="I4" s="55">
        <f>'Aileron torsion'!E$4</f>
        <v>0</v>
      </c>
      <c r="J4" s="76">
        <f t="shared" ref="J4:U4" si="0">J14+J24+J34+J44</f>
        <v>0</v>
      </c>
      <c r="K4" s="77">
        <f t="shared" si="0"/>
        <v>8.5082534296760759</v>
      </c>
      <c r="L4" s="75">
        <f t="shared" si="0"/>
        <v>0</v>
      </c>
      <c r="M4" s="78">
        <f t="shared" si="0"/>
        <v>8.4907445185062898</v>
      </c>
      <c r="N4" s="52">
        <f t="shared" si="0"/>
        <v>-3.7284010730007155</v>
      </c>
      <c r="O4" s="54">
        <f t="shared" si="0"/>
        <v>7.6471675269973263</v>
      </c>
      <c r="P4" s="82">
        <f t="shared" si="0"/>
        <v>-3.7284010730007155</v>
      </c>
      <c r="Q4" s="83">
        <f t="shared" si="0"/>
        <v>7.6314306218807415</v>
      </c>
      <c r="R4" s="52">
        <f t="shared" si="0"/>
        <v>3.7284010730007155</v>
      </c>
      <c r="S4" s="54">
        <f t="shared" si="0"/>
        <v>7.6471675269973263</v>
      </c>
      <c r="T4" s="82">
        <f t="shared" si="0"/>
        <v>3.7284010730007155</v>
      </c>
      <c r="U4" s="54">
        <f t="shared" si="0"/>
        <v>7.6314306218807415</v>
      </c>
      <c r="X4" s="27" t="str">
        <f>'Aileron shear'!A2</f>
        <v>EI_yy</v>
      </c>
      <c r="Y4" s="27">
        <f>'Aileron shear'!B2</f>
        <v>5078606421.232461</v>
      </c>
    </row>
    <row r="5" spans="1:35" x14ac:dyDescent="0.25">
      <c r="A5" s="106"/>
      <c r="B5" s="44" t="s">
        <v>113</v>
      </c>
      <c r="C5" s="27">
        <f>'Aileron shear'!O44</f>
        <v>-454.93529563559315</v>
      </c>
      <c r="D5" s="45">
        <f>'Aileron shear'!P44</f>
        <v>69.779238672955344</v>
      </c>
      <c r="E5" s="44" t="s">
        <v>113</v>
      </c>
      <c r="F5" s="27">
        <f>'Aileron shear'!R44</f>
        <v>-377.47185813186996</v>
      </c>
      <c r="G5" s="45">
        <f>'Aileron shear'!S44</f>
        <v>-131.89912008492107</v>
      </c>
      <c r="I5" s="72">
        <f>'Aileron torsion'!E$5</f>
        <v>149</v>
      </c>
      <c r="J5" s="44">
        <f t="shared" ref="J5:U5" si="1">J15+J25+J35+J45</f>
        <v>0</v>
      </c>
      <c r="K5" s="45">
        <f t="shared" si="1"/>
        <v>6.813526778428538</v>
      </c>
      <c r="L5" s="43">
        <f t="shared" si="1"/>
        <v>0</v>
      </c>
      <c r="M5" s="62">
        <f t="shared" si="1"/>
        <v>6.7937931280307096</v>
      </c>
      <c r="N5" s="44">
        <f t="shared" si="1"/>
        <v>-2.9853075096336172</v>
      </c>
      <c r="O5" s="45">
        <f t="shared" si="1"/>
        <v>6.1242739939159803</v>
      </c>
      <c r="P5" s="43">
        <f t="shared" si="1"/>
        <v>-2.9853075096336172</v>
      </c>
      <c r="Q5" s="62">
        <f t="shared" si="1"/>
        <v>6.1047655003734622</v>
      </c>
      <c r="R5" s="44">
        <f t="shared" si="1"/>
        <v>2.9853075096336172</v>
      </c>
      <c r="S5" s="45">
        <f t="shared" si="1"/>
        <v>6.1242739939159803</v>
      </c>
      <c r="T5" s="43">
        <f t="shared" si="1"/>
        <v>2.9853075096336172</v>
      </c>
      <c r="U5" s="45">
        <f t="shared" si="1"/>
        <v>6.1047655003734622</v>
      </c>
      <c r="X5" s="27" t="str">
        <f>'Aileron shear'!A3</f>
        <v>EI_zz</v>
      </c>
      <c r="Y5" s="27">
        <f>'Aileron shear'!B3</f>
        <v>416471095.73144674</v>
      </c>
    </row>
    <row r="6" spans="1:35" ht="16.5" thickBot="1" x14ac:dyDescent="0.3">
      <c r="A6" s="107"/>
      <c r="B6" s="46" t="s">
        <v>114</v>
      </c>
      <c r="C6" s="47">
        <f>'Aileron shear'!O45</f>
        <v>431.75481011687015</v>
      </c>
      <c r="D6" s="48">
        <f>'Aileron shear'!P45</f>
        <v>81.08511687921559</v>
      </c>
      <c r="E6" s="46" t="s">
        <v>114</v>
      </c>
      <c r="F6" s="47">
        <f>'Aileron shear'!R45</f>
        <v>-442.75615854342055</v>
      </c>
      <c r="G6" s="48">
        <f>'Aileron shear'!S45</f>
        <v>256.38552908591925</v>
      </c>
      <c r="I6" s="72">
        <f>'Aileron torsion'!E$6</f>
        <v>418</v>
      </c>
      <c r="J6" s="44">
        <f t="shared" ref="J6:U6" si="2">J16+J26+J36+J46</f>
        <v>0</v>
      </c>
      <c r="K6" s="45">
        <f t="shared" si="2"/>
        <v>1.4693076277561357</v>
      </c>
      <c r="L6" s="43">
        <f t="shared" si="2"/>
        <v>0</v>
      </c>
      <c r="M6" s="62">
        <f t="shared" si="2"/>
        <v>1.4693076277561357</v>
      </c>
      <c r="N6" s="44">
        <f t="shared" si="2"/>
        <v>-0.64410206976539541</v>
      </c>
      <c r="O6" s="45">
        <f t="shared" si="2"/>
        <v>1.3206049480091657</v>
      </c>
      <c r="P6" s="43">
        <f t="shared" si="2"/>
        <v>-0.64410206976539541</v>
      </c>
      <c r="Q6" s="62">
        <f t="shared" si="2"/>
        <v>1.3206049480091657</v>
      </c>
      <c r="R6" s="44">
        <f t="shared" si="2"/>
        <v>0.64410206976539541</v>
      </c>
      <c r="S6" s="45">
        <f t="shared" si="2"/>
        <v>1.3206049480091657</v>
      </c>
      <c r="T6" s="43">
        <f t="shared" si="2"/>
        <v>0.64410206976539541</v>
      </c>
      <c r="U6" s="45">
        <f t="shared" si="2"/>
        <v>1.3206049480091657</v>
      </c>
      <c r="X6" s="27" t="str">
        <f>'Aileron shear'!A4</f>
        <v>L01</v>
      </c>
      <c r="Y6" s="27">
        <f>'Aileron shear'!B4</f>
        <v>149</v>
      </c>
    </row>
    <row r="7" spans="1:35" x14ac:dyDescent="0.25">
      <c r="A7" s="105" t="s">
        <v>120</v>
      </c>
      <c r="B7" s="51" t="s">
        <v>115</v>
      </c>
      <c r="C7" s="26">
        <f>'Aileron shear'!O46</f>
        <v>5.6625487741662281</v>
      </c>
      <c r="D7" s="50">
        <f>'Aileron shear'!P46</f>
        <v>-115.13451789379474</v>
      </c>
      <c r="E7" s="51" t="s">
        <v>115</v>
      </c>
      <c r="F7" s="26">
        <f>'Aileron shear'!R46</f>
        <v>5.6625487741662281</v>
      </c>
      <c r="G7" s="50">
        <f>'Aileron shear'!S46</f>
        <v>-115.13451789379474</v>
      </c>
      <c r="I7" s="72">
        <f>'Aileron torsion'!E$7</f>
        <v>690</v>
      </c>
      <c r="J7" s="44">
        <f t="shared" ref="J7:U7" si="3">J17+J27+J37+J47</f>
        <v>0</v>
      </c>
      <c r="K7" s="45">
        <f t="shared" si="3"/>
        <v>0.25648000431932794</v>
      </c>
      <c r="L7" s="43">
        <f t="shared" si="3"/>
        <v>0</v>
      </c>
      <c r="M7" s="62">
        <f t="shared" si="3"/>
        <v>-1.7202300528100192</v>
      </c>
      <c r="N7" s="44">
        <f t="shared" si="3"/>
        <v>4.2432423039329661E-2</v>
      </c>
      <c r="O7" s="45">
        <f t="shared" si="3"/>
        <v>0.23083939204146284</v>
      </c>
      <c r="P7" s="43">
        <f t="shared" si="3"/>
        <v>4.2432423039329661E-2</v>
      </c>
      <c r="Q7" s="62">
        <f t="shared" si="3"/>
        <v>-1.5475878446192819</v>
      </c>
      <c r="R7" s="44">
        <f t="shared" si="3"/>
        <v>-4.2432423039329661E-2</v>
      </c>
      <c r="S7" s="45">
        <f t="shared" si="3"/>
        <v>0.23083939204146284</v>
      </c>
      <c r="T7" s="43">
        <f t="shared" si="3"/>
        <v>-4.2432423039329661E-2</v>
      </c>
      <c r="U7" s="45">
        <f t="shared" si="3"/>
        <v>-1.5475878446192819</v>
      </c>
      <c r="X7" s="27" t="str">
        <f>'Aileron shear'!A5</f>
        <v>L12</v>
      </c>
      <c r="Y7" s="27">
        <f>'Aileron shear'!B5</f>
        <v>405</v>
      </c>
    </row>
    <row r="8" spans="1:35" x14ac:dyDescent="0.25">
      <c r="A8" s="106"/>
      <c r="B8" s="44" t="s">
        <v>113</v>
      </c>
      <c r="C8" s="27">
        <f>'Aileron shear'!O47</f>
        <v>628.93863916869407</v>
      </c>
      <c r="D8" s="45">
        <f>'Aileron shear'!P47</f>
        <v>-100.9999212065873</v>
      </c>
      <c r="E8" s="44" t="s">
        <v>113</v>
      </c>
      <c r="F8" s="27">
        <f>'Aileron shear'!R47</f>
        <v>85.431371776755029</v>
      </c>
      <c r="G8" s="45">
        <f>'Aileron shear'!S47</f>
        <v>571.1117985859164</v>
      </c>
      <c r="I8" s="80">
        <f>'Aileron torsion'!E$8</f>
        <v>1541</v>
      </c>
      <c r="J8" s="44">
        <f t="shared" ref="J8:U8" si="4">J18+J28+J38+J48</f>
        <v>0</v>
      </c>
      <c r="K8" s="45">
        <f t="shared" si="4"/>
        <v>20.687277816758932</v>
      </c>
      <c r="L8" s="43">
        <f t="shared" si="4"/>
        <v>0</v>
      </c>
      <c r="M8" s="62">
        <f t="shared" si="4"/>
        <v>18.520312922986399</v>
      </c>
      <c r="N8" s="44">
        <f t="shared" si="4"/>
        <v>-8.8989342798182705</v>
      </c>
      <c r="O8" s="45">
        <f t="shared" si="4"/>
        <v>18.593918827004224</v>
      </c>
      <c r="P8" s="43">
        <f t="shared" si="4"/>
        <v>-8.8989342798182705</v>
      </c>
      <c r="Q8" s="62">
        <f t="shared" si="4"/>
        <v>16.644491675888965</v>
      </c>
      <c r="R8" s="44">
        <f t="shared" si="4"/>
        <v>8.8989342798182705</v>
      </c>
      <c r="S8" s="45">
        <f t="shared" si="4"/>
        <v>18.593918827004224</v>
      </c>
      <c r="T8" s="43">
        <f t="shared" si="4"/>
        <v>8.8989342798182705</v>
      </c>
      <c r="U8" s="45">
        <f t="shared" si="4"/>
        <v>16.644491675888965</v>
      </c>
      <c r="X8" s="27" t="str">
        <f>'Aileron shear'!A6</f>
        <v>L23</v>
      </c>
      <c r="Y8" s="27">
        <f>'Aileron shear'!B6</f>
        <v>986.99999999999989</v>
      </c>
    </row>
    <row r="9" spans="1:35" ht="16.5" thickBot="1" x14ac:dyDescent="0.3">
      <c r="A9" s="107"/>
      <c r="B9" s="46" t="s">
        <v>114</v>
      </c>
      <c r="C9" s="47">
        <f>'Aileron shear'!O48</f>
        <v>-618.75970891849545</v>
      </c>
      <c r="D9" s="48">
        <f>'Aileron shear'!P48</f>
        <v>-105.96451720634796</v>
      </c>
      <c r="E9" s="46" t="s">
        <v>114</v>
      </c>
      <c r="F9" s="47">
        <f>'Aileron shear'!R48</f>
        <v>286.39441933571612</v>
      </c>
      <c r="G9" s="48">
        <f>'Aileron shear'!S48</f>
        <v>-624.13523516997066</v>
      </c>
      <c r="I9" s="81">
        <f>'Aileron torsion'!E$9</f>
        <v>1691</v>
      </c>
      <c r="J9" s="46">
        <f t="shared" ref="J9:U9" si="5">J19+J29+J39+J49</f>
        <v>0</v>
      </c>
      <c r="K9" s="48">
        <f t="shared" si="5"/>
        <v>25.769009610255154</v>
      </c>
      <c r="L9" s="49">
        <f t="shared" si="5"/>
        <v>0</v>
      </c>
      <c r="M9" s="63">
        <f t="shared" si="5"/>
        <v>23.553463410336288</v>
      </c>
      <c r="N9" s="46">
        <f t="shared" si="5"/>
        <v>-11.12281275891144</v>
      </c>
      <c r="O9" s="48">
        <f t="shared" si="5"/>
        <v>23.161349107887819</v>
      </c>
      <c r="P9" s="49">
        <f t="shared" si="5"/>
        <v>-11.12281275891144</v>
      </c>
      <c r="Q9" s="63">
        <f t="shared" si="5"/>
        <v>21.168257368046795</v>
      </c>
      <c r="R9" s="46">
        <f t="shared" si="5"/>
        <v>11.12281275891144</v>
      </c>
      <c r="S9" s="48">
        <f t="shared" si="5"/>
        <v>23.161349107887819</v>
      </c>
      <c r="T9" s="49">
        <f t="shared" si="5"/>
        <v>11.12281275891144</v>
      </c>
      <c r="U9" s="48">
        <f t="shared" si="5"/>
        <v>21.168257368046795</v>
      </c>
      <c r="X9" s="27" t="str">
        <f>'Aileron shear'!A7</f>
        <v>L34</v>
      </c>
      <c r="Y9" s="27">
        <f>'Aileron shear'!B7</f>
        <v>150</v>
      </c>
    </row>
    <row r="10" spans="1:35" ht="16.5" thickBot="1" x14ac:dyDescent="0.3">
      <c r="A10" s="105" t="s">
        <v>121</v>
      </c>
      <c r="B10" s="51" t="s">
        <v>115</v>
      </c>
      <c r="C10" s="26">
        <f>'Aileron shear'!O49</f>
        <v>5.405031625506787</v>
      </c>
      <c r="D10" s="50">
        <f>'Aileron shear'!P49</f>
        <v>35.79114052585264</v>
      </c>
      <c r="E10" s="51" t="s">
        <v>115</v>
      </c>
      <c r="F10" s="26">
        <f>'Aileron shear'!R49</f>
        <v>5.405031625506787</v>
      </c>
      <c r="G10" s="50">
        <f>'Aileron shear'!S49</f>
        <v>35.79114052585264</v>
      </c>
    </row>
    <row r="11" spans="1:35" ht="16.5" thickBot="1" x14ac:dyDescent="0.3">
      <c r="A11" s="106"/>
      <c r="B11" s="44" t="s">
        <v>113</v>
      </c>
      <c r="C11" s="27">
        <f>'Aileron shear'!O50</f>
        <v>-177.65499492328593</v>
      </c>
      <c r="D11" s="45">
        <f>'Aileron shear'!P50</f>
        <v>34.538273926997839</v>
      </c>
      <c r="E11" s="44" t="s">
        <v>113</v>
      </c>
      <c r="F11" s="27">
        <f>'Aileron shear'!R50</f>
        <v>-177.65499492328593</v>
      </c>
      <c r="G11" s="45">
        <f>'Aileron shear'!S50</f>
        <v>34.538273926997839</v>
      </c>
      <c r="I11" t="s">
        <v>159</v>
      </c>
      <c r="J11" s="143" t="s">
        <v>163</v>
      </c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5"/>
      <c r="X11" s="142" t="s">
        <v>176</v>
      </c>
      <c r="Y11" s="142"/>
      <c r="Z11" s="142" t="s">
        <v>177</v>
      </c>
      <c r="AA11" s="142"/>
      <c r="AB11" s="142" t="s">
        <v>178</v>
      </c>
      <c r="AC11" s="142"/>
      <c r="AD11" s="142" t="s">
        <v>179</v>
      </c>
      <c r="AE11" s="142"/>
      <c r="AF11" s="142" t="s">
        <v>180</v>
      </c>
      <c r="AG11" s="142"/>
      <c r="AH11" s="142" t="s">
        <v>181</v>
      </c>
      <c r="AI11" s="142"/>
    </row>
    <row r="12" spans="1:35" ht="16.5" thickBot="1" x14ac:dyDescent="0.3">
      <c r="A12" s="107"/>
      <c r="B12" s="46" t="s">
        <v>114</v>
      </c>
      <c r="C12" s="47">
        <f>'Aileron shear'!O51</f>
        <v>187.37101541341434</v>
      </c>
      <c r="D12" s="48">
        <f>'Aileron shear'!P51</f>
        <v>29.799454102788552</v>
      </c>
      <c r="E12" s="46" t="s">
        <v>114</v>
      </c>
      <c r="F12" s="47">
        <f>'Aileron shear'!R51</f>
        <v>-177.65499492328593</v>
      </c>
      <c r="G12" s="48">
        <f>'Aileron shear'!S51</f>
        <v>34.538273926997839</v>
      </c>
      <c r="I12" t="s">
        <v>160</v>
      </c>
      <c r="J12" s="146" t="s">
        <v>115</v>
      </c>
      <c r="K12" s="147"/>
      <c r="L12" s="147"/>
      <c r="M12" s="148"/>
      <c r="N12" s="146" t="s">
        <v>153</v>
      </c>
      <c r="O12" s="147"/>
      <c r="P12" s="147"/>
      <c r="Q12" s="148"/>
      <c r="R12" s="146" t="s">
        <v>154</v>
      </c>
      <c r="S12" s="147"/>
      <c r="T12" s="147"/>
      <c r="U12" s="148"/>
      <c r="X12" s="28" t="s">
        <v>174</v>
      </c>
      <c r="Y12" s="28" t="s">
        <v>175</v>
      </c>
      <c r="Z12" s="28" t="s">
        <v>174</v>
      </c>
      <c r="AA12" s="28" t="s">
        <v>175</v>
      </c>
      <c r="AB12" s="27" t="s">
        <v>174</v>
      </c>
      <c r="AC12" s="27" t="s">
        <v>175</v>
      </c>
      <c r="AD12" s="27" t="s">
        <v>174</v>
      </c>
      <c r="AE12" s="27" t="s">
        <v>175</v>
      </c>
      <c r="AF12" s="27" t="s">
        <v>174</v>
      </c>
      <c r="AG12" s="27" t="s">
        <v>175</v>
      </c>
      <c r="AH12" s="27" t="s">
        <v>174</v>
      </c>
      <c r="AI12" s="27" t="s">
        <v>175</v>
      </c>
    </row>
    <row r="13" spans="1:35" ht="16.5" thickBot="1" x14ac:dyDescent="0.3">
      <c r="A13" s="105" t="s">
        <v>122</v>
      </c>
      <c r="B13" s="51" t="s">
        <v>115</v>
      </c>
      <c r="C13" s="26">
        <f>F13</f>
        <v>39.727746184971103</v>
      </c>
      <c r="D13" s="50">
        <f>G13</f>
        <v>0</v>
      </c>
      <c r="E13" s="51" t="s">
        <v>115</v>
      </c>
      <c r="F13" s="26">
        <f>'Aileron torsion'!B14</f>
        <v>39.727746184971103</v>
      </c>
      <c r="G13" s="50">
        <v>0</v>
      </c>
      <c r="I13" s="79" t="s">
        <v>132</v>
      </c>
      <c r="J13" s="46" t="s">
        <v>156</v>
      </c>
      <c r="K13" s="47" t="s">
        <v>155</v>
      </c>
      <c r="L13" s="46" t="s">
        <v>158</v>
      </c>
      <c r="M13" s="48" t="s">
        <v>157</v>
      </c>
      <c r="N13" s="46" t="s">
        <v>156</v>
      </c>
      <c r="O13" s="47" t="s">
        <v>155</v>
      </c>
      <c r="P13" s="46" t="s">
        <v>158</v>
      </c>
      <c r="Q13" s="48" t="s">
        <v>157</v>
      </c>
      <c r="R13" s="46" t="s">
        <v>156</v>
      </c>
      <c r="S13" s="47" t="s">
        <v>155</v>
      </c>
      <c r="T13" s="46" t="s">
        <v>158</v>
      </c>
      <c r="U13" s="48" t="s">
        <v>157</v>
      </c>
      <c r="X13" s="10">
        <f>'Aileron shear'!O4</f>
        <v>0</v>
      </c>
      <c r="Y13" s="10">
        <f>'Aileron shear'!O10</f>
        <v>0</v>
      </c>
      <c r="Z13" s="10">
        <f>'Aileron shear'!P4</f>
        <v>82.846966380527974</v>
      </c>
      <c r="AA13" s="10">
        <f>'Aileron shear'!P10</f>
        <v>33.994955809639144</v>
      </c>
      <c r="AB13" s="10">
        <f>'Aileron shear'!O5</f>
        <v>-442.87204120856944</v>
      </c>
      <c r="AC13" s="10">
        <f>'Aileron shear'!O11</f>
        <v>-181.72560961445862</v>
      </c>
      <c r="AD13" s="10">
        <f>'Aileron shear'!P5</f>
        <v>74.46236013676581</v>
      </c>
      <c r="AE13" s="10">
        <f>'Aileron shear'!P11</f>
        <v>30.554463885906948</v>
      </c>
      <c r="AF13" s="10">
        <f>'Aileron shear'!O6</f>
        <v>442.87204120856944</v>
      </c>
      <c r="AG13" s="10">
        <f>'Aileron shear'!O12</f>
        <v>181.72560961445862</v>
      </c>
      <c r="AH13" s="10">
        <f>'Aileron shear'!P6</f>
        <v>74.46236013676581</v>
      </c>
      <c r="AI13" s="10">
        <f>'Aileron shear'!P12</f>
        <v>30.554463885906948</v>
      </c>
    </row>
    <row r="14" spans="1:35" x14ac:dyDescent="0.25">
      <c r="A14" s="106"/>
      <c r="B14" s="44" t="s">
        <v>113</v>
      </c>
      <c r="C14" s="27">
        <f>F14*COS(PI()/180*Input!$C$17)</f>
        <v>35.707061743936471</v>
      </c>
      <c r="D14" s="45">
        <f>F14*SIN(PI()/180*Input!$C$17)</f>
        <v>17.415497654451176</v>
      </c>
      <c r="E14" s="44" t="s">
        <v>113</v>
      </c>
      <c r="F14" s="27">
        <f>'Aileron torsion'!B19</f>
        <v>39.727746184971103</v>
      </c>
      <c r="G14" s="45">
        <v>0</v>
      </c>
      <c r="H14">
        <f>SQRT(D14^2+C14^2)</f>
        <v>39.727746184971103</v>
      </c>
      <c r="I14" s="55">
        <f>'Aileron torsion'!E$4</f>
        <v>0</v>
      </c>
      <c r="J14" s="76">
        <v>0</v>
      </c>
      <c r="K14" s="77">
        <f>-Z13*$Y$6*$Y$7^2/(6*$Y$5)+K15*$Y$6/$Y$7+K15</f>
        <v>8.505124254436021</v>
      </c>
      <c r="L14" s="76">
        <f>J14</f>
        <v>0</v>
      </c>
      <c r="M14" s="77">
        <f>K14</f>
        <v>8.505124254436021</v>
      </c>
      <c r="N14" s="76">
        <f>-AB13*$Y$6*$Y$7^2/(6*$Y$4)+N15*$Y$6/$Y$7+N15</f>
        <v>-3.7284010730007155</v>
      </c>
      <c r="O14" s="77">
        <f>-AD13*$Y$6*$Y$7^2/(6*$Y$5)+O15*$Y$6/$Y$7+O15</f>
        <v>7.6443550429217382</v>
      </c>
      <c r="P14" s="76">
        <f>N14</f>
        <v>-3.7284010730007155</v>
      </c>
      <c r="Q14" s="77">
        <f>O14</f>
        <v>7.6443550429217382</v>
      </c>
      <c r="R14" s="76">
        <f>-AF13*$Y$6*$Y$7^2/(6*$Y$4)+R15*$Y$6/$Y$7+R15</f>
        <v>3.7284010730007155</v>
      </c>
      <c r="S14" s="77">
        <f>-AH13*$Y$6*$Y$7^2/(6*$Y$5)+S15*$Y$6/$Y$7+S15</f>
        <v>7.6443550429217382</v>
      </c>
      <c r="T14" s="75">
        <f>R14</f>
        <v>3.7284010730007155</v>
      </c>
      <c r="U14" s="77">
        <f>S14</f>
        <v>7.6443550429217382</v>
      </c>
    </row>
    <row r="15" spans="1:35" ht="16.5" thickBot="1" x14ac:dyDescent="0.3">
      <c r="A15" s="107"/>
      <c r="B15" s="46" t="s">
        <v>114</v>
      </c>
      <c r="C15" s="47">
        <f>F15*COS(PI()/180*Input!$C$17)</f>
        <v>35.707061743936471</v>
      </c>
      <c r="D15" s="48">
        <f>F15*SIN(-PI()/180*Input!$C$17)</f>
        <v>-17.415497654451176</v>
      </c>
      <c r="E15" s="46" t="s">
        <v>114</v>
      </c>
      <c r="F15" s="47">
        <f>'Aileron torsion'!B24</f>
        <v>39.727746184971103</v>
      </c>
      <c r="G15" s="48">
        <v>0</v>
      </c>
      <c r="I15" s="72">
        <f>'Aileron torsion'!E$5</f>
        <v>149</v>
      </c>
      <c r="J15" s="44">
        <v>0</v>
      </c>
      <c r="K15" s="45">
        <f>'Aileron shear'!$H$4</f>
        <v>6.8100000000000005</v>
      </c>
      <c r="L15" s="44">
        <f>J15</f>
        <v>0</v>
      </c>
      <c r="M15" s="45">
        <f>K15</f>
        <v>6.8100000000000005</v>
      </c>
      <c r="N15" s="44">
        <f>'Aileron shear'!G5</f>
        <v>-2.9853075096336172</v>
      </c>
      <c r="O15" s="45">
        <f>'Aileron shear'!H5</f>
        <v>6.1207874552973278</v>
      </c>
      <c r="P15" s="44">
        <f t="shared" ref="P15" si="6">N15</f>
        <v>-2.9853075096336172</v>
      </c>
      <c r="Q15" s="45">
        <f t="shared" ref="Q15" si="7">O15</f>
        <v>6.1207874552973278</v>
      </c>
      <c r="R15" s="43">
        <f>'Aileron shear'!G6</f>
        <v>2.9853075096336172</v>
      </c>
      <c r="S15" s="45">
        <f>'Aileron shear'!H6</f>
        <v>6.1207874552973278</v>
      </c>
      <c r="T15" s="43">
        <f t="shared" ref="T15:T18" si="8">R15</f>
        <v>2.9853075096336172</v>
      </c>
      <c r="U15" s="45">
        <f t="shared" ref="U15:U18" si="9">S15</f>
        <v>6.1207874552973278</v>
      </c>
    </row>
    <row r="16" spans="1:35" ht="16.5" thickBot="1" x14ac:dyDescent="0.3">
      <c r="I16" s="72">
        <f>'Aileron torsion'!E$6</f>
        <v>418</v>
      </c>
      <c r="J16" s="44">
        <v>0</v>
      </c>
      <c r="K16" s="45">
        <f>K15+1/$Y$5*(1/6*Z13*($I$16-$I$15)^3-(1/6*Z13*$Y$7^2+$Y$5*K15/$Y$7)*($I$16-$I$15))</f>
        <v>1.4693076277561357</v>
      </c>
      <c r="L16" s="44">
        <f t="shared" ref="L16:L18" si="10">J16</f>
        <v>0</v>
      </c>
      <c r="M16" s="45">
        <f t="shared" ref="M16:M18" si="11">K16</f>
        <v>1.4693076277561357</v>
      </c>
      <c r="N16" s="44">
        <f>N15+1/$Y$4*(1/6*AB13*($I$16-$I$15)^3-(1/6*AB13*$Y$7^2+$Y$4*N15/$Y$7)*($I$16-$I$15))</f>
        <v>-0.64410206976539541</v>
      </c>
      <c r="O16" s="45">
        <f>O15+1/$Y$5*(1/6*AD13*($I$16-$I$15)^3-(1/6*AD13*$Y$7^2+$Y$5*O15/$Y$7)*($I$16-$I$15))</f>
        <v>1.3206049480091657</v>
      </c>
      <c r="P16" s="44">
        <f t="shared" ref="P16:P17" si="12">N16</f>
        <v>-0.64410206976539541</v>
      </c>
      <c r="Q16" s="45">
        <f t="shared" ref="Q16:Q17" si="13">O16</f>
        <v>1.3206049480091657</v>
      </c>
      <c r="R16" s="44">
        <f>R15+1/$Y$4*(1/6*AF13*($I$16-$I$15)^3-(1/6*AF13*$Y$7^2+$Y$4*R15/$Y$7)*($I$16-$I$15))</f>
        <v>0.64410206976539541</v>
      </c>
      <c r="S16" s="45">
        <f>S15+1/$Y$5*(1/6*AH13*($I$16-$I$15)^3-(1/6*AH13*$Y$7^2+$Y$5*S15/$Y$7)*($I$16-$I$15))</f>
        <v>1.3206049480091657</v>
      </c>
      <c r="T16" s="43">
        <f t="shared" si="8"/>
        <v>0.64410206976539541</v>
      </c>
      <c r="U16" s="45">
        <f t="shared" si="9"/>
        <v>1.3206049480091657</v>
      </c>
    </row>
    <row r="17" spans="1:35" ht="16.5" thickBot="1" x14ac:dyDescent="0.3">
      <c r="B17" s="108" t="s">
        <v>150</v>
      </c>
      <c r="C17" s="109"/>
      <c r="D17" s="109"/>
      <c r="E17" s="109"/>
      <c r="F17" s="109"/>
      <c r="G17" s="110"/>
      <c r="I17" s="72">
        <f>'Aileron torsion'!E$7</f>
        <v>690</v>
      </c>
      <c r="J17" s="44">
        <v>0</v>
      </c>
      <c r="K17" s="45">
        <f>-1/$Y$5*(1/6*AA13*($I$17-$Y$6-$Y$7)^3-1/2*AA13*$Y$8*($I$17-$Y$6-$Y$7)^2+(1/3*AA13*$Y$8^2-$Y$5*K18/$Y$8)*($I$17-$Y$6-$Y$7))</f>
        <v>-9.6795656717218598E-2</v>
      </c>
      <c r="L17" s="44">
        <f t="shared" si="10"/>
        <v>0</v>
      </c>
      <c r="M17" s="45">
        <f t="shared" si="11"/>
        <v>-9.6795656717218598E-2</v>
      </c>
      <c r="N17" s="43">
        <f>-1/$Y$4*(1/6*AC13*($I$17-$Y$6-$Y$7)^3-1/2*AC13*$Y$8*($I$17-$Y$6-$Y$7)^2+(1/3*AC13*$Y$8^2-$Y$4*N18/$Y$8)*($I$17-$Y$6-$Y$7))</f>
        <v>4.2432423039329661E-2</v>
      </c>
      <c r="O17" s="45">
        <f>-1/$Y$5*(1/6*AE13*($I$17-$Y$6-$Y$7)^3-1/2*AE13*$Y$8*($I$17-$Y$6-$Y$7)^2+(1/3*AE13*$Y$8^2-$Y$5*O18/$Y$8)*($I$17-$Y$6-$Y$7))</f>
        <v>-8.6999359965054562E-2</v>
      </c>
      <c r="P17" s="44">
        <f t="shared" si="12"/>
        <v>4.2432423039329661E-2</v>
      </c>
      <c r="Q17" s="45">
        <f t="shared" si="13"/>
        <v>-8.6999359965054562E-2</v>
      </c>
      <c r="R17" s="43">
        <f>-1/$Y$4*(1/6*AG13*($I$17-$Y$6-$Y$7)^3-1/2*AG13*$Y$8*($I$17-$Y$6-$Y$7)^2+(1/3*AG13*$Y$8^2-$Y$4*R18/$Y$8)*($I$17-$Y$6-$Y$7))</f>
        <v>-4.2432423039329661E-2</v>
      </c>
      <c r="S17" s="45">
        <f>-1/$Y$5*(1/6*AI13*($I$17-$Y$6-$Y$7)^3-1/2*AI13*$Y$8*($I$17-$Y$6-$Y$7)^2+(1/3*AI13*$Y$8^2-$Y$5*S18/$Y$8)*($I$17-$Y$6-$Y$7))</f>
        <v>-8.6999359965054562E-2</v>
      </c>
      <c r="T17" s="43">
        <f t="shared" si="8"/>
        <v>-4.2432423039329661E-2</v>
      </c>
      <c r="U17" s="45">
        <f t="shared" si="9"/>
        <v>-8.6999359965054562E-2</v>
      </c>
    </row>
    <row r="18" spans="1:35" ht="16.5" thickBot="1" x14ac:dyDescent="0.3">
      <c r="B18" s="111" t="s">
        <v>107</v>
      </c>
      <c r="C18" s="112"/>
      <c r="D18" s="113"/>
      <c r="E18" s="111" t="s">
        <v>108</v>
      </c>
      <c r="F18" s="112"/>
      <c r="G18" s="113"/>
      <c r="I18" s="80">
        <f>'Aileron torsion'!E$8</f>
        <v>1541</v>
      </c>
      <c r="J18" s="44">
        <v>0</v>
      </c>
      <c r="K18" s="45">
        <f>'Aileron shear'!$H$7</f>
        <v>20.299999999999997</v>
      </c>
      <c r="L18" s="44">
        <f t="shared" si="10"/>
        <v>0</v>
      </c>
      <c r="M18" s="45">
        <f t="shared" si="11"/>
        <v>20.299999999999997</v>
      </c>
      <c r="N18" s="44">
        <f>'Aileron shear'!G8</f>
        <v>-8.8989342798182705</v>
      </c>
      <c r="O18" s="45">
        <f>'Aileron shear'!H8</f>
        <v>18.245519139873089</v>
      </c>
      <c r="P18" s="44">
        <f t="shared" ref="P18" si="14">N18</f>
        <v>-8.8989342798182705</v>
      </c>
      <c r="Q18" s="45">
        <f t="shared" ref="Q18" si="15">O18</f>
        <v>18.245519139873089</v>
      </c>
      <c r="R18" s="43">
        <f>'Aileron shear'!G9</f>
        <v>8.8989342798182705</v>
      </c>
      <c r="S18" s="45">
        <f>'Aileron shear'!H9</f>
        <v>18.245519139873089</v>
      </c>
      <c r="T18" s="43">
        <f t="shared" si="8"/>
        <v>8.8989342798182705</v>
      </c>
      <c r="U18" s="45">
        <f t="shared" si="9"/>
        <v>18.245519139873089</v>
      </c>
    </row>
    <row r="19" spans="1:35" ht="16.5" thickBot="1" x14ac:dyDescent="0.3">
      <c r="A19" s="56" t="s">
        <v>123</v>
      </c>
      <c r="B19" s="57" t="s">
        <v>112</v>
      </c>
      <c r="C19" s="58" t="s">
        <v>172</v>
      </c>
      <c r="D19" s="59" t="s">
        <v>173</v>
      </c>
      <c r="E19" s="57" t="s">
        <v>112</v>
      </c>
      <c r="F19" s="58" t="s">
        <v>172</v>
      </c>
      <c r="G19" s="59" t="s">
        <v>173</v>
      </c>
      <c r="I19" s="81">
        <f>'Aileron torsion'!E$9</f>
        <v>1691</v>
      </c>
      <c r="J19" s="46">
        <v>0</v>
      </c>
      <c r="K19" s="48">
        <f>K18+$Y$9/$Y$5*(1/6*AA13*$Y$8^2+$Y$5*K18/$Y$8)</f>
        <v>25.373049390641555</v>
      </c>
      <c r="L19" s="46">
        <f>J19</f>
        <v>0</v>
      </c>
      <c r="M19" s="48">
        <f>K19</f>
        <v>25.373049390641555</v>
      </c>
      <c r="N19" s="46">
        <f>N18+$Y$9/$Y$4*(1/6*AC13*$Y$8^2+$Y$4*N18/$Y$8)</f>
        <v>-11.12281275891144</v>
      </c>
      <c r="O19" s="48">
        <f>O18+$Y$9/$Y$5*(1/6*AE13*$Y$8^2+$Y$5*O18/$Y$8)</f>
        <v>22.805145728763339</v>
      </c>
      <c r="P19" s="46">
        <f>N19</f>
        <v>-11.12281275891144</v>
      </c>
      <c r="Q19" s="48">
        <f>O19</f>
        <v>22.805145728763339</v>
      </c>
      <c r="R19" s="46">
        <f>R18+$Y$9/$Y$4*(1/6*AG13*$Y$8^2+$Y$4*R18/$Y$8)</f>
        <v>11.12281275891144</v>
      </c>
      <c r="S19" s="48">
        <f>S18+$Y$9/$Y$5*(1/6*AI13*$Y$8^2+$Y$5*S18/$Y$8)</f>
        <v>22.805145728763339</v>
      </c>
      <c r="T19" s="49">
        <f>R19</f>
        <v>11.12281275891144</v>
      </c>
      <c r="U19" s="48">
        <f>S19</f>
        <v>22.805145728763339</v>
      </c>
    </row>
    <row r="20" spans="1:35" ht="16.5" thickBot="1" x14ac:dyDescent="0.3">
      <c r="A20" s="105" t="s">
        <v>25</v>
      </c>
      <c r="B20" s="52" t="s">
        <v>115</v>
      </c>
      <c r="C20" s="53">
        <f>F20</f>
        <v>0</v>
      </c>
      <c r="D20" s="54">
        <f>G20</f>
        <v>-2.71</v>
      </c>
      <c r="E20" s="52" t="s">
        <v>115</v>
      </c>
      <c r="F20" s="121">
        <v>0</v>
      </c>
      <c r="G20" s="124">
        <f>-Input!C19</f>
        <v>-2.71</v>
      </c>
    </row>
    <row r="21" spans="1:35" ht="16.5" thickBot="1" x14ac:dyDescent="0.3">
      <c r="A21" s="106"/>
      <c r="B21" s="44" t="s">
        <v>113</v>
      </c>
      <c r="C21" s="27">
        <f>-G20*SIN(PI()/180*Input!$C$17)</f>
        <v>1.1879858077983998</v>
      </c>
      <c r="D21" s="45">
        <f>G20*COS(PI()/180*Input!$C$17)</f>
        <v>-2.4357318654707427</v>
      </c>
      <c r="E21" s="44" t="s">
        <v>113</v>
      </c>
      <c r="F21" s="122"/>
      <c r="G21" s="125"/>
      <c r="I21" t="s">
        <v>159</v>
      </c>
      <c r="J21" s="143" t="s">
        <v>164</v>
      </c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5"/>
      <c r="X21" s="142" t="s">
        <v>176</v>
      </c>
      <c r="Y21" s="142"/>
      <c r="Z21" s="142" t="s">
        <v>177</v>
      </c>
      <c r="AA21" s="142"/>
      <c r="AB21" s="142" t="s">
        <v>178</v>
      </c>
      <c r="AC21" s="142"/>
      <c r="AD21" s="142" t="s">
        <v>179</v>
      </c>
      <c r="AE21" s="142"/>
      <c r="AF21" s="142" t="s">
        <v>180</v>
      </c>
      <c r="AG21" s="142"/>
      <c r="AH21" s="142" t="s">
        <v>181</v>
      </c>
      <c r="AI21" s="142"/>
    </row>
    <row r="22" spans="1:35" ht="16.5" thickBot="1" x14ac:dyDescent="0.3">
      <c r="A22" s="107"/>
      <c r="B22" s="46" t="s">
        <v>114</v>
      </c>
      <c r="C22" s="47">
        <f>G20*SIN(PI()/180*Input!$C$17)</f>
        <v>-1.1879858077983998</v>
      </c>
      <c r="D22" s="48">
        <f>G20*COS(-PI()/180*Input!$C$17)</f>
        <v>-2.4357318654707427</v>
      </c>
      <c r="E22" s="46" t="s">
        <v>114</v>
      </c>
      <c r="F22" s="123"/>
      <c r="G22" s="126"/>
      <c r="I22" t="s">
        <v>160</v>
      </c>
      <c r="J22" s="146" t="s">
        <v>115</v>
      </c>
      <c r="K22" s="147"/>
      <c r="L22" s="147"/>
      <c r="M22" s="148"/>
      <c r="N22" s="146" t="s">
        <v>153</v>
      </c>
      <c r="O22" s="147"/>
      <c r="P22" s="147"/>
      <c r="Q22" s="148"/>
      <c r="R22" s="146" t="s">
        <v>154</v>
      </c>
      <c r="S22" s="147"/>
      <c r="T22" s="147"/>
      <c r="U22" s="148"/>
      <c r="X22" s="28" t="s">
        <v>174</v>
      </c>
      <c r="Y22" s="28" t="s">
        <v>175</v>
      </c>
      <c r="Z22" s="28" t="s">
        <v>174</v>
      </c>
      <c r="AA22" s="28" t="s">
        <v>175</v>
      </c>
      <c r="AB22" s="27" t="s">
        <v>174</v>
      </c>
      <c r="AC22" s="27" t="s">
        <v>175</v>
      </c>
      <c r="AD22" s="27" t="s">
        <v>174</v>
      </c>
      <c r="AE22" s="27" t="s">
        <v>175</v>
      </c>
      <c r="AF22" s="27" t="s">
        <v>174</v>
      </c>
      <c r="AG22" s="27" t="s">
        <v>175</v>
      </c>
      <c r="AH22" s="27" t="s">
        <v>174</v>
      </c>
      <c r="AI22" s="27" t="s">
        <v>175</v>
      </c>
    </row>
    <row r="23" spans="1:35" ht="16.5" thickBot="1" x14ac:dyDescent="0.3">
      <c r="A23" s="105" t="s">
        <v>149</v>
      </c>
      <c r="B23" s="52" t="s">
        <v>115</v>
      </c>
      <c r="C23" s="53">
        <f>-F23</f>
        <v>-37.9</v>
      </c>
      <c r="D23" s="54">
        <f>G23</f>
        <v>0</v>
      </c>
      <c r="E23" s="52" t="s">
        <v>115</v>
      </c>
      <c r="F23" s="121">
        <f>Input!$C$18</f>
        <v>37.9</v>
      </c>
      <c r="G23" s="124">
        <v>0</v>
      </c>
      <c r="I23" s="79" t="s">
        <v>132</v>
      </c>
      <c r="J23" s="46" t="s">
        <v>156</v>
      </c>
      <c r="K23" s="47" t="s">
        <v>155</v>
      </c>
      <c r="L23" s="46" t="s">
        <v>158</v>
      </c>
      <c r="M23" s="48" t="s">
        <v>157</v>
      </c>
      <c r="N23" s="46" t="s">
        <v>156</v>
      </c>
      <c r="O23" s="47" t="s">
        <v>155</v>
      </c>
      <c r="P23" s="46" t="s">
        <v>158</v>
      </c>
      <c r="Q23" s="48" t="s">
        <v>157</v>
      </c>
      <c r="R23" s="46" t="s">
        <v>156</v>
      </c>
      <c r="S23" s="47" t="s">
        <v>155</v>
      </c>
      <c r="T23" s="46" t="s">
        <v>158</v>
      </c>
      <c r="U23" s="48" t="s">
        <v>157</v>
      </c>
      <c r="X23" s="10">
        <f>'Aileron shear'!O17</f>
        <v>0</v>
      </c>
      <c r="Y23" s="10">
        <f>'Aileron shear'!O23</f>
        <v>0</v>
      </c>
      <c r="Z23" s="10">
        <f>'Aileron shear'!P17</f>
        <v>1.0790209874141234</v>
      </c>
      <c r="AA23" s="10">
        <f>'Aileron shear'!P23</f>
        <v>1.7961847162134956</v>
      </c>
      <c r="AB23" s="10">
        <f>'Aileron shear'!O18</f>
        <v>-0.47301166766221192</v>
      </c>
      <c r="AC23" s="10">
        <f>'Aileron shear'!O24</f>
        <v>-0.78739555389152349</v>
      </c>
      <c r="AD23" s="10">
        <f>'Aileron shear'!P18</f>
        <v>0.96981763931966269</v>
      </c>
      <c r="AE23" s="10">
        <f>'Aileron shear'!P24</f>
        <v>1.6144001289862491</v>
      </c>
      <c r="AF23" s="10">
        <f>'Aileron shear'!O19</f>
        <v>0.47301166766221192</v>
      </c>
      <c r="AG23" s="10">
        <f>'Aileron shear'!O25</f>
        <v>0.78739555389152349</v>
      </c>
      <c r="AH23" s="10">
        <f>'Aileron shear'!P19</f>
        <v>0.96981763931966269</v>
      </c>
      <c r="AI23" s="10">
        <f>'Aileron shear'!P25</f>
        <v>1.6144001289862491</v>
      </c>
    </row>
    <row r="24" spans="1:35" x14ac:dyDescent="0.25">
      <c r="A24" s="106"/>
      <c r="B24" s="44" t="s">
        <v>113</v>
      </c>
      <c r="C24" s="27">
        <f>-F23*COS(PI()/180*Input!$C$17)</f>
        <v>-34.064294354738429</v>
      </c>
      <c r="D24" s="45">
        <f>-F23*SIN(PI()/180*Input!$C$17)</f>
        <v>-16.614266463306034</v>
      </c>
      <c r="E24" s="44" t="s">
        <v>113</v>
      </c>
      <c r="F24" s="122"/>
      <c r="G24" s="125"/>
      <c r="I24" s="55">
        <f>'Aileron torsion'!E$4</f>
        <v>0</v>
      </c>
      <c r="J24" s="76"/>
      <c r="K24" s="77"/>
      <c r="L24" s="75"/>
      <c r="M24" s="78"/>
      <c r="N24" s="76"/>
      <c r="O24" s="77"/>
      <c r="P24" s="75"/>
      <c r="Q24" s="78"/>
      <c r="R24" s="76"/>
      <c r="S24" s="77"/>
      <c r="T24" s="75"/>
      <c r="U24" s="77"/>
    </row>
    <row r="25" spans="1:35" ht="16.5" thickBot="1" x14ac:dyDescent="0.3">
      <c r="A25" s="107"/>
      <c r="B25" s="46" t="s">
        <v>114</v>
      </c>
      <c r="C25" s="47">
        <f>-F23*COS(PI()/180*Input!$C$17)</f>
        <v>-34.064294354738429</v>
      </c>
      <c r="D25" s="48">
        <f>-F23*SIN(-PI()/180*Input!$C$17)</f>
        <v>16.614266463306034</v>
      </c>
      <c r="E25" s="46" t="s">
        <v>114</v>
      </c>
      <c r="F25" s="123"/>
      <c r="G25" s="126"/>
      <c r="I25" s="72">
        <f>'Aileron torsion'!E$5</f>
        <v>149</v>
      </c>
      <c r="J25" s="44"/>
      <c r="K25" s="45"/>
      <c r="L25" s="43"/>
      <c r="M25" s="45"/>
      <c r="N25" s="44"/>
      <c r="O25" s="45"/>
      <c r="P25" s="43"/>
      <c r="Q25" s="45"/>
      <c r="R25" s="44"/>
      <c r="S25" s="45"/>
      <c r="T25" s="43"/>
      <c r="U25" s="45"/>
    </row>
    <row r="26" spans="1:35" x14ac:dyDescent="0.25">
      <c r="I26" s="72">
        <f>'Aileron torsion'!E$6</f>
        <v>418</v>
      </c>
      <c r="J26" s="44"/>
      <c r="K26" s="45"/>
      <c r="L26" s="43"/>
      <c r="M26" s="45"/>
      <c r="N26" s="44"/>
      <c r="O26" s="45"/>
      <c r="P26" s="43"/>
      <c r="Q26" s="45"/>
      <c r="R26" s="44"/>
      <c r="S26" s="45"/>
      <c r="T26" s="43"/>
      <c r="U26" s="45"/>
    </row>
    <row r="27" spans="1:35" x14ac:dyDescent="0.25">
      <c r="A27" s="84" t="s">
        <v>166</v>
      </c>
      <c r="I27" s="72">
        <f>'Aileron torsion'!E$7</f>
        <v>690</v>
      </c>
      <c r="J27" s="44"/>
      <c r="K27" s="45"/>
      <c r="L27" s="43"/>
      <c r="M27" s="45"/>
      <c r="N27" s="44"/>
      <c r="O27" s="45"/>
      <c r="P27" s="43"/>
      <c r="Q27" s="45"/>
      <c r="R27" s="44"/>
      <c r="S27" s="45"/>
      <c r="T27" s="43"/>
      <c r="U27" s="45"/>
    </row>
    <row r="28" spans="1:35" x14ac:dyDescent="0.25">
      <c r="I28" s="80">
        <f>'Aileron torsion'!E$8</f>
        <v>1541</v>
      </c>
      <c r="J28" s="44"/>
      <c r="K28" s="45"/>
      <c r="L28" s="43"/>
      <c r="M28" s="45"/>
      <c r="N28" s="44"/>
      <c r="O28" s="45"/>
      <c r="P28" s="43"/>
      <c r="Q28" s="45"/>
      <c r="R28" s="44"/>
      <c r="S28" s="45"/>
      <c r="T28" s="43"/>
      <c r="U28" s="45"/>
    </row>
    <row r="29" spans="1:35" ht="16.5" thickBot="1" x14ac:dyDescent="0.3">
      <c r="I29" s="81">
        <f>'Aileron torsion'!E$9</f>
        <v>1691</v>
      </c>
      <c r="J29" s="46"/>
      <c r="K29" s="48"/>
      <c r="L29" s="49"/>
      <c r="M29" s="63"/>
      <c r="N29" s="46"/>
      <c r="O29" s="48"/>
      <c r="P29" s="49"/>
      <c r="Q29" s="63"/>
      <c r="R29" s="46"/>
      <c r="S29" s="48"/>
      <c r="T29" s="49"/>
      <c r="U29" s="48"/>
    </row>
    <row r="30" spans="1:35" ht="16.5" thickBot="1" x14ac:dyDescent="0.3"/>
    <row r="31" spans="1:35" ht="16.5" thickBot="1" x14ac:dyDescent="0.3">
      <c r="I31" t="s">
        <v>159</v>
      </c>
      <c r="J31" s="143" t="s">
        <v>165</v>
      </c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  <c r="X31" s="142" t="s">
        <v>176</v>
      </c>
      <c r="Y31" s="142"/>
      <c r="Z31" s="142" t="s">
        <v>177</v>
      </c>
      <c r="AA31" s="142"/>
      <c r="AB31" s="142" t="s">
        <v>178</v>
      </c>
      <c r="AC31" s="142"/>
      <c r="AD31" s="142" t="s">
        <v>179</v>
      </c>
      <c r="AE31" s="142"/>
      <c r="AF31" s="142" t="s">
        <v>180</v>
      </c>
      <c r="AG31" s="142"/>
      <c r="AH31" s="142" t="s">
        <v>181</v>
      </c>
      <c r="AI31" s="142"/>
    </row>
    <row r="32" spans="1:35" ht="16.5" thickBot="1" x14ac:dyDescent="0.3">
      <c r="I32" t="s">
        <v>160</v>
      </c>
      <c r="J32" s="146" t="s">
        <v>115</v>
      </c>
      <c r="K32" s="147"/>
      <c r="L32" s="147"/>
      <c r="M32" s="148"/>
      <c r="N32" s="146" t="s">
        <v>153</v>
      </c>
      <c r="O32" s="147"/>
      <c r="P32" s="147"/>
      <c r="Q32" s="148"/>
      <c r="R32" s="146" t="s">
        <v>154</v>
      </c>
      <c r="S32" s="147"/>
      <c r="T32" s="147"/>
      <c r="U32" s="148"/>
      <c r="X32" s="28" t="s">
        <v>174</v>
      </c>
      <c r="Y32" s="28" t="s">
        <v>175</v>
      </c>
      <c r="Z32" s="28" t="s">
        <v>174</v>
      </c>
      <c r="AA32" s="28" t="s">
        <v>175</v>
      </c>
      <c r="AB32" s="27" t="s">
        <v>174</v>
      </c>
      <c r="AC32" s="27" t="s">
        <v>175</v>
      </c>
      <c r="AD32" s="27" t="s">
        <v>174</v>
      </c>
      <c r="AE32" s="27" t="s">
        <v>175</v>
      </c>
      <c r="AF32" s="27" t="s">
        <v>174</v>
      </c>
      <c r="AG32" s="27" t="s">
        <v>175</v>
      </c>
      <c r="AH32" s="27" t="s">
        <v>174</v>
      </c>
      <c r="AI32" s="27" t="s">
        <v>175</v>
      </c>
    </row>
    <row r="33" spans="9:35" ht="16.5" thickBot="1" x14ac:dyDescent="0.3">
      <c r="I33" s="79" t="s">
        <v>132</v>
      </c>
      <c r="J33" s="46" t="s">
        <v>156</v>
      </c>
      <c r="K33" s="47" t="s">
        <v>155</v>
      </c>
      <c r="L33" s="46" t="s">
        <v>158</v>
      </c>
      <c r="M33" s="48" t="s">
        <v>157</v>
      </c>
      <c r="N33" s="46" t="s">
        <v>156</v>
      </c>
      <c r="O33" s="47" t="s">
        <v>155</v>
      </c>
      <c r="P33" s="46" t="s">
        <v>158</v>
      </c>
      <c r="Q33" s="48" t="s">
        <v>157</v>
      </c>
      <c r="R33" s="46" t="s">
        <v>156</v>
      </c>
      <c r="S33" s="47" t="s">
        <v>155</v>
      </c>
      <c r="T33" s="46" t="s">
        <v>158</v>
      </c>
      <c r="U33" s="48" t="s">
        <v>157</v>
      </c>
      <c r="X33" s="10">
        <f>'Aileron shear'!O30</f>
        <v>-12.895326584644117</v>
      </c>
      <c r="Y33" s="10">
        <f>'Aileron shear'!O36</f>
        <v>5.405031625506787</v>
      </c>
      <c r="Z33" s="10">
        <f>'Aileron shear'!P30</f>
        <v>0</v>
      </c>
      <c r="AA33" s="10">
        <f>'Aileron shear'!P36</f>
        <v>0</v>
      </c>
      <c r="AB33" s="10">
        <f>'Aileron shear'!O31</f>
        <v>-11.590242759361505</v>
      </c>
      <c r="AC33" s="10">
        <f>'Aileron shear'!O37</f>
        <v>4.8580102450642118</v>
      </c>
      <c r="AD33" s="10">
        <f>'Aileron shear'!P31</f>
        <v>-5.6529391031301177</v>
      </c>
      <c r="AE33" s="10">
        <f>'Aileron shear'!P37</f>
        <v>2.3694099121046417</v>
      </c>
      <c r="AF33" s="10">
        <f>'Aileron shear'!O32</f>
        <v>-11.590242759361505</v>
      </c>
      <c r="AG33" s="10">
        <f>'Aileron shear'!O38</f>
        <v>4.8580102450642118</v>
      </c>
      <c r="AH33" s="10">
        <f>'Aileron shear'!P32</f>
        <v>5.6529391031301177</v>
      </c>
      <c r="AI33" s="10">
        <f>'Aileron shear'!P38</f>
        <v>-2.3694099121046417</v>
      </c>
    </row>
    <row r="34" spans="9:35" x14ac:dyDescent="0.25">
      <c r="I34" s="55">
        <f>'Aileron torsion'!E$4</f>
        <v>0</v>
      </c>
      <c r="J34" s="76"/>
      <c r="K34" s="77"/>
      <c r="L34" s="75"/>
      <c r="M34" s="78"/>
      <c r="N34" s="76"/>
      <c r="O34" s="77"/>
      <c r="P34" s="75"/>
      <c r="Q34" s="78"/>
      <c r="R34" s="76"/>
      <c r="S34" s="77"/>
      <c r="T34" s="75"/>
      <c r="U34" s="77"/>
    </row>
    <row r="35" spans="9:35" x14ac:dyDescent="0.25">
      <c r="I35" s="72">
        <f>'Aileron torsion'!E$5</f>
        <v>149</v>
      </c>
      <c r="J35" s="44"/>
      <c r="K35" s="45"/>
      <c r="L35" s="43"/>
      <c r="M35" s="45"/>
      <c r="N35" s="44"/>
      <c r="O35" s="45"/>
      <c r="P35" s="43"/>
      <c r="Q35" s="45"/>
      <c r="R35" s="44"/>
      <c r="S35" s="45"/>
      <c r="T35" s="43"/>
      <c r="U35" s="45"/>
    </row>
    <row r="36" spans="9:35" x14ac:dyDescent="0.25">
      <c r="I36" s="72">
        <f>'Aileron torsion'!E$6</f>
        <v>418</v>
      </c>
      <c r="J36" s="44"/>
      <c r="K36" s="45"/>
      <c r="L36" s="43"/>
      <c r="M36" s="45"/>
      <c r="N36" s="44"/>
      <c r="O36" s="45"/>
      <c r="P36" s="43"/>
      <c r="Q36" s="45"/>
      <c r="R36" s="44"/>
      <c r="S36" s="45"/>
      <c r="T36" s="43"/>
      <c r="U36" s="45"/>
    </row>
    <row r="37" spans="9:35" x14ac:dyDescent="0.25">
      <c r="I37" s="72">
        <f>'Aileron torsion'!E$7</f>
        <v>690</v>
      </c>
      <c r="J37" s="44"/>
      <c r="K37" s="45"/>
      <c r="L37" s="43"/>
      <c r="M37" s="45"/>
      <c r="N37" s="44"/>
      <c r="O37" s="45"/>
      <c r="P37" s="43"/>
      <c r="Q37" s="45"/>
      <c r="R37" s="44"/>
      <c r="S37" s="45"/>
      <c r="T37" s="43"/>
      <c r="U37" s="45"/>
    </row>
    <row r="38" spans="9:35" x14ac:dyDescent="0.25">
      <c r="I38" s="80">
        <f>'Aileron torsion'!E$8</f>
        <v>1541</v>
      </c>
      <c r="J38" s="44"/>
      <c r="K38" s="45"/>
      <c r="L38" s="43"/>
      <c r="M38" s="45"/>
      <c r="N38" s="44"/>
      <c r="O38" s="45"/>
      <c r="P38" s="43"/>
      <c r="Q38" s="45"/>
      <c r="R38" s="44"/>
      <c r="S38" s="45"/>
      <c r="T38" s="43"/>
      <c r="U38" s="45"/>
    </row>
    <row r="39" spans="9:35" ht="16.5" thickBot="1" x14ac:dyDescent="0.3">
      <c r="I39" s="81">
        <f>'Aileron torsion'!E$9</f>
        <v>1691</v>
      </c>
      <c r="J39" s="46"/>
      <c r="K39" s="48"/>
      <c r="L39" s="49"/>
      <c r="M39" s="63"/>
      <c r="N39" s="46"/>
      <c r="O39" s="48"/>
      <c r="P39" s="49"/>
      <c r="Q39" s="63"/>
      <c r="R39" s="46"/>
      <c r="S39" s="48"/>
      <c r="T39" s="49"/>
      <c r="U39" s="48"/>
    </row>
    <row r="40" spans="9:35" ht="16.5" thickBot="1" x14ac:dyDescent="0.3"/>
    <row r="41" spans="9:35" ht="16.5" thickBot="1" x14ac:dyDescent="0.3">
      <c r="I41" t="s">
        <v>159</v>
      </c>
      <c r="J41" s="143" t="s">
        <v>162</v>
      </c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5"/>
    </row>
    <row r="42" spans="9:35" ht="16.5" thickBot="1" x14ac:dyDescent="0.3">
      <c r="I42" t="s">
        <v>160</v>
      </c>
      <c r="J42" s="146" t="s">
        <v>115</v>
      </c>
      <c r="K42" s="147"/>
      <c r="L42" s="147"/>
      <c r="M42" s="148"/>
      <c r="N42" s="146" t="s">
        <v>153</v>
      </c>
      <c r="O42" s="147"/>
      <c r="P42" s="147"/>
      <c r="Q42" s="148"/>
      <c r="R42" s="146" t="s">
        <v>154</v>
      </c>
      <c r="S42" s="147"/>
      <c r="T42" s="147"/>
      <c r="U42" s="148"/>
    </row>
    <row r="43" spans="9:35" ht="16.5" thickBot="1" x14ac:dyDescent="0.3">
      <c r="I43" s="79" t="s">
        <v>132</v>
      </c>
      <c r="J43" s="46" t="s">
        <v>156</v>
      </c>
      <c r="K43" s="47" t="s">
        <v>155</v>
      </c>
      <c r="L43" s="46" t="s">
        <v>158</v>
      </c>
      <c r="M43" s="48" t="s">
        <v>157</v>
      </c>
      <c r="N43" s="46" t="s">
        <v>156</v>
      </c>
      <c r="O43" s="47" t="s">
        <v>155</v>
      </c>
      <c r="P43" s="46" t="s">
        <v>158</v>
      </c>
      <c r="Q43" s="48" t="s">
        <v>157</v>
      </c>
      <c r="R43" s="46" t="s">
        <v>156</v>
      </c>
      <c r="S43" s="47" t="s">
        <v>155</v>
      </c>
      <c r="T43" s="46" t="s">
        <v>158</v>
      </c>
      <c r="U43" s="48" t="s">
        <v>157</v>
      </c>
    </row>
    <row r="44" spans="9:35" x14ac:dyDescent="0.25">
      <c r="I44" s="55">
        <f>'Aileron torsion'!E$4</f>
        <v>0</v>
      </c>
      <c r="J44" s="76">
        <v>0</v>
      </c>
      <c r="K44" s="54">
        <f>'Aileron torsion'!G4</f>
        <v>3.1291752400547392E-3</v>
      </c>
      <c r="L44" s="76">
        <v>0</v>
      </c>
      <c r="M44" s="83">
        <f>'Aileron torsion'!H4</f>
        <v>-1.4379735929731316E-2</v>
      </c>
      <c r="N44" s="76">
        <v>0</v>
      </c>
      <c r="O44" s="54">
        <f>'Aileron torsion'!K4</f>
        <v>2.8124840755879665E-3</v>
      </c>
      <c r="P44" s="76">
        <v>0</v>
      </c>
      <c r="Q44" s="83">
        <f>'Aileron torsion'!L4</f>
        <v>-1.2924421040996724E-2</v>
      </c>
      <c r="R44" s="76">
        <v>0</v>
      </c>
      <c r="S44" s="54">
        <f>'Aileron torsion'!O4</f>
        <v>2.8124840755879665E-3</v>
      </c>
      <c r="T44" s="76">
        <v>0</v>
      </c>
      <c r="U44" s="54">
        <f>'Aileron torsion'!P4</f>
        <v>-1.2924421040996724E-2</v>
      </c>
    </row>
    <row r="45" spans="9:35" x14ac:dyDescent="0.25">
      <c r="I45" s="72">
        <f>'Aileron torsion'!E$5</f>
        <v>149</v>
      </c>
      <c r="J45" s="44">
        <v>0</v>
      </c>
      <c r="K45" s="45">
        <f>'Aileron torsion'!G5</f>
        <v>3.526778428537462E-3</v>
      </c>
      <c r="L45" s="44">
        <v>0</v>
      </c>
      <c r="M45" s="62">
        <f>'Aileron torsion'!H5</f>
        <v>-1.6206871969290649E-2</v>
      </c>
      <c r="N45" s="44">
        <v>0</v>
      </c>
      <c r="O45" s="45">
        <f>'Aileron torsion'!K5</f>
        <v>3.4865386186525762E-3</v>
      </c>
      <c r="P45" s="44">
        <v>0</v>
      </c>
      <c r="Q45" s="62">
        <f>'Aileron torsion'!L5</f>
        <v>-1.6021954923865885E-2</v>
      </c>
      <c r="R45" s="44">
        <v>0</v>
      </c>
      <c r="S45" s="45">
        <f>'Aileron torsion'!O5</f>
        <v>3.4865386186525762E-3</v>
      </c>
      <c r="T45" s="44">
        <v>0</v>
      </c>
      <c r="U45" s="45">
        <f>'Aileron torsion'!P5</f>
        <v>-1.6021954923865885E-2</v>
      </c>
    </row>
    <row r="46" spans="9:35" x14ac:dyDescent="0.25">
      <c r="I46" s="72">
        <f>'Aileron torsion'!E$6</f>
        <v>418</v>
      </c>
      <c r="J46" s="44">
        <v>0</v>
      </c>
      <c r="K46" s="45">
        <f>'Aileron torsion'!G6</f>
        <v>0</v>
      </c>
      <c r="L46" s="44">
        <v>0</v>
      </c>
      <c r="M46" s="62">
        <f>'Aileron torsion'!H6</f>
        <v>0</v>
      </c>
      <c r="N46" s="44">
        <v>0</v>
      </c>
      <c r="O46" s="45">
        <f>'Aileron torsion'!K6</f>
        <v>0</v>
      </c>
      <c r="P46" s="44">
        <v>0</v>
      </c>
      <c r="Q46" s="62">
        <f>'Aileron torsion'!L6</f>
        <v>0</v>
      </c>
      <c r="R46" s="44">
        <v>0</v>
      </c>
      <c r="S46" s="45">
        <f>'Aileron torsion'!O6</f>
        <v>0</v>
      </c>
      <c r="T46" s="44">
        <v>0</v>
      </c>
      <c r="U46" s="45">
        <f>'Aileron torsion'!P6</f>
        <v>0</v>
      </c>
    </row>
    <row r="47" spans="9:35" x14ac:dyDescent="0.25">
      <c r="I47" s="72">
        <f>'Aileron torsion'!E$7</f>
        <v>690</v>
      </c>
      <c r="J47" s="44">
        <v>0</v>
      </c>
      <c r="K47" s="45">
        <f>'Aileron torsion'!G7</f>
        <v>0.35327566103654656</v>
      </c>
      <c r="L47" s="44">
        <v>0</v>
      </c>
      <c r="M47" s="62">
        <f>'Aileron torsion'!H7</f>
        <v>-1.6234343960928006</v>
      </c>
      <c r="N47" s="44">
        <v>0</v>
      </c>
      <c r="O47" s="45">
        <f>'Aileron torsion'!K7</f>
        <v>0.3178387520065174</v>
      </c>
      <c r="P47" s="44">
        <v>0</v>
      </c>
      <c r="Q47" s="62">
        <f>'Aileron torsion'!L7</f>
        <v>-1.4605884846542274</v>
      </c>
      <c r="R47" s="44">
        <v>0</v>
      </c>
      <c r="S47" s="45">
        <f>'Aileron torsion'!O7</f>
        <v>0.3178387520065174</v>
      </c>
      <c r="T47" s="44">
        <v>0</v>
      </c>
      <c r="U47" s="45">
        <f>'Aileron torsion'!P7</f>
        <v>-1.4605884846542274</v>
      </c>
    </row>
    <row r="48" spans="9:35" x14ac:dyDescent="0.25">
      <c r="I48" s="80">
        <f>'Aileron torsion'!E$8</f>
        <v>1541</v>
      </c>
      <c r="J48" s="44">
        <v>0</v>
      </c>
      <c r="K48" s="45">
        <f>'Aileron torsion'!G8</f>
        <v>0.38727781675893364</v>
      </c>
      <c r="L48" s="44">
        <v>0</v>
      </c>
      <c r="M48" s="62">
        <f>'Aileron torsion'!H8</f>
        <v>-1.7796870770135969</v>
      </c>
      <c r="N48" s="44">
        <v>0</v>
      </c>
      <c r="O48" s="45">
        <f>'Aileron torsion'!K8</f>
        <v>0.34839968713113606</v>
      </c>
      <c r="P48" s="44">
        <v>0</v>
      </c>
      <c r="Q48" s="62">
        <f>'Aileron torsion'!L8</f>
        <v>-1.6010274639841224</v>
      </c>
      <c r="R48" s="44">
        <v>0</v>
      </c>
      <c r="S48" s="45">
        <f>'Aileron torsion'!O8</f>
        <v>0.34839968713113606</v>
      </c>
      <c r="T48" s="44">
        <v>0</v>
      </c>
      <c r="U48" s="45">
        <f>'Aileron torsion'!P8</f>
        <v>-1.6010274639841224</v>
      </c>
    </row>
    <row r="49" spans="9:21" ht="16.5" thickBot="1" x14ac:dyDescent="0.3">
      <c r="I49" s="81">
        <f>'Aileron torsion'!E$9</f>
        <v>1691</v>
      </c>
      <c r="J49" s="46">
        <v>0</v>
      </c>
      <c r="K49" s="48">
        <f>'Aileron torsion'!G9</f>
        <v>0.39596021961359895</v>
      </c>
      <c r="L49" s="46">
        <v>0</v>
      </c>
      <c r="M49" s="63">
        <f>'Aileron torsion'!H9</f>
        <v>-1.819585980305267</v>
      </c>
      <c r="N49" s="46">
        <v>0</v>
      </c>
      <c r="O49" s="48">
        <f>'Aileron torsion'!K9</f>
        <v>0.35620337912448019</v>
      </c>
      <c r="P49" s="46">
        <v>0</v>
      </c>
      <c r="Q49" s="63">
        <f>'Aileron torsion'!L9</f>
        <v>-1.6368883607165419</v>
      </c>
      <c r="R49" s="46">
        <v>0</v>
      </c>
      <c r="S49" s="48">
        <f>'Aileron torsion'!O9</f>
        <v>0.35620337912448019</v>
      </c>
      <c r="T49" s="46">
        <v>0</v>
      </c>
      <c r="U49" s="48">
        <f>'Aileron torsion'!P9</f>
        <v>-1.6368883607165419</v>
      </c>
    </row>
  </sheetData>
  <mergeCells count="54">
    <mergeCell ref="A10:A12"/>
    <mergeCell ref="B1:G1"/>
    <mergeCell ref="B2:D2"/>
    <mergeCell ref="E2:G2"/>
    <mergeCell ref="A4:A6"/>
    <mergeCell ref="A7:A9"/>
    <mergeCell ref="A13:A15"/>
    <mergeCell ref="A23:A25"/>
    <mergeCell ref="B17:G17"/>
    <mergeCell ref="A20:A22"/>
    <mergeCell ref="F23:F25"/>
    <mergeCell ref="G23:G25"/>
    <mergeCell ref="F20:F22"/>
    <mergeCell ref="G20:G22"/>
    <mergeCell ref="B18:D18"/>
    <mergeCell ref="E18:G18"/>
    <mergeCell ref="J2:M2"/>
    <mergeCell ref="N2:Q2"/>
    <mergeCell ref="R2:U2"/>
    <mergeCell ref="J1:U1"/>
    <mergeCell ref="J11:U11"/>
    <mergeCell ref="J41:U41"/>
    <mergeCell ref="J42:M42"/>
    <mergeCell ref="N42:Q42"/>
    <mergeCell ref="R42:U42"/>
    <mergeCell ref="J12:M12"/>
    <mergeCell ref="N12:Q12"/>
    <mergeCell ref="R12:U12"/>
    <mergeCell ref="J21:U21"/>
    <mergeCell ref="J22:M22"/>
    <mergeCell ref="N22:Q22"/>
    <mergeCell ref="R22:U22"/>
    <mergeCell ref="AH11:AI11"/>
    <mergeCell ref="J31:U31"/>
    <mergeCell ref="J32:M32"/>
    <mergeCell ref="N32:Q32"/>
    <mergeCell ref="R32:U32"/>
    <mergeCell ref="X11:Y11"/>
    <mergeCell ref="AB11:AC11"/>
    <mergeCell ref="AF11:AG11"/>
    <mergeCell ref="Z11:AA11"/>
    <mergeCell ref="AD11:AE11"/>
    <mergeCell ref="AH31:AI31"/>
    <mergeCell ref="X21:Y21"/>
    <mergeCell ref="Z21:AA21"/>
    <mergeCell ref="AB21:AC21"/>
    <mergeCell ref="AD21:AE21"/>
    <mergeCell ref="AF21:AG21"/>
    <mergeCell ref="AH21:AI21"/>
    <mergeCell ref="X31:Y31"/>
    <mergeCell ref="Z31:AA31"/>
    <mergeCell ref="AB31:AC31"/>
    <mergeCell ref="AD31:AE31"/>
    <mergeCell ref="AF31:AG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A29" sqref="A29"/>
    </sheetView>
  </sheetViews>
  <sheetFormatPr defaultColWidth="11.25" defaultRowHeight="15.75" x14ac:dyDescent="0.25"/>
  <cols>
    <col min="2" max="7" width="10.75" style="29"/>
    <col min="17" max="17" width="12.25" bestFit="1" customWidth="1"/>
  </cols>
  <sheetData>
    <row r="1" spans="1:17" s="8" customFormat="1" x14ac:dyDescent="0.25">
      <c r="B1" s="87"/>
      <c r="C1" s="146" t="s">
        <v>115</v>
      </c>
      <c r="D1" s="147"/>
      <c r="E1" s="147"/>
      <c r="F1" s="147"/>
      <c r="G1" s="148"/>
      <c r="H1" s="146" t="s">
        <v>153</v>
      </c>
      <c r="I1" s="147"/>
      <c r="J1" s="147"/>
      <c r="K1" s="147"/>
      <c r="L1" s="148"/>
      <c r="M1" s="146" t="s">
        <v>171</v>
      </c>
      <c r="N1" s="147"/>
      <c r="O1" s="147"/>
      <c r="P1" s="147"/>
      <c r="Q1" s="148"/>
    </row>
    <row r="2" spans="1:17" ht="16.5" thickBot="1" x14ac:dyDescent="0.3">
      <c r="B2" s="73" t="s">
        <v>132</v>
      </c>
      <c r="C2" s="46" t="s">
        <v>169</v>
      </c>
      <c r="D2" s="47" t="s">
        <v>170</v>
      </c>
      <c r="E2" s="47" t="s">
        <v>151</v>
      </c>
      <c r="F2" s="47" t="s">
        <v>152</v>
      </c>
      <c r="G2" s="48" t="s">
        <v>167</v>
      </c>
      <c r="H2" s="46" t="s">
        <v>169</v>
      </c>
      <c r="I2" s="47" t="s">
        <v>170</v>
      </c>
      <c r="J2" s="47" t="s">
        <v>151</v>
      </c>
      <c r="K2" s="47" t="s">
        <v>152</v>
      </c>
      <c r="L2" s="48" t="s">
        <v>167</v>
      </c>
      <c r="M2" s="46" t="s">
        <v>169</v>
      </c>
      <c r="N2" s="47" t="s">
        <v>170</v>
      </c>
      <c r="O2" s="47" t="s">
        <v>151</v>
      </c>
      <c r="P2" s="47" t="s">
        <v>152</v>
      </c>
      <c r="Q2" s="48" t="s">
        <v>167</v>
      </c>
    </row>
    <row r="3" spans="1:17" x14ac:dyDescent="0.25">
      <c r="B3" s="88">
        <v>0</v>
      </c>
      <c r="C3" s="89">
        <f>Superpositioning!$C$20*$B3/1000</f>
        <v>0</v>
      </c>
      <c r="D3" s="90">
        <f>Superpositioning!$D$20*$B3/1000</f>
        <v>0</v>
      </c>
      <c r="E3" s="90">
        <f>1/2*Superpositioning!$C$20*(B3/1000)^2</f>
        <v>0</v>
      </c>
      <c r="F3" s="90">
        <f>1/2*Superpositioning!$D$20*(B3/1000)^2</f>
        <v>0</v>
      </c>
      <c r="G3" s="91">
        <f>'Aileron torsion'!$B$11*$B3/1000</f>
        <v>0</v>
      </c>
      <c r="H3" s="89">
        <f>Superpositioning!$C$21*$B3/1000</f>
        <v>0</v>
      </c>
      <c r="I3" s="90">
        <f>Superpositioning!$D$21*$B3/1000</f>
        <v>0</v>
      </c>
      <c r="J3" s="90">
        <f>1/2*Superpositioning!$C$21*(B3/1000)^2</f>
        <v>0</v>
      </c>
      <c r="K3" s="90">
        <f>1/2*Superpositioning!$C$21*(B3/1000)^2</f>
        <v>0</v>
      </c>
      <c r="L3" s="91">
        <f>'Aileron torsion'!$B$16*$B3/1000</f>
        <v>0</v>
      </c>
      <c r="M3" s="89">
        <f>Superpositioning!$C$22*$B3/1000</f>
        <v>0</v>
      </c>
      <c r="N3" s="90">
        <f>Superpositioning!$D$22*$B3/1000</f>
        <v>0</v>
      </c>
      <c r="O3" s="90">
        <f>1/2*Superpositioning!$C$22*(B3/1000)^2</f>
        <v>0</v>
      </c>
      <c r="P3" s="90">
        <f>1/2*Superpositioning!$D$22*(B3/1000)^2</f>
        <v>0</v>
      </c>
      <c r="Q3" s="91">
        <f>'Aileron torsion'!$B$21*$B3/1000</f>
        <v>0</v>
      </c>
    </row>
    <row r="4" spans="1:17" x14ac:dyDescent="0.25">
      <c r="A4">
        <v>1</v>
      </c>
      <c r="B4" s="92">
        <f>B3+'Aileron shear'!$B$4/10</f>
        <v>14.9</v>
      </c>
      <c r="C4" s="93">
        <f>Superpositioning!$C$20*$B4/1000</f>
        <v>0</v>
      </c>
      <c r="D4" s="94">
        <f>Superpositioning!$D$20*$B4/1000</f>
        <v>-4.0378999999999998E-2</v>
      </c>
      <c r="E4" s="94">
        <f>1/2*Superpositioning!$C$20*(B4/1000)^2</f>
        <v>0</v>
      </c>
      <c r="F4" s="94">
        <f>1/2*Superpositioning!$D$20*(B4/1000)^2</f>
        <v>-3.0082355E-4</v>
      </c>
      <c r="G4" s="95">
        <f>'Aileron torsion'!$B$11*$B4/1000</f>
        <v>-1.3930755000000001E-3</v>
      </c>
      <c r="H4" s="93">
        <f>Superpositioning!$C$21*$B4/1000</f>
        <v>1.7700988536196158E-2</v>
      </c>
      <c r="I4" s="94">
        <f>Superpositioning!$D$21*$B4/1000</f>
        <v>-3.6292404795514065E-2</v>
      </c>
      <c r="J4" s="94">
        <f>1/2*Superpositioning!$C$21*(B4/1000)^2</f>
        <v>1.3187236459466137E-4</v>
      </c>
      <c r="K4" s="94">
        <f>1/2*Superpositioning!$C$21*(B4/1000)^2</f>
        <v>1.3187236459466137E-4</v>
      </c>
      <c r="L4" s="95">
        <f>'Aileron torsion'!$B$16*$B4/1000</f>
        <v>-1.2520879654452353E-3</v>
      </c>
      <c r="M4" s="93">
        <f>Superpositioning!$C$22*$B4/1000</f>
        <v>-1.7700988536196158E-2</v>
      </c>
      <c r="N4" s="94">
        <f>Superpositioning!$D$22*$B4/1000</f>
        <v>-3.6292404795514065E-2</v>
      </c>
      <c r="O4" s="94">
        <f>1/2*Superpositioning!$C$22*(B4/1000)^2</f>
        <v>-1.3187236459466137E-4</v>
      </c>
      <c r="P4" s="94">
        <f>1/2*Superpositioning!$D$22*(B4/1000)^2</f>
        <v>-2.7037841572657978E-4</v>
      </c>
      <c r="Q4" s="95">
        <f>'Aileron torsion'!$B$21*$B4/1000</f>
        <v>-1.2520879654452353E-3</v>
      </c>
    </row>
    <row r="5" spans="1:17" x14ac:dyDescent="0.25">
      <c r="A5">
        <v>2</v>
      </c>
      <c r="B5" s="92">
        <f>B4+'Aileron shear'!$B$4/10</f>
        <v>29.8</v>
      </c>
      <c r="C5" s="93">
        <f>Superpositioning!$C$20*$B5/1000</f>
        <v>0</v>
      </c>
      <c r="D5" s="94">
        <f>Superpositioning!$D$20*$B5/1000</f>
        <v>-8.0757999999999996E-2</v>
      </c>
      <c r="E5" s="94">
        <f>1/2*Superpositioning!$C$20*(B5/1000)^2</f>
        <v>0</v>
      </c>
      <c r="F5" s="94">
        <f>1/2*Superpositioning!$D$20*(B5/1000)^2</f>
        <v>-1.2032942E-3</v>
      </c>
      <c r="G5" s="95">
        <f>'Aileron torsion'!$B$11*$B5/1000</f>
        <v>-2.7861510000000002E-3</v>
      </c>
      <c r="H5" s="93">
        <f>Superpositioning!$C$21*$B5/1000</f>
        <v>3.5401977072392316E-2</v>
      </c>
      <c r="I5" s="94">
        <f>Superpositioning!$D$21*$B5/1000</f>
        <v>-7.2584809591028129E-2</v>
      </c>
      <c r="J5" s="94">
        <f>1/2*Superpositioning!$C$21*(B5/1000)^2</f>
        <v>5.274894583786455E-4</v>
      </c>
      <c r="K5" s="94">
        <f>1/2*Superpositioning!$C$21*(B5/1000)^2</f>
        <v>5.274894583786455E-4</v>
      </c>
      <c r="L5" s="95">
        <f>'Aileron torsion'!$B$16*$B5/1000</f>
        <v>-2.5041759308904706E-3</v>
      </c>
      <c r="M5" s="93">
        <f>Superpositioning!$C$22*$B5/1000</f>
        <v>-3.5401977072392316E-2</v>
      </c>
      <c r="N5" s="94">
        <f>Superpositioning!$D$22*$B5/1000</f>
        <v>-7.2584809591028129E-2</v>
      </c>
      <c r="O5" s="94">
        <f>1/2*Superpositioning!$C$22*(B5/1000)^2</f>
        <v>-5.274894583786455E-4</v>
      </c>
      <c r="P5" s="94">
        <f>1/2*Superpositioning!$D$22*(B5/1000)^2</f>
        <v>-1.0815136629063191E-3</v>
      </c>
      <c r="Q5" s="95">
        <f>'Aileron torsion'!$B$21*$B5/1000</f>
        <v>-2.5041759308904706E-3</v>
      </c>
    </row>
    <row r="6" spans="1:17" x14ac:dyDescent="0.25">
      <c r="A6">
        <v>3</v>
      </c>
      <c r="B6" s="92">
        <f>B5+'Aileron shear'!$B$4/10</f>
        <v>44.7</v>
      </c>
      <c r="C6" s="93">
        <f>Superpositioning!$C$20*$B6/1000</f>
        <v>0</v>
      </c>
      <c r="D6" s="94">
        <f>Superpositioning!$D$20*$B6/1000</f>
        <v>-0.12113699999999999</v>
      </c>
      <c r="E6" s="94">
        <f>1/2*Superpositioning!$C$20*(B6/1000)^2</f>
        <v>0</v>
      </c>
      <c r="F6" s="94">
        <f>1/2*Superpositioning!$D$20*(B6/1000)^2</f>
        <v>-2.70741195E-3</v>
      </c>
      <c r="G6" s="95">
        <f>'Aileron torsion'!$B$11*$B6/1000</f>
        <v>-4.1792265E-3</v>
      </c>
      <c r="H6" s="93">
        <f>Superpositioning!$C$21*$B6/1000</f>
        <v>5.3102965608588473E-2</v>
      </c>
      <c r="I6" s="94">
        <f>Superpositioning!$D$21*$B6/1000</f>
        <v>-0.1088772143865422</v>
      </c>
      <c r="J6" s="94">
        <f>1/2*Superpositioning!$C$21*(B6/1000)^2</f>
        <v>1.1868512813519524E-3</v>
      </c>
      <c r="K6" s="94">
        <f>1/2*Superpositioning!$C$21*(B6/1000)^2</f>
        <v>1.1868512813519524E-3</v>
      </c>
      <c r="L6" s="95">
        <f>'Aileron torsion'!$B$16*$B6/1000</f>
        <v>-3.7562638963357063E-3</v>
      </c>
      <c r="M6" s="93">
        <f>Superpositioning!$C$22*$B6/1000</f>
        <v>-5.3102965608588473E-2</v>
      </c>
      <c r="N6" s="94">
        <f>Superpositioning!$D$22*$B6/1000</f>
        <v>-0.1088772143865422</v>
      </c>
      <c r="O6" s="94">
        <f>1/2*Superpositioning!$C$22*(B6/1000)^2</f>
        <v>-1.1868512813519524E-3</v>
      </c>
      <c r="P6" s="94">
        <f>1/2*Superpositioning!$D$22*(B6/1000)^2</f>
        <v>-2.4334057415392181E-3</v>
      </c>
      <c r="Q6" s="95">
        <f>'Aileron torsion'!$B$21*$B6/1000</f>
        <v>-3.7562638963357063E-3</v>
      </c>
    </row>
    <row r="7" spans="1:17" x14ac:dyDescent="0.25">
      <c r="A7">
        <v>4</v>
      </c>
      <c r="B7" s="92">
        <f>B6+'Aileron shear'!$B$4/10</f>
        <v>59.6</v>
      </c>
      <c r="C7" s="93">
        <f>Superpositioning!$C$20*$B7/1000</f>
        <v>0</v>
      </c>
      <c r="D7" s="94">
        <f>Superpositioning!$D$20*$B7/1000</f>
        <v>-0.16151599999999999</v>
      </c>
      <c r="E7" s="94">
        <f>1/2*Superpositioning!$C$20*(B7/1000)^2</f>
        <v>0</v>
      </c>
      <c r="F7" s="94">
        <f>1/2*Superpositioning!$D$20*(B7/1000)^2</f>
        <v>-4.8131768E-3</v>
      </c>
      <c r="G7" s="95">
        <f>'Aileron torsion'!$B$11*$B7/1000</f>
        <v>-5.5723020000000003E-3</v>
      </c>
      <c r="H7" s="93">
        <f>Superpositioning!$C$21*$B7/1000</f>
        <v>7.0803954144784631E-2</v>
      </c>
      <c r="I7" s="94">
        <f>Superpositioning!$D$21*$B7/1000</f>
        <v>-0.14516961918205626</v>
      </c>
      <c r="J7" s="94">
        <f>1/2*Superpositioning!$C$21*(B7/1000)^2</f>
        <v>2.109957833514582E-3</v>
      </c>
      <c r="K7" s="94">
        <f>1/2*Superpositioning!$C$21*(B7/1000)^2</f>
        <v>2.109957833514582E-3</v>
      </c>
      <c r="L7" s="95">
        <f>'Aileron torsion'!$B$16*$B7/1000</f>
        <v>-5.0083518617809412E-3</v>
      </c>
      <c r="M7" s="93">
        <f>Superpositioning!$C$22*$B7/1000</f>
        <v>-7.0803954144784631E-2</v>
      </c>
      <c r="N7" s="94">
        <f>Superpositioning!$D$22*$B7/1000</f>
        <v>-0.14516961918205626</v>
      </c>
      <c r="O7" s="94">
        <f>1/2*Superpositioning!$C$22*(B7/1000)^2</f>
        <v>-2.109957833514582E-3</v>
      </c>
      <c r="P7" s="94">
        <f>1/2*Superpositioning!$D$22*(B7/1000)^2</f>
        <v>-4.3260546516252765E-3</v>
      </c>
      <c r="Q7" s="95">
        <f>'Aileron torsion'!$B$21*$B7/1000</f>
        <v>-5.0083518617809412E-3</v>
      </c>
    </row>
    <row r="8" spans="1:17" x14ac:dyDescent="0.25">
      <c r="A8">
        <v>5</v>
      </c>
      <c r="B8" s="92">
        <f>B7+'Aileron shear'!$B$4/10</f>
        <v>74.5</v>
      </c>
      <c r="C8" s="93">
        <f>Superpositioning!$C$20*$B8/1000</f>
        <v>0</v>
      </c>
      <c r="D8" s="94">
        <f>Superpositioning!$D$20*$B8/1000</f>
        <v>-0.20189500000000002</v>
      </c>
      <c r="E8" s="94">
        <f>1/2*Superpositioning!$C$20*(B8/1000)^2</f>
        <v>0</v>
      </c>
      <c r="F8" s="94">
        <f>1/2*Superpositioning!$D$20*(B8/1000)^2</f>
        <v>-7.5205887499999995E-3</v>
      </c>
      <c r="G8" s="95">
        <f>'Aileron torsion'!$B$11*$B8/1000</f>
        <v>-6.9653775000000006E-3</v>
      </c>
      <c r="H8" s="93">
        <f>Superpositioning!$C$21*$B8/1000</f>
        <v>8.8504942680980789E-2</v>
      </c>
      <c r="I8" s="94">
        <f>Superpositioning!$D$21*$B8/1000</f>
        <v>-0.18146202397757033</v>
      </c>
      <c r="J8" s="94">
        <f>1/2*Superpositioning!$C$21*(B8/1000)^2</f>
        <v>3.2968091148665342E-3</v>
      </c>
      <c r="K8" s="94">
        <f>1/2*Superpositioning!$C$21*(B8/1000)^2</f>
        <v>3.2968091148665342E-3</v>
      </c>
      <c r="L8" s="95">
        <f>'Aileron torsion'!$B$16*$B8/1000</f>
        <v>-6.260439827226176E-3</v>
      </c>
      <c r="M8" s="93">
        <f>Superpositioning!$C$22*$B8/1000</f>
        <v>-8.8504942680980789E-2</v>
      </c>
      <c r="N8" s="94">
        <f>Superpositioning!$D$22*$B8/1000</f>
        <v>-0.18146202397757033</v>
      </c>
      <c r="O8" s="94">
        <f>1/2*Superpositioning!$C$22*(B8/1000)^2</f>
        <v>-3.2968091148665342E-3</v>
      </c>
      <c r="P8" s="94">
        <f>1/2*Superpositioning!$D$22*(B8/1000)^2</f>
        <v>-6.7594603931644941E-3</v>
      </c>
      <c r="Q8" s="95">
        <f>'Aileron torsion'!$B$21*$B8/1000</f>
        <v>-6.260439827226176E-3</v>
      </c>
    </row>
    <row r="9" spans="1:17" x14ac:dyDescent="0.25">
      <c r="A9">
        <v>6</v>
      </c>
      <c r="B9" s="92">
        <f>B8+'Aileron shear'!$B$4/10</f>
        <v>89.4</v>
      </c>
      <c r="C9" s="93">
        <f>Superpositioning!$C$20*$B9/1000</f>
        <v>0</v>
      </c>
      <c r="D9" s="94">
        <f>Superpositioning!$D$20*$B9/1000</f>
        <v>-0.24227399999999999</v>
      </c>
      <c r="E9" s="94">
        <f>1/2*Superpositioning!$C$20*(B9/1000)^2</f>
        <v>0</v>
      </c>
      <c r="F9" s="94">
        <f>1/2*Superpositioning!$D$20*(B9/1000)^2</f>
        <v>-1.08296478E-2</v>
      </c>
      <c r="G9" s="95">
        <f>'Aileron torsion'!$B$11*$B9/1000</f>
        <v>-8.3584530000000001E-3</v>
      </c>
      <c r="H9" s="93">
        <f>Superpositioning!$C$21*$B9/1000</f>
        <v>0.10620593121717695</v>
      </c>
      <c r="I9" s="94">
        <f>Superpositioning!$D$21*$B9/1000</f>
        <v>-0.2177544287730844</v>
      </c>
      <c r="J9" s="94">
        <f>1/2*Superpositioning!$C$21*(B9/1000)^2</f>
        <v>4.7474051254078097E-3</v>
      </c>
      <c r="K9" s="94">
        <f>1/2*Superpositioning!$C$21*(B9/1000)^2</f>
        <v>4.7474051254078097E-3</v>
      </c>
      <c r="L9" s="95">
        <f>'Aileron torsion'!$B$16*$B9/1000</f>
        <v>-7.5125277926714126E-3</v>
      </c>
      <c r="M9" s="93">
        <f>Superpositioning!$C$22*$B9/1000</f>
        <v>-0.10620593121717695</v>
      </c>
      <c r="N9" s="94">
        <f>Superpositioning!$D$22*$B9/1000</f>
        <v>-0.2177544287730844</v>
      </c>
      <c r="O9" s="94">
        <f>1/2*Superpositioning!$C$22*(B9/1000)^2</f>
        <v>-4.7474051254078097E-3</v>
      </c>
      <c r="P9" s="94">
        <f>1/2*Superpositioning!$D$22*(B9/1000)^2</f>
        <v>-9.7336229661568723E-3</v>
      </c>
      <c r="Q9" s="95">
        <f>'Aileron torsion'!$B$21*$B9/1000</f>
        <v>-7.5125277926714126E-3</v>
      </c>
    </row>
    <row r="10" spans="1:17" x14ac:dyDescent="0.25">
      <c r="A10">
        <v>7</v>
      </c>
      <c r="B10" s="92">
        <f>B9+'Aileron shear'!$B$4/10</f>
        <v>104.30000000000001</v>
      </c>
      <c r="C10" s="93">
        <f>Superpositioning!$C$20*$B10/1000</f>
        <v>0</v>
      </c>
      <c r="D10" s="94">
        <f>Superpositioning!$D$20*$B10/1000</f>
        <v>-0.28265300000000004</v>
      </c>
      <c r="E10" s="94">
        <f>1/2*Superpositioning!$C$20*(B10/1000)^2</f>
        <v>0</v>
      </c>
      <c r="F10" s="94">
        <f>1/2*Superpositioning!$D$20*(B10/1000)^2</f>
        <v>-1.4740353950000005E-2</v>
      </c>
      <c r="G10" s="95">
        <f>'Aileron torsion'!$B$11*$B10/1000</f>
        <v>-9.7515285000000021E-3</v>
      </c>
      <c r="H10" s="93">
        <f>Superpositioning!$C$21*$B10/1000</f>
        <v>0.12390691975337312</v>
      </c>
      <c r="I10" s="94">
        <f>Superpositioning!$D$21*$B10/1000</f>
        <v>-0.25404683356859847</v>
      </c>
      <c r="J10" s="94">
        <f>1/2*Superpositioning!$C$21*(B10/1000)^2</f>
        <v>6.4617458651384102E-3</v>
      </c>
      <c r="K10" s="94">
        <f>1/2*Superpositioning!$C$21*(B10/1000)^2</f>
        <v>6.4617458651384102E-3</v>
      </c>
      <c r="L10" s="95">
        <f>'Aileron torsion'!$B$16*$B10/1000</f>
        <v>-8.7646157581166475E-3</v>
      </c>
      <c r="M10" s="93">
        <f>Superpositioning!$C$22*$B10/1000</f>
        <v>-0.12390691975337312</v>
      </c>
      <c r="N10" s="94">
        <f>Superpositioning!$D$22*$B10/1000</f>
        <v>-0.25404683356859847</v>
      </c>
      <c r="O10" s="94">
        <f>1/2*Superpositioning!$C$22*(B10/1000)^2</f>
        <v>-6.4617458651384102E-3</v>
      </c>
      <c r="P10" s="94">
        <f>1/2*Superpositioning!$D$22*(B10/1000)^2</f>
        <v>-1.3248542370602415E-2</v>
      </c>
      <c r="Q10" s="95">
        <f>'Aileron torsion'!$B$21*$B10/1000</f>
        <v>-8.7646157581166475E-3</v>
      </c>
    </row>
    <row r="11" spans="1:17" x14ac:dyDescent="0.25">
      <c r="A11">
        <v>8</v>
      </c>
      <c r="B11" s="92">
        <f>B10+'Aileron shear'!$B$4/10</f>
        <v>119.20000000000002</v>
      </c>
      <c r="C11" s="93">
        <f>Superpositioning!$C$20*$B11/1000</f>
        <v>0</v>
      </c>
      <c r="D11" s="94">
        <f>Superpositioning!$D$20*$B11/1000</f>
        <v>-0.32303200000000004</v>
      </c>
      <c r="E11" s="94">
        <f>1/2*Superpositioning!$C$20*(B11/1000)^2</f>
        <v>0</v>
      </c>
      <c r="F11" s="94">
        <f>1/2*Superpositioning!$D$20*(B11/1000)^2</f>
        <v>-1.9252707200000004E-2</v>
      </c>
      <c r="G11" s="95">
        <f>'Aileron torsion'!$B$11*$B11/1000</f>
        <v>-1.1144604000000002E-2</v>
      </c>
      <c r="H11" s="93">
        <f>Superpositioning!$C$21*$B11/1000</f>
        <v>0.14160790828956929</v>
      </c>
      <c r="I11" s="94">
        <f>Superpositioning!$D$21*$B11/1000</f>
        <v>-0.29033923836411257</v>
      </c>
      <c r="J11" s="94">
        <f>1/2*Superpositioning!$C$21*(B11/1000)^2</f>
        <v>8.4398313340583297E-3</v>
      </c>
      <c r="K11" s="94">
        <f>1/2*Superpositioning!$C$21*(B11/1000)^2</f>
        <v>8.4398313340583297E-3</v>
      </c>
      <c r="L11" s="95">
        <f>'Aileron torsion'!$B$16*$B11/1000</f>
        <v>-1.0016703723561884E-2</v>
      </c>
      <c r="M11" s="93">
        <f>Superpositioning!$C$22*$B11/1000</f>
        <v>-0.14160790828956929</v>
      </c>
      <c r="N11" s="94">
        <f>Superpositioning!$D$22*$B11/1000</f>
        <v>-0.29033923836411257</v>
      </c>
      <c r="O11" s="94">
        <f>1/2*Superpositioning!$C$22*(B11/1000)^2</f>
        <v>-8.4398313340583297E-3</v>
      </c>
      <c r="P11" s="94">
        <f>1/2*Superpositioning!$D$22*(B11/1000)^2</f>
        <v>-1.7304218606501109E-2</v>
      </c>
      <c r="Q11" s="95">
        <f>'Aileron torsion'!$B$21*$B11/1000</f>
        <v>-1.0016703723561884E-2</v>
      </c>
    </row>
    <row r="12" spans="1:17" x14ac:dyDescent="0.25">
      <c r="A12">
        <v>9</v>
      </c>
      <c r="B12" s="92">
        <f>B11+'Aileron shear'!$B$4/10</f>
        <v>134.10000000000002</v>
      </c>
      <c r="C12" s="93">
        <f>Superpositioning!$C$20*$B12/1000</f>
        <v>0</v>
      </c>
      <c r="D12" s="94">
        <f>Superpositioning!$D$20*$B12/1000</f>
        <v>-0.36341100000000004</v>
      </c>
      <c r="E12" s="94">
        <f>1/2*Superpositioning!$C$20*(B12/1000)^2</f>
        <v>0</v>
      </c>
      <c r="F12" s="94">
        <f>1/2*Superpositioning!$D$20*(B12/1000)^2</f>
        <v>-2.4366707550000005E-2</v>
      </c>
      <c r="G12" s="95">
        <f>'Aileron torsion'!$B$11*$B12/1000</f>
        <v>-1.2537679500000003E-2</v>
      </c>
      <c r="H12" s="93">
        <f>Superpositioning!$C$21*$B12/1000</f>
        <v>0.15930889682576543</v>
      </c>
      <c r="I12" s="94">
        <f>Superpositioning!$D$21*$B12/1000</f>
        <v>-0.32663164315962667</v>
      </c>
      <c r="J12" s="94">
        <f>1/2*Superpositioning!$C$21*(B12/1000)^2</f>
        <v>1.0681661532167574E-2</v>
      </c>
      <c r="K12" s="94">
        <f>1/2*Superpositioning!$C$21*(B12/1000)^2</f>
        <v>1.0681661532167574E-2</v>
      </c>
      <c r="L12" s="95">
        <f>'Aileron torsion'!$B$16*$B12/1000</f>
        <v>-1.1268791689007121E-2</v>
      </c>
      <c r="M12" s="93">
        <f>Superpositioning!$C$22*$B12/1000</f>
        <v>-0.15930889682576543</v>
      </c>
      <c r="N12" s="94">
        <f>Superpositioning!$D$22*$B12/1000</f>
        <v>-0.32663164315962667</v>
      </c>
      <c r="O12" s="94">
        <f>1/2*Superpositioning!$C$22*(B12/1000)^2</f>
        <v>-1.0681661532167574E-2</v>
      </c>
      <c r="P12" s="94">
        <f>1/2*Superpositioning!$D$22*(B12/1000)^2</f>
        <v>-2.190065167385297E-2</v>
      </c>
      <c r="Q12" s="95">
        <f>'Aileron torsion'!$B$21*$B12/1000</f>
        <v>-1.1268791689007121E-2</v>
      </c>
    </row>
    <row r="13" spans="1:17" x14ac:dyDescent="0.25">
      <c r="A13">
        <v>10</v>
      </c>
      <c r="B13" s="92">
        <f>B12+'Aileron shear'!$B$4/10</f>
        <v>149.00000000000003</v>
      </c>
      <c r="C13" s="93">
        <f>Superpositioning!$C$20*$B13/1000</f>
        <v>0</v>
      </c>
      <c r="D13" s="94">
        <f>Superpositioning!$D$20*$B13/1000</f>
        <v>-0.40379000000000009</v>
      </c>
      <c r="E13" s="94">
        <f>1/2*Superpositioning!$C$20*(B13/1000)^2</f>
        <v>0</v>
      </c>
      <c r="F13" s="94">
        <f>1/2*Superpositioning!$D$20*(B13/1000)^2</f>
        <v>-3.0082355000000009E-2</v>
      </c>
      <c r="G13" s="95">
        <f>'Aileron torsion'!$B$11*$B13/1000</f>
        <v>-1.3930755000000003E-2</v>
      </c>
      <c r="H13" s="93">
        <f>Superpositioning!$C$21*$B13/1000</f>
        <v>0.17700988536196161</v>
      </c>
      <c r="I13" s="94">
        <f>Superpositioning!$D$21*$B13/1000</f>
        <v>-0.36292404795514072</v>
      </c>
      <c r="J13" s="94">
        <f>1/2*Superpositioning!$C$21*(B13/1000)^2</f>
        <v>1.318723645946614E-2</v>
      </c>
      <c r="K13" s="94">
        <f>1/2*Superpositioning!$C$21*(B13/1000)^2</f>
        <v>1.318723645946614E-2</v>
      </c>
      <c r="L13" s="95">
        <f>'Aileron torsion'!$B$16*$B13/1000</f>
        <v>-1.2520879654452356E-2</v>
      </c>
      <c r="M13" s="93">
        <f>Superpositioning!$C$22*$B13/1000</f>
        <v>-0.17700988536196161</v>
      </c>
      <c r="N13" s="94">
        <f>Superpositioning!$D$22*$B13/1000</f>
        <v>-0.36292404795514072</v>
      </c>
      <c r="O13" s="94">
        <f>1/2*Superpositioning!$C$22*(B13/1000)^2</f>
        <v>-1.318723645946614E-2</v>
      </c>
      <c r="P13" s="94">
        <f>1/2*Superpositioning!$D$22*(B13/1000)^2</f>
        <v>-2.7037841572657987E-2</v>
      </c>
      <c r="Q13" s="95">
        <f>'Aileron torsion'!$B$21*$B13/1000</f>
        <v>-1.2520879654452356E-2</v>
      </c>
    </row>
    <row r="14" spans="1:17" x14ac:dyDescent="0.25">
      <c r="B14" s="72">
        <f>B13</f>
        <v>149.00000000000003</v>
      </c>
      <c r="C14" s="44">
        <f>Superpositioning!$C$20*$B14/1000+Superpositioning!$C$4</f>
        <v>-12.895326584644117</v>
      </c>
      <c r="D14" s="27">
        <f>Superpositioning!$D$20*$B14/1000+Superpositioning!$D$4</f>
        <v>83.522197367942098</v>
      </c>
      <c r="E14" s="27">
        <f>1/2*Superpositioning!$C$20*(B14/1000)^2+Superpositioning!$C$4*((B14-B$14)/1000)</f>
        <v>0</v>
      </c>
      <c r="F14" s="27">
        <f>1/2*Superpositioning!$D$20*(B14/1000)^2+Superpositioning!$D$4*((B14-B$14)/1000)</f>
        <v>-3.0082355000000009E-2</v>
      </c>
      <c r="G14" s="45">
        <f>'Aileron torsion'!$B$11*$B14/1000</f>
        <v>-1.3930755000000003E-2</v>
      </c>
      <c r="H14" s="44">
        <f>Superpositioning!$C$21*$B14/1000+Superpositioning!$C$5</f>
        <v>-454.75828575023121</v>
      </c>
      <c r="I14" s="27">
        <f>Superpositioning!$D$21*$B14/1000+Superpositioning!$D$5</f>
        <v>69.416314625000197</v>
      </c>
      <c r="J14" s="27">
        <f>1/2*Superpositioning!$C$21*(B14/1000)^2+Superpositioning!$C$5*((B14-B$14)/1000)</f>
        <v>1.318723645946614E-2</v>
      </c>
      <c r="K14" s="27">
        <f>1/2*Superpositioning!$D$21*(B14/1000)^2+Superpositioning!$D$5*((B14-B$14)/1000)</f>
        <v>-2.7037841572657987E-2</v>
      </c>
      <c r="L14" s="45">
        <f>'Aileron torsion'!$B$16*$B14/1000</f>
        <v>-1.2520879654452356E-2</v>
      </c>
      <c r="M14" s="44">
        <f>Superpositioning!$C$22*$B14/1000+Superpositioning!$C$6</f>
        <v>431.57780023150821</v>
      </c>
      <c r="N14" s="27">
        <f>Superpositioning!$D$22*$B14/1000+Superpositioning!$D$6</f>
        <v>80.722192831260443</v>
      </c>
      <c r="O14" s="27">
        <f>1/2*Superpositioning!$C$22*(B14/1000)^2+Superpositioning!$C$6*((B14-B$14)/1000)</f>
        <v>-1.318723645946614E-2</v>
      </c>
      <c r="P14" s="27">
        <f>1/2*Superpositioning!$D$22*(B14/1000)^2+Superpositioning!$D$6*((B14-B$14)/1000)</f>
        <v>-2.7037841572657987E-2</v>
      </c>
      <c r="Q14" s="45">
        <f>'Aileron torsion'!$B$21*$B14/1000</f>
        <v>-1.2520879654452356E-2</v>
      </c>
    </row>
    <row r="15" spans="1:17" x14ac:dyDescent="0.25">
      <c r="A15">
        <v>1</v>
      </c>
      <c r="B15" s="72">
        <f>B14+('Aileron shear'!$B$5-Input!$C$7*10/2)/10</f>
        <v>175.90000000000003</v>
      </c>
      <c r="C15" s="44">
        <f>Superpositioning!$C$20*$B15/1000+Superpositioning!$C$4</f>
        <v>-12.895326584644117</v>
      </c>
      <c r="D15" s="27">
        <f>Superpositioning!$D$20*$B15/1000+Superpositioning!$D$4</f>
        <v>83.449298367942106</v>
      </c>
      <c r="E15" s="27">
        <f>1/2*Superpositioning!$C$20*(B15/1000)^2+Superpositioning!$C$4*((B15-B$14)/1000)</f>
        <v>-0.34688428512692682</v>
      </c>
      <c r="F15" s="27">
        <f>1/2*Superpositioning!$D$20*(B15/1000)^2+Superpositioning!$D$4*((B15-B$14)/1000)</f>
        <v>2.2156842626476432</v>
      </c>
      <c r="G15" s="45">
        <f>'Aileron torsion'!$B$11*$B15/1000</f>
        <v>-1.6445770500000005E-2</v>
      </c>
      <c r="H15" s="44">
        <f>Superpositioning!$C$21*$B15/1000+Superpositioning!$C$5</f>
        <v>-454.72632893200142</v>
      </c>
      <c r="I15" s="27">
        <f>Superpositioning!$D$21*$B15/1000+Superpositioning!$D$5</f>
        <v>69.350793437819036</v>
      </c>
      <c r="J15" s="27">
        <f>1/2*Superpositioning!$C$21*(B15/1000)^2+Superpositioning!$C$5*((B15-B$14)/1000)</f>
        <v>-12.219380831016565</v>
      </c>
      <c r="K15" s="27">
        <f>1/2*Superpositioning!$D$21*(B15/1000)^2+Superpositioning!$D$5*((B15-B$14)/1000)</f>
        <v>1.8393797618722612</v>
      </c>
      <c r="L15" s="45">
        <f>'Aileron torsion'!$B$16*$B15/1000</f>
        <v>-1.4781360612202478E-2</v>
      </c>
      <c r="M15" s="44">
        <f>Superpositioning!$C$22*$B15/1000+Superpositioning!$C$6</f>
        <v>431.54584341327842</v>
      </c>
      <c r="N15" s="27">
        <f>Superpositioning!$D$22*$B15/1000+Superpositioning!$D$6</f>
        <v>80.656671644079282</v>
      </c>
      <c r="O15" s="27">
        <f>1/2*Superpositioning!$C$22*(B15/1000)^2+Superpositioning!$C$6*((B15-B$14)/1000)</f>
        <v>11.595825770562916</v>
      </c>
      <c r="P15" s="27">
        <f>1/2*Superpositioning!$D$22*(B15/1000)^2+Superpositioning!$D$6*((B15-B$14)/1000)</f>
        <v>2.1435078856206622</v>
      </c>
      <c r="Q15" s="45">
        <f>'Aileron torsion'!$B$21*$B15/1000</f>
        <v>-1.4781360612202478E-2</v>
      </c>
    </row>
    <row r="16" spans="1:17" x14ac:dyDescent="0.25">
      <c r="A16">
        <v>2</v>
      </c>
      <c r="B16" s="72">
        <f>B15+('Aileron shear'!$B$5-Input!$C$7*10/2)/10</f>
        <v>202.80000000000004</v>
      </c>
      <c r="C16" s="44">
        <f>Superpositioning!$C$20*$B16/1000+Superpositioning!$C$4</f>
        <v>-12.895326584644117</v>
      </c>
      <c r="D16" s="27">
        <f>Superpositioning!$D$20*$B16/1000+Superpositioning!$D$4</f>
        <v>83.376399367942099</v>
      </c>
      <c r="E16" s="27">
        <f>1/2*Superpositioning!$C$20*(B16/1000)^2+Superpositioning!$C$4*((B16-B$14)/1000)</f>
        <v>-0.69376857025385363</v>
      </c>
      <c r="F16" s="27">
        <f>1/2*Superpositioning!$D$20*(B16/1000)^2+Superpositioning!$D$4*((B16-B$14)/1000)</f>
        <v>4.4594898971952865</v>
      </c>
      <c r="G16" s="45">
        <f>'Aileron torsion'!$B$11*$B16/1000</f>
        <v>-1.8960786000000007E-2</v>
      </c>
      <c r="H16" s="44">
        <f>Superpositioning!$C$21*$B16/1000+Superpositioning!$C$5</f>
        <v>-454.69437211377164</v>
      </c>
      <c r="I16" s="27">
        <f>Superpositioning!$D$21*$B16/1000+Superpositioning!$D$5</f>
        <v>69.285272250637874</v>
      </c>
      <c r="J16" s="27">
        <f>1/2*Superpositioning!$C$21*(B16/1000)^2+Superpositioning!$C$5*((B16-B$14)/1000)</f>
        <v>-24.451089260082217</v>
      </c>
      <c r="K16" s="27">
        <f>1/2*Superpositioning!$D$21*(B16/1000)^2+Superpositioning!$D$5*((B16-B$14)/1000)</f>
        <v>3.7040348453820071</v>
      </c>
      <c r="L16" s="45">
        <f>'Aileron torsion'!$B$16*$B16/1000</f>
        <v>-1.7041841569952601E-2</v>
      </c>
      <c r="M16" s="44">
        <f>Superpositioning!$C$22*$B16/1000+Superpositioning!$C$6</f>
        <v>431.51388659504863</v>
      </c>
      <c r="N16" s="27">
        <f>Superpositioning!$D$22*$B16/1000+Superpositioning!$D$6</f>
        <v>80.59115045689812</v>
      </c>
      <c r="O16" s="27">
        <f>1/2*Superpositioning!$C$22*(B16/1000)^2+Superpositioning!$C$6*((B16-B$14)/1000)</f>
        <v>23.203979139174919</v>
      </c>
      <c r="P16" s="27">
        <f>1/2*Superpositioning!$D$22*(B16/1000)^2+Superpositioning!$D$6*((B16-B$14)/1000)</f>
        <v>4.3122910928788087</v>
      </c>
      <c r="Q16" s="45">
        <f>'Aileron torsion'!$B$21*$B16/1000</f>
        <v>-1.7041841569952601E-2</v>
      </c>
    </row>
    <row r="17" spans="1:17" x14ac:dyDescent="0.25">
      <c r="A17">
        <v>3</v>
      </c>
      <c r="B17" s="72">
        <f>B16+('Aileron shear'!$B$5-Input!$C$7*10/2)/10</f>
        <v>229.70000000000005</v>
      </c>
      <c r="C17" s="44">
        <f>Superpositioning!$C$20*$B17/1000+Superpositioning!$C$4</f>
        <v>-12.895326584644117</v>
      </c>
      <c r="D17" s="27">
        <f>Superpositioning!$D$20*$B17/1000+Superpositioning!$D$4</f>
        <v>83.303500367942092</v>
      </c>
      <c r="E17" s="27">
        <f>1/2*Superpositioning!$C$20*(B17/1000)^2+Superpositioning!$C$4*((B17-B$14)/1000)</f>
        <v>-1.0406528553807806</v>
      </c>
      <c r="F17" s="27">
        <f>1/2*Superpositioning!$D$20*(B17/1000)^2+Superpositioning!$D$4*((B17-B$14)/1000)</f>
        <v>6.7013345486429294</v>
      </c>
      <c r="G17" s="45">
        <f>'Aileron torsion'!$B$11*$B17/1000</f>
        <v>-2.1475801500000006E-2</v>
      </c>
      <c r="H17" s="44">
        <f>Superpositioning!$C$21*$B17/1000+Superpositioning!$C$5</f>
        <v>-454.66241529554185</v>
      </c>
      <c r="I17" s="27">
        <f>Superpositioning!$D$21*$B17/1000+Superpositioning!$D$5</f>
        <v>69.219751063456712</v>
      </c>
      <c r="J17" s="27">
        <f>1/2*Superpositioning!$C$21*(B17/1000)^2+Superpositioning!$C$5*((B17-B$14)/1000)</f>
        <v>-36.681938050737486</v>
      </c>
      <c r="K17" s="27">
        <f>1/2*Superpositioning!$D$21*(B17/1000)^2+Superpositioning!$D$5*((B17-B$14)/1000)</f>
        <v>5.5669274089565803</v>
      </c>
      <c r="L17" s="45">
        <f>'Aileron torsion'!$B$16*$B17/1000</f>
        <v>-1.9302322527702725E-2</v>
      </c>
      <c r="M17" s="44">
        <f>Superpositioning!$C$22*$B17/1000+Superpositioning!$C$6</f>
        <v>431.48192977681884</v>
      </c>
      <c r="N17" s="27">
        <f>Superpositioning!$D$22*$B17/1000+Superpositioning!$D$6</f>
        <v>80.525629269716958</v>
      </c>
      <c r="O17" s="27">
        <f>1/2*Superpositioning!$C$22*(B17/1000)^2+Superpositioning!$C$6*((B17-B$14)/1000)</f>
        <v>34.811272869376538</v>
      </c>
      <c r="P17" s="27">
        <f>1/2*Superpositioning!$D$22*(B17/1000)^2+Superpositioning!$D$6*((B17-B$14)/1000)</f>
        <v>6.4793117802017814</v>
      </c>
      <c r="Q17" s="45">
        <f>'Aileron torsion'!$B$21*$B17/1000</f>
        <v>-1.9302322527702725E-2</v>
      </c>
    </row>
    <row r="18" spans="1:17" x14ac:dyDescent="0.25">
      <c r="A18">
        <v>4</v>
      </c>
      <c r="B18" s="72">
        <f>B17+('Aileron shear'!$B$5-Input!$C$7*10/2)/10</f>
        <v>256.60000000000002</v>
      </c>
      <c r="C18" s="44">
        <f>Superpositioning!$C$20*$B18/1000+Superpositioning!$C$4</f>
        <v>-12.895326584644117</v>
      </c>
      <c r="D18" s="27">
        <f>Superpositioning!$D$20*$B18/1000+Superpositioning!$D$4</f>
        <v>83.2306013679421</v>
      </c>
      <c r="E18" s="27">
        <f>1/2*Superpositioning!$C$20*(B18/1000)^2+Superpositioning!$C$4*((B18-B$14)/1000)</f>
        <v>-1.387537140507707</v>
      </c>
      <c r="F18" s="27">
        <f>1/2*Superpositioning!$D$20*(B18/1000)^2+Superpositioning!$D$4*((B18-B$14)/1000)</f>
        <v>8.9412182169905687</v>
      </c>
      <c r="G18" s="45">
        <f>'Aileron torsion'!$B$11*$B18/1000</f>
        <v>-2.3990817000000005E-2</v>
      </c>
      <c r="H18" s="44">
        <f>Superpositioning!$C$21*$B18/1000+Superpositioning!$C$5</f>
        <v>-454.63045847731206</v>
      </c>
      <c r="I18" s="27">
        <f>Superpositioning!$D$21*$B18/1000+Superpositioning!$D$5</f>
        <v>69.154229876275551</v>
      </c>
      <c r="J18" s="27">
        <f>1/2*Superpositioning!$C$21*(B18/1000)^2+Superpositioning!$C$5*((B18-B$14)/1000)</f>
        <v>-48.911927202982362</v>
      </c>
      <c r="K18" s="27">
        <f>1/2*Superpositioning!$D$21*(B18/1000)^2+Superpositioning!$D$5*((B18-B$14)/1000)</f>
        <v>7.4280574525959775</v>
      </c>
      <c r="L18" s="45">
        <f>'Aileron torsion'!$B$16*$B18/1000</f>
        <v>-2.1562803485452847E-2</v>
      </c>
      <c r="M18" s="44">
        <f>Superpositioning!$C$22*$B18/1000+Superpositioning!$C$6</f>
        <v>431.44997295858906</v>
      </c>
      <c r="N18" s="27">
        <f>Superpositioning!$D$22*$B18/1000+Superpositioning!$D$6</f>
        <v>80.460108082535797</v>
      </c>
      <c r="O18" s="27">
        <f>1/2*Superpositioning!$C$22*(B18/1000)^2+Superpositioning!$C$6*((B18-B$14)/1000)</f>
        <v>46.417706961167767</v>
      </c>
      <c r="P18" s="27">
        <f>1/2*Superpositioning!$D$22*(B18/1000)^2+Superpositioning!$D$6*((B18-B$14)/1000)</f>
        <v>8.6445699475895807</v>
      </c>
      <c r="Q18" s="45">
        <f>'Aileron torsion'!$B$21*$B18/1000</f>
        <v>-2.1562803485452847E-2</v>
      </c>
    </row>
    <row r="19" spans="1:17" x14ac:dyDescent="0.25">
      <c r="A19">
        <v>5</v>
      </c>
      <c r="B19" s="72">
        <f>B18+('Aileron shear'!$B$5-Input!$C$7*10/2)/10</f>
        <v>283.5</v>
      </c>
      <c r="C19" s="44">
        <f>Superpositioning!$C$20*$B19/1000+Superpositioning!$C$4</f>
        <v>-12.895326584644117</v>
      </c>
      <c r="D19" s="27">
        <f>Superpositioning!$D$20*$B19/1000+Superpositioning!$D$4</f>
        <v>83.157702367942093</v>
      </c>
      <c r="E19" s="27">
        <f>1/2*Superpositioning!$C$20*(B19/1000)^2+Superpositioning!$C$4*((B19-B$14)/1000)</f>
        <v>-1.7344214256346335</v>
      </c>
      <c r="F19" s="27">
        <f>1/2*Superpositioning!$D$20*(B19/1000)^2+Superpositioning!$D$4*((B19-B$14)/1000)</f>
        <v>11.179140902238212</v>
      </c>
      <c r="G19" s="45">
        <f>'Aileron torsion'!$B$11*$B19/1000</f>
        <v>-2.6505832500000003E-2</v>
      </c>
      <c r="H19" s="44">
        <f>Superpositioning!$C$21*$B19/1000+Superpositioning!$C$5</f>
        <v>-454.59850165908233</v>
      </c>
      <c r="I19" s="27">
        <f>Superpositioning!$D$21*$B19/1000+Superpositioning!$D$5</f>
        <v>69.088708689094389</v>
      </c>
      <c r="J19" s="27">
        <f>1/2*Superpositioning!$C$21*(B19/1000)^2+Superpositioning!$C$5*((B19-B$14)/1000)</f>
        <v>-61.141056716816863</v>
      </c>
      <c r="K19" s="27">
        <f>1/2*Superpositioning!$D$21*(B19/1000)^2+Superpositioning!$D$5*((B19-B$14)/1000)</f>
        <v>9.2874249763002013</v>
      </c>
      <c r="L19" s="45">
        <f>'Aileron torsion'!$B$16*$B19/1000</f>
        <v>-2.3823284443202968E-2</v>
      </c>
      <c r="M19" s="44">
        <f>Superpositioning!$C$22*$B19/1000+Superpositioning!$C$6</f>
        <v>431.41801614035933</v>
      </c>
      <c r="N19" s="27">
        <f>Superpositioning!$D$22*$B19/1000+Superpositioning!$D$6</f>
        <v>80.394586895354635</v>
      </c>
      <c r="O19" s="27">
        <f>1/2*Superpositioning!$C$22*(B19/1000)^2+Superpositioning!$C$6*((B19-B$14)/1000)</f>
        <v>58.02328141454862</v>
      </c>
      <c r="P19" s="27">
        <f>1/2*Superpositioning!$D$22*(B19/1000)^2+Superpositioning!$D$6*((B19-B$14)/1000)</f>
        <v>10.808065595042205</v>
      </c>
      <c r="Q19" s="45">
        <f>'Aileron torsion'!$B$21*$B19/1000</f>
        <v>-2.3823284443202968E-2</v>
      </c>
    </row>
    <row r="20" spans="1:17" x14ac:dyDescent="0.25">
      <c r="A20">
        <v>6</v>
      </c>
      <c r="B20" s="72">
        <f>B19+('Aileron shear'!$B$5-Input!$C$7*10/2)/10</f>
        <v>310.39999999999998</v>
      </c>
      <c r="C20" s="44">
        <f>Superpositioning!$C$20*$B20/1000+Superpositioning!$C$4</f>
        <v>-12.895326584644117</v>
      </c>
      <c r="D20" s="27">
        <f>Superpositioning!$D$20*$B20/1000+Superpositioning!$D$4</f>
        <v>83.084803367942101</v>
      </c>
      <c r="E20" s="27">
        <f>1/2*Superpositioning!$C$20*(B20/1000)^2+Superpositioning!$C$4*((B20-B$14)/1000)</f>
        <v>-2.0813057107615598</v>
      </c>
      <c r="F20" s="27">
        <f>1/2*Superpositioning!$D$20*(B20/1000)^2+Superpositioning!$D$4*((B20-B$14)/1000)</f>
        <v>13.415102604385853</v>
      </c>
      <c r="G20" s="45">
        <f>'Aileron torsion'!$B$11*$B20/1000</f>
        <v>-2.9020848000000002E-2</v>
      </c>
      <c r="H20" s="44">
        <f>Superpositioning!$C$21*$B20/1000+Superpositioning!$C$5</f>
        <v>-454.56654484085254</v>
      </c>
      <c r="I20" s="27">
        <f>Superpositioning!$D$21*$B20/1000+Superpositioning!$D$5</f>
        <v>69.023187501913227</v>
      </c>
      <c r="J20" s="27">
        <f>1/2*Superpositioning!$C$21*(B20/1000)^2+Superpositioning!$C$5*((B20-B$14)/1000)</f>
        <v>-73.369326592240967</v>
      </c>
      <c r="K20" s="27">
        <f>1/2*Superpositioning!$D$21*(B20/1000)^2+Superpositioning!$D$5*((B20-B$14)/1000)</f>
        <v>11.145029980069253</v>
      </c>
      <c r="L20" s="45">
        <f>'Aileron torsion'!$B$16*$B20/1000</f>
        <v>-2.6083765400953089E-2</v>
      </c>
      <c r="M20" s="44">
        <f>Superpositioning!$C$22*$B20/1000+Superpositioning!$C$6</f>
        <v>431.38605932212954</v>
      </c>
      <c r="N20" s="27">
        <f>Superpositioning!$D$22*$B20/1000+Superpositioning!$D$6</f>
        <v>80.329065708173474</v>
      </c>
      <c r="O20" s="27">
        <f>1/2*Superpositioning!$C$22*(B20/1000)^2+Superpositioning!$C$6*((B20-B$14)/1000)</f>
        <v>69.627996229519084</v>
      </c>
      <c r="P20" s="27">
        <f>1/2*Superpositioning!$D$22*(B20/1000)^2+Superpositioning!$D$6*((B20-B$14)/1000)</f>
        <v>12.969798722559657</v>
      </c>
      <c r="Q20" s="45">
        <f>'Aileron torsion'!$B$21*$B20/1000</f>
        <v>-2.6083765400953089E-2</v>
      </c>
    </row>
    <row r="21" spans="1:17" x14ac:dyDescent="0.25">
      <c r="A21">
        <v>7</v>
      </c>
      <c r="B21" s="72">
        <f>B20+('Aileron shear'!$B$5-Input!$C$7*10/2)/10</f>
        <v>337.29999999999995</v>
      </c>
      <c r="C21" s="44">
        <f>Superpositioning!$C$20*$B21/1000+Superpositioning!$C$4</f>
        <v>-12.895326584644117</v>
      </c>
      <c r="D21" s="27">
        <f>Superpositioning!$D$20*$B21/1000+Superpositioning!$D$4</f>
        <v>83.011904367942094</v>
      </c>
      <c r="E21" s="27">
        <f>1/2*Superpositioning!$C$20*(B21/1000)^2+Superpositioning!$C$4*((B21-B$14)/1000)</f>
        <v>-2.4281899958884865</v>
      </c>
      <c r="F21" s="27">
        <f>1/2*Superpositioning!$D$20*(B21/1000)^2+Superpositioning!$D$4*((B21-B$14)/1000)</f>
        <v>15.649103323433494</v>
      </c>
      <c r="G21" s="45">
        <f>'Aileron torsion'!$B$11*$B21/1000</f>
        <v>-3.1535863499999997E-2</v>
      </c>
      <c r="H21" s="44">
        <f>Superpositioning!$C$21*$B21/1000+Superpositioning!$C$5</f>
        <v>-454.53458802262276</v>
      </c>
      <c r="I21" s="27">
        <f>Superpositioning!$D$21*$B21/1000+Superpositioning!$D$5</f>
        <v>68.957666314732066</v>
      </c>
      <c r="J21" s="27">
        <f>1/2*Superpositioning!$C$21*(B21/1000)^2+Superpositioning!$C$5*((B21-B$14)/1000)</f>
        <v>-85.596736829254709</v>
      </c>
      <c r="K21" s="27">
        <f>1/2*Superpositioning!$D$21*(B21/1000)^2+Superpositioning!$D$5*((B21-B$14)/1000)</f>
        <v>13.00087246390313</v>
      </c>
      <c r="L21" s="45">
        <f>'Aileron torsion'!$B$16*$B21/1000</f>
        <v>-2.834424635870321E-2</v>
      </c>
      <c r="M21" s="44">
        <f>Superpositioning!$C$22*$B21/1000+Superpositioning!$C$6</f>
        <v>431.35410250389975</v>
      </c>
      <c r="N21" s="27">
        <f>Superpositioning!$D$22*$B21/1000+Superpositioning!$D$6</f>
        <v>80.263544520992312</v>
      </c>
      <c r="O21" s="27">
        <f>1/2*Superpositioning!$C$22*(B21/1000)^2+Superpositioning!$C$6*((B21-B$14)/1000)</f>
        <v>81.231851406079159</v>
      </c>
      <c r="P21" s="27">
        <f>1/2*Superpositioning!$D$22*(B21/1000)^2+Superpositioning!$D$6*((B21-B$14)/1000)</f>
        <v>15.129769330141935</v>
      </c>
      <c r="Q21" s="45">
        <f>'Aileron torsion'!$B$21*$B21/1000</f>
        <v>-2.834424635870321E-2</v>
      </c>
    </row>
    <row r="22" spans="1:17" x14ac:dyDescent="0.25">
      <c r="A22">
        <v>8</v>
      </c>
      <c r="B22" s="72">
        <f>B21+('Aileron shear'!$B$5-Input!$C$7*10/2)/10</f>
        <v>364.19999999999993</v>
      </c>
      <c r="C22" s="44">
        <f>Superpositioning!$C$20*$B22/1000+Superpositioning!$C$4</f>
        <v>-12.895326584644117</v>
      </c>
      <c r="D22" s="27">
        <f>Superpositioning!$D$20*$B22/1000+Superpositioning!$D$4</f>
        <v>82.939005367942102</v>
      </c>
      <c r="E22" s="27">
        <f>1/2*Superpositioning!$C$20*(B22/1000)^2+Superpositioning!$C$4*((B22-B$14)/1000)</f>
        <v>-2.7750742810154128</v>
      </c>
      <c r="F22" s="27">
        <f>1/2*Superpositioning!$D$20*(B22/1000)^2+Superpositioning!$D$4*((B22-B$14)/1000)</f>
        <v>17.881143059381131</v>
      </c>
      <c r="G22" s="45">
        <f>'Aileron torsion'!$B$11*$B22/1000</f>
        <v>-3.4050878999999992E-2</v>
      </c>
      <c r="H22" s="44">
        <f>Superpositioning!$C$21*$B22/1000+Superpositioning!$C$5</f>
        <v>-454.50263120439297</v>
      </c>
      <c r="I22" s="27">
        <f>Superpositioning!$D$21*$B22/1000+Superpositioning!$D$5</f>
        <v>68.892145127550904</v>
      </c>
      <c r="J22" s="27">
        <f>1/2*Superpositioning!$C$21*(B22/1000)^2+Superpositioning!$C$5*((B22-B$14)/1000)</f>
        <v>-97.823287427858048</v>
      </c>
      <c r="K22" s="27">
        <f>1/2*Superpositioning!$D$21*(B22/1000)^2+Superpositioning!$D$5*((B22-B$14)/1000)</f>
        <v>14.854952427801834</v>
      </c>
      <c r="L22" s="45">
        <f>'Aileron torsion'!$B$16*$B22/1000</f>
        <v>-3.0604727316453327E-2</v>
      </c>
      <c r="M22" s="44">
        <f>Superpositioning!$C$22*$B22/1000+Superpositioning!$C$6</f>
        <v>431.32214568566997</v>
      </c>
      <c r="N22" s="27">
        <f>Superpositioning!$D$22*$B22/1000+Superpositioning!$D$6</f>
        <v>80.19802333381115</v>
      </c>
      <c r="O22" s="27">
        <f>1/2*Superpositioning!$C$22*(B22/1000)^2+Superpositioning!$C$6*((B22-B$14)/1000)</f>
        <v>92.834846944228858</v>
      </c>
      <c r="P22" s="27">
        <f>1/2*Superpositioning!$D$22*(B22/1000)^2+Superpositioning!$D$6*((B22-B$14)/1000)</f>
        <v>17.287977417789037</v>
      </c>
      <c r="Q22" s="45">
        <f>'Aileron torsion'!$B$21*$B22/1000</f>
        <v>-3.0604727316453327E-2</v>
      </c>
    </row>
    <row r="23" spans="1:17" x14ac:dyDescent="0.25">
      <c r="A23">
        <v>9</v>
      </c>
      <c r="B23" s="72">
        <f>B22+('Aileron shear'!$B$5-Input!$C$7*10/2)/10</f>
        <v>391.09999999999991</v>
      </c>
      <c r="C23" s="44">
        <f>Superpositioning!$C$20*$B23/1000+Superpositioning!$C$4</f>
        <v>-12.895326584644117</v>
      </c>
      <c r="D23" s="27">
        <f>Superpositioning!$D$20*$B23/1000+Superpositioning!$D$4</f>
        <v>82.866106367942095</v>
      </c>
      <c r="E23" s="27">
        <f>1/2*Superpositioning!$C$20*(B23/1000)^2+Superpositioning!$C$4*((B23-B$14)/1000)</f>
        <v>-3.121958566142339</v>
      </c>
      <c r="F23" s="27">
        <f>1/2*Superpositioning!$D$20*(B23/1000)^2+Superpositioning!$D$4*((B23-B$14)/1000)</f>
        <v>20.11122181222877</v>
      </c>
      <c r="G23" s="45">
        <f>'Aileron torsion'!$B$11*$B23/1000</f>
        <v>-3.6565894499999994E-2</v>
      </c>
      <c r="H23" s="44">
        <f>Superpositioning!$C$21*$B23/1000+Superpositioning!$C$5</f>
        <v>-454.47067438616318</v>
      </c>
      <c r="I23" s="27">
        <f>Superpositioning!$D$21*$B23/1000+Superpositioning!$D$5</f>
        <v>68.826623940369743</v>
      </c>
      <c r="J23" s="27">
        <f>1/2*Superpositioning!$C$21*(B23/1000)^2+Superpositioning!$C$5*((B23-B$14)/1000)</f>
        <v>-110.04897838805101</v>
      </c>
      <c r="K23" s="27">
        <f>1/2*Superpositioning!$D$21*(B23/1000)^2+Superpositioning!$D$5*((B23-B$14)/1000)</f>
        <v>16.707269871765366</v>
      </c>
      <c r="L23" s="45">
        <f>'Aileron torsion'!$B$16*$B23/1000</f>
        <v>-3.2865208274203452E-2</v>
      </c>
      <c r="M23" s="44">
        <f>Superpositioning!$C$22*$B23/1000+Superpositioning!$C$6</f>
        <v>431.29018886744018</v>
      </c>
      <c r="N23" s="27">
        <f>Superpositioning!$D$22*$B23/1000+Superpositioning!$D$6</f>
        <v>80.132502146629989</v>
      </c>
      <c r="O23" s="27">
        <f>1/2*Superpositioning!$C$22*(B23/1000)^2+Superpositioning!$C$6*((B23-B$14)/1000)</f>
        <v>104.43698284396818</v>
      </c>
      <c r="P23" s="27">
        <f>1/2*Superpositioning!$D$22*(B23/1000)^2+Superpositioning!$D$6*((B23-B$14)/1000)</f>
        <v>19.444422985500971</v>
      </c>
      <c r="Q23" s="45">
        <f>'Aileron torsion'!$B$21*$B23/1000</f>
        <v>-3.2865208274203452E-2</v>
      </c>
    </row>
    <row r="24" spans="1:17" x14ac:dyDescent="0.25">
      <c r="A24">
        <v>10</v>
      </c>
      <c r="B24" s="72">
        <f>B23+('Aileron shear'!$B$5-Input!$C$7*10/2)/10</f>
        <v>417.99999999999989</v>
      </c>
      <c r="C24" s="44">
        <f>Superpositioning!$C$20*$B24/1000+Superpositioning!$C$4</f>
        <v>-12.895326584644117</v>
      </c>
      <c r="D24" s="27">
        <f>Superpositioning!$D$20*$B24/1000+Superpositioning!$D$4</f>
        <v>82.793207367942102</v>
      </c>
      <c r="E24" s="27">
        <f>1/2*Superpositioning!$C$20*(B24/1000)^2+Superpositioning!$C$4*((B24-B$14)/1000)</f>
        <v>-3.4688428512692662</v>
      </c>
      <c r="F24" s="27">
        <f>1/2*Superpositioning!$D$20*(B24/1000)^2+Superpositioning!$D$4*((B24-B$14)/1000)</f>
        <v>22.339339581976418</v>
      </c>
      <c r="G24" s="45">
        <f>'Aileron torsion'!$B$11*$B24/1000</f>
        <v>-3.9080909999999996E-2</v>
      </c>
      <c r="H24" s="44">
        <f>Superpositioning!$C$21*$B24/1000+Superpositioning!$C$5</f>
        <v>-454.4387175679334</v>
      </c>
      <c r="I24" s="27">
        <f>Superpositioning!$D$21*$B24/1000+Superpositioning!$D$5</f>
        <v>68.761102753188581</v>
      </c>
      <c r="J24" s="27">
        <f>1/2*Superpositioning!$C$21*(B24/1000)^2+Superpositioning!$C$5*((B24-B$14)/1000)</f>
        <v>-122.27380970983363</v>
      </c>
      <c r="K24" s="27">
        <f>1/2*Superpositioning!$D$21*(B24/1000)^2+Superpositioning!$D$5*((B24-B$14)/1000)</f>
        <v>18.557824795793728</v>
      </c>
      <c r="L24" s="45">
        <f>'Aileron torsion'!$B$16*$B24/1000</f>
        <v>-3.5125689231953569E-2</v>
      </c>
      <c r="M24" s="44">
        <f>Superpositioning!$C$22*$B24/1000+Superpositioning!$C$6</f>
        <v>431.25823204921039</v>
      </c>
      <c r="N24" s="27">
        <f>Superpositioning!$D$22*$B24/1000+Superpositioning!$D$6</f>
        <v>80.066980959448827</v>
      </c>
      <c r="O24" s="27">
        <f>1/2*Superpositioning!$C$22*(B24/1000)^2+Superpositioning!$C$6*((B24-B$14)/1000)</f>
        <v>116.03825910529714</v>
      </c>
      <c r="P24" s="27">
        <f>1/2*Superpositioning!$D$22*(B24/1000)^2+Superpositioning!$D$6*((B24-B$14)/1000)</f>
        <v>21.599106033277732</v>
      </c>
      <c r="Q24" s="45">
        <f>'Aileron torsion'!$B$21*$B24/1000</f>
        <v>-3.5125689231953569E-2</v>
      </c>
    </row>
    <row r="25" spans="1:17" x14ac:dyDescent="0.25">
      <c r="B25" s="92">
        <f>B24</f>
        <v>417.99999999999989</v>
      </c>
      <c r="C25" s="93">
        <f>Superpositioning!$C$20*$B25/1000+Superpositioning!$C$4+Superpositioning!$C$13</f>
        <v>26.832419600326986</v>
      </c>
      <c r="D25" s="94">
        <f>Superpositioning!$D$20*$B25/1000+Superpositioning!$D$4+Superpositioning!$D$13</f>
        <v>82.793207367942102</v>
      </c>
      <c r="E25" s="94">
        <f>1/2*Superpositioning!$C$20*(B25/1000)^2+Superpositioning!$C$4*((B25-B$14)/1000)+Superpositioning!$C$13*((B25-B$25)/1000)</f>
        <v>-3.4688428512692662</v>
      </c>
      <c r="F25" s="94">
        <f>1/2*Superpositioning!$D$20*(B25/1000)^2+Superpositioning!$D$4*((B25-B$14)/1000)+Superpositioning!$D$13*((B25-B$25)/1000)</f>
        <v>22.339339581976418</v>
      </c>
      <c r="G25" s="95">
        <f>'Aileron torsion'!$B$11*$B25/1000+'Aileron torsion'!$B$12</f>
        <v>3.3973691349999999</v>
      </c>
      <c r="H25" s="93">
        <f>Superpositioning!$C$21*$B25/1000+Superpositioning!$C$5+Superpositioning!$C$14</f>
        <v>-418.7316558239969</v>
      </c>
      <c r="I25" s="94">
        <f>Superpositioning!$D$21*$B25/1000+Superpositioning!$D$5+Superpositioning!$D$14</f>
        <v>86.176600407639754</v>
      </c>
      <c r="J25" s="94">
        <f>1/2*Superpositioning!$C$21*(B25/1000)^2+Superpositioning!$C$5*((B25-B$14)/1000)+Superpositioning!$C$14*((B25-B$25)/1000)</f>
        <v>-122.27380970983363</v>
      </c>
      <c r="K25" s="94">
        <f>1/2*Superpositioning!$D$21*(B25/1000)^2+Superpositioning!$D$5*((B25-B$14)/1000)+Superpositioning!$D$14*((B25-B$25)/1000)</f>
        <v>18.557824795793728</v>
      </c>
      <c r="L25" s="95">
        <f>'Aileron torsion'!$B$16*$B25/1000+'Aileron torsion'!$B$17</f>
        <v>3.0535351516185512</v>
      </c>
      <c r="M25" s="93">
        <f>Superpositioning!$C$22*$B25/1000+Superpositioning!$C$6+Superpositioning!$C$15</f>
        <v>466.96529379314688</v>
      </c>
      <c r="N25" s="94">
        <f>Superpositioning!$D$22*$B25/1000+Superpositioning!$D$6+Superpositioning!$D$15</f>
        <v>62.651483304997654</v>
      </c>
      <c r="O25" s="94">
        <f>1/2*Superpositioning!$C$22*(B25/1000)^2+Superpositioning!$C$6*((B25-B$14)/1000)+Superpositioning!$C$15*((B25-B$25)/1000)</f>
        <v>116.03825910529714</v>
      </c>
      <c r="P25" s="94">
        <f>1/2*Superpositioning!$D$22*(B25/1000)^2+Superpositioning!$D$6*((B25-B$14)/1000)+Superpositioning!$D$15*((B25-B$25)/1000)</f>
        <v>21.599106033277732</v>
      </c>
      <c r="Q25" s="95">
        <f>'Aileron torsion'!$B$21*$B25/1000+'Aileron torsion'!$B$22</f>
        <v>3.0535351516185512</v>
      </c>
    </row>
    <row r="26" spans="1:17" x14ac:dyDescent="0.25">
      <c r="A26">
        <v>1</v>
      </c>
      <c r="B26" s="92">
        <f>B25+(Input!$C$7*10/2)/5</f>
        <v>445.19999999999987</v>
      </c>
      <c r="C26" s="93">
        <f>Superpositioning!$C$20*$B26/1000+Superpositioning!$C$4+Superpositioning!$C$13</f>
        <v>26.832419600326986</v>
      </c>
      <c r="D26" s="94">
        <f>Superpositioning!$D$20*$B26/1000+Superpositioning!$D$4+Superpositioning!$D$13</f>
        <v>82.719495367942102</v>
      </c>
      <c r="E26" s="94">
        <f>1/2*Superpositioning!$C$20*(B26/1000)^2+Superpositioning!$C$4*((B26-B$14)/1000)+Superpositioning!$C$13*((B26-B$25)/1000)</f>
        <v>-2.7390010381403713</v>
      </c>
      <c r="F26" s="94">
        <f>1/2*Superpositioning!$D$20*(B26/1000)^2+Superpositioning!$D$4*((B26-B$14)/1000)+Superpositioning!$D$13*((B26-B$25)/1000)</f>
        <v>24.590312339184432</v>
      </c>
      <c r="G26" s="95">
        <f>'Aileron torsion'!$B$11*$B26/1000+'Aileron torsion'!$B$12</f>
        <v>3.3948260709999998</v>
      </c>
      <c r="H26" s="93">
        <f>Superpositioning!$C$21*$B26/1000+Superpositioning!$C$5+Superpositioning!$C$14</f>
        <v>-418.69934261002481</v>
      </c>
      <c r="I26" s="94">
        <f>Superpositioning!$D$21*$B26/1000+Superpositioning!$D$5+Superpositioning!$D$14</f>
        <v>86.110348500898937</v>
      </c>
      <c r="J26" s="94">
        <f>1/2*Superpositioning!$C$21*(B26/1000)^2+Superpositioning!$C$5*((B26-B$14)/1000)+Superpositioning!$C$14*((B26-B$25)/1000)</f>
        <v>-133.66287128853625</v>
      </c>
      <c r="K26" s="94">
        <f>1/2*Superpositioning!$D$21*(B26/1000)^2+Superpositioning!$D$5*((B26-B$14)/1000)+Superpositioning!$D$14*((B26-B$25)/1000)</f>
        <v>20.900927300949846</v>
      </c>
      <c r="L26" s="95">
        <f>'Aileron torsion'!$B$16*$B26/1000+'Aileron torsion'!$B$17</f>
        <v>3.0512494608359932</v>
      </c>
      <c r="M26" s="93">
        <f>Superpositioning!$C$22*$B26/1000+Superpositioning!$C$6+Superpositioning!$C$15</f>
        <v>466.9329805791748</v>
      </c>
      <c r="N26" s="94">
        <f>Superpositioning!$D$22*$B26/1000+Superpositioning!$D$6+Superpositioning!$D$15</f>
        <v>62.585231398256838</v>
      </c>
      <c r="O26" s="94">
        <f>1/2*Superpositioning!$C$22*(B26/1000)^2+Superpositioning!$C$6*((B26-B$14)/1000)+Superpositioning!$C$15*((B26-B$25)/1000)</f>
        <v>128.73927563676068</v>
      </c>
      <c r="P26" s="94">
        <f>1/2*Superpositioning!$D$22*(B26/1000)^2+Superpositioning!$D$6*((B26-B$14)/1000)+Superpositioning!$D$15*((B26-B$25)/1000)</f>
        <v>23.302325353241983</v>
      </c>
      <c r="Q26" s="95">
        <f>'Aileron torsion'!$B$21*$B26/1000+'Aileron torsion'!$B$22</f>
        <v>3.0512494608359932</v>
      </c>
    </row>
    <row r="27" spans="1:17" x14ac:dyDescent="0.25">
      <c r="A27">
        <v>2</v>
      </c>
      <c r="B27" s="92">
        <f>B26+(Input!$C$7*10/2)/5</f>
        <v>472.39999999999986</v>
      </c>
      <c r="C27" s="93">
        <f>Superpositioning!$C$20*$B27/1000+Superpositioning!$C$4+Superpositioning!$C$13</f>
        <v>26.832419600326986</v>
      </c>
      <c r="D27" s="94">
        <f>Superpositioning!$D$20*$B27/1000+Superpositioning!$D$4+Superpositioning!$D$13</f>
        <v>82.645783367942101</v>
      </c>
      <c r="E27" s="94">
        <f>1/2*Superpositioning!$C$20*(B27/1000)^2+Superpositioning!$C$4*((B27-B$14)/1000)+Superpositioning!$C$13*((B27-B$25)/1000)</f>
        <v>-2.0091592250114783</v>
      </c>
      <c r="F27" s="94">
        <f>1/2*Superpositioning!$D$20*(B27/1000)^2+Superpositioning!$D$4*((B27-B$14)/1000)+Superpositioning!$D$13*((B27-B$25)/1000)</f>
        <v>26.83928012999246</v>
      </c>
      <c r="G27" s="95">
        <f>'Aileron torsion'!$B$11*$B27/1000+'Aileron torsion'!$B$12</f>
        <v>3.3922830070000001</v>
      </c>
      <c r="H27" s="93">
        <f>Superpositioning!$C$21*$B27/1000+Superpositioning!$C$5+Superpositioning!$C$14</f>
        <v>-418.66702939605267</v>
      </c>
      <c r="I27" s="94">
        <f>Superpositioning!$D$21*$B27/1000+Superpositioning!$D$5+Superpositioning!$D$14</f>
        <v>86.044096594158134</v>
      </c>
      <c r="J27" s="94">
        <f>1/2*Superpositioning!$C$21*(B27/1000)^2+Superpositioning!$C$5*((B27-B$14)/1000)+Superpositioning!$C$14*((B27-B$25)/1000)</f>
        <v>-145.05105394781899</v>
      </c>
      <c r="K27" s="94">
        <f>1/2*Superpositioning!$D$21*(B27/1000)^2+Superpositioning!$D$5*((B27-B$14)/1000)+Superpositioning!$D$14*((B27-B$25)/1000)</f>
        <v>23.242227754242624</v>
      </c>
      <c r="L27" s="95">
        <f>'Aileron torsion'!$B$16*$B27/1000+'Aileron torsion'!$B$17</f>
        <v>3.0489637700534358</v>
      </c>
      <c r="M27" s="93">
        <f>Superpositioning!$C$22*$B27/1000+Superpositioning!$C$6+Superpositioning!$C$15</f>
        <v>466.90066736520265</v>
      </c>
      <c r="N27" s="94">
        <f>Superpositioning!$D$22*$B27/1000+Superpositioning!$D$6+Superpositioning!$D$15</f>
        <v>62.518979491516035</v>
      </c>
      <c r="O27" s="94">
        <f>1/2*Superpositioning!$C$22*(B27/1000)^2+Superpositioning!$C$6*((B27-B$14)/1000)+Superpositioning!$C$15*((B27-B$25)/1000)</f>
        <v>141.43941324880424</v>
      </c>
      <c r="P27" s="94">
        <f>1/2*Superpositioning!$D$22*(B27/1000)^2+Superpositioning!$D$6*((B27-B$14)/1000)+Superpositioning!$D$15*((B27-B$25)/1000)</f>
        <v>25.003742621342901</v>
      </c>
      <c r="Q27" s="95">
        <f>'Aileron torsion'!$B$21*$B27/1000+'Aileron torsion'!$B$22</f>
        <v>3.0489637700534358</v>
      </c>
    </row>
    <row r="28" spans="1:17" x14ac:dyDescent="0.25">
      <c r="A28">
        <v>3</v>
      </c>
      <c r="B28" s="92">
        <f>B27+(Input!$C$7*10/2)/5</f>
        <v>499.59999999999985</v>
      </c>
      <c r="C28" s="93">
        <f>Superpositioning!$C$20*$B28/1000+Superpositioning!$C$4+Superpositioning!$C$13</f>
        <v>26.832419600326986</v>
      </c>
      <c r="D28" s="94">
        <f>Superpositioning!$D$20*$B28/1000+Superpositioning!$D$4+Superpositioning!$D$13</f>
        <v>82.572071367942101</v>
      </c>
      <c r="E28" s="94">
        <f>1/2*Superpositioning!$C$20*(B28/1000)^2+Superpositioning!$C$4*((B28-B$14)/1000)+Superpositioning!$C$13*((B28-B$25)/1000)</f>
        <v>-1.2793174118825843</v>
      </c>
      <c r="F28" s="94">
        <f>1/2*Superpositioning!$D$20*(B28/1000)^2+Superpositioning!$D$4*((B28-B$14)/1000)+Superpositioning!$D$13*((B28-B$25)/1000)</f>
        <v>29.086242954400486</v>
      </c>
      <c r="G28" s="95">
        <f>'Aileron torsion'!$B$11*$B28/1000+'Aileron torsion'!$B$12</f>
        <v>3.3897399429999999</v>
      </c>
      <c r="H28" s="93">
        <f>Superpositioning!$C$21*$B28/1000+Superpositioning!$C$5+Superpositioning!$C$14</f>
        <v>-418.63471618208058</v>
      </c>
      <c r="I28" s="94">
        <f>Superpositioning!$D$21*$B28/1000+Superpositioning!$D$5+Superpositioning!$D$14</f>
        <v>85.977844687417331</v>
      </c>
      <c r="J28" s="94">
        <f>1/2*Superpositioning!$C$21*(B28/1000)^2+Superpositioning!$C$5*((B28-B$14)/1000)+Superpositioning!$C$14*((B28-B$25)/1000)</f>
        <v>-156.43835768768153</v>
      </c>
      <c r="K28" s="94">
        <f>1/2*Superpositioning!$D$21*(B28/1000)^2+Superpositioning!$D$5*((B28-B$14)/1000)+Superpositioning!$D$14*((B28-B$25)/1000)</f>
        <v>25.581726155672047</v>
      </c>
      <c r="L28" s="95">
        <f>'Aileron torsion'!$B$16*$B28/1000+'Aileron torsion'!$B$17</f>
        <v>3.0466780792708779</v>
      </c>
      <c r="M28" s="93">
        <f>Superpositioning!$C$22*$B28/1000+Superpositioning!$C$6+Superpositioning!$C$15</f>
        <v>466.86835415123056</v>
      </c>
      <c r="N28" s="94">
        <f>Superpositioning!$D$22*$B28/1000+Superpositioning!$D$6+Superpositioning!$D$15</f>
        <v>62.452727584775232</v>
      </c>
      <c r="O28" s="94">
        <f>1/2*Superpositioning!$C$22*(B28/1000)^2+Superpositioning!$C$6*((B28-B$14)/1000)+Superpositioning!$C$15*((B28-B$25)/1000)</f>
        <v>154.1386719414277</v>
      </c>
      <c r="P28" s="94">
        <f>1/2*Superpositioning!$D$22*(B28/1000)^2+Superpositioning!$D$6*((B28-B$14)/1000)+Superpositioning!$D$15*((B28-B$25)/1000)</f>
        <v>26.703357837580455</v>
      </c>
      <c r="Q28" s="95">
        <f>'Aileron torsion'!$B$21*$B28/1000+'Aileron torsion'!$B$22</f>
        <v>3.0466780792708779</v>
      </c>
    </row>
    <row r="29" spans="1:17" x14ac:dyDescent="0.25">
      <c r="A29">
        <v>4</v>
      </c>
      <c r="B29" s="92">
        <f>B28+(Input!$C$7*10/2)/5</f>
        <v>526.79999999999984</v>
      </c>
      <c r="C29" s="93">
        <f>Superpositioning!$C$20*$B29/1000+Superpositioning!$C$4+Superpositioning!$C$13</f>
        <v>26.832419600326986</v>
      </c>
      <c r="D29" s="94">
        <f>Superpositioning!$D$20*$B29/1000+Superpositioning!$D$4+Superpositioning!$D$13</f>
        <v>82.498359367942101</v>
      </c>
      <c r="E29" s="94">
        <f>1/2*Superpositioning!$C$20*(B29/1000)^2+Superpositioning!$C$4*((B29-B$14)/1000)+Superpositioning!$C$13*((B29-B$25)/1000)</f>
        <v>-0.54947559875369123</v>
      </c>
      <c r="F29" s="94">
        <f>1/2*Superpositioning!$D$20*(B29/1000)^2+Superpositioning!$D$4*((B29-B$14)/1000)+Superpositioning!$D$13*((B29-B$25)/1000)</f>
        <v>31.331200812408515</v>
      </c>
      <c r="G29" s="95">
        <f>'Aileron torsion'!$B$11*$B29/1000+'Aileron torsion'!$B$12</f>
        <v>3.3871968789999998</v>
      </c>
      <c r="H29" s="93">
        <f>Superpositioning!$C$21*$B29/1000+Superpositioning!$C$5+Superpositioning!$C$14</f>
        <v>-418.60240296810844</v>
      </c>
      <c r="I29" s="94">
        <f>Superpositioning!$D$21*$B29/1000+Superpositioning!$D$5+Superpositioning!$D$14</f>
        <v>85.911592780676528</v>
      </c>
      <c r="J29" s="94">
        <f>1/2*Superpositioning!$C$21*(B29/1000)^2+Superpositioning!$C$5*((B29-B$14)/1000)+Superpositioning!$C$14*((B29-B$25)/1000)</f>
        <v>-167.82478250812417</v>
      </c>
      <c r="K29" s="94">
        <f>1/2*Superpositioning!$D$21*(B29/1000)^2+Superpositioning!$D$5*((B29-B$14)/1000)+Superpositioning!$D$14*((B29-B$25)/1000)</f>
        <v>27.919422505238128</v>
      </c>
      <c r="L29" s="95">
        <f>'Aileron torsion'!$B$16*$B29/1000+'Aileron torsion'!$B$17</f>
        <v>3.0443923884883204</v>
      </c>
      <c r="M29" s="93">
        <f>Superpositioning!$C$22*$B29/1000+Superpositioning!$C$6+Superpositioning!$C$15</f>
        <v>466.83604093725842</v>
      </c>
      <c r="N29" s="94">
        <f>Superpositioning!$D$22*$B29/1000+Superpositioning!$D$6+Superpositioning!$D$15</f>
        <v>62.386475678034429</v>
      </c>
      <c r="O29" s="94">
        <f>1/2*Superpositioning!$C$22*(B29/1000)^2+Superpositioning!$C$6*((B29-B$14)/1000)+Superpositioning!$C$15*((B29-B$25)/1000)</f>
        <v>166.83705171463117</v>
      </c>
      <c r="P29" s="94">
        <f>1/2*Superpositioning!$D$22*(B29/1000)^2+Superpositioning!$D$6*((B29-B$14)/1000)+Superpositioning!$D$15*((B29-B$25)/1000)</f>
        <v>28.401171001954673</v>
      </c>
      <c r="Q29" s="95">
        <f>'Aileron torsion'!$B$21*$B29/1000+'Aileron torsion'!$B$22</f>
        <v>3.0443923884883204</v>
      </c>
    </row>
    <row r="30" spans="1:17" x14ac:dyDescent="0.25">
      <c r="A30">
        <v>5</v>
      </c>
      <c r="B30" s="92">
        <f>B29+(Input!$C$7*10/2)/5</f>
        <v>553.99999999999989</v>
      </c>
      <c r="C30" s="93">
        <f>Superpositioning!$C$20*$B30/1000+Superpositioning!$C$4+Superpositioning!$C$13</f>
        <v>26.832419600326986</v>
      </c>
      <c r="D30" s="94">
        <f>Superpositioning!$D$20*$B30/1000+Superpositioning!$D$4+Superpositioning!$D$13</f>
        <v>82.4246473679421</v>
      </c>
      <c r="E30" s="94">
        <f>1/2*Superpositioning!$C$20*(B30/1000)^2+Superpositioning!$C$4*((B30-B$14)/1000)+Superpositioning!$C$13*((B30-B$25)/1000)</f>
        <v>0.18036621437520495</v>
      </c>
      <c r="F30" s="94">
        <f>1/2*Superpositioning!$D$20*(B30/1000)^2+Superpositioning!$D$4*((B30-B$14)/1000)+Superpositioning!$D$13*((B30-B$25)/1000)</f>
        <v>33.574153704016538</v>
      </c>
      <c r="G30" s="95">
        <f>'Aileron torsion'!$B$11*$B30/1000+'Aileron torsion'!$B$12</f>
        <v>3.3846538150000001</v>
      </c>
      <c r="H30" s="93">
        <f>Superpositioning!$C$21*$B30/1000+Superpositioning!$C$5+Superpositioning!$C$14</f>
        <v>-418.57008975413635</v>
      </c>
      <c r="I30" s="94">
        <f>Superpositioning!$D$21*$B30/1000+Superpositioning!$D$5+Superpositioning!$D$14</f>
        <v>85.845340873935726</v>
      </c>
      <c r="J30" s="94">
        <f>1/2*Superpositioning!$C$21*(B30/1000)^2+Superpositioning!$C$5*((B30-B$14)/1000)+Superpositioning!$C$14*((B30-B$25)/1000)</f>
        <v>-179.21032840914665</v>
      </c>
      <c r="K30" s="94">
        <f>1/2*Superpositioning!$D$21*(B30/1000)^2+Superpositioning!$D$5*((B30-B$14)/1000)+Superpositioning!$D$14*((B30-B$25)/1000)</f>
        <v>30.255316802940857</v>
      </c>
      <c r="L30" s="95">
        <f>'Aileron torsion'!$B$16*$B30/1000+'Aileron torsion'!$B$17</f>
        <v>3.0421066977057625</v>
      </c>
      <c r="M30" s="93">
        <f>Superpositioning!$C$22*$B30/1000+Superpositioning!$C$6+Superpositioning!$C$15</f>
        <v>466.80372772328633</v>
      </c>
      <c r="N30" s="94">
        <f>Superpositioning!$D$22*$B30/1000+Superpositioning!$D$6+Superpositioning!$D$15</f>
        <v>62.320223771293627</v>
      </c>
      <c r="O30" s="94">
        <f>1/2*Superpositioning!$C$22*(B30/1000)^2+Superpositioning!$C$6*((B30-B$14)/1000)+Superpositioning!$C$15*((B30-B$25)/1000)</f>
        <v>179.53455256841457</v>
      </c>
      <c r="P30" s="94">
        <f>1/2*Superpositioning!$D$22*(B30/1000)^2+Superpositioning!$D$6*((B30-B$14)/1000)+Superpositioning!$D$15*((B30-B$25)/1000)</f>
        <v>30.097182114465532</v>
      </c>
      <c r="Q30" s="95">
        <f>'Aileron torsion'!$B$21*$B30/1000+'Aileron torsion'!$B$22</f>
        <v>3.0421066977057625</v>
      </c>
    </row>
    <row r="31" spans="1:17" x14ac:dyDescent="0.25">
      <c r="B31" s="72">
        <f>B30</f>
        <v>553.99999999999989</v>
      </c>
      <c r="C31" s="44">
        <f>Superpositioning!$C$20*$B31/1000+Superpositioning!$C$4+Superpositioning!$C$7+Superpositioning!$C$13</f>
        <v>32.494968374493212</v>
      </c>
      <c r="D31" s="27">
        <f>Superpositioning!$D$20*$B31/1000+Superpositioning!$D$4+Superpositioning!$D$7+Superpositioning!$D$13</f>
        <v>-32.709870525852637</v>
      </c>
      <c r="E31" s="27">
        <f>1/2*Superpositioning!$C$20*(B31/1000)^2+Superpositioning!$C$4*((B31-B$14)/1000)+Superpositioning!$C$13*((B31-B$25)/1000)+Superpositioning!$C$7*((B31-B$31)/1000)</f>
        <v>0.18036621437520495</v>
      </c>
      <c r="F31" s="27">
        <f>1/2*Superpositioning!$D$20*(B31/1000)^2+Superpositioning!$D$4*((B31-B$14)/1000)+Superpositioning!$D$13*((B31-B$25)/1000)+Superpositioning!$D$7*((B31-B$31)/1000)</f>
        <v>33.574153704016538</v>
      </c>
      <c r="G31" s="45">
        <f>'Aileron torsion'!$B$11*$B31/1000+'Aileron torsion'!$B$12</f>
        <v>3.3846538150000001</v>
      </c>
      <c r="H31" s="44">
        <f>Superpositioning!$C$21*$B31/1000+Superpositioning!$C$5+Superpositioning!$C$8+Superpositioning!$C$14</f>
        <v>210.36854941455769</v>
      </c>
      <c r="I31" s="27">
        <f>Superpositioning!$D$21*$B31/1000+Superpositioning!$D$5+Superpositioning!$D$8+Superpositioning!$D$14</f>
        <v>-15.154580332651573</v>
      </c>
      <c r="J31" s="27">
        <f>1/2*Superpositioning!$C$21*(B31/1000)^2+Superpositioning!$C$5*((B31-B$14)/1000)+Superpositioning!$C$14*((B31-B$25)/1000)+Superpositioning!$C$8*((B31-B$31)/1000)</f>
        <v>-179.21032840914665</v>
      </c>
      <c r="K31" s="27">
        <f>1/2*Superpositioning!$D$21*(B31/1000)^2+Superpositioning!$D$5*((B31-B$14)/1000)+Superpositioning!$D$14*((B31-B$25)/1000)+Superpositioning!$D$8*((B31-B$31)/1000)</f>
        <v>30.255316802940857</v>
      </c>
      <c r="L31" s="45">
        <f>'Aileron torsion'!$B$16*$B31/1000+'Aileron torsion'!$B$17</f>
        <v>3.0421066977057625</v>
      </c>
      <c r="M31" s="44">
        <f>Superpositioning!$C$22*$B31/1000+Superpositioning!$C$6+Superpositioning!$C$9+Superpositioning!$C$15</f>
        <v>-151.95598119520915</v>
      </c>
      <c r="N31" s="27">
        <f>Superpositioning!$D$22*$B31/1000+Superpositioning!$D$6+Superpositioning!$D$9+Superpositioning!$D$15</f>
        <v>-43.644293435054337</v>
      </c>
      <c r="O31" s="27">
        <f>1/2*Superpositioning!$C$22*(B31/1000)^2+Superpositioning!$C$6*((B31-B$14)/1000)+Superpositioning!$C$15*((B31-B$25)/1000)+Superpositioning!$C$9*((B31-B$31)/1000)</f>
        <v>179.53455256841457</v>
      </c>
      <c r="P31" s="27">
        <f>1/2*Superpositioning!$D$22*(B31/1000)^2+Superpositioning!$D$6*((B31-B$14)/1000)+Superpositioning!$D$15*((B31-B$25)/1000)+Superpositioning!$D$9*((B31-B$31)/1000)</f>
        <v>30.097182114465532</v>
      </c>
      <c r="Q31" s="45">
        <f>'Aileron torsion'!$B$21*$B31/1000+'Aileron torsion'!$B$22</f>
        <v>3.0421066977057625</v>
      </c>
    </row>
    <row r="32" spans="1:17" x14ac:dyDescent="0.25">
      <c r="A32">
        <v>1</v>
      </c>
      <c r="B32" s="72">
        <f>B31+(Input!$C$7*10/2)/5</f>
        <v>581.19999999999993</v>
      </c>
      <c r="C32" s="44">
        <f>Superpositioning!$C$20*$B32/1000+Superpositioning!$C$4+Superpositioning!$C$7+Superpositioning!$C$13</f>
        <v>32.494968374493212</v>
      </c>
      <c r="D32" s="27">
        <f>Superpositioning!$D$20*$B32/1000+Superpositioning!$D$4+Superpositioning!$D$7+Superpositioning!$D$13</f>
        <v>-32.783582525852637</v>
      </c>
      <c r="E32" s="27">
        <f>1/2*Superpositioning!$C$20*(B32/1000)^2+Superpositioning!$C$4*((B32-B$14)/1000)+Superpositioning!$C$13*((B32-B$25)/1000)+Superpositioning!$C$7*((B32-B$31)/1000)</f>
        <v>1.0642293541614209</v>
      </c>
      <c r="F32" s="27">
        <f>1/2*Superpositioning!$D$20*(B32/1000)^2+Superpositioning!$D$4*((B32-B$14)/1000)+Superpositioning!$D$13*((B32-B$25)/1000)+Superpositioning!$D$7*((B32-B$31)/1000)</f>
        <v>32.683442742513343</v>
      </c>
      <c r="G32" s="45">
        <f>'Aileron torsion'!$B$11*$B32/1000+'Aileron torsion'!$B$12</f>
        <v>3.3821107509999999</v>
      </c>
      <c r="H32" s="44">
        <f>Superpositioning!$C$21*$B32/1000+Superpositioning!$C$5+Superpositioning!$C$8+Superpositioning!$C$14</f>
        <v>210.40086262852984</v>
      </c>
      <c r="I32" s="27">
        <f>Superpositioning!$D$21*$B32/1000+Superpositioning!$D$5+Superpositioning!$D$8+Superpositioning!$D$14</f>
        <v>-15.220832239392376</v>
      </c>
      <c r="J32" s="27">
        <f>1/2*Superpositioning!$C$21*(B32/1000)^2+Superpositioning!$C$5*((B32-B$14)/1000)+Superpositioning!$C$14*((B32-B$25)/1000)+Superpositioning!$C$8*((B32-B$31)/1000)</f>
        <v>-173.48786440536065</v>
      </c>
      <c r="K32" s="27">
        <f>1/2*Superpositioning!$D$21*(B32/1000)^2+Superpositioning!$D$5*((B32-B$14)/1000)+Superpositioning!$D$14*((B32-B$25)/1000)+Superpositioning!$D$8*((B32-B$31)/1000)</f>
        <v>29.842211191961059</v>
      </c>
      <c r="L32" s="45">
        <f>'Aileron torsion'!$B$16*$B32/1000+'Aileron torsion'!$B$17</f>
        <v>3.0398210069232046</v>
      </c>
      <c r="M32" s="44">
        <f>Superpositioning!$C$22*$B32/1000+Superpositioning!$C$6+Superpositioning!$C$9+Superpositioning!$C$15</f>
        <v>-151.98829440918129</v>
      </c>
      <c r="N32" s="27">
        <f>Superpositioning!$D$22*$B32/1000+Superpositioning!$D$6+Superpositioning!$D$9+Superpositioning!$D$15</f>
        <v>-43.71054534179514</v>
      </c>
      <c r="O32" s="27">
        <f>1/2*Superpositioning!$C$22*(B32/1000)^2+Superpositioning!$C$6*((B32-B$14)/1000)+Superpositioning!$C$15*((B32-B$25)/1000)+Superpositioning!$C$9*((B32-B$31)/1000)</f>
        <v>175.40091042019486</v>
      </c>
      <c r="P32" s="27">
        <f>1/2*Superpositioning!$D$22*(B32/1000)^2+Superpositioning!$D$6*((B32-B$14)/1000)+Superpositioning!$D$15*((B32-B$25)/1000)+Superpositioning!$D$9*((B32-B$31)/1000)</f>
        <v>28.909156307100378</v>
      </c>
      <c r="Q32" s="45">
        <f>'Aileron torsion'!$B$21*$B32/1000+'Aileron torsion'!$B$22</f>
        <v>3.0398210069232046</v>
      </c>
    </row>
    <row r="33" spans="1:17" x14ac:dyDescent="0.25">
      <c r="A33">
        <v>2</v>
      </c>
      <c r="B33" s="72">
        <f>B32+(Input!$C$7*10/2)/5</f>
        <v>608.4</v>
      </c>
      <c r="C33" s="44">
        <f>Superpositioning!$C$20*$B33/1000+Superpositioning!$C$4+Superpositioning!$C$7+Superpositioning!$C$13</f>
        <v>32.494968374493212</v>
      </c>
      <c r="D33" s="27">
        <f>Superpositioning!$D$20*$B33/1000+Superpositioning!$D$4+Superpositioning!$D$7+Superpositioning!$D$13</f>
        <v>-32.857294525852637</v>
      </c>
      <c r="E33" s="27">
        <f>1/2*Superpositioning!$C$20*(B33/1000)^2+Superpositioning!$C$4*((B33-B$14)/1000)+Superpositioning!$C$13*((B33-B$25)/1000)+Superpositioning!$C$7*((B33-B$31)/1000)</f>
        <v>1.9480924939476381</v>
      </c>
      <c r="F33" s="27">
        <f>1/2*Superpositioning!$D$20*(B33/1000)^2+Superpositioning!$D$4*((B33-B$14)/1000)+Superpositioning!$D$13*((B33-B$25)/1000)+Superpositioning!$D$7*((B33-B$31)/1000)</f>
        <v>31.790726814610153</v>
      </c>
      <c r="G33" s="45">
        <f>'Aileron torsion'!$B$11*$B33/1000+'Aileron torsion'!$B$12</f>
        <v>3.3795676869999998</v>
      </c>
      <c r="H33" s="44">
        <f>Superpositioning!$C$21*$B33/1000+Superpositioning!$C$5+Superpositioning!$C$8+Superpositioning!$C$14</f>
        <v>210.43317584250192</v>
      </c>
      <c r="I33" s="27">
        <f>Superpositioning!$D$21*$B33/1000+Superpositioning!$D$5+Superpositioning!$D$8+Superpositioning!$D$14</f>
        <v>-15.287084146133179</v>
      </c>
      <c r="J33" s="27">
        <f>1/2*Superpositioning!$C$21*(B33/1000)^2+Superpositioning!$C$5*((B33-B$14)/1000)+Superpositioning!$C$14*((B33-B$25)/1000)+Superpositioning!$C$8*((B33-B$31)/1000)</f>
        <v>-167.76452148215463</v>
      </c>
      <c r="K33" s="27">
        <f>1/2*Superpositioning!$D$21*(B33/1000)^2+Superpositioning!$D$5*((B33-B$14)/1000)+Superpositioning!$D$14*((B33-B$25)/1000)+Superpositioning!$D$8*((B33-B$31)/1000)</f>
        <v>29.427303529117911</v>
      </c>
      <c r="L33" s="45">
        <f>'Aileron torsion'!$B$16*$B33/1000+'Aileron torsion'!$B$17</f>
        <v>3.0375353161406471</v>
      </c>
      <c r="M33" s="44">
        <f>Superpositioning!$C$22*$B33/1000+Superpositioning!$C$6+Superpositioning!$C$9+Superpositioning!$C$15</f>
        <v>-152.02060762315338</v>
      </c>
      <c r="N33" s="27">
        <f>Superpositioning!$D$22*$B33/1000+Superpositioning!$D$6+Superpositioning!$D$9+Superpositioning!$D$15</f>
        <v>-43.776797248535942</v>
      </c>
      <c r="O33" s="27">
        <f>1/2*Superpositioning!$C$22*(B33/1000)^2+Superpositioning!$C$6*((B33-B$14)/1000)+Superpositioning!$C$15*((B33-B$25)/1000)+Superpositioning!$C$9*((B33-B$31)/1000)</f>
        <v>171.26638935255511</v>
      </c>
      <c r="P33" s="27">
        <f>1/2*Superpositioning!$D$22*(B33/1000)^2+Superpositioning!$D$6*((B33-B$14)/1000)+Superpositioning!$D$15*((B33-B$25)/1000)+Superpositioning!$D$9*((B33-B$31)/1000)</f>
        <v>27.719328447871874</v>
      </c>
      <c r="Q33" s="45">
        <f>'Aileron torsion'!$B$21*$B33/1000+'Aileron torsion'!$B$22</f>
        <v>3.0375353161406471</v>
      </c>
    </row>
    <row r="34" spans="1:17" x14ac:dyDescent="0.25">
      <c r="A34">
        <v>3</v>
      </c>
      <c r="B34" s="72">
        <f>B33+(Input!$C$7*10/2)/5</f>
        <v>635.6</v>
      </c>
      <c r="C34" s="44">
        <f>Superpositioning!$C$20*$B34/1000+Superpositioning!$C$4+Superpositioning!$C$7+Superpositioning!$C$13</f>
        <v>32.494968374493212</v>
      </c>
      <c r="D34" s="27">
        <f>Superpositioning!$D$20*$B34/1000+Superpositioning!$D$4+Superpositioning!$D$7+Superpositioning!$D$13</f>
        <v>-32.931006525852638</v>
      </c>
      <c r="E34" s="27">
        <f>1/2*Superpositioning!$C$20*(B34/1000)^2+Superpositioning!$C$4*((B34-B$14)/1000)+Superpositioning!$C$13*((B34-B$25)/1000)+Superpositioning!$C$7*((B34-B$31)/1000)</f>
        <v>2.8319556337338549</v>
      </c>
      <c r="F34" s="27">
        <f>1/2*Superpositioning!$D$20*(B34/1000)^2+Superpositioning!$D$4*((B34-B$14)/1000)+Superpositioning!$D$13*((B34-B$25)/1000)+Superpositioning!$D$7*((B34-B$31)/1000)</f>
        <v>30.896005920306962</v>
      </c>
      <c r="G34" s="45">
        <f>'Aileron torsion'!$B$11*$B34/1000+'Aileron torsion'!$B$12</f>
        <v>3.3770246230000001</v>
      </c>
      <c r="H34" s="44">
        <f>Superpositioning!$C$21*$B34/1000+Superpositioning!$C$5+Superpositioning!$C$8+Superpositioning!$C$14</f>
        <v>210.46548905647407</v>
      </c>
      <c r="I34" s="27">
        <f>Superpositioning!$D$21*$B34/1000+Superpositioning!$D$5+Superpositioning!$D$8+Superpositioning!$D$14</f>
        <v>-15.353336052873981</v>
      </c>
      <c r="J34" s="27">
        <f>1/2*Superpositioning!$C$21*(B34/1000)^2+Superpositioning!$C$5*((B34-B$14)/1000)+Superpositioning!$C$14*((B34-B$25)/1000)+Superpositioning!$C$8*((B34-B$31)/1000)</f>
        <v>-162.0402996395286</v>
      </c>
      <c r="K34" s="27">
        <f>1/2*Superpositioning!$D$21*(B34/1000)^2+Superpositioning!$D$5*((B34-B$14)/1000)+Superpositioning!$D$14*((B34-B$25)/1000)+Superpositioning!$D$8*((B34-B$31)/1000)</f>
        <v>29.010593814411415</v>
      </c>
      <c r="L34" s="45">
        <f>'Aileron torsion'!$B$16*$B34/1000+'Aileron torsion'!$B$17</f>
        <v>3.0352496253580892</v>
      </c>
      <c r="M34" s="44">
        <f>Superpositioning!$C$22*$B34/1000+Superpositioning!$C$6+Superpositioning!$C$9+Superpositioning!$C$15</f>
        <v>-152.05292083712553</v>
      </c>
      <c r="N34" s="27">
        <f>Superpositioning!$D$22*$B34/1000+Superpositioning!$D$6+Superpositioning!$D$9+Superpositioning!$D$15</f>
        <v>-43.843049155276745</v>
      </c>
      <c r="O34" s="27">
        <f>1/2*Superpositioning!$C$22*(B34/1000)^2+Superpositioning!$C$6*((B34-B$14)/1000)+Superpositioning!$C$15*((B34-B$25)/1000)+Superpositioning!$C$9*((B34-B$31)/1000)</f>
        <v>167.13098936549534</v>
      </c>
      <c r="P34" s="27">
        <f>1/2*Superpositioning!$D$22*(B34/1000)^2+Superpositioning!$D$6*((B34-B$14)/1000)+Superpositioning!$D$15*((B34-B$25)/1000)+Superpositioning!$D$9*((B34-B$31)/1000)</f>
        <v>26.527698536780029</v>
      </c>
      <c r="Q34" s="45">
        <f>'Aileron torsion'!$B$21*$B34/1000+'Aileron torsion'!$B$22</f>
        <v>3.0352496253580892</v>
      </c>
    </row>
    <row r="35" spans="1:17" x14ac:dyDescent="0.25">
      <c r="A35">
        <v>4</v>
      </c>
      <c r="B35" s="72">
        <f>B34+(Input!$C$7*10/2)/5</f>
        <v>662.80000000000007</v>
      </c>
      <c r="C35" s="44">
        <f>Superpositioning!$C$20*$B35/1000+Superpositioning!$C$4+Superpositioning!$C$7+Superpositioning!$C$13</f>
        <v>32.494968374493212</v>
      </c>
      <c r="D35" s="27">
        <f>Superpositioning!$D$20*$B35/1000+Superpositioning!$D$4+Superpositioning!$D$7+Superpositioning!$D$13</f>
        <v>-33.004718525852638</v>
      </c>
      <c r="E35" s="27">
        <f>1/2*Superpositioning!$C$20*(B35/1000)^2+Superpositioning!$C$4*((B35-B$14)/1000)+Superpositioning!$C$13*((B35-B$25)/1000)+Superpositioning!$C$7*((B35-B$31)/1000)</f>
        <v>3.7158187735200729</v>
      </c>
      <c r="F35" s="27">
        <f>1/2*Superpositioning!$D$20*(B35/1000)^2+Superpositioning!$D$4*((B35-B$14)/1000)+Superpositioning!$D$13*((B35-B$25)/1000)+Superpositioning!$D$7*((B35-B$31)/1000)</f>
        <v>29.99928005960377</v>
      </c>
      <c r="G35" s="45">
        <f>'Aileron torsion'!$B$11*$B35/1000+'Aileron torsion'!$B$12</f>
        <v>3.3744815589999999</v>
      </c>
      <c r="H35" s="44">
        <f>Superpositioning!$C$21*$B35/1000+Superpositioning!$C$5+Superpositioning!$C$8+Superpositioning!$C$14</f>
        <v>210.49780227044616</v>
      </c>
      <c r="I35" s="27">
        <f>Superpositioning!$D$21*$B35/1000+Superpositioning!$D$5+Superpositioning!$D$8+Superpositioning!$D$14</f>
        <v>-15.419587959614784</v>
      </c>
      <c r="J35" s="27">
        <f>1/2*Superpositioning!$C$21*(B35/1000)^2+Superpositioning!$C$5*((B35-B$14)/1000)+Superpositioning!$C$14*((B35-B$25)/1000)+Superpositioning!$C$8*((B35-B$31)/1000)</f>
        <v>-156.3151988774824</v>
      </c>
      <c r="K35" s="27">
        <f>1/2*Superpositioning!$D$21*(B35/1000)^2+Superpositioning!$D$5*((B35-B$14)/1000)+Superpositioning!$D$14*((B35-B$25)/1000)+Superpositioning!$D$8*((B35-B$31)/1000)</f>
        <v>28.592082047841565</v>
      </c>
      <c r="L35" s="45">
        <f>'Aileron torsion'!$B$16*$B35/1000+'Aileron torsion'!$B$17</f>
        <v>3.0329639345755313</v>
      </c>
      <c r="M35" s="44">
        <f>Superpositioning!$C$22*$B35/1000+Superpositioning!$C$6+Superpositioning!$C$9+Superpositioning!$C$15</f>
        <v>-152.08523405109761</v>
      </c>
      <c r="N35" s="27">
        <f>Superpositioning!$D$22*$B35/1000+Superpositioning!$D$6+Superpositioning!$D$9+Superpositioning!$D$15</f>
        <v>-43.909301062017548</v>
      </c>
      <c r="O35" s="27">
        <f>1/2*Superpositioning!$C$22*(B35/1000)^2+Superpositioning!$C$6*((B35-B$14)/1000)+Superpositioning!$C$15*((B35-B$25)/1000)+Superpositioning!$C$9*((B35-B$31)/1000)</f>
        <v>162.99471045901547</v>
      </c>
      <c r="P35" s="27">
        <f>1/2*Superpositioning!$D$22*(B35/1000)^2+Superpositioning!$D$6*((B35-B$14)/1000)+Superpositioning!$D$15*((B35-B$25)/1000)+Superpositioning!$D$9*((B35-B$31)/1000)</f>
        <v>25.334266573824813</v>
      </c>
      <c r="Q35" s="45">
        <f>'Aileron torsion'!$B$21*$B35/1000+'Aileron torsion'!$B$22</f>
        <v>3.0329639345755313</v>
      </c>
    </row>
    <row r="36" spans="1:17" x14ac:dyDescent="0.25">
      <c r="A36">
        <v>5</v>
      </c>
      <c r="B36" s="72">
        <f>B35+(Input!$C$7*10/2)/5</f>
        <v>690.00000000000011</v>
      </c>
      <c r="C36" s="44">
        <f>Superpositioning!$C$20*$B36/1000+Superpositioning!$C$4+Superpositioning!$C$7+Superpositioning!$C$13</f>
        <v>32.494968374493212</v>
      </c>
      <c r="D36" s="27">
        <f>Superpositioning!$D$20*$B36/1000+Superpositioning!$D$4+Superpositioning!$D$7+Superpositioning!$D$13</f>
        <v>-33.078430525852639</v>
      </c>
      <c r="E36" s="27">
        <f>1/2*Superpositioning!$C$20*(B36/1000)^2+Superpositioning!$C$4*((B36-B$14)/1000)+Superpositioning!$C$13*((B36-B$25)/1000)+Superpositioning!$C$7*((B36-B$31)/1000)</f>
        <v>4.5996819133062896</v>
      </c>
      <c r="F36" s="27">
        <f>1/2*Superpositioning!$D$20*(B36/1000)^2+Superpositioning!$D$4*((B36-B$14)/1000)+Superpositioning!$D$13*((B36-B$25)/1000)+Superpositioning!$D$7*((B36-B$31)/1000)</f>
        <v>29.100549232500573</v>
      </c>
      <c r="G36" s="45">
        <f>'Aileron torsion'!$B$11*$B36/1000+'Aileron torsion'!$B$12</f>
        <v>3.3719384949999998</v>
      </c>
      <c r="H36" s="44">
        <f>Superpositioning!$C$21*$B36/1000+Superpositioning!$C$5+Superpositioning!$C$8+Superpositioning!$C$14</f>
        <v>210.5301154844183</v>
      </c>
      <c r="I36" s="27">
        <f>Superpositioning!$D$21*$B36/1000+Superpositioning!$D$5+Superpositioning!$D$8+Superpositioning!$D$14</f>
        <v>-15.485839866355601</v>
      </c>
      <c r="J36" s="27">
        <f>1/2*Superpositioning!$C$21*(B36/1000)^2+Superpositioning!$C$5*((B36-B$14)/1000)+Superpositioning!$C$14*((B36-B$25)/1000)+Superpositioning!$C$8*((B36-B$31)/1000)</f>
        <v>-150.5892191960163</v>
      </c>
      <c r="K36" s="27">
        <f>1/2*Superpositioning!$D$21*(B36/1000)^2+Superpositioning!$D$5*((B36-B$14)/1000)+Superpositioning!$D$14*((B36-B$25)/1000)+Superpositioning!$D$8*((B36-B$31)/1000)</f>
        <v>28.171768229408361</v>
      </c>
      <c r="L36" s="45">
        <f>'Aileron torsion'!$B$16*$B36/1000+'Aileron torsion'!$B$17</f>
        <v>3.0306782437929738</v>
      </c>
      <c r="M36" s="44">
        <f>Superpositioning!$C$22*$B36/1000+Superpositioning!$C$6+Superpositioning!$C$9+Superpositioning!$C$15</f>
        <v>-152.11754726506976</v>
      </c>
      <c r="N36" s="27">
        <f>Superpositioning!$D$22*$B36/1000+Superpositioning!$D$6+Superpositioning!$D$9+Superpositioning!$D$15</f>
        <v>-43.975552968758365</v>
      </c>
      <c r="O36" s="27">
        <f>1/2*Superpositioning!$C$22*(B36/1000)^2+Superpositioning!$C$6*((B36-B$14)/1000)+Superpositioning!$C$15*((B36-B$25)/1000)+Superpositioning!$C$9*((B36-B$31)/1000)</f>
        <v>158.85755263311557</v>
      </c>
      <c r="P36" s="27">
        <f>1/2*Superpositioning!$D$22*(B36/1000)^2+Superpositioning!$D$6*((B36-B$14)/1000)+Superpositioning!$D$15*((B36-B$25)/1000)+Superpositioning!$D$9*((B36-B$31)/1000)</f>
        <v>24.13903255900626</v>
      </c>
      <c r="Q36" s="45">
        <f>'Aileron torsion'!$B$21*$B36/1000+'Aileron torsion'!$B$22</f>
        <v>3.0306782437929738</v>
      </c>
    </row>
    <row r="37" spans="1:17" x14ac:dyDescent="0.25">
      <c r="B37" s="92">
        <f>B36</f>
        <v>690.00000000000011</v>
      </c>
      <c r="C37" s="93">
        <f>Superpositioning!$C$20*$B37/1000+Superpositioning!$C$4+Superpositioning!$C$7+Superpositioning!$C$13+Superpositioning!$C$23</f>
        <v>-5.405031625506787</v>
      </c>
      <c r="D37" s="94">
        <f>Superpositioning!$D$20*$B37/1000+Superpositioning!$D$4+Superpositioning!$D$7+Superpositioning!$D$13+Superpositioning!$D$23</f>
        <v>-33.078430525852639</v>
      </c>
      <c r="E37" s="94">
        <f>1/2*Superpositioning!$C$20*(B37/1000)^2+Superpositioning!$C$4*((B37-B$14)/1000)+Superpositioning!$C$13*((B37-B$25)/1000)+Superpositioning!$C$7*((B37-B$31)/1000)+Superpositioning!$C$23*((B37-B$37)/1000)</f>
        <v>4.5996819133062896</v>
      </c>
      <c r="F37" s="94">
        <f>1/2*Superpositioning!$D$20*(B37/1000)^2+Superpositioning!$D$4*((B37-B$14)/1000)+Superpositioning!$D$13*((B37-B$25)/1000)+Superpositioning!$D$7*((B37-B$31)/1000)+Superpositioning!$D$23*((B37-B$25)/1000)</f>
        <v>29.100549232500573</v>
      </c>
      <c r="G37" s="95">
        <f>'Aileron torsion'!$B$11*$B37/1000+'Aileron torsion'!$B$12+'Aileron torsion'!$B$13</f>
        <v>9.3588494999999661E-2</v>
      </c>
      <c r="H37" s="93">
        <f>Superpositioning!$C$21*$B37/1000+Superpositioning!$C$5+Superpositioning!$C$8+Superpositioning!$C$14+Superpositioning!$C$24</f>
        <v>176.46582112967988</v>
      </c>
      <c r="I37" s="94">
        <f>Superpositioning!$D$21*$B37/1000+Superpositioning!$D$5+Superpositioning!$D$8+Superpositioning!$D$14+Superpositioning!$D$24</f>
        <v>-32.100106329661635</v>
      </c>
      <c r="J37" s="94">
        <f>1/2*Superpositioning!$C$21*(B37/1000)^2+Superpositioning!$C$5*((B37-B$14)/1000)+Superpositioning!$C$14*((B37-B$25)/1000)+Superpositioning!$C$8*((B37-B$31)/1000)+Superpositioning!$C$24*((B37-B$37)/1000)</f>
        <v>-150.5892191960163</v>
      </c>
      <c r="K37" s="94">
        <f>1/2*Superpositioning!$D$21*(B37/1000)^2+Superpositioning!$D$5*((B37-B$14)/1000)+Superpositioning!$D$14*((B37-B$25)/1000)+Superpositioning!$D$8*((B37-B$31)/1000)+Superpositioning!$D$24*((B37-B$37)/1000)</f>
        <v>28.171768229408361</v>
      </c>
      <c r="L37" s="95">
        <f>'Aileron torsion'!$B$16*$B37/1000+'Aileron torsion'!$B$17+'Aileron torsion'!$B$18</f>
        <v>8.4116782108099475E-2</v>
      </c>
      <c r="M37" s="93">
        <f>Superpositioning!$C$22*$B37/1000+Superpositioning!$C$6+Superpositioning!$C$9+Superpositioning!$C$15+Superpositioning!$C$25</f>
        <v>-186.18184161980818</v>
      </c>
      <c r="N37" s="94">
        <f>Superpositioning!$D$22*$B37/1000+Superpositioning!$D$6+Superpositioning!$D$9+Superpositioning!$D$15+Superpositioning!$D$25</f>
        <v>-27.36128650545233</v>
      </c>
      <c r="O37" s="94">
        <f>1/2*Superpositioning!$C$22*(B37/1000)^2+Superpositioning!$C$6*((B37-B$14)/1000)+Superpositioning!$C$15*((B37-B$25)/1000)+Superpositioning!$C$9*((B37-B$31)/1000)+Superpositioning!$C$25*((B37-B$37)/1000)</f>
        <v>158.85755263311557</v>
      </c>
      <c r="P37" s="94">
        <f>1/2*Superpositioning!$D$22*(B37/1000)^2+Superpositioning!$D$6*((B37-B$14)/1000)+Superpositioning!$D$15*((B37-B$25)/1000)+Superpositioning!$D$9*((B37-B$31)/1000)+Superpositioning!$D$25*((B37-B$37)/1000)</f>
        <v>24.13903255900626</v>
      </c>
      <c r="Q37" s="95">
        <f>'Aileron torsion'!$B$21*$B37/1000+'Aileron torsion'!$B$22+'Aileron torsion'!$B$23</f>
        <v>8.4116782108099475E-2</v>
      </c>
    </row>
    <row r="38" spans="1:17" x14ac:dyDescent="0.25">
      <c r="A38">
        <v>1</v>
      </c>
      <c r="B38" s="92">
        <f>B37+('Aileron shear'!$B$6-Input!$C$7*10/2)/10</f>
        <v>775.10000000000014</v>
      </c>
      <c r="C38" s="93">
        <f>Superpositioning!$C$20*$B38/1000+Superpositioning!$C$4+Superpositioning!$C$7+Superpositioning!$C$13+Superpositioning!$C$23</f>
        <v>-5.405031625506787</v>
      </c>
      <c r="D38" s="94">
        <f>Superpositioning!$D$20*$B38/1000+Superpositioning!$D$4+Superpositioning!$D$7+Superpositioning!$D$13+Superpositioning!$D$23</f>
        <v>-33.309051525852638</v>
      </c>
      <c r="E38" s="94">
        <f>1/2*Superpositioning!$C$20*(B38/1000)^2+Superpositioning!$C$4*((B38-B$14)/1000)+Superpositioning!$C$13*((B38-B$25)/1000)+Superpositioning!$C$7*((B38-B$31)/1000)+Superpositioning!$C$23*((B38-B$37)/1000)</f>
        <v>4.1397137219756619</v>
      </c>
      <c r="F38" s="94">
        <f>1/2*Superpositioning!$D$20*(B38/1000)^2+Superpositioning!$D$4*((B38-B$14)/1000)+Superpositioning!$D$13*((B38-B$25)/1000)+Superpositioning!$D$7*((B38-B$31)/1000)+Superpositioning!$D$23*((B38-B$25)/1000)</f>
        <v>26.275761871200512</v>
      </c>
      <c r="G38" s="95">
        <f>'Aileron torsion'!$B$11*$B38/1000+'Aileron torsion'!$B$12+'Aileron torsion'!$B$13</f>
        <v>8.563207049999999E-2</v>
      </c>
      <c r="H38" s="93">
        <f>Superpositioning!$C$21*$B38/1000+Superpositioning!$C$5+Superpositioning!$C$8+Superpositioning!$C$14+Superpositioning!$C$24</f>
        <v>176.56691872192349</v>
      </c>
      <c r="I38" s="94">
        <f>Superpositioning!$D$21*$B38/1000+Superpositioning!$D$5+Superpositioning!$D$8+Superpositioning!$D$14+Superpositioning!$D$24</f>
        <v>-32.307387111413185</v>
      </c>
      <c r="J38" s="94">
        <f>1/2*Superpositioning!$C$21*(B38/1000)^2+Superpositioning!$C$5*((B38-B$14)/1000)+Superpositioning!$C$14*((B38-B$25)/1000)+Superpositioning!$C$8*((B38-B$31)/1000)+Superpositioning!$C$24*((B38-B$37)/1000)</f>
        <v>-135.56767611533056</v>
      </c>
      <c r="K38" s="94">
        <f>1/2*Superpositioning!$D$21*(B38/1000)^2+Superpositioning!$D$5*((B38-B$14)/1000)+Superpositioning!$D$14*((B38-B$25)/1000)+Superpositioning!$D$8*((B38-B$31)/1000)+Superpositioning!$D$24*((B38-B$37)/1000)</f>
        <v>25.431229383490631</v>
      </c>
      <c r="L38" s="95">
        <f>'Aileron torsion'!$B$16*$B38/1000+'Aileron torsion'!$B$17+'Aileron torsion'!$B$18</f>
        <v>7.696559513767065E-2</v>
      </c>
      <c r="M38" s="93">
        <f>Superpositioning!$C$22*$B38/1000+Superpositioning!$C$6+Superpositioning!$C$9+Superpositioning!$C$15+Superpositioning!$C$25</f>
        <v>-186.28293921205179</v>
      </c>
      <c r="N38" s="94">
        <f>Superpositioning!$D$22*$B38/1000+Superpositioning!$D$6+Superpositioning!$D$9+Superpositioning!$D$15+Superpositioning!$D$25</f>
        <v>-27.56856728720388</v>
      </c>
      <c r="O38" s="94">
        <f>1/2*Superpositioning!$C$22*(B38/1000)^2+Superpositioning!$C$6*((B38-B$14)/1000)+Superpositioning!$C$15*((B38-B$25)/1000)+Superpositioning!$C$9*((B38-B$31)/1000)+Superpositioning!$C$25*((B38-B$37)/1000)</f>
        <v>143.00917620871994</v>
      </c>
      <c r="P38" s="94">
        <f>1/2*Superpositioning!$D$22*(B38/1000)^2+Superpositioning!$D$6*((B38-B$14)/1000)+Superpositioning!$D$15*((B38-B$25)/1000)+Superpositioning!$D$9*((B38-B$31)/1000)+Superpositioning!$D$25*((B38-B$37)/1000)</f>
        <v>21.801767280128736</v>
      </c>
      <c r="Q38" s="95">
        <f>'Aileron torsion'!$B$21*$B38/1000+'Aileron torsion'!$B$22+'Aileron torsion'!$B$23</f>
        <v>7.696559513767065E-2</v>
      </c>
    </row>
    <row r="39" spans="1:17" x14ac:dyDescent="0.25">
      <c r="A39">
        <v>2</v>
      </c>
      <c r="B39" s="92">
        <f>B38+('Aileron shear'!$B$6-Input!$C$7*10/2)/10</f>
        <v>860.20000000000016</v>
      </c>
      <c r="C39" s="93">
        <f>Superpositioning!$C$20*$B39/1000+Superpositioning!$C$4+Superpositioning!$C$7+Superpositioning!$C$13+Superpositioning!$C$23</f>
        <v>-5.405031625506787</v>
      </c>
      <c r="D39" s="94">
        <f>Superpositioning!$D$20*$B39/1000+Superpositioning!$D$4+Superpositioning!$D$7+Superpositioning!$D$13+Superpositioning!$D$23</f>
        <v>-33.539672525852637</v>
      </c>
      <c r="E39" s="94">
        <f>1/2*Superpositioning!$C$20*(B39/1000)^2+Superpositioning!$C$4*((B39-B$14)/1000)+Superpositioning!$C$13*((B39-B$25)/1000)+Superpositioning!$C$7*((B39-B$31)/1000)+Superpositioning!$C$23*((B39-B$37)/1000)</f>
        <v>3.6797455306450351</v>
      </c>
      <c r="F39" s="94">
        <f>1/2*Superpositioning!$D$20*(B39/1000)^2+Superpositioning!$D$4*((B39-B$14)/1000)+Superpositioning!$D$13*((B39-B$25)/1000)+Superpositioning!$D$7*((B39-B$31)/1000)+Superpositioning!$D$23*((B39-B$25)/1000)</f>
        <v>23.43134866280046</v>
      </c>
      <c r="G39" s="95">
        <f>'Aileron torsion'!$B$11*$B39/1000+'Aileron torsion'!$B$12+'Aileron torsion'!$B$13</f>
        <v>7.7675645999999876E-2</v>
      </c>
      <c r="H39" s="93">
        <f>Superpositioning!$C$21*$B39/1000+Superpositioning!$C$5+Superpositioning!$C$8+Superpositioning!$C$14+Superpositioning!$C$24</f>
        <v>176.66801631416715</v>
      </c>
      <c r="I39" s="94">
        <f>Superpositioning!$D$21*$B39/1000+Superpositioning!$D$5+Superpositioning!$D$8+Superpositioning!$D$14+Superpositioning!$D$24</f>
        <v>-32.514667893164749</v>
      </c>
      <c r="J39" s="94">
        <f>1/2*Superpositioning!$C$21*(B39/1000)^2+Superpositioning!$C$5*((B39-B$14)/1000)+Superpositioning!$C$14*((B39-B$25)/1000)+Superpositioning!$C$8*((B39-B$31)/1000)+Superpositioning!$C$24*((B39-B$37)/1000)</f>
        <v>-120.53752962954493</v>
      </c>
      <c r="K39" s="94">
        <f>1/2*Superpositioning!$D$21*(B39/1000)^2+Superpositioning!$D$5*((B39-B$14)/1000)+Superpositioning!$D$14*((B39-B$25)/1000)+Superpositioning!$D$8*((B39-B$31)/1000)+Superpositioning!$D$24*((B39-B$37)/1000)</f>
        <v>22.673050943045833</v>
      </c>
      <c r="L39" s="95">
        <f>'Aileron torsion'!$B$16*$B39/1000+'Aileron torsion'!$B$17+'Aileron torsion'!$B$18</f>
        <v>6.9814408167241826E-2</v>
      </c>
      <c r="M39" s="93">
        <f>Superpositioning!$C$22*$B39/1000+Superpositioning!$C$6+Superpositioning!$C$9+Superpositioning!$C$15+Superpositioning!$C$25</f>
        <v>-186.38403680429545</v>
      </c>
      <c r="N39" s="94">
        <f>Superpositioning!$D$22*$B39/1000+Superpositioning!$D$6+Superpositioning!$D$9+Superpositioning!$D$15+Superpositioning!$D$25</f>
        <v>-27.775848068955444</v>
      </c>
      <c r="O39" s="94">
        <f>1/2*Superpositioning!$C$22*(B39/1000)^2+Superpositioning!$C$6*((B39-B$14)/1000)+Superpositioning!$C$15*((B39-B$25)/1000)+Superpositioning!$C$9*((B39-B$31)/1000)+Superpositioning!$C$25*((B39-B$37)/1000)</f>
        <v>127.15219637922442</v>
      </c>
      <c r="P39" s="94">
        <f>1/2*Superpositioning!$D$22*(B39/1000)^2+Superpositioning!$D$6*((B39-B$14)/1000)+Superpositioning!$D$15*((B39-B$25)/1000)+Superpositioning!$D$9*((B39-B$31)/1000)+Superpositioning!$D$25*((B39-B$37)/1000)</f>
        <v>19.446862406724165</v>
      </c>
      <c r="Q39" s="95">
        <f>'Aileron torsion'!$B$21*$B39/1000+'Aileron torsion'!$B$22+'Aileron torsion'!$B$23</f>
        <v>6.9814408167241826E-2</v>
      </c>
    </row>
    <row r="40" spans="1:17" x14ac:dyDescent="0.25">
      <c r="A40">
        <v>3</v>
      </c>
      <c r="B40" s="92">
        <f>B39+('Aileron shear'!$B$6-Input!$C$7*10/2)/10</f>
        <v>945.30000000000018</v>
      </c>
      <c r="C40" s="93">
        <f>Superpositioning!$C$20*$B40/1000+Superpositioning!$C$4+Superpositioning!$C$7+Superpositioning!$C$13+Superpositioning!$C$23</f>
        <v>-5.405031625506787</v>
      </c>
      <c r="D40" s="94">
        <f>Superpositioning!$D$20*$B40/1000+Superpositioning!$D$4+Superpositioning!$D$7+Superpositioning!$D$13+Superpositioning!$D$23</f>
        <v>-33.770293525852637</v>
      </c>
      <c r="E40" s="94">
        <f>1/2*Superpositioning!$C$20*(B40/1000)^2+Superpositioning!$C$4*((B40-B$14)/1000)+Superpositioning!$C$13*((B40-B$25)/1000)+Superpositioning!$C$7*((B40-B$31)/1000)+Superpositioning!$C$23*((B40-B$37)/1000)</f>
        <v>3.2197773393144047</v>
      </c>
      <c r="F40" s="94">
        <f>1/2*Superpositioning!$D$20*(B40/1000)^2+Superpositioning!$D$4*((B40-B$14)/1000)+Superpositioning!$D$13*((B40-B$25)/1000)+Superpositioning!$D$7*((B40-B$31)/1000)+Superpositioning!$D$23*((B40-B$25)/1000)</f>
        <v>20.567309607300395</v>
      </c>
      <c r="G40" s="95">
        <f>'Aileron torsion'!$B$11*$B40/1000+'Aileron torsion'!$B$12+'Aileron torsion'!$B$13</f>
        <v>6.9719221499999762E-2</v>
      </c>
      <c r="H40" s="93">
        <f>Superpositioning!$C$21*$B40/1000+Superpositioning!$C$5+Superpositioning!$C$8+Superpositioning!$C$14+Superpositioning!$C$24</f>
        <v>176.76911390641081</v>
      </c>
      <c r="I40" s="94">
        <f>Superpositioning!$D$21*$B40/1000+Superpositioning!$D$5+Superpositioning!$D$8+Superpositioning!$D$14+Superpositioning!$D$24</f>
        <v>-32.721948674916312</v>
      </c>
      <c r="J40" s="94">
        <f>1/2*Superpositioning!$C$21*(B40/1000)^2+Superpositioning!$C$5*((B40-B$14)/1000)+Superpositioning!$C$14*((B40-B$25)/1000)+Superpositioning!$C$8*((B40-B$31)/1000)+Superpositioning!$C$24*((B40-B$37)/1000)</f>
        <v>-105.49877973865928</v>
      </c>
      <c r="K40" s="94">
        <f>1/2*Superpositioning!$D$21*(B40/1000)^2+Superpositioning!$D$5*((B40-B$14)/1000)+Superpositioning!$D$14*((B40-B$25)/1000)+Superpositioning!$D$8*((B40-B$31)/1000)+Superpositioning!$D$24*((B40-B$37)/1000)</f>
        <v>19.897232908073992</v>
      </c>
      <c r="L40" s="95">
        <f>'Aileron torsion'!$B$16*$B40/1000+'Aileron torsion'!$B$17+'Aileron torsion'!$B$18</f>
        <v>6.2663221196813002E-2</v>
      </c>
      <c r="M40" s="93">
        <f>Superpositioning!$C$22*$B40/1000+Superpositioning!$C$6+Superpositioning!$C$9+Superpositioning!$C$15+Superpositioning!$C$25</f>
        <v>-186.48513439653911</v>
      </c>
      <c r="N40" s="94">
        <f>Superpositioning!$D$22*$B40/1000+Superpositioning!$D$6+Superpositioning!$D$9+Superpositioning!$D$15+Superpositioning!$D$25</f>
        <v>-27.983128850707008</v>
      </c>
      <c r="O40" s="94">
        <f>1/2*Superpositioning!$C$22*(B40/1000)^2+Superpositioning!$C$6*((B40-B$14)/1000)+Superpositioning!$C$15*((B40-B$25)/1000)+Superpositioning!$C$9*((B40-B$31)/1000)+Superpositioning!$C$25*((B40-B$37)/1000)</f>
        <v>111.28661314462884</v>
      </c>
      <c r="P40" s="94">
        <f>1/2*Superpositioning!$D$22*(B40/1000)^2+Superpositioning!$D$6*((B40-B$14)/1000)+Superpositioning!$D$15*((B40-B$25)/1000)+Superpositioning!$D$9*((B40-B$31)/1000)+Superpositioning!$D$25*((B40-B$37)/1000)</f>
        <v>17.074317938792529</v>
      </c>
      <c r="Q40" s="95">
        <f>'Aileron torsion'!$B$21*$B40/1000+'Aileron torsion'!$B$22+'Aileron torsion'!$B$23</f>
        <v>6.2663221196813002E-2</v>
      </c>
    </row>
    <row r="41" spans="1:17" x14ac:dyDescent="0.25">
      <c r="A41">
        <v>4</v>
      </c>
      <c r="B41" s="92">
        <f>B40+('Aileron shear'!$B$6-Input!$C$7*10/2)/10</f>
        <v>1030.4000000000001</v>
      </c>
      <c r="C41" s="93">
        <f>Superpositioning!$C$20*$B41/1000+Superpositioning!$C$4+Superpositioning!$C$7+Superpositioning!$C$13+Superpositioning!$C$23</f>
        <v>-5.405031625506787</v>
      </c>
      <c r="D41" s="94">
        <f>Superpositioning!$D$20*$B41/1000+Superpositioning!$D$4+Superpositioning!$D$7+Superpositioning!$D$13+Superpositioning!$D$23</f>
        <v>-34.000914525852636</v>
      </c>
      <c r="E41" s="94">
        <f>1/2*Superpositioning!$C$20*(B41/1000)^2+Superpositioning!$C$4*((B41-B$14)/1000)+Superpositioning!$C$13*((B41-B$25)/1000)+Superpositioning!$C$7*((B41-B$31)/1000)+Superpositioning!$C$23*((B41-B$37)/1000)</f>
        <v>2.7598091479837787</v>
      </c>
      <c r="F41" s="94">
        <f>1/2*Superpositioning!$D$20*(B41/1000)^2+Superpositioning!$D$4*((B41-B$14)/1000)+Superpositioning!$D$13*((B41-B$25)/1000)+Superpositioning!$D$7*((B41-B$31)/1000)+Superpositioning!$D$23*((B41-B$25)/1000)</f>
        <v>17.683644704700349</v>
      </c>
      <c r="G41" s="95">
        <f>'Aileron torsion'!$B$11*$B41/1000+'Aileron torsion'!$B$12+'Aileron torsion'!$B$13</f>
        <v>6.1762796999999647E-2</v>
      </c>
      <c r="H41" s="93">
        <f>Superpositioning!$C$21*$B41/1000+Superpositioning!$C$5+Superpositioning!$C$8+Superpositioning!$C$14+Superpositioning!$C$24</f>
        <v>176.87021149865441</v>
      </c>
      <c r="I41" s="94">
        <f>Superpositioning!$D$21*$B41/1000+Superpositioning!$D$5+Superpositioning!$D$8+Superpositioning!$D$14+Superpositioning!$D$24</f>
        <v>-32.929229456667876</v>
      </c>
      <c r="J41" s="94">
        <f>1/2*Superpositioning!$C$21*(B41/1000)^2+Superpositioning!$C$5*((B41-B$14)/1000)+Superpositioning!$C$14*((B41-B$25)/1000)+Superpositioning!$C$8*((B41-B$31)/1000)+Superpositioning!$C$24*((B41-B$37)/1000)</f>
        <v>-90.451426442673778</v>
      </c>
      <c r="K41" s="94">
        <f>1/2*Superpositioning!$D$21*(B41/1000)^2+Superpositioning!$D$5*((B41-B$14)/1000)+Superpositioning!$D$14*((B41-B$25)/1000)+Superpositioning!$D$8*((B41-B$31)/1000)+Superpositioning!$D$24*((B41-B$37)/1000)</f>
        <v>17.103775278575082</v>
      </c>
      <c r="L41" s="95">
        <f>'Aileron torsion'!$B$16*$B41/1000+'Aileron torsion'!$B$17+'Aileron torsion'!$B$18</f>
        <v>5.5512034226384177E-2</v>
      </c>
      <c r="M41" s="93">
        <f>Superpositioning!$C$22*$B41/1000+Superpositioning!$C$6+Superpositioning!$C$9+Superpositioning!$C$15+Superpositioning!$C$25</f>
        <v>-186.58623198878271</v>
      </c>
      <c r="N41" s="94">
        <f>Superpositioning!$D$22*$B41/1000+Superpositioning!$D$6+Superpositioning!$D$9+Superpositioning!$D$15+Superpositioning!$D$25</f>
        <v>-28.190409632458572</v>
      </c>
      <c r="O41" s="94">
        <f>1/2*Superpositioning!$C$22*(B41/1000)^2+Superpositioning!$C$6*((B41-B$14)/1000)+Superpositioning!$C$15*((B41-B$25)/1000)+Superpositioning!$C$9*((B41-B$31)/1000)+Superpositioning!$C$25*((B41-B$37)/1000)</f>
        <v>95.412426504933421</v>
      </c>
      <c r="P41" s="94">
        <f>1/2*Superpositioning!$D$22*(B41/1000)^2+Superpositioning!$D$6*((B41-B$14)/1000)+Superpositioning!$D$15*((B41-B$25)/1000)+Superpositioning!$D$9*((B41-B$31)/1000)+Superpositioning!$D$25*((B41-B$37)/1000)</f>
        <v>14.684133876333828</v>
      </c>
      <c r="Q41" s="95">
        <f>'Aileron torsion'!$B$21*$B41/1000+'Aileron torsion'!$B$22+'Aileron torsion'!$B$23</f>
        <v>5.5512034226384177E-2</v>
      </c>
    </row>
    <row r="42" spans="1:17" x14ac:dyDescent="0.25">
      <c r="A42">
        <v>5</v>
      </c>
      <c r="B42" s="92">
        <f>B41+('Aileron shear'!$B$6-Input!$C$7*10/2)/10</f>
        <v>1115.5</v>
      </c>
      <c r="C42" s="93">
        <f>Superpositioning!$C$20*$B42/1000+Superpositioning!$C$4+Superpositioning!$C$7+Superpositioning!$C$13+Superpositioning!$C$23</f>
        <v>-5.405031625506787</v>
      </c>
      <c r="D42" s="94">
        <f>Superpositioning!$D$20*$B42/1000+Superpositioning!$D$4+Superpositioning!$D$7+Superpositioning!$D$13+Superpositioning!$D$23</f>
        <v>-34.231535525852635</v>
      </c>
      <c r="E42" s="94">
        <f>1/2*Superpositioning!$C$20*(B42/1000)^2+Superpositioning!$C$4*((B42-B$14)/1000)+Superpositioning!$C$13*((B42-B$25)/1000)+Superpositioning!$C$7*((B42-B$31)/1000)+Superpositioning!$C$23*((B42-B$37)/1000)</f>
        <v>2.2998409566531528</v>
      </c>
      <c r="F42" s="94">
        <f>1/2*Superpositioning!$D$20*(B42/1000)^2+Superpositioning!$D$4*((B42-B$14)/1000)+Superpositioning!$D$13*((B42-B$25)/1000)+Superpositioning!$D$7*((B42-B$31)/1000)+Superpositioning!$D$23*((B42-B$25)/1000)</f>
        <v>14.78035395500028</v>
      </c>
      <c r="G42" s="95">
        <f>'Aileron torsion'!$B$11*$B42/1000+'Aileron torsion'!$B$12+'Aileron torsion'!$B$13</f>
        <v>5.3806372499999977E-2</v>
      </c>
      <c r="H42" s="93">
        <f>Superpositioning!$C$21*$B42/1000+Superpositioning!$C$5+Superpositioning!$C$8+Superpositioning!$C$14+Superpositioning!$C$24</f>
        <v>176.97130909089807</v>
      </c>
      <c r="I42" s="94">
        <f>Superpositioning!$D$21*$B42/1000+Superpositioning!$D$5+Superpositioning!$D$8+Superpositioning!$D$14+Superpositioning!$D$24</f>
        <v>-33.136510238419426</v>
      </c>
      <c r="J42" s="94">
        <f>1/2*Superpositioning!$C$21*(B42/1000)^2+Superpositioning!$C$5*((B42-B$14)/1000)+Superpositioning!$C$14*((B42-B$25)/1000)+Superpositioning!$C$8*((B42-B$31)/1000)+Superpositioning!$C$24*((B42-B$37)/1000)</f>
        <v>-75.395469741588329</v>
      </c>
      <c r="K42" s="94">
        <f>1/2*Superpositioning!$D$21*(B42/1000)^2+Superpositioning!$D$5*((B42-B$14)/1000)+Superpositioning!$D$14*((B42-B$25)/1000)+Superpositioning!$D$8*((B42-B$31)/1000)+Superpositioning!$D$24*((B42-B$37)/1000)</f>
        <v>14.292678054549132</v>
      </c>
      <c r="L42" s="95">
        <f>'Aileron torsion'!$B$16*$B42/1000+'Aileron torsion'!$B$17+'Aileron torsion'!$B$18</f>
        <v>4.8360847255955353E-2</v>
      </c>
      <c r="M42" s="93">
        <f>Superpositioning!$C$22*$B42/1000+Superpositioning!$C$6+Superpositioning!$C$9+Superpositioning!$C$15+Superpositioning!$C$25</f>
        <v>-186.68732958102638</v>
      </c>
      <c r="N42" s="94">
        <f>Superpositioning!$D$22*$B42/1000+Superpositioning!$D$6+Superpositioning!$D$9+Superpositioning!$D$15+Superpositioning!$D$25</f>
        <v>-28.397690414210121</v>
      </c>
      <c r="O42" s="94">
        <f>1/2*Superpositioning!$C$22*(B42/1000)^2+Superpositioning!$C$6*((B42-B$14)/1000)+Superpositioning!$C$15*((B42-B$25)/1000)+Superpositioning!$C$9*((B42-B$31)/1000)+Superpositioning!$C$25*((B42-B$37)/1000)</f>
        <v>79.529636460138136</v>
      </c>
      <c r="P42" s="94">
        <f>1/2*Superpositioning!$D$22*(B42/1000)^2+Superpositioning!$D$6*((B42-B$14)/1000)+Superpositioning!$D$15*((B42-B$25)/1000)+Superpositioning!$D$9*((B42-B$31)/1000)+Superpositioning!$D$25*((B42-B$37)/1000)</f>
        <v>12.27631021934808</v>
      </c>
      <c r="Q42" s="95">
        <f>'Aileron torsion'!$B$21*$B42/1000+'Aileron torsion'!$B$22+'Aileron torsion'!$B$23</f>
        <v>4.8360847255955353E-2</v>
      </c>
    </row>
    <row r="43" spans="1:17" x14ac:dyDescent="0.25">
      <c r="A43">
        <v>6</v>
      </c>
      <c r="B43" s="92">
        <f>B42+('Aileron shear'!$B$6-Input!$C$7*10/2)/10</f>
        <v>1200.5999999999999</v>
      </c>
      <c r="C43" s="93">
        <f>Superpositioning!$C$20*$B43/1000+Superpositioning!$C$4+Superpositioning!$C$7+Superpositioning!$C$13+Superpositioning!$C$23</f>
        <v>-5.405031625506787</v>
      </c>
      <c r="D43" s="94">
        <f>Superpositioning!$D$20*$B43/1000+Superpositioning!$D$4+Superpositioning!$D$7+Superpositioning!$D$13+Superpositioning!$D$23</f>
        <v>-34.462156525852635</v>
      </c>
      <c r="E43" s="94">
        <f>1/2*Superpositioning!$C$20*(B43/1000)^2+Superpositioning!$C$4*((B43-B$14)/1000)+Superpositioning!$C$13*((B43-B$25)/1000)+Superpositioning!$C$7*((B43-B$31)/1000)+Superpositioning!$C$23*((B43-B$37)/1000)</f>
        <v>1.8398727653225286</v>
      </c>
      <c r="F43" s="94">
        <f>1/2*Superpositioning!$D$20*(B43/1000)^2+Superpositioning!$D$4*((B43-B$14)/1000)+Superpositioning!$D$13*((B43-B$25)/1000)+Superpositioning!$D$7*((B43-B$31)/1000)+Superpositioning!$D$23*((B43-B$25)/1000)</f>
        <v>11.857437358200215</v>
      </c>
      <c r="G43" s="95">
        <f>'Aileron torsion'!$B$11*$B43/1000+'Aileron torsion'!$B$12+'Aileron torsion'!$B$13</f>
        <v>4.5849947999999863E-2</v>
      </c>
      <c r="H43" s="93">
        <f>Superpositioning!$C$21*$B43/1000+Superpositioning!$C$5+Superpositioning!$C$8+Superpositioning!$C$14+Superpositioning!$C$24</f>
        <v>177.07240668314174</v>
      </c>
      <c r="I43" s="94">
        <f>Superpositioning!$D$21*$B43/1000+Superpositioning!$D$5+Superpositioning!$D$8+Superpositioning!$D$14+Superpositioning!$D$24</f>
        <v>-33.34379102017099</v>
      </c>
      <c r="J43" s="94">
        <f>1/2*Superpositioning!$C$21*(B43/1000)^2+Superpositioning!$C$5*((B43-B$14)/1000)+Superpositioning!$C$14*((B43-B$25)/1000)+Superpositioning!$C$8*((B43-B$31)/1000)+Superpositioning!$C$24*((B43-B$37)/1000)</f>
        <v>-60.330909635402932</v>
      </c>
      <c r="K43" s="94">
        <f>1/2*Superpositioning!$D$21*(B43/1000)^2+Superpositioning!$D$5*((B43-B$14)/1000)+Superpositioning!$D$14*((B43-B$25)/1000)+Superpositioning!$D$8*((B43-B$31)/1000)+Superpositioning!$D$24*((B43-B$37)/1000)</f>
        <v>11.463941235996103</v>
      </c>
      <c r="L43" s="95">
        <f>'Aileron torsion'!$B$16*$B43/1000+'Aileron torsion'!$B$17+'Aileron torsion'!$B$18</f>
        <v>4.1209660285526528E-2</v>
      </c>
      <c r="M43" s="93">
        <f>Superpositioning!$C$22*$B43/1000+Superpositioning!$C$6+Superpositioning!$C$9+Superpositioning!$C$15+Superpositioning!$C$25</f>
        <v>-186.78842717327004</v>
      </c>
      <c r="N43" s="94">
        <f>Superpositioning!$D$22*$B43/1000+Superpositioning!$D$6+Superpositioning!$D$9+Superpositioning!$D$15+Superpositioning!$D$25</f>
        <v>-28.604971195961685</v>
      </c>
      <c r="O43" s="94">
        <f>1/2*Superpositioning!$C$22*(B43/1000)^2+Superpositioning!$C$6*((B43-B$14)/1000)+Superpositioning!$C$15*((B43-B$25)/1000)+Superpositioning!$C$9*((B43-B$31)/1000)+Superpositioning!$C$25*((B43-B$37)/1000)</f>
        <v>63.638243010242761</v>
      </c>
      <c r="P43" s="94">
        <f>1/2*Superpositioning!$D$22*(B43/1000)^2+Superpositioning!$D$6*((B43-B$14)/1000)+Superpositioning!$D$15*((B43-B$25)/1000)+Superpositioning!$D$9*((B43-B$31)/1000)+Superpositioning!$D$25*((B43-B$37)/1000)</f>
        <v>9.850846967835281</v>
      </c>
      <c r="Q43" s="95">
        <f>'Aileron torsion'!$B$21*$B43/1000+'Aileron torsion'!$B$22+'Aileron torsion'!$B$23</f>
        <v>4.1209660285526528E-2</v>
      </c>
    </row>
    <row r="44" spans="1:17" x14ac:dyDescent="0.25">
      <c r="A44">
        <v>7</v>
      </c>
      <c r="B44" s="92">
        <f>B43+('Aileron shear'!$B$6-Input!$C$7*10/2)/10</f>
        <v>1285.6999999999998</v>
      </c>
      <c r="C44" s="93">
        <f>Superpositioning!$C$20*$B44/1000+Superpositioning!$C$4+Superpositioning!$C$7+Superpositioning!$C$13+Superpositioning!$C$23</f>
        <v>-5.405031625506787</v>
      </c>
      <c r="D44" s="94">
        <f>Superpositioning!$D$20*$B44/1000+Superpositioning!$D$4+Superpositioning!$D$7+Superpositioning!$D$13+Superpositioning!$D$23</f>
        <v>-34.692777525852634</v>
      </c>
      <c r="E44" s="94">
        <f>1/2*Superpositioning!$C$20*(B44/1000)^2+Superpositioning!$C$4*((B44-B$14)/1000)+Superpositioning!$C$13*((B44-B$25)/1000)+Superpositioning!$C$7*((B44-B$31)/1000)+Superpositioning!$C$23*((B44-B$37)/1000)</f>
        <v>1.3799045739919009</v>
      </c>
      <c r="F44" s="94">
        <f>1/2*Superpositioning!$D$20*(B44/1000)^2+Superpositioning!$D$4*((B44-B$14)/1000)+Superpositioning!$D$13*((B44-B$25)/1000)+Superpositioning!$D$7*((B44-B$31)/1000)+Superpositioning!$D$23*((B44-B$25)/1000)</f>
        <v>8.914894914300163</v>
      </c>
      <c r="G44" s="95">
        <f>'Aileron torsion'!$B$11*$B44/1000+'Aileron torsion'!$B$12+'Aileron torsion'!$B$13</f>
        <v>3.7893523499999748E-2</v>
      </c>
      <c r="H44" s="93">
        <f>Superpositioning!$C$21*$B44/1000+Superpositioning!$C$5+Superpositioning!$C$8+Superpositioning!$C$14+Superpositioning!$C$24</f>
        <v>177.17350427538534</v>
      </c>
      <c r="I44" s="94">
        <f>Superpositioning!$D$21*$B44/1000+Superpositioning!$D$5+Superpositioning!$D$8+Superpositioning!$D$14+Superpositioning!$D$24</f>
        <v>-33.551071801922554</v>
      </c>
      <c r="J44" s="94">
        <f>1/2*Superpositioning!$C$21*(B44/1000)^2+Superpositioning!$C$5*((B44-B$14)/1000)+Superpositioning!$C$14*((B44-B$25)/1000)+Superpositioning!$C$8*((B44-B$31)/1000)+Superpositioning!$C$24*((B44-B$37)/1000)</f>
        <v>-45.257746124117624</v>
      </c>
      <c r="K44" s="94">
        <f>1/2*Superpositioning!$D$21*(B44/1000)^2+Superpositioning!$D$5*((B44-B$14)/1000)+Superpositioning!$D$14*((B44-B$25)/1000)+Superpositioning!$D$8*((B44-B$31)/1000)+Superpositioning!$D$24*((B44-B$37)/1000)</f>
        <v>8.6175648229160373</v>
      </c>
      <c r="L44" s="95">
        <f>'Aileron torsion'!$B$16*$B44/1000+'Aileron torsion'!$B$17+'Aileron torsion'!$B$18</f>
        <v>3.4058473315097704E-2</v>
      </c>
      <c r="M44" s="93">
        <f>Superpositioning!$C$22*$B44/1000+Superpositioning!$C$6+Superpositioning!$C$9+Superpositioning!$C$15+Superpositioning!$C$25</f>
        <v>-186.88952476551364</v>
      </c>
      <c r="N44" s="94">
        <f>Superpositioning!$D$22*$B44/1000+Superpositioning!$D$6+Superpositioning!$D$9+Superpositioning!$D$15+Superpositioning!$D$25</f>
        <v>-28.812251977713249</v>
      </c>
      <c r="O44" s="94">
        <f>1/2*Superpositioning!$C$22*(B44/1000)^2+Superpositioning!$C$6*((B44-B$14)/1000)+Superpositioning!$C$15*((B44-B$25)/1000)+Superpositioning!$C$9*((B44-B$31)/1000)+Superpositioning!$C$25*((B44-B$37)/1000)</f>
        <v>47.738246155247658</v>
      </c>
      <c r="P44" s="94">
        <f>1/2*Superpositioning!$D$22*(B44/1000)^2+Superpositioning!$D$6*((B44-B$14)/1000)+Superpositioning!$D$15*((B44-B$25)/1000)+Superpositioning!$D$9*((B44-B$31)/1000)+Superpositioning!$D$25*((B44-B$37)/1000)</f>
        <v>7.4077441217954174</v>
      </c>
      <c r="Q44" s="95">
        <f>'Aileron torsion'!$B$21*$B44/1000+'Aileron torsion'!$B$22+'Aileron torsion'!$B$23</f>
        <v>3.4058473315097704E-2</v>
      </c>
    </row>
    <row r="45" spans="1:17" x14ac:dyDescent="0.25">
      <c r="A45">
        <v>8</v>
      </c>
      <c r="B45" s="92">
        <f>B44+('Aileron shear'!$B$6-Input!$C$7*10/2)/10</f>
        <v>1370.7999999999997</v>
      </c>
      <c r="C45" s="93">
        <f>Superpositioning!$C$20*$B45/1000+Superpositioning!$C$4+Superpositioning!$C$7+Superpositioning!$C$13+Superpositioning!$C$23</f>
        <v>-5.405031625506787</v>
      </c>
      <c r="D45" s="94">
        <f>Superpositioning!$D$20*$B45/1000+Superpositioning!$D$4+Superpositioning!$D$7+Superpositioning!$D$13+Superpositioning!$D$23</f>
        <v>-34.923398525852633</v>
      </c>
      <c r="E45" s="94">
        <f>1/2*Superpositioning!$C$20*(B45/1000)^2+Superpositioning!$C$4*((B45-B$14)/1000)+Superpositioning!$C$13*((B45-B$25)/1000)+Superpositioning!$C$7*((B45-B$31)/1000)+Superpositioning!$C$23*((B45-B$37)/1000)</f>
        <v>0.91993638266127675</v>
      </c>
      <c r="F45" s="94">
        <f>1/2*Superpositioning!$D$20*(B45/1000)^2+Superpositioning!$D$4*((B45-B$14)/1000)+Superpositioning!$D$13*((B45-B$25)/1000)+Superpositioning!$D$7*((B45-B$31)/1000)+Superpositioning!$D$23*((B45-B$25)/1000)</f>
        <v>5.9527266233001086</v>
      </c>
      <c r="G45" s="95">
        <f>'Aileron torsion'!$B$11*$B45/1000+'Aileron torsion'!$B$12+'Aileron torsion'!$B$13</f>
        <v>2.9937099000000078E-2</v>
      </c>
      <c r="H45" s="93">
        <f>Superpositioning!$C$21*$B45/1000+Superpositioning!$C$5+Superpositioning!$C$8+Superpositioning!$C$14+Superpositioning!$C$24</f>
        <v>177.274601867629</v>
      </c>
      <c r="I45" s="94">
        <f>Superpositioning!$D$21*$B45/1000+Superpositioning!$D$5+Superpositioning!$D$8+Superpositioning!$D$14+Superpositioning!$D$24</f>
        <v>-33.758352583674103</v>
      </c>
      <c r="J45" s="94">
        <f>1/2*Superpositioning!$C$21*(B45/1000)^2+Superpositioning!$C$5*((B45-B$14)/1000)+Superpositioning!$C$14*((B45-B$25)/1000)+Superpositioning!$C$8*((B45-B$31)/1000)+Superpositioning!$C$24*((B45-B$37)/1000)</f>
        <v>-30.175979207732301</v>
      </c>
      <c r="K45" s="94">
        <f>1/2*Superpositioning!$D$21*(B45/1000)^2+Superpositioning!$D$5*((B45-B$14)/1000)+Superpositioning!$D$14*((B45-B$25)/1000)+Superpositioning!$D$8*((B45-B$31)/1000)+Superpositioning!$D$24*((B45-B$37)/1000)</f>
        <v>5.7535488153088874</v>
      </c>
      <c r="L45" s="95">
        <f>'Aileron torsion'!$B$16*$B45/1000+'Aileron torsion'!$B$17+'Aileron torsion'!$B$18</f>
        <v>2.6907286344668879E-2</v>
      </c>
      <c r="M45" s="93">
        <f>Superpositioning!$C$22*$B45/1000+Superpositioning!$C$6+Superpositioning!$C$9+Superpositioning!$C$15+Superpositioning!$C$25</f>
        <v>-186.9906223577573</v>
      </c>
      <c r="N45" s="94">
        <f>Superpositioning!$D$22*$B45/1000+Superpositioning!$D$6+Superpositioning!$D$9+Superpositioning!$D$15+Superpositioning!$D$25</f>
        <v>-29.019532759464798</v>
      </c>
      <c r="O45" s="94">
        <f>1/2*Superpositioning!$C$22*(B45/1000)^2+Superpositioning!$C$6*((B45-B$14)/1000)+Superpositioning!$C$15*((B45-B$25)/1000)+Superpositioning!$C$9*((B45-B$31)/1000)+Superpositioning!$C$25*((B45-B$37)/1000)</f>
        <v>31.829645895152478</v>
      </c>
      <c r="P45" s="94">
        <f>1/2*Superpositioning!$D$22*(B45/1000)^2+Superpositioning!$D$6*((B45-B$14)/1000)+Superpositioning!$D$15*((B45-B$25)/1000)+Superpositioning!$D$9*((B45-B$31)/1000)+Superpositioning!$D$25*((B45-B$37)/1000)</f>
        <v>4.9470016812284729</v>
      </c>
      <c r="Q45" s="95">
        <f>'Aileron torsion'!$B$21*$B45/1000+'Aileron torsion'!$B$22+'Aileron torsion'!$B$23</f>
        <v>2.6907286344668879E-2</v>
      </c>
    </row>
    <row r="46" spans="1:17" x14ac:dyDescent="0.25">
      <c r="A46">
        <v>9</v>
      </c>
      <c r="B46" s="92">
        <f>B45+('Aileron shear'!$B$6-Input!$C$7*10/2)/10</f>
        <v>1455.8999999999996</v>
      </c>
      <c r="C46" s="93">
        <f>Superpositioning!$C$20*$B46/1000+Superpositioning!$C$4+Superpositioning!$C$7+Superpositioning!$C$13+Superpositioning!$C$23</f>
        <v>-5.405031625506787</v>
      </c>
      <c r="D46" s="94">
        <f>Superpositioning!$D$20*$B46/1000+Superpositioning!$D$4+Superpositioning!$D$7+Superpositioning!$D$13+Superpositioning!$D$23</f>
        <v>-35.154019525852632</v>
      </c>
      <c r="E46" s="94">
        <f>1/2*Superpositioning!$C$20*(B46/1000)^2+Superpositioning!$C$4*((B46-B$14)/1000)+Superpositioning!$C$13*((B46-B$25)/1000)+Superpositioning!$C$7*((B46-B$31)/1000)+Superpositioning!$C$23*((B46-B$37)/1000)</f>
        <v>0.45996819133064193</v>
      </c>
      <c r="F46" s="94">
        <f>1/2*Superpositioning!$D$20*(B46/1000)^2+Superpositioning!$D$4*((B46-B$14)/1000)+Superpositioning!$D$13*((B46-B$25)/1000)+Superpositioning!$D$7*((B46-B$31)/1000)+Superpositioning!$D$23*((B46-B$25)/1000)</f>
        <v>2.9709324852000805</v>
      </c>
      <c r="G46" s="95">
        <f>'Aileron torsion'!$B$11*$B46/1000+'Aileron torsion'!$B$12+'Aileron torsion'!$B$13</f>
        <v>2.1980674499999964E-2</v>
      </c>
      <c r="H46" s="93">
        <f>Superpositioning!$C$21*$B46/1000+Superpositioning!$C$5+Superpositioning!$C$8+Superpositioning!$C$14+Superpositioning!$C$24</f>
        <v>177.37569945987266</v>
      </c>
      <c r="I46" s="94">
        <f>Superpositioning!$D$21*$B46/1000+Superpositioning!$D$5+Superpositioning!$D$8+Superpositioning!$D$14+Superpositioning!$D$24</f>
        <v>-33.965633365425667</v>
      </c>
      <c r="J46" s="94">
        <f>1/2*Superpositioning!$C$21*(B46/1000)^2+Superpositioning!$C$5*((B46-B$14)/1000)+Superpositioning!$C$14*((B46-B$25)/1000)+Superpositioning!$C$8*((B46-B$31)/1000)+Superpositioning!$C$24*((B46-B$37)/1000)</f>
        <v>-15.085608886247297</v>
      </c>
      <c r="K46" s="94">
        <f>1/2*Superpositioning!$D$21*(B46/1000)^2+Superpositioning!$D$5*((B46-B$14)/1000)+Superpositioning!$D$14*((B46-B$25)/1000)+Superpositioning!$D$8*((B46-B$31)/1000)+Superpositioning!$D$24*((B46-B$37)/1000)</f>
        <v>2.8718932131746993</v>
      </c>
      <c r="L46" s="95">
        <f>'Aileron torsion'!$B$16*$B46/1000+'Aileron torsion'!$B$17+'Aileron torsion'!$B$18</f>
        <v>1.9756099374240055E-2</v>
      </c>
      <c r="M46" s="93">
        <f>Superpositioning!$C$22*$B46/1000+Superpositioning!$C$6+Superpositioning!$C$9+Superpositioning!$C$15+Superpositioning!$C$25</f>
        <v>-187.09171995000096</v>
      </c>
      <c r="N46" s="94">
        <f>Superpositioning!$D$22*$B46/1000+Superpositioning!$D$6+Superpositioning!$D$9+Superpositioning!$D$15+Superpositioning!$D$25</f>
        <v>-29.226813541216362</v>
      </c>
      <c r="O46" s="94">
        <f>1/2*Superpositioning!$C$22*(B46/1000)^2+Superpositioning!$C$6*((B46-B$14)/1000)+Superpositioning!$C$15*((B46-B$25)/1000)+Superpositioning!$C$9*((B46-B$31)/1000)+Superpositioning!$C$25*((B46-B$37)/1000)</f>
        <v>15.912442229957396</v>
      </c>
      <c r="P46" s="94">
        <f>1/2*Superpositioning!$D$22*(B46/1000)^2+Superpositioning!$D$6*((B46-B$14)/1000)+Superpositioning!$D$15*((B46-B$25)/1000)+Superpositioning!$D$9*((B46-B$31)/1000)+Superpositioning!$D$25*((B46-B$37)/1000)</f>
        <v>2.4686196461345151</v>
      </c>
      <c r="Q46" s="95">
        <f>'Aileron torsion'!$B$21*$B46/1000+'Aileron torsion'!$B$22+'Aileron torsion'!$B$23</f>
        <v>1.9756099374240055E-2</v>
      </c>
    </row>
    <row r="47" spans="1:17" x14ac:dyDescent="0.25">
      <c r="A47">
        <v>10</v>
      </c>
      <c r="B47" s="92">
        <f>B46+('Aileron shear'!$B$6-Input!$C$7*10/2)/10</f>
        <v>1540.9999999999995</v>
      </c>
      <c r="C47" s="93">
        <f>Superpositioning!$C$20*$B47/1000+Superpositioning!$C$4+Superpositioning!$C$7+Superpositioning!$C$13+Superpositioning!$C$23</f>
        <v>-5.405031625506787</v>
      </c>
      <c r="D47" s="94">
        <f>Superpositioning!$D$20*$B47/1000+Superpositioning!$D$4+Superpositioning!$D$7+Superpositioning!$D$13+Superpositioning!$D$23</f>
        <v>-35.384640525852632</v>
      </c>
      <c r="E47" s="94">
        <f>1/2*Superpositioning!$C$20*(B47/1000)^2+Superpositioning!$C$4*((B47-B$14)/1000)+Superpositioning!$C$13*((B47-B$25)/1000)+Superpositioning!$C$7*((B47-B$31)/1000)+Superpositioning!$C$23*((B47-B$37)/1000)</f>
        <v>0</v>
      </c>
      <c r="F47" s="94">
        <f>1/2*Superpositioning!$D$20*(B47/1000)^2+Superpositioning!$D$4*((B47-B$14)/1000)+Superpositioning!$D$13*((B47-B$25)/1000)+Superpositioning!$D$7*((B47-B$31)/1000)+Superpositioning!$D$23*((B47-B$25)/1000)</f>
        <v>-3.0487500000020873E-2</v>
      </c>
      <c r="G47" s="95">
        <f>'Aileron torsion'!$B$11*$B47/1000+'Aileron torsion'!$B$12+'Aileron torsion'!$B$13</f>
        <v>1.4024249999999849E-2</v>
      </c>
      <c r="H47" s="93">
        <f>Superpositioning!$C$21*$B47/1000+Superpositioning!$C$5+Superpositioning!$C$8+Superpositioning!$C$14+Superpositioning!$C$24</f>
        <v>177.47679705211627</v>
      </c>
      <c r="I47" s="94">
        <f>Superpositioning!$D$21*$B47/1000+Superpositioning!$D$5+Superpositioning!$D$8+Superpositioning!$D$14+Superpositioning!$D$24</f>
        <v>-34.172914147177231</v>
      </c>
      <c r="J47" s="94">
        <f>1/2*Superpositioning!$C$21*(B47/1000)^2+Superpositioning!$C$5*((B47-B$14)/1000)+Superpositioning!$C$14*((B47-B$25)/1000)+Superpositioning!$C$8*((B47-B$31)/1000)+Superpositioning!$C$24*((B47-B$37)/1000)</f>
        <v>1.3364840337892758E-2</v>
      </c>
      <c r="K47" s="94">
        <f>1/2*Superpositioning!$D$21*(B47/1000)^2+Superpositioning!$D$5*((B47-B$14)/1000)+Superpositioning!$D$14*((B47-B$25)/1000)+Superpositioning!$D$8*((B47-B$31)/1000)+Superpositioning!$D$24*((B47-B$37)/1000)</f>
        <v>-2.7401983486544879E-2</v>
      </c>
      <c r="L47" s="95">
        <f>'Aileron torsion'!$B$16*$B47/1000+'Aileron torsion'!$B$17+'Aileron torsion'!$B$18</f>
        <v>1.260491240381123E-2</v>
      </c>
      <c r="M47" s="93">
        <f>Superpositioning!$C$22*$B47/1000+Superpositioning!$C$6+Superpositioning!$C$9+Superpositioning!$C$15+Superpositioning!$C$25</f>
        <v>-187.19281754224457</v>
      </c>
      <c r="N47" s="94">
        <f>Superpositioning!$D$22*$B47/1000+Superpositioning!$D$6+Superpositioning!$D$9+Superpositioning!$D$15+Superpositioning!$D$25</f>
        <v>-29.434094322967926</v>
      </c>
      <c r="O47" s="94">
        <f>1/2*Superpositioning!$C$22*(B47/1000)^2+Superpositioning!$C$6*((B47-B$14)/1000)+Superpositioning!$C$15*((B47-B$25)/1000)+Superpositioning!$C$9*((B47-B$31)/1000)+Superpositioning!$C$25*((B47-B$37)/1000)</f>
        <v>-1.3364840337764861E-2</v>
      </c>
      <c r="P47" s="94">
        <f>1/2*Superpositioning!$D$22*(B47/1000)^2+Superpositioning!$D$6*((B47-B$14)/1000)+Superpositioning!$D$15*((B47-B$25)/1000)+Superpositioning!$D$9*((B47-B$31)/1000)+Superpositioning!$D$25*((B47-B$37)/1000)</f>
        <v>-2.7401983486537773E-2</v>
      </c>
      <c r="Q47" s="95">
        <f>'Aileron torsion'!$B$21*$B47/1000+'Aileron torsion'!$B$22+'Aileron torsion'!$B$23</f>
        <v>1.260491240381123E-2</v>
      </c>
    </row>
    <row r="48" spans="1:17" x14ac:dyDescent="0.25">
      <c r="B48" s="72">
        <f>B47</f>
        <v>1540.9999999999995</v>
      </c>
      <c r="C48" s="44">
        <f>Superpositioning!$C$20*$B48/1000+Superpositioning!$C$4+Superpositioning!$C$7+Superpositioning!$C$10+Superpositioning!$C$13+Superpositioning!$C$23</f>
        <v>0</v>
      </c>
      <c r="D48" s="27">
        <f>Superpositioning!$D$20*$B48/1000+Superpositioning!$D$4+Superpositioning!$D$7+Superpositioning!$D$10+Superpositioning!$D$13+Superpositioning!$D$23</f>
        <v>0.4065000000000083</v>
      </c>
      <c r="E48" s="27">
        <f>1/2*Superpositioning!$C$20*(B48/1000)^2+Superpositioning!$C$4*((B48-B$14)/1000)+Superpositioning!$C$13*((B48-B$25)/1000)+Superpositioning!$C$7*((B48-B$31)/1000)+Superpositioning!$C$23*((B48-B$37)/1000)+Superpositioning!$C$10*((B48-B$48)/1000)</f>
        <v>2.1316282072803006E-14</v>
      </c>
      <c r="F48" s="27">
        <f>1/2*Superpositioning!$D$20*(B48/1000)^2+Superpositioning!$D$4*((B48-B$14)/1000)+Superpositioning!$D$13*((B48-B$25)/1000)+Superpositioning!$D$7*((B48-B$31)/1000)+Superpositioning!$D$23*((B48-B$25)/1000)+Superpositioning!$D$10*((B48-B$48)/1000)</f>
        <v>-3.0487500000020873E-2</v>
      </c>
      <c r="G48" s="45">
        <f>'Aileron torsion'!$B$11*$B48/1000+'Aileron torsion'!$B$12+'Aileron torsion'!$B$13</f>
        <v>1.4024249999999849E-2</v>
      </c>
      <c r="H48" s="44">
        <f>Superpositioning!$C$21*$B48/1000+Superpositioning!$C$5+Superpositioning!$C$8+Superpositioning!$C$11+Superpositioning!$C$14+Superpositioning!$C$24</f>
        <v>-0.17819787116965813</v>
      </c>
      <c r="I48" s="27">
        <f>Superpositioning!$D$21*$B48/1000+Superpositioning!$D$5+Superpositioning!$D$8+Superpositioning!$D$11+Superpositioning!$D$14+Superpositioning!$D$24</f>
        <v>0.36535977982060786</v>
      </c>
      <c r="J48" s="27">
        <f>1/2*Superpositioning!$C$21*(B48/1000)^2+Superpositioning!$C$5*((B48-B$14)/1000)+Superpositioning!$C$14*((B48-B$25)/1000)+Superpositioning!$C$8*((B48-B$31)/1000)+Superpositioning!$C$24*((B48-B$37)/1000)+Superpositioning!$C$11*((B48-B$48)/1000)</f>
        <v>1.3364840337892758E-2</v>
      </c>
      <c r="K48" s="27">
        <f>1/2*Superpositioning!$D$21*(B48/1000)^2+Superpositioning!$D$5*((B48-B$14)/1000)+Superpositioning!$D$14*((B48-B$25)/1000)+Superpositioning!$D$8*((B48-B$31)/1000)+Superpositioning!$D$24*((B48-B$37)/1000)+Superpositioning!$D$11*((B48-B$48)/1000)</f>
        <v>-2.7401983486544879E-2</v>
      </c>
      <c r="L48" s="45">
        <f>'Aileron torsion'!$B$16*$B48/1000+'Aileron torsion'!$B$17+'Aileron torsion'!$B$18</f>
        <v>1.260491240381123E-2</v>
      </c>
      <c r="M48" s="44">
        <f>Superpositioning!$C$22*$B48/1000+Superpositioning!$C$6+Superpositioning!$C$9+Superpositioning!$C$12+Superpositioning!$C$15+Superpositioning!$C$25</f>
        <v>0.17819787116977182</v>
      </c>
      <c r="N48" s="27">
        <f>Superpositioning!$D$22*$B48/1000+Superpositioning!$D$6+Superpositioning!$D$9+Superpositioning!$D$12+Superpositioning!$D$15+Superpositioning!$D$25</f>
        <v>0.36535977982062207</v>
      </c>
      <c r="O48" s="27">
        <f>1/2*Superpositioning!$C$22*(B48/1000)^2+Superpositioning!$C$6*((B48-B$14)/1000)+Superpositioning!$C$15*((B48-B$25)/1000)+Superpositioning!$C$9*((B48-B$31)/1000)+Superpositioning!$C$25*((B48-B$37)/1000)+Superpositioning!$C$12*((B48-B$48)/1000)</f>
        <v>-1.3364840337764861E-2</v>
      </c>
      <c r="P48" s="27">
        <f>1/2*Superpositioning!$D$22*(B48/1000)^2+Superpositioning!$D$6*((B48-B$14)/1000)+Superpositioning!$D$15*((B48-B$25)/1000)+Superpositioning!$D$9*((B48-B$31)/1000)+Superpositioning!$D$25*((B48-B$37)/1000)+Superpositioning!$D$12*((B48-B$48)/1000)</f>
        <v>-2.7401983486537773E-2</v>
      </c>
      <c r="Q48" s="45">
        <f>'Aileron torsion'!$B$21*$B48/1000+'Aileron torsion'!$B$22+'Aileron torsion'!$B$23</f>
        <v>1.260491240381123E-2</v>
      </c>
    </row>
    <row r="49" spans="1:17" x14ac:dyDescent="0.25">
      <c r="A49">
        <v>1</v>
      </c>
      <c r="B49" s="72">
        <f>B48+'Aileron shear'!$B$7/5</f>
        <v>1570.9999999999995</v>
      </c>
      <c r="C49" s="44">
        <f>Superpositioning!$C$20*$B49/1000+Superpositioning!$C$4+Superpositioning!$C$7+Superpositioning!$C$10+Superpositioning!$C$13+Superpositioning!$C$23</f>
        <v>0</v>
      </c>
      <c r="D49" s="27">
        <f>Superpositioning!$D$20*$B49/1000+Superpositioning!$D$4+Superpositioning!$D$7+Superpositioning!$D$10+Superpositioning!$D$13+Superpositioning!$D$23</f>
        <v>0.32520000000000948</v>
      </c>
      <c r="E49" s="27">
        <f>1/2*Superpositioning!$C$20*(B49/1000)^2+Superpositioning!$C$4*((B49-B$14)/1000)+Superpositioning!$C$13*((B49-B$25)/1000)+Superpositioning!$C$7*((B49-B$31)/1000)+Superpositioning!$C$23*((B49-B$37)/1000)+Superpositioning!$C$10*((B49-B$48)/1000)</f>
        <v>2.2953861034125111E-14</v>
      </c>
      <c r="F49" s="27">
        <f>1/2*Superpositioning!$D$20*(B49/1000)^2+Superpositioning!$D$4*((B49-B$14)/1000)+Superpositioning!$D$13*((B49-B$25)/1000)+Superpositioning!$D$7*((B49-B$31)/1000)+Superpositioning!$D$23*((B49-B$25)/1000)+Superpositioning!$D$10*((B49-B$48)/1000)</f>
        <v>-1.9512000000000196E-2</v>
      </c>
      <c r="G49" s="45">
        <f>'Aileron torsion'!$B$11*$B49/1000+'Aileron torsion'!$B$12+'Aileron torsion'!$B$13</f>
        <v>1.1219399999999879E-2</v>
      </c>
      <c r="H49" s="44">
        <f>Superpositioning!$C$21*$B49/1000+Superpositioning!$C$5+Superpositioning!$C$8+Superpositioning!$C$11+Superpositioning!$C$14+Superpositioning!$C$24</f>
        <v>-0.14255829693567534</v>
      </c>
      <c r="I49" s="27">
        <f>Superpositioning!$D$21*$B49/1000+Superpositioning!$D$5+Superpositioning!$D$8+Superpositioning!$D$11+Superpositioning!$D$14+Superpositioning!$D$24</f>
        <v>0.29228782385648344</v>
      </c>
      <c r="J49" s="27">
        <f>1/2*Superpositioning!$C$21*(B49/1000)^2+Superpositioning!$C$5*((B49-B$14)/1000)+Superpositioning!$C$14*((B49-B$25)/1000)+Superpositioning!$C$8*((B49-B$31)/1000)+Superpositioning!$C$24*((B49-B$37)/1000)+Superpositioning!$C$11*((B49-B$48)/1000)</f>
        <v>8.5534978163703812E-3</v>
      </c>
      <c r="K49" s="27">
        <f>1/2*Superpositioning!$D$21*(B49/1000)^2+Superpositioning!$D$5*((B49-B$14)/1000)+Superpositioning!$D$14*((B49-B$25)/1000)+Superpositioning!$D$8*((B49-B$31)/1000)+Superpositioning!$D$24*((B49-B$37)/1000)+Superpositioning!$D$11*((B49-B$48)/1000)</f>
        <v>-1.7537269431403546E-2</v>
      </c>
      <c r="L49" s="45">
        <f>'Aileron torsion'!$B$16*$B49/1000+'Aileron torsion'!$B$17+'Aileron torsion'!$B$18</f>
        <v>1.0083929923049073E-2</v>
      </c>
      <c r="M49" s="44">
        <f>Superpositioning!$C$22*$B49/1000+Superpositioning!$C$6+Superpositioning!$C$9+Superpositioning!$C$12+Superpositioning!$C$15+Superpositioning!$C$25</f>
        <v>0.14255829693578903</v>
      </c>
      <c r="N49" s="27">
        <f>Superpositioning!$D$22*$B49/1000+Superpositioning!$D$6+Superpositioning!$D$9+Superpositioning!$D$12+Superpositioning!$D$15+Superpositioning!$D$25</f>
        <v>0.29228782385649765</v>
      </c>
      <c r="O49" s="27">
        <f>1/2*Superpositioning!$C$22*(B49/1000)^2+Superpositioning!$C$6*((B49-B$14)/1000)+Superpositioning!$C$15*((B49-B$25)/1000)+Superpositioning!$C$9*((B49-B$31)/1000)+Superpositioning!$C$25*((B49-B$37)/1000)+Superpositioning!$C$12*((B49-B$48)/1000)</f>
        <v>-8.5534978163330777E-3</v>
      </c>
      <c r="P49" s="27">
        <f>1/2*Superpositioning!$D$22*(B49/1000)^2+Superpositioning!$D$6*((B49-B$14)/1000)+Superpositioning!$D$15*((B49-B$25)/1000)+Superpositioning!$D$9*((B49-B$31)/1000)+Superpositioning!$D$25*((B49-B$37)/1000)+Superpositioning!$D$12*((B49-B$48)/1000)</f>
        <v>-1.7537269431400326E-2</v>
      </c>
      <c r="Q49" s="45">
        <f>'Aileron torsion'!$B$21*$B49/1000+'Aileron torsion'!$B$22+'Aileron torsion'!$B$23</f>
        <v>1.0083929923049073E-2</v>
      </c>
    </row>
    <row r="50" spans="1:17" x14ac:dyDescent="0.25">
      <c r="A50">
        <v>2</v>
      </c>
      <c r="B50" s="72">
        <f>B49+'Aileron shear'!$B$7/5</f>
        <v>1600.9999999999995</v>
      </c>
      <c r="C50" s="44">
        <f>Superpositioning!$C$20*$B50/1000+Superpositioning!$C$4+Superpositioning!$C$7+Superpositioning!$C$10+Superpositioning!$C$13+Superpositioning!$C$23</f>
        <v>0</v>
      </c>
      <c r="D50" s="27">
        <f>Superpositioning!$D$20*$B50/1000+Superpositioning!$D$4+Superpositioning!$D$7+Superpositioning!$D$10+Superpositioning!$D$13+Superpositioning!$D$23</f>
        <v>0.24390000000001066</v>
      </c>
      <c r="E50" s="27">
        <f>1/2*Superpositioning!$C$20*(B50/1000)^2+Superpositioning!$C$4*((B50-B$14)/1000)+Superpositioning!$C$13*((B50-B$25)/1000)+Superpositioning!$C$7*((B50-B$31)/1000)+Superpositioning!$C$23*((B50-B$37)/1000)+Superpositioning!$C$10*((B50-B$48)/1000)</f>
        <v>1.7486012637846216E-14</v>
      </c>
      <c r="F50" s="27">
        <f>1/2*Superpositioning!$D$20*(B50/1000)^2+Superpositioning!$D$4*((B50-B$14)/1000)+Superpositioning!$D$13*((B50-B$25)/1000)+Superpositioning!$D$7*((B50-B$31)/1000)+Superpositioning!$D$23*((B50-B$25)/1000)+Superpositioning!$D$10*((B50-B$48)/1000)</f>
        <v>-1.0975499999974936E-2</v>
      </c>
      <c r="G50" s="45">
        <f>'Aileron torsion'!$B$11*$B50/1000+'Aileron torsion'!$B$12+'Aileron torsion'!$B$13</f>
        <v>8.4145499999999096E-3</v>
      </c>
      <c r="H50" s="44">
        <f>Superpositioning!$C$21*$B50/1000+Superpositioning!$C$5+Superpositioning!$C$8+Superpositioning!$C$11+Superpositioning!$C$14+Superpositioning!$C$24</f>
        <v>-0.1069187227017494</v>
      </c>
      <c r="I50" s="27">
        <f>Superpositioning!$D$21*$B50/1000+Superpositioning!$D$5+Superpositioning!$D$8+Superpositioning!$D$11+Superpositioning!$D$14+Superpositioning!$D$24</f>
        <v>0.21921586789235903</v>
      </c>
      <c r="J50" s="27">
        <f>1/2*Superpositioning!$C$21*(B50/1000)^2+Superpositioning!$C$5*((B50-B$14)/1000)+Superpositioning!$C$14*((B50-B$25)/1000)+Superpositioning!$C$8*((B50-B$31)/1000)+Superpositioning!$C$24*((B50-B$37)/1000)+Superpositioning!$C$11*((B50-B$48)/1000)</f>
        <v>4.8113425216378403E-3</v>
      </c>
      <c r="K50" s="27">
        <f>1/2*Superpositioning!$D$21*(B50/1000)^2+Superpositioning!$D$5*((B50-B$14)/1000)+Superpositioning!$D$14*((B50-B$25)/1000)+Superpositioning!$D$8*((B50-B$31)/1000)+Superpositioning!$D$24*((B50-B$37)/1000)+Superpositioning!$D$11*((B50-B$48)/1000)</f>
        <v>-9.8647140551446633E-3</v>
      </c>
      <c r="L50" s="45">
        <f>'Aileron torsion'!$B$16*$B50/1000+'Aileron torsion'!$B$17+'Aileron torsion'!$B$18</f>
        <v>7.5629474422869158E-3</v>
      </c>
      <c r="M50" s="44">
        <f>Superpositioning!$C$22*$B50/1000+Superpositioning!$C$6+Superpositioning!$C$9+Superpositioning!$C$12+Superpositioning!$C$15+Superpositioning!$C$25</f>
        <v>0.10691872270186309</v>
      </c>
      <c r="N50" s="27">
        <f>Superpositioning!$D$22*$B50/1000+Superpositioning!$D$6+Superpositioning!$D$9+Superpositioning!$D$12+Superpositioning!$D$15+Superpositioning!$D$25</f>
        <v>0.21921586789237324</v>
      </c>
      <c r="O50" s="27">
        <f>1/2*Superpositioning!$C$22*(B50/1000)^2+Superpositioning!$C$6*((B50-B$14)/1000)+Superpositioning!$C$15*((B50-B$25)/1000)+Superpositioning!$C$9*((B50-B$31)/1000)+Superpositioning!$C$25*((B50-B$37)/1000)+Superpositioning!$C$12*((B50-B$48)/1000)</f>
        <v>-4.8113425214637573E-3</v>
      </c>
      <c r="P50" s="27">
        <f>1/2*Superpositioning!$D$22*(B50/1000)^2+Superpositioning!$D$6*((B50-B$14)/1000)+Superpositioning!$D$15*((B50-B$25)/1000)+Superpositioning!$D$9*((B50-B$31)/1000)+Superpositioning!$D$25*((B50-B$37)/1000)+Superpositioning!$D$12*((B50-B$48)/1000)</f>
        <v>-9.8647140551275658E-3</v>
      </c>
      <c r="Q50" s="45">
        <f>'Aileron torsion'!$B$21*$B50/1000+'Aileron torsion'!$B$22+'Aileron torsion'!$B$23</f>
        <v>7.5629474422869158E-3</v>
      </c>
    </row>
    <row r="51" spans="1:17" x14ac:dyDescent="0.25">
      <c r="A51">
        <v>3</v>
      </c>
      <c r="B51" s="72">
        <f>B50+'Aileron shear'!$B$7/5</f>
        <v>1630.9999999999995</v>
      </c>
      <c r="C51" s="44">
        <f>Superpositioning!$C$20*$B51/1000+Superpositioning!$C$4+Superpositioning!$C$7+Superpositioning!$C$10+Superpositioning!$C$13+Superpositioning!$C$23</f>
        <v>0</v>
      </c>
      <c r="D51" s="27">
        <f>Superpositioning!$D$20*$B51/1000+Superpositioning!$D$4+Superpositioning!$D$7+Superpositioning!$D$10+Superpositioning!$D$13+Superpositioning!$D$23</f>
        <v>0.16259999999999764</v>
      </c>
      <c r="E51" s="27">
        <f>1/2*Superpositioning!$C$20*(B51/1000)^2+Superpositioning!$C$4*((B51-B$14)/1000)+Superpositioning!$C$13*((B51-B$25)/1000)+Superpositioning!$C$7*((B51-B$31)/1000)+Superpositioning!$C$23*((B51-B$37)/1000)+Superpositioning!$C$10*((B51-B$48)/1000)</f>
        <v>1.9095836023552692E-14</v>
      </c>
      <c r="F51" s="27">
        <f>1/2*Superpositioning!$D$20*(B51/1000)^2+Superpositioning!$D$4*((B51-B$14)/1000)+Superpositioning!$D$13*((B51-B$25)/1000)+Superpositioning!$D$7*((B51-B$31)/1000)+Superpositioning!$D$23*((B51-B$25)/1000)+Superpositioning!$D$10*((B51-B$48)/1000)</f>
        <v>-4.8779999999735146E-3</v>
      </c>
      <c r="G51" s="45">
        <f>'Aileron torsion'!$B$11*$B51/1000+'Aileron torsion'!$B$12+'Aileron torsion'!$B$13</f>
        <v>5.6096999999999397E-3</v>
      </c>
      <c r="H51" s="44">
        <f>Superpositioning!$C$21*$B51/1000+Superpositioning!$C$5+Superpositioning!$C$8+Superpositioning!$C$11+Superpositioning!$C$14+Superpositioning!$C$24</f>
        <v>-7.1279148467766618E-2</v>
      </c>
      <c r="I51" s="27">
        <f>Superpositioning!$D$21*$B51/1000+Superpositioning!$D$5+Superpositioning!$D$8+Superpositioning!$D$11+Superpositioning!$D$14+Superpositioning!$D$24</f>
        <v>0.14614391192824883</v>
      </c>
      <c r="J51" s="27">
        <f>1/2*Superpositioning!$C$21*(B51/1000)^2+Superpositioning!$C$5*((B51-B$14)/1000)+Superpositioning!$C$14*((B51-B$25)/1000)+Superpositioning!$C$8*((B51-B$31)/1000)+Superpositioning!$C$24*((B51-B$37)/1000)+Superpositioning!$C$11*((B51-B$48)/1000)</f>
        <v>2.1383744541498828E-3</v>
      </c>
      <c r="K51" s="27">
        <f>1/2*Superpositioning!$D$21*(B51/1000)^2+Superpositioning!$D$5*((B51-B$14)/1000)+Superpositioning!$D$14*((B51-B$25)/1000)+Superpositioning!$D$8*((B51-B$31)/1000)+Superpositioning!$D$24*((B51-B$37)/1000)+Superpositioning!$D$11*((B51-B$48)/1000)</f>
        <v>-4.3843173578479444E-3</v>
      </c>
      <c r="L51" s="45">
        <f>'Aileron torsion'!$B$16*$B51/1000+'Aileron torsion'!$B$17+'Aileron torsion'!$B$18</f>
        <v>5.0419649615243145E-3</v>
      </c>
      <c r="M51" s="44">
        <f>Superpositioning!$C$22*$B51/1000+Superpositioning!$C$6+Superpositioning!$C$9+Superpositioning!$C$12+Superpositioning!$C$15+Superpositioning!$C$25</f>
        <v>7.1279148467880304E-2</v>
      </c>
      <c r="N51" s="27">
        <f>Superpositioning!$D$22*$B51/1000+Superpositioning!$D$6+Superpositioning!$D$9+Superpositioning!$D$12+Superpositioning!$D$15+Superpositioning!$D$25</f>
        <v>0.14614391192826304</v>
      </c>
      <c r="O51" s="27">
        <f>1/2*Superpositioning!$C$22*(B51/1000)^2+Superpositioning!$C$6*((B51-B$14)/1000)+Superpositioning!$C$15*((B51-B$25)/1000)+Superpositioning!$C$9*((B51-B$31)/1000)+Superpositioning!$C$25*((B51-B$37)/1000)+Superpositioning!$C$12*((B51-B$48)/1000)</f>
        <v>-2.1383744539527072E-3</v>
      </c>
      <c r="P51" s="27">
        <f>1/2*Superpositioning!$D$22*(B51/1000)^2+Superpositioning!$D$6*((B51-B$14)/1000)+Superpositioning!$D$15*((B51-B$25)/1000)+Superpositioning!$D$9*((B51-B$31)/1000)+Superpositioning!$D$25*((B51-B$37)/1000)+Superpositioning!$D$12*((B51-B$48)/1000)</f>
        <v>-4.3843173578244077E-3</v>
      </c>
      <c r="Q51" s="45">
        <f>'Aileron torsion'!$B$21*$B51/1000+'Aileron torsion'!$B$22+'Aileron torsion'!$B$23</f>
        <v>5.0419649615243145E-3</v>
      </c>
    </row>
    <row r="52" spans="1:17" x14ac:dyDescent="0.25">
      <c r="A52">
        <v>4</v>
      </c>
      <c r="B52" s="72">
        <f>B51+'Aileron shear'!$B$7/5</f>
        <v>1660.9999999999995</v>
      </c>
      <c r="C52" s="44">
        <f>Superpositioning!$C$20*$B52/1000+Superpositioning!$C$4+Superpositioning!$C$7+Superpositioning!$C$10+Superpositioning!$C$13+Superpositioning!$C$23</f>
        <v>0</v>
      </c>
      <c r="D52" s="27">
        <f>Superpositioning!$D$20*$B52/1000+Superpositioning!$D$4+Superpositioning!$D$7+Superpositioning!$D$10+Superpositioning!$D$13+Superpositioning!$D$23</f>
        <v>8.1299999999998818E-2</v>
      </c>
      <c r="E52" s="27">
        <f>1/2*Superpositioning!$C$20*(B52/1000)^2+Superpositioning!$C$4*((B52-B$14)/1000)+Superpositioning!$C$13*((B52-B$25)/1000)+Superpositioning!$C$7*((B52-B$31)/1000)+Superpositioning!$C$23*((B52-B$37)/1000)+Superpositioning!$C$10*((B52-B$48)/1000)</f>
        <v>1.3655743202889425E-14</v>
      </c>
      <c r="F52" s="27">
        <f>1/2*Superpositioning!$D$20*(B52/1000)^2+Superpositioning!$D$4*((B52-B$14)/1000)+Superpositioning!$D$13*((B52-B$25)/1000)+Superpositioning!$D$7*((B52-B$31)/1000)+Superpositioning!$D$23*((B52-B$25)/1000)+Superpositioning!$D$10*((B52-B$48)/1000)</f>
        <v>-1.2194999999817213E-3</v>
      </c>
      <c r="G52" s="45">
        <f>'Aileron torsion'!$B$11*$B52/1000+'Aileron torsion'!$B$12+'Aileron torsion'!$B$13</f>
        <v>2.8048499999999699E-3</v>
      </c>
      <c r="H52" s="44">
        <f>Superpositioning!$C$21*$B52/1000+Superpositioning!$C$5+Superpositioning!$C$8+Superpositioning!$C$11+Superpositioning!$C$14+Superpositioning!$C$24</f>
        <v>-3.5639574233840676E-2</v>
      </c>
      <c r="I52" s="27">
        <f>Superpositioning!$D$21*$B52/1000+Superpositioning!$D$5+Superpositioning!$D$8+Superpositioning!$D$11+Superpositioning!$D$14+Superpositioning!$D$24</f>
        <v>7.3071955964124413E-2</v>
      </c>
      <c r="J52" s="27">
        <f>1/2*Superpositioning!$C$21*(B52/1000)^2+Superpositioning!$C$5*((B52-B$14)/1000)+Superpositioning!$C$14*((B52-B$25)/1000)+Superpositioning!$C$8*((B52-B$31)/1000)+Superpositioning!$C$24*((B52-B$37)/1000)+Superpositioning!$C$11*((B52-B$48)/1000)</f>
        <v>5.3459361345176148E-4</v>
      </c>
      <c r="K52" s="27">
        <f>1/2*Superpositioning!$D$21*(B52/1000)^2+Superpositioning!$D$5*((B52-B$14)/1000)+Superpositioning!$D$14*((B52-B$25)/1000)+Superpositioning!$D$8*((B52-B$31)/1000)+Superpositioning!$D$24*((B52-B$37)/1000)+Superpositioning!$D$11*((B52-B$48)/1000)</f>
        <v>-1.0960793394483304E-3</v>
      </c>
      <c r="L52" s="45">
        <f>'Aileron torsion'!$B$16*$B52/1000+'Aileron torsion'!$B$17+'Aileron torsion'!$B$18</f>
        <v>2.5209824807621573E-3</v>
      </c>
      <c r="M52" s="44">
        <f>Superpositioning!$C$22*$B52/1000+Superpositioning!$C$6+Superpositioning!$C$9+Superpositioning!$C$12+Superpositioning!$C$15+Superpositioning!$C$25</f>
        <v>3.5639574233954363E-2</v>
      </c>
      <c r="N52" s="27">
        <f>Superpositioning!$D$22*$B52/1000+Superpositioning!$D$6+Superpositioning!$D$9+Superpositioning!$D$12+Superpositioning!$D$15+Superpositioning!$D$25</f>
        <v>7.3071955964138624E-2</v>
      </c>
      <c r="O52" s="27">
        <f>1/2*Superpositioning!$C$22*(B52/1000)^2+Superpositioning!$C$6*((B52-B$14)/1000)+Superpositioning!$C$15*((B52-B$25)/1000)+Superpositioning!$C$9*((B52-B$31)/1000)+Superpositioning!$C$25*((B52-B$37)/1000)+Superpositioning!$C$12*((B52-B$48)/1000)</f>
        <v>-5.3459361345886691E-4</v>
      </c>
      <c r="P52" s="27">
        <f>1/2*Superpositioning!$D$22*(B52/1000)^2+Superpositioning!$D$6*((B52-B$14)/1000)+Superpositioning!$D$15*((B52-B$25)/1000)+Superpositioning!$D$9*((B52-B$31)/1000)+Superpositioning!$D$25*((B52-B$37)/1000)+Superpositioning!$D$12*((B52-B$48)/1000)</f>
        <v>-1.0960793394425572E-3</v>
      </c>
      <c r="Q52" s="45">
        <f>'Aileron torsion'!$B$21*$B52/1000+'Aileron torsion'!$B$22+'Aileron torsion'!$B$23</f>
        <v>2.5209824807621573E-3</v>
      </c>
    </row>
    <row r="53" spans="1:17" ht="16.5" thickBot="1" x14ac:dyDescent="0.3">
      <c r="A53">
        <v>5</v>
      </c>
      <c r="B53" s="73">
        <f>B52+'Aileron shear'!$B$7/5</f>
        <v>1690.9999999999995</v>
      </c>
      <c r="C53" s="46">
        <f>Superpositioning!$C$20*$B53/1000+Superpositioning!$C$4+Superpositioning!$C$7+Superpositioning!$C$10+Superpositioning!$C$13+Superpositioning!$C$23</f>
        <v>0</v>
      </c>
      <c r="D53" s="47">
        <f>Superpositioning!$D$20*$B53/1000+Superpositioning!$D$4+Superpositioning!$D$7+Superpositioning!$D$10+Superpositioning!$D$13+Superpositioning!$D$23</f>
        <v>0</v>
      </c>
      <c r="E53" s="47">
        <f>1/2*Superpositioning!$C$20*(B53/1000)^2+Superpositioning!$C$4*((B53-B$14)/1000)+Superpositioning!$C$13*((B53-B$25)/1000)+Superpositioning!$C$7*((B53-B$31)/1000)+Superpositioning!$C$23*((B53-B$37)/1000)+Superpositioning!$C$10*((B53-B$48)/1000)</f>
        <v>8.1046280797636427E-15</v>
      </c>
      <c r="F53" s="47">
        <f>1/2*Superpositioning!$D$20*(B53/1000)^2+Superpositioning!$D$4*((B53-B$14)/1000)+Superpositioning!$D$13*((B53-B$25)/1000)+Superpositioning!$D$7*((B53-B$31)/1000)+Superpositioning!$D$23*((B53-B$25)/1000)+Superpositioning!$D$10*((B53-B$48)/1000)</f>
        <v>0</v>
      </c>
      <c r="G53" s="48">
        <f>'Aileron torsion'!$B$11*$B53/1000+'Aileron torsion'!$B$12+'Aileron torsion'!$B$13</f>
        <v>0</v>
      </c>
      <c r="H53" s="46">
        <f>Superpositioning!$C$21*$B53/1000+Superpositioning!$C$5+Superpositioning!$C$8+Superpositioning!$C$11+Superpositioning!$C$14+Superpositioning!$C$24</f>
        <v>1.4210854715202004E-13</v>
      </c>
      <c r="I53" s="47">
        <f>Superpositioning!$D$21*$B53/1000+Superpositioning!$D$5+Superpositioning!$D$8+Superpositioning!$D$11+Superpositioning!$D$14+Superpositioning!$D$24</f>
        <v>0</v>
      </c>
      <c r="J53" s="47">
        <f>1/2*Superpositioning!$C$21*(B53/1000)^2+Superpositioning!$C$5*((B53-B$14)/1000)+Superpositioning!$C$14*((B53-B$25)/1000)+Superpositioning!$C$8*((B53-B$31)/1000)+Superpositioning!$C$24*((B53-B$37)/1000)+Superpositioning!$C$11*((B53-B$48)/1000)</f>
        <v>1.1368683772161603E-13</v>
      </c>
      <c r="K53" s="47">
        <f>1/2*Superpositioning!$D$21*(B53/1000)^2+Superpositioning!$D$5*((B53-B$14)/1000)+Superpositioning!$D$14*((B53-B$25)/1000)+Superpositioning!$D$8*((B53-B$31)/1000)+Superpositioning!$D$24*((B53-B$37)/1000)+Superpositioning!$D$11*((B53-B$48)/1000)</f>
        <v>0</v>
      </c>
      <c r="L53" s="48">
        <f>'Aileron torsion'!$B$16*$B53/1000+'Aileron torsion'!$B$17+'Aileron torsion'!$B$18</f>
        <v>0</v>
      </c>
      <c r="M53" s="46">
        <f>Superpositioning!$C$22*$B53/1000+Superpositioning!$C$6+Superpositioning!$C$9+Superpositioning!$C$12+Superpositioning!$C$15+Superpositioning!$C$25</f>
        <v>0</v>
      </c>
      <c r="N53" s="47">
        <f>Superpositioning!$D$22*$B53/1000+Superpositioning!$D$6+Superpositioning!$D$9+Superpositioning!$D$12+Superpositioning!$D$15+Superpositioning!$D$25</f>
        <v>0</v>
      </c>
      <c r="O53" s="47">
        <f>1/2*Superpositioning!$C$22*(B53/1000)^2+Superpositioning!$C$6*((B53-B$14)/1000)+Superpositioning!$C$15*((B53-B$25)/1000)+Superpositioning!$C$9*((B53-B$31)/1000)+Superpositioning!$C$25*((B53-B$37)/1000)+Superpositioning!$C$12*((B53-B$48)/1000)</f>
        <v>0</v>
      </c>
      <c r="P53" s="47">
        <f>1/2*Superpositioning!$D$22*(B53/1000)^2+Superpositioning!$D$6*((B53-B$14)/1000)+Superpositioning!$D$15*((B53-B$25)/1000)+Superpositioning!$D$9*((B53-B$31)/1000)+Superpositioning!$D$25*((B53-B$37)/1000)+Superpositioning!$D$12*((B53-B$48)/1000)</f>
        <v>1.5987211554602254E-14</v>
      </c>
      <c r="Q53" s="48">
        <f>'Aileron torsion'!$B$21*$B53/1000+'Aileron torsion'!$B$22+'Aileron torsion'!$B$23</f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Input</vt:lpstr>
      <vt:lpstr>Cross-sectional properties</vt:lpstr>
      <vt:lpstr>Aileron shear</vt:lpstr>
      <vt:lpstr>Aileron torsion</vt:lpstr>
      <vt:lpstr>Superpositioning</vt:lpstr>
      <vt:lpstr>Internal Force Diagrams</vt:lpstr>
      <vt:lpstr>V_z</vt:lpstr>
      <vt:lpstr>V_y</vt:lpstr>
      <vt:lpstr>M_z</vt:lpstr>
      <vt:lpstr>M_y</vt:lpstr>
      <vt:lpstr>Torsion</vt:lpstr>
      <vt:lpstr>Input!Print_Area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Harold Rutten</cp:lastModifiedBy>
  <dcterms:created xsi:type="dcterms:W3CDTF">2019-02-12T07:44:05Z</dcterms:created>
  <dcterms:modified xsi:type="dcterms:W3CDTF">2019-02-27T11:39:03Z</dcterms:modified>
</cp:coreProperties>
</file>