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A14" i="1"/>
  <c r="A15" i="1"/>
  <c r="A16" i="1"/>
  <c r="C13" i="1"/>
  <c r="C14" i="1"/>
  <c r="C15" i="1"/>
  <c r="C16" i="1"/>
  <c r="D16" i="1"/>
  <c r="G16" i="1"/>
  <c r="D15" i="1"/>
  <c r="H16" i="1"/>
  <c r="I16" i="1"/>
  <c r="L16" i="1"/>
  <c r="F23" i="1"/>
  <c r="A21" i="1"/>
  <c r="A22" i="1"/>
  <c r="A23" i="1"/>
  <c r="C20" i="1"/>
  <c r="C21" i="1"/>
  <c r="C22" i="1"/>
  <c r="C23" i="1"/>
  <c r="D23" i="1"/>
  <c r="G23" i="1"/>
  <c r="D22" i="1"/>
  <c r="H23" i="1"/>
  <c r="I23" i="1"/>
  <c r="M16" i="1"/>
  <c r="F30" i="1"/>
  <c r="A28" i="1"/>
  <c r="A29" i="1"/>
  <c r="A30" i="1"/>
  <c r="C27" i="1"/>
  <c r="C28" i="1"/>
  <c r="C29" i="1"/>
  <c r="C30" i="1"/>
  <c r="D30" i="1"/>
  <c r="G30" i="1"/>
  <c r="D29" i="1"/>
  <c r="H30" i="1"/>
  <c r="I30" i="1"/>
  <c r="N16" i="1"/>
  <c r="O16" i="1"/>
  <c r="P14" i="1"/>
  <c r="P15" i="1"/>
  <c r="P16" i="1"/>
  <c r="Q16" i="1"/>
  <c r="R14" i="1"/>
  <c r="R15" i="1"/>
  <c r="R16" i="1"/>
  <c r="S16" i="1"/>
  <c r="T16" i="1"/>
  <c r="F24" i="1"/>
  <c r="A24" i="1"/>
  <c r="C24" i="1"/>
  <c r="D24" i="1"/>
  <c r="G24" i="1"/>
  <c r="H24" i="1"/>
  <c r="I24" i="1"/>
  <c r="M17" i="1"/>
  <c r="Q14" i="1"/>
  <c r="F14" i="1"/>
  <c r="D14" i="1"/>
  <c r="G14" i="1"/>
  <c r="D13" i="1"/>
  <c r="H14" i="1"/>
  <c r="I14" i="1"/>
  <c r="L14" i="1"/>
  <c r="F21" i="1"/>
  <c r="D21" i="1"/>
  <c r="G21" i="1"/>
  <c r="D20" i="1"/>
  <c r="H21" i="1"/>
  <c r="I21" i="1"/>
  <c r="M14" i="1"/>
  <c r="F28" i="1"/>
  <c r="D28" i="1"/>
  <c r="G28" i="1"/>
  <c r="D27" i="1"/>
  <c r="H28" i="1"/>
  <c r="I28" i="1"/>
  <c r="N14" i="1"/>
  <c r="O14" i="1"/>
  <c r="S14" i="1"/>
  <c r="T14" i="1"/>
  <c r="A31" i="1"/>
  <c r="C31" i="1"/>
  <c r="D31" i="1"/>
  <c r="H31" i="1"/>
  <c r="H29" i="1"/>
  <c r="H22" i="1"/>
  <c r="A17" i="1"/>
  <c r="C17" i="1"/>
  <c r="D17" i="1"/>
  <c r="H17" i="1"/>
  <c r="H15" i="1"/>
  <c r="P17" i="1"/>
  <c r="Q17" i="1"/>
  <c r="Q15" i="1"/>
  <c r="Q13" i="1"/>
  <c r="F22" i="1"/>
  <c r="G22" i="1"/>
  <c r="I22" i="1"/>
  <c r="F15" i="1"/>
  <c r="G15" i="1"/>
  <c r="I15" i="1"/>
  <c r="L15" i="1"/>
  <c r="M15" i="1"/>
  <c r="F29" i="1"/>
  <c r="G29" i="1"/>
  <c r="I29" i="1"/>
  <c r="N15" i="1"/>
  <c r="O15" i="1"/>
  <c r="S15" i="1"/>
  <c r="T15" i="1"/>
  <c r="R17" i="1"/>
  <c r="F17" i="1"/>
  <c r="G17" i="1"/>
  <c r="I17" i="1"/>
  <c r="L17" i="1"/>
  <c r="F31" i="1"/>
  <c r="G31" i="1"/>
  <c r="I31" i="1"/>
  <c r="N17" i="1"/>
  <c r="O17" i="1"/>
  <c r="S17" i="1"/>
  <c r="T17" i="1"/>
  <c r="F13" i="1"/>
  <c r="G13" i="1"/>
  <c r="H13" i="1"/>
  <c r="I13" i="1"/>
  <c r="L13" i="1"/>
  <c r="F20" i="1"/>
  <c r="G20" i="1"/>
  <c r="H20" i="1"/>
  <c r="I20" i="1"/>
  <c r="M13" i="1"/>
  <c r="F27" i="1"/>
  <c r="G27" i="1"/>
  <c r="H27" i="1"/>
  <c r="I27" i="1"/>
  <c r="N13" i="1"/>
  <c r="O13" i="1"/>
  <c r="S13" i="1"/>
  <c r="T13" i="1"/>
  <c r="L9" i="1"/>
  <c r="K8" i="1"/>
  <c r="J7" i="1"/>
  <c r="F7" i="1"/>
  <c r="F8" i="1"/>
  <c r="F9" i="1"/>
</calcChain>
</file>

<file path=xl/sharedStrings.xml><?xml version="1.0" encoding="utf-8"?>
<sst xmlns="http://schemas.openxmlformats.org/spreadsheetml/2006/main" count="73" uniqueCount="34">
  <si>
    <t>Cost</t>
  </si>
  <si>
    <t xml:space="preserve">Device </t>
  </si>
  <si>
    <t>Service</t>
  </si>
  <si>
    <t>Report 1</t>
  </si>
  <si>
    <t>Report 2</t>
  </si>
  <si>
    <t>Report 3</t>
  </si>
  <si>
    <t>Plan</t>
  </si>
  <si>
    <t>Total Cost</t>
  </si>
  <si>
    <t>Price</t>
  </si>
  <si>
    <t xml:space="preserve">Year 1 </t>
  </si>
  <si>
    <t>Profit</t>
  </si>
  <si>
    <t>Year 2</t>
  </si>
  <si>
    <t>Year 3</t>
  </si>
  <si>
    <t>Year 4</t>
  </si>
  <si>
    <t>Year 5</t>
  </si>
  <si>
    <t># of restaurant</t>
  </si>
  <si>
    <t>Cooper</t>
  </si>
  <si>
    <t>Silver</t>
  </si>
  <si>
    <t>Gold</t>
  </si>
  <si>
    <t>Total number of restaurant</t>
  </si>
  <si>
    <t># of sensor per restaurant</t>
  </si>
  <si>
    <t>one-year subscirption</t>
  </si>
  <si>
    <t>Revenue</t>
  </si>
  <si>
    <t>Market Share</t>
  </si>
  <si>
    <t>Installation</t>
  </si>
  <si>
    <t>Year 1</t>
  </si>
  <si>
    <t>Cost Per Restaurant (Year 1)</t>
  </si>
  <si>
    <t>Total Profit</t>
  </si>
  <si>
    <t>Ind Labor Cost</t>
  </si>
  <si>
    <t>Yearly Cost</t>
  </si>
  <si>
    <t>Administrtive Cost</t>
  </si>
  <si>
    <t>Before Tax &amp; Fees</t>
  </si>
  <si>
    <t>After Tax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</si>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</sst>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9" fontId="0" fillId="0" borderId="0" xfId="0" applyNumberFormat="1"/>
    <xf numFmtId="0" fontId="0" fillId="2" borderId="0" xfId="0" applyFill="1" applyAlignment="1">
      <alignment horizontal="center"/>
    </xf>
    <xf numFmtId="165" fontId="0" fillId="0" borderId="0" xfId="0" applyNumberFormat="1"/>
    <xf numFmtId="166" fontId="0" fillId="0" borderId="0" xfId="1" applyFont="1"/>
    <xf numFmtId="166" fontId="0" fillId="2" borderId="0" xfId="1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1" applyFont="1" applyAlignment="1">
      <alignment horizontal="center"/>
    </xf>
    <xf numFmtId="166" fontId="0" fillId="0" borderId="0" xfId="0" applyNumberFormat="1"/>
    <xf numFmtId="9" fontId="0" fillId="0" borderId="0" xfId="2" applyFont="1"/>
    <xf numFmtId="1" fontId="0" fillId="0" borderId="0" xfId="0" applyNumberFormat="1"/>
    <xf numFmtId="10" fontId="0" fillId="0" borderId="0" xfId="2" applyNumberFormat="1" applyFont="1"/>
    <xf numFmtId="164" fontId="0" fillId="0" borderId="0" xfId="0" applyNumberFormat="1" applyAlignment="1">
      <alignment wrapText="1"/>
    </xf>
    <xf numFmtId="1" fontId="0" fillId="0" borderId="0" xfId="0" applyNumberFormat="1" applyFont="1" applyAlignment="1">
      <alignment wrapText="1"/>
    </xf>
    <xf numFmtId="166" fontId="4" fillId="0" borderId="0" xfId="1" applyFont="1"/>
    <xf numFmtId="164" fontId="4" fillId="0" borderId="0" xfId="0" applyNumberFormat="1" applyFont="1"/>
    <xf numFmtId="0" fontId="4" fillId="0" borderId="0" xfId="0" applyFont="1"/>
    <xf numFmtId="166" fontId="4" fillId="0" borderId="0" xfId="0" applyNumberFormat="1" applyFont="1"/>
    <xf numFmtId="167" fontId="0" fillId="0" borderId="0" xfId="0" applyNumberFormat="1"/>
    <xf numFmtId="0" fontId="0" fillId="0" borderId="0" xfId="0" applyAlignment="1">
      <alignment horizontal="center" wrapText="1"/>
    </xf>
  </cellXfs>
  <cellStyles count="6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Percent" xfId="2" builtinId="5"/>
  </cellStyles>
  <dxfs count="7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Copper</c:v>
                </c:pt>
              </c:strCache>
            </c:strRef>
          </c:tx>
          <c:invertIfNegative val="0"/>
          <c:cat>
            <c:strRef>
              <c:f>Sheet1!$K$13:$K$17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Sheet1!$L$13:$L$17</c:f>
              <c:numCache>
                <c:formatCode>"$"#,##0;[Red]\-"$"#,##0</c:formatCode>
                <c:ptCount val="5"/>
                <c:pt idx="0">
                  <c:v>-5073.5</c:v>
                </c:pt>
                <c:pt idx="1">
                  <c:v>121620.0355769231</c:v>
                </c:pt>
                <c:pt idx="2">
                  <c:v>223476.8153725961</c:v>
                </c:pt>
                <c:pt idx="3">
                  <c:v>410638.6482471455</c:v>
                </c:pt>
                <c:pt idx="4">
                  <c:v>754548.5161541298</c:v>
                </c:pt>
              </c:numCache>
            </c:numRef>
          </c:val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Silver</c:v>
                </c:pt>
              </c:strCache>
            </c:strRef>
          </c:tx>
          <c:invertIfNegative val="0"/>
          <c:cat>
            <c:strRef>
              <c:f>Sheet1!$K$13:$K$17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Sheet1!$M$13:$M$17</c:f>
              <c:numCache>
                <c:formatCode>_-"$"* #,##0.00_-;\-"$"* #,##0.00_-;_-"$"* "-"??_-;_-@_-</c:formatCode>
                <c:ptCount val="5"/>
                <c:pt idx="0">
                  <c:v>13833.5</c:v>
                </c:pt>
                <c:pt idx="1">
                  <c:v>60810.01778846154</c:v>
                </c:pt>
                <c:pt idx="2">
                  <c:v>111738.4076862981</c:v>
                </c:pt>
                <c:pt idx="3">
                  <c:v>205319.3241235727</c:v>
                </c:pt>
                <c:pt idx="4">
                  <c:v>377274.2580770649</c:v>
                </c:pt>
              </c:numCache>
            </c:numRef>
          </c:val>
        </c:ser>
        <c:ser>
          <c:idx val="2"/>
          <c:order val="2"/>
          <c:tx>
            <c:strRef>
              <c:f>Sheet1!$N$12</c:f>
              <c:strCache>
                <c:ptCount val="1"/>
                <c:pt idx="0">
                  <c:v>Gold</c:v>
                </c:pt>
              </c:strCache>
            </c:strRef>
          </c:tx>
          <c:invertIfNegative val="0"/>
          <c:cat>
            <c:strRef>
              <c:f>Sheet1!$K$13:$K$17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Sheet1!$N$13:$N$17</c:f>
              <c:numCache>
                <c:formatCode>_-"$"* #,##0.00_-;\-"$"* #,##0.00_-;_-"$"* "-"??_-;_-@_-</c:formatCode>
                <c:ptCount val="5"/>
                <c:pt idx="0">
                  <c:v>13833.5</c:v>
                </c:pt>
                <c:pt idx="1">
                  <c:v>60810.01778846153</c:v>
                </c:pt>
                <c:pt idx="2">
                  <c:v>111738.4076862981</c:v>
                </c:pt>
                <c:pt idx="3">
                  <c:v>205319.3241235728</c:v>
                </c:pt>
                <c:pt idx="4">
                  <c:v>377274.258077065</c:v>
                </c:pt>
              </c:numCache>
            </c:numRef>
          </c:val>
        </c:ser>
        <c:ser>
          <c:idx val="3"/>
          <c:order val="3"/>
          <c:tx>
            <c:strRef>
              <c:f>Sheet1!$T$12</c:f>
              <c:strCache>
                <c:ptCount val="1"/>
                <c:pt idx="0">
                  <c:v>After Tax</c:v>
                </c:pt>
              </c:strCache>
            </c:strRef>
          </c:tx>
          <c:invertIfNegative val="0"/>
          <c:cat>
            <c:strRef>
              <c:f>Sheet1!$K$13:$K$17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Sheet1!$T$13:$T$17</c:f>
              <c:numCache>
                <c:formatCode>_-[$$-409]* #,##0.00_ ;_-[$$-409]* \-#,##0.00\ ;_-[$$-409]* "-"??_ ;_-@_ </c:formatCode>
                <c:ptCount val="5"/>
                <c:pt idx="0">
                  <c:v>-69406.5</c:v>
                </c:pt>
                <c:pt idx="1">
                  <c:v>-1759.928846153838</c:v>
                </c:pt>
                <c:pt idx="2">
                  <c:v>49492.54152163468</c:v>
                </c:pt>
                <c:pt idx="3">
                  <c:v>-80910.20350570907</c:v>
                </c:pt>
                <c:pt idx="4">
                  <c:v>392953.8601157818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983880"/>
        <c:axId val="2107980744"/>
      </c:barChart>
      <c:catAx>
        <c:axId val="2107983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7980744"/>
        <c:crosses val="autoZero"/>
        <c:auto val="1"/>
        <c:lblAlgn val="ctr"/>
        <c:lblOffset val="100"/>
        <c:noMultiLvlLbl val="0"/>
      </c:catAx>
      <c:valAx>
        <c:axId val="21079807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&quot;$&quot;#,##0;[Red]\-&quot;$&quot;#,##0" sourceLinked="1"/>
        <c:majorTickMark val="none"/>
        <c:minorTickMark val="none"/>
        <c:tickLblPos val="nextTo"/>
        <c:crossAx val="2107983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731520</xdr:colOff>
      <xdr:row>18</xdr:row>
      <xdr:rowOff>182880</xdr:rowOff>
    </xdr:from>
    <xdr:to>
      <xdr:col>15</xdr:col>
      <xdr:colOff>325120</xdr:colOff>
      <xdr:row>40</xdr:row>
      <xdr:rowOff>71120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F10" headerRowCount="0" totalsRowShown="0">
  <tableColumns count="5">
    <tableColumn id="1" name="Column1" headerRowDxfId="6" dataDxfId="5"/>
    <tableColumn id="2" name="Column2" headerRowDxfId="4"/>
    <tableColumn id="3" name="Column3" headerRowDxfId="3"/>
    <tableColumn id="4" name="Column4" headerRowDxfId="2"/>
    <tableColumn id="5" name="Column5" headerRowDxfId="1" headerRowCellStyle="Currency" dataCellStyle="Currency">
      <calculatedColumnFormula>SUM(Table1[[#This Row],[Column2]:[Column4]])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tabSelected="1" topLeftCell="F1" zoomScale="125" zoomScaleNormal="125" zoomScalePageLayoutView="125" workbookViewId="0">
      <selection activeCell="T8" sqref="T8"/>
    </sheetView>
  </sheetViews>
  <sheetFormatPr baseColWidth="10" defaultRowHeight="15" x14ac:dyDescent="0"/>
  <cols>
    <col min="1" max="1" width="15.33203125" style="10" customWidth="1"/>
    <col min="2" max="2" width="11" style="1" customWidth="1"/>
    <col min="3" max="3" width="14" bestFit="1" customWidth="1"/>
    <col min="4" max="4" width="13" customWidth="1"/>
    <col min="5" max="5" width="11" customWidth="1"/>
    <col min="6" max="6" width="20.1640625" style="7" bestFit="1" customWidth="1"/>
    <col min="7" max="7" width="15.1640625" bestFit="1" customWidth="1"/>
    <col min="8" max="8" width="15.1640625" style="7" bestFit="1" customWidth="1"/>
    <col min="9" max="9" width="14.1640625" bestFit="1" customWidth="1"/>
    <col min="12" max="12" width="10.33203125" bestFit="1" customWidth="1"/>
    <col min="13" max="14" width="14.1640625" bestFit="1" customWidth="1"/>
    <col min="15" max="15" width="40.33203125" style="9" customWidth="1"/>
    <col min="16" max="16" width="10.33203125" style="9" customWidth="1"/>
    <col min="17" max="17" width="12.83203125" bestFit="1" customWidth="1"/>
    <col min="18" max="18" width="12.1640625" customWidth="1"/>
    <col min="20" max="20" width="14" bestFit="1" customWidth="1"/>
  </cols>
  <sheetData>
    <row r="2" spans="1:20">
      <c r="A2" s="4">
        <v>0.01</v>
      </c>
      <c r="O2"/>
      <c r="P2"/>
    </row>
    <row r="3" spans="1:20">
      <c r="A3" s="4">
        <v>0.05</v>
      </c>
      <c r="O3"/>
      <c r="P3"/>
    </row>
    <row r="4" spans="1:20">
      <c r="A4" s="4">
        <v>0.1</v>
      </c>
      <c r="B4"/>
      <c r="F4"/>
      <c r="O4"/>
      <c r="P4"/>
    </row>
    <row r="5" spans="1:20">
      <c r="A5" s="4">
        <v>0.2</v>
      </c>
      <c r="C5" s="1"/>
      <c r="D5" s="1"/>
      <c r="E5" s="1"/>
      <c r="F5" s="11"/>
      <c r="J5" s="23" t="s">
        <v>26</v>
      </c>
      <c r="K5" s="23"/>
      <c r="L5" s="23"/>
      <c r="O5"/>
      <c r="P5"/>
    </row>
    <row r="6" spans="1:20">
      <c r="A6" s="4">
        <v>0.4</v>
      </c>
      <c r="B6" t="s">
        <v>6</v>
      </c>
      <c r="C6" t="s">
        <v>24</v>
      </c>
      <c r="D6" t="s">
        <v>1</v>
      </c>
      <c r="E6" t="s">
        <v>2</v>
      </c>
      <c r="F6" t="s">
        <v>7</v>
      </c>
      <c r="H6" s="8" t="s">
        <v>6</v>
      </c>
      <c r="J6" t="s">
        <v>3</v>
      </c>
      <c r="K6" t="s">
        <v>4</v>
      </c>
      <c r="L6" t="s">
        <v>5</v>
      </c>
      <c r="M6" s="3" t="s">
        <v>8</v>
      </c>
      <c r="O6"/>
      <c r="P6"/>
    </row>
    <row r="7" spans="1:20" ht="17" customHeight="1">
      <c r="B7" t="s">
        <v>16</v>
      </c>
      <c r="C7" s="7">
        <v>30</v>
      </c>
      <c r="D7" s="7">
        <v>160</v>
      </c>
      <c r="E7" s="7">
        <v>100</v>
      </c>
      <c r="F7" s="7">
        <f>SUM(Table1[[#This Row],[Column2]:[Column4]])</f>
        <v>290</v>
      </c>
      <c r="H7" s="7" t="s">
        <v>33</v>
      </c>
      <c r="J7" s="2">
        <f>$C7+$D7*10+$E7</f>
        <v>1730</v>
      </c>
      <c r="M7" s="2">
        <v>299</v>
      </c>
      <c r="O7"/>
      <c r="P7"/>
    </row>
    <row r="8" spans="1:20">
      <c r="B8" t="s">
        <v>17</v>
      </c>
      <c r="C8" s="7">
        <v>30</v>
      </c>
      <c r="D8" s="7">
        <v>160</v>
      </c>
      <c r="E8" s="7">
        <v>200</v>
      </c>
      <c r="F8" s="7">
        <f>SUM(Table1[[#This Row],[Column2]:[Column4]])</f>
        <v>390</v>
      </c>
      <c r="H8" s="7" t="s">
        <v>17</v>
      </c>
      <c r="K8" s="2">
        <f>$C8+$D8*10+$E8</f>
        <v>1830</v>
      </c>
      <c r="M8" s="2">
        <v>399</v>
      </c>
      <c r="O8"/>
      <c r="P8"/>
    </row>
    <row r="9" spans="1:20">
      <c r="B9" t="s">
        <v>18</v>
      </c>
      <c r="C9" s="7">
        <v>30</v>
      </c>
      <c r="D9" s="7">
        <v>160</v>
      </c>
      <c r="E9" s="7">
        <v>300</v>
      </c>
      <c r="F9" s="7">
        <f>SUM(Table1[[#This Row],[Column2]:[Column4]])</f>
        <v>490</v>
      </c>
      <c r="H9" s="7" t="s">
        <v>18</v>
      </c>
      <c r="L9" s="2">
        <f>$C9+$D9*10+$E9</f>
        <v>1930</v>
      </c>
      <c r="M9" s="2">
        <v>499</v>
      </c>
      <c r="O9"/>
      <c r="P9"/>
    </row>
    <row r="10" spans="1:20">
      <c r="O10"/>
      <c r="P10"/>
    </row>
    <row r="12" spans="1:20" ht="30">
      <c r="A12" s="10" t="s">
        <v>19</v>
      </c>
      <c r="B12" s="5" t="s">
        <v>33</v>
      </c>
      <c r="C12" t="s">
        <v>23</v>
      </c>
      <c r="D12" t="s">
        <v>15</v>
      </c>
      <c r="E12" t="s">
        <v>20</v>
      </c>
      <c r="F12" s="7" t="s">
        <v>21</v>
      </c>
      <c r="G12" t="s">
        <v>22</v>
      </c>
      <c r="H12" s="7" t="s">
        <v>0</v>
      </c>
      <c r="I12" t="s">
        <v>10</v>
      </c>
      <c r="L12" t="s">
        <v>33</v>
      </c>
      <c r="M12" t="s">
        <v>17</v>
      </c>
      <c r="N12" t="s">
        <v>18</v>
      </c>
      <c r="O12" t="s">
        <v>27</v>
      </c>
      <c r="P12" s="9" t="s">
        <v>28</v>
      </c>
      <c r="Q12" t="s">
        <v>29</v>
      </c>
      <c r="R12" s="9" t="s">
        <v>30</v>
      </c>
      <c r="S12" t="s">
        <v>31</v>
      </c>
      <c r="T12" s="9" t="s">
        <v>32</v>
      </c>
    </row>
    <row r="13" spans="1:20">
      <c r="A13" s="17">
        <v>7300</v>
      </c>
      <c r="B13" s="1" t="s">
        <v>9</v>
      </c>
      <c r="C13" s="15">
        <f>0.5*A2</f>
        <v>5.0000000000000001E-3</v>
      </c>
      <c r="D13" s="14">
        <f>A13*C13</f>
        <v>36.5</v>
      </c>
      <c r="E13">
        <v>10</v>
      </c>
      <c r="F13" s="7">
        <f>$M$7*9</f>
        <v>2691</v>
      </c>
      <c r="G13" s="6">
        <f>F13*D13</f>
        <v>98221.5</v>
      </c>
      <c r="H13" s="18">
        <f>($C$7+$D$7*E13+$E$7*12)*D13</f>
        <v>103295</v>
      </c>
      <c r="I13" s="19">
        <f>G13-H13</f>
        <v>-5073.5</v>
      </c>
      <c r="K13" t="s">
        <v>25</v>
      </c>
      <c r="L13" s="19">
        <f>I13</f>
        <v>-5073.5</v>
      </c>
      <c r="M13" s="21">
        <f>I20</f>
        <v>13833.5</v>
      </c>
      <c r="N13" s="21">
        <f>I27</f>
        <v>13833.5</v>
      </c>
      <c r="O13" s="16">
        <f>SUM(L13:N13)</f>
        <v>22593.5</v>
      </c>
      <c r="P13" s="16">
        <v>6000</v>
      </c>
      <c r="Q13" s="2">
        <f>P13*12*1</f>
        <v>72000</v>
      </c>
      <c r="R13" s="2">
        <v>20000</v>
      </c>
      <c r="S13" s="2">
        <f>O13-Q13-R13</f>
        <v>-69406.5</v>
      </c>
      <c r="T13" s="22">
        <f>IF(S13&gt;0, S13*0.7,S13)</f>
        <v>-69406.5</v>
      </c>
    </row>
    <row r="14" spans="1:20">
      <c r="A14" s="17">
        <f>A13*1.05</f>
        <v>7665</v>
      </c>
      <c r="B14" s="1" t="s">
        <v>11</v>
      </c>
      <c r="C14" s="15">
        <f>C13*1.75</f>
        <v>8.7500000000000008E-3</v>
      </c>
      <c r="D14" s="14">
        <f>A14*C14</f>
        <v>67.068750000000009</v>
      </c>
      <c r="E14">
        <v>10</v>
      </c>
      <c r="F14" s="7">
        <f>$M$7*12</f>
        <v>3588</v>
      </c>
      <c r="G14" s="6">
        <f>F14*D14</f>
        <v>240642.67500000002</v>
      </c>
      <c r="H14" s="18">
        <f>($C$7+160/1.3*E14)*(D14-D13)+$E$7*D14*12</f>
        <v>119022.63942307694</v>
      </c>
      <c r="I14" s="19">
        <f t="shared" ref="I14:I17" si="0">G14-H14</f>
        <v>121620.03557692308</v>
      </c>
      <c r="K14" t="s">
        <v>11</v>
      </c>
      <c r="L14" s="2">
        <f t="shared" ref="L14:L17" si="1">I14</f>
        <v>121620.03557692308</v>
      </c>
      <c r="M14" s="12">
        <f t="shared" ref="M14:M16" si="2">I21</f>
        <v>60810.01778846154</v>
      </c>
      <c r="N14" s="12">
        <f>I28</f>
        <v>60810.017788461526</v>
      </c>
      <c r="O14" s="16">
        <f>SUM(L14:N14)</f>
        <v>243240.07115384616</v>
      </c>
      <c r="P14" s="16">
        <f>P13*1.25</f>
        <v>7500</v>
      </c>
      <c r="Q14" s="2">
        <f>P14*12*2+40000</f>
        <v>220000</v>
      </c>
      <c r="R14" s="6">
        <f>R13*1.25</f>
        <v>25000</v>
      </c>
      <c r="S14" s="2">
        <f>O14-Q14-R14</f>
        <v>-1759.9288461538381</v>
      </c>
      <c r="T14" s="22">
        <f>IF(S14&gt;0, S14*0.7,S14)</f>
        <v>-1759.9288461538381</v>
      </c>
    </row>
    <row r="15" spans="1:20">
      <c r="A15" s="17">
        <f t="shared" ref="A15:A17" si="3">A14*1.05</f>
        <v>8048.25</v>
      </c>
      <c r="B15" s="1" t="s">
        <v>12</v>
      </c>
      <c r="C15" s="15">
        <f t="shared" ref="C15:C17" si="4">C14*1.75</f>
        <v>1.5312500000000001E-2</v>
      </c>
      <c r="D15" s="14">
        <f t="shared" ref="D15:D16" si="5">A15*C15</f>
        <v>123.23882812500001</v>
      </c>
      <c r="E15">
        <v>10</v>
      </c>
      <c r="F15" s="7">
        <f t="shared" ref="F15:F16" si="6">$M$7*12</f>
        <v>3588</v>
      </c>
      <c r="G15" s="6">
        <f t="shared" ref="G15:G16" si="7">F15*D15</f>
        <v>442180.91531250003</v>
      </c>
      <c r="H15" s="18">
        <f>($C$7+160/1.3*E15)*(D15-D14)+$E$7*D15*12</f>
        <v>218704.09993990388</v>
      </c>
      <c r="I15" s="19">
        <f t="shared" si="0"/>
        <v>223476.81537259615</v>
      </c>
      <c r="K15" t="s">
        <v>12</v>
      </c>
      <c r="L15" s="2">
        <f t="shared" si="1"/>
        <v>223476.81537259615</v>
      </c>
      <c r="M15" s="12">
        <f t="shared" si="2"/>
        <v>111738.4076862981</v>
      </c>
      <c r="N15" s="12">
        <f>I29</f>
        <v>111738.40768629813</v>
      </c>
      <c r="O15" s="16">
        <f>SUM(L15:N15)</f>
        <v>446953.63074519241</v>
      </c>
      <c r="P15" s="16">
        <f t="shared" ref="P15:P17" si="8">P14*1.25</f>
        <v>9375</v>
      </c>
      <c r="Q15" s="2">
        <f>P15*12*2+120000</f>
        <v>345000</v>
      </c>
      <c r="R15" s="6">
        <f t="shared" ref="R15:R17" si="9">R14*1.25</f>
        <v>31250</v>
      </c>
      <c r="S15" s="2">
        <f>O15-Q15-R15</f>
        <v>70703.630745192408</v>
      </c>
      <c r="T15" s="22">
        <f t="shared" ref="T15:T17" si="10">IF(S15&gt;0, S15*0.7,S15)</f>
        <v>49492.541521634681</v>
      </c>
    </row>
    <row r="16" spans="1:20">
      <c r="A16" s="17">
        <f t="shared" si="3"/>
        <v>8450.6625000000004</v>
      </c>
      <c r="B16" s="1" t="s">
        <v>13</v>
      </c>
      <c r="C16" s="15">
        <f t="shared" si="4"/>
        <v>2.6796875000000001E-2</v>
      </c>
      <c r="D16" s="14">
        <f t="shared" si="5"/>
        <v>226.45134667968753</v>
      </c>
      <c r="E16">
        <v>10</v>
      </c>
      <c r="F16" s="7">
        <f t="shared" si="6"/>
        <v>3588</v>
      </c>
      <c r="G16" s="6">
        <f t="shared" si="7"/>
        <v>812507.43188671884</v>
      </c>
      <c r="H16" s="18">
        <f>($C$7+160/1.3*E16)*(D16-D15)+$E$7*D16*12</f>
        <v>401868.78363957338</v>
      </c>
      <c r="I16" s="19">
        <f t="shared" si="0"/>
        <v>410638.64824714547</v>
      </c>
      <c r="K16" t="s">
        <v>13</v>
      </c>
      <c r="L16" s="2">
        <f t="shared" si="1"/>
        <v>410638.64824714547</v>
      </c>
      <c r="M16" s="12">
        <f t="shared" si="2"/>
        <v>205319.32412357273</v>
      </c>
      <c r="N16" s="12">
        <f>I30</f>
        <v>205319.32412357279</v>
      </c>
      <c r="O16" s="16">
        <f>SUM(L16:N16)</f>
        <v>821277.29649429093</v>
      </c>
      <c r="P16" s="16">
        <f t="shared" si="8"/>
        <v>11718.75</v>
      </c>
      <c r="Q16" s="2">
        <f>P16*12*5+160000</f>
        <v>863125</v>
      </c>
      <c r="R16" s="6">
        <f t="shared" si="9"/>
        <v>39062.5</v>
      </c>
      <c r="S16" s="2">
        <f>O16-Q16-R16</f>
        <v>-80910.203505709069</v>
      </c>
      <c r="T16" s="22">
        <f>IF(S16&gt;0, S16*0.7,S16)</f>
        <v>-80910.203505709069</v>
      </c>
    </row>
    <row r="17" spans="1:20">
      <c r="A17" s="17">
        <f t="shared" si="3"/>
        <v>8873.1956250000003</v>
      </c>
      <c r="B17" s="1" t="s">
        <v>14</v>
      </c>
      <c r="C17" s="15">
        <f t="shared" si="4"/>
        <v>4.6894531250000003E-2</v>
      </c>
      <c r="D17" s="14">
        <f>A17*C17</f>
        <v>416.1043495239258</v>
      </c>
      <c r="E17">
        <v>10</v>
      </c>
      <c r="F17" s="7">
        <f>$M$7*12</f>
        <v>3588</v>
      </c>
      <c r="G17" s="6">
        <f>F17*D17</f>
        <v>1492982.4060918458</v>
      </c>
      <c r="H17" s="18">
        <f>($C$7+160/1.3*E17)*(D17-D16)+$E$7*D17*12</f>
        <v>738433.88993771595</v>
      </c>
      <c r="I17" s="19">
        <f t="shared" si="0"/>
        <v>754548.51615412987</v>
      </c>
      <c r="K17" t="s">
        <v>14</v>
      </c>
      <c r="L17" s="2">
        <f t="shared" si="1"/>
        <v>754548.51615412987</v>
      </c>
      <c r="M17" s="12">
        <f>I24</f>
        <v>377274.25807706488</v>
      </c>
      <c r="N17" s="12">
        <f>I31</f>
        <v>377274.25807706499</v>
      </c>
      <c r="O17" s="16">
        <f>SUM(L17:N17)</f>
        <v>1509097.0323082597</v>
      </c>
      <c r="P17" s="16">
        <f t="shared" si="8"/>
        <v>14648.4375</v>
      </c>
      <c r="Q17" s="6">
        <f>P17*12*5+20000</f>
        <v>898906.25</v>
      </c>
      <c r="R17" s="6">
        <f t="shared" si="9"/>
        <v>48828.125</v>
      </c>
      <c r="S17" s="2">
        <f>O17-Q17-R17</f>
        <v>561362.65730825975</v>
      </c>
      <c r="T17" s="22">
        <f t="shared" si="10"/>
        <v>392953.86011578178</v>
      </c>
    </row>
    <row r="18" spans="1:20">
      <c r="C18" s="4"/>
      <c r="G18" s="6"/>
      <c r="H18" s="18"/>
      <c r="I18" s="19"/>
    </row>
    <row r="19" spans="1:20" ht="30">
      <c r="A19" s="10" t="s">
        <v>19</v>
      </c>
      <c r="B19" s="5" t="s">
        <v>17</v>
      </c>
      <c r="C19" t="s">
        <v>23</v>
      </c>
      <c r="D19" t="s">
        <v>15</v>
      </c>
      <c r="E19" t="s">
        <v>20</v>
      </c>
      <c r="F19" s="7" t="s">
        <v>21</v>
      </c>
      <c r="G19" t="s">
        <v>22</v>
      </c>
      <c r="H19" s="18" t="s">
        <v>0</v>
      </c>
      <c r="I19" s="20" t="s">
        <v>10</v>
      </c>
      <c r="O19"/>
      <c r="P19"/>
    </row>
    <row r="20" spans="1:20">
      <c r="A20" s="17">
        <v>7300</v>
      </c>
      <c r="B20" s="1" t="s">
        <v>25</v>
      </c>
      <c r="C20" s="15">
        <f>0.25*A2</f>
        <v>2.5000000000000001E-3</v>
      </c>
      <c r="D20" s="14">
        <f>A20*C20</f>
        <v>18.25</v>
      </c>
      <c r="E20">
        <v>10</v>
      </c>
      <c r="F20" s="7">
        <f>$M$8*12</f>
        <v>4788</v>
      </c>
      <c r="G20" s="7">
        <f>F20*D20</f>
        <v>87381</v>
      </c>
      <c r="H20" s="18">
        <f>($C$8+$D$8*E20+$E$8*12)*D20</f>
        <v>73547.5</v>
      </c>
      <c r="I20" s="21">
        <f>G20-H20</f>
        <v>13833.5</v>
      </c>
      <c r="O20"/>
      <c r="P20"/>
    </row>
    <row r="21" spans="1:20">
      <c r="A21" s="17">
        <f>A20*1.05</f>
        <v>7665</v>
      </c>
      <c r="B21" s="1" t="s">
        <v>11</v>
      </c>
      <c r="C21" s="15">
        <f>C20*1.75</f>
        <v>4.3750000000000004E-3</v>
      </c>
      <c r="D21" s="14">
        <f t="shared" ref="D21:D24" si="11">A21*C21</f>
        <v>33.534375000000004</v>
      </c>
      <c r="E21">
        <v>10</v>
      </c>
      <c r="F21" s="7">
        <f>$M$8*12</f>
        <v>4788</v>
      </c>
      <c r="G21" s="7">
        <f t="shared" ref="G21:G24" si="12">F21*D21</f>
        <v>160562.58750000002</v>
      </c>
      <c r="H21" s="18">
        <f>($C$8+160/1.3*E21)*(D21-D20)+$E$8*D21*12</f>
        <v>99752.569711538483</v>
      </c>
      <c r="I21" s="21">
        <f t="shared" ref="I21:I24" si="13">G21-H21</f>
        <v>60810.01778846154</v>
      </c>
      <c r="O21"/>
      <c r="P21"/>
    </row>
    <row r="22" spans="1:20">
      <c r="A22" s="17">
        <f t="shared" ref="A22:A24" si="14">A21*1.05</f>
        <v>8048.25</v>
      </c>
      <c r="B22" s="1" t="s">
        <v>12</v>
      </c>
      <c r="C22" s="15">
        <f t="shared" ref="C22:C24" si="15">C21*1.75</f>
        <v>7.6562500000000007E-3</v>
      </c>
      <c r="D22" s="14">
        <f t="shared" si="11"/>
        <v>61.619414062500006</v>
      </c>
      <c r="E22">
        <v>10</v>
      </c>
      <c r="F22" s="7">
        <f t="shared" ref="F22:F24" si="16">$M$8*12</f>
        <v>4788</v>
      </c>
      <c r="G22" s="7">
        <f t="shared" si="12"/>
        <v>295033.75453125004</v>
      </c>
      <c r="H22" s="18">
        <f>($C$8+160/1.3*E22)*(D22-D21)+$E$8*D22*12</f>
        <v>183295.34684495194</v>
      </c>
      <c r="I22" s="21">
        <f t="shared" si="13"/>
        <v>111738.4076862981</v>
      </c>
      <c r="O22"/>
      <c r="P22"/>
    </row>
    <row r="23" spans="1:20">
      <c r="A23" s="17">
        <f t="shared" si="14"/>
        <v>8450.6625000000004</v>
      </c>
      <c r="B23" s="1" t="s">
        <v>13</v>
      </c>
      <c r="C23" s="15">
        <f t="shared" si="15"/>
        <v>1.3398437500000001E-2</v>
      </c>
      <c r="D23" s="14">
        <f t="shared" si="11"/>
        <v>113.22567333984377</v>
      </c>
      <c r="E23">
        <v>10</v>
      </c>
      <c r="F23" s="7">
        <f t="shared" si="16"/>
        <v>4788</v>
      </c>
      <c r="G23" s="7">
        <f t="shared" si="12"/>
        <v>542124.5239511719</v>
      </c>
      <c r="H23" s="18">
        <f>($C$8+160/1.3*E23)*(D23-D22)+$E$8*D23*12</f>
        <v>336805.19982759916</v>
      </c>
      <c r="I23" s="21">
        <f t="shared" si="13"/>
        <v>205319.32412357273</v>
      </c>
      <c r="O23"/>
      <c r="P23"/>
    </row>
    <row r="24" spans="1:20">
      <c r="A24" s="17">
        <f t="shared" si="14"/>
        <v>8873.1956250000003</v>
      </c>
      <c r="B24" s="1" t="s">
        <v>14</v>
      </c>
      <c r="C24" s="15">
        <f t="shared" si="15"/>
        <v>2.3447265625000002E-2</v>
      </c>
      <c r="D24" s="14">
        <f t="shared" si="11"/>
        <v>208.0521747619629</v>
      </c>
      <c r="E24">
        <v>10</v>
      </c>
      <c r="F24" s="7">
        <f t="shared" si="16"/>
        <v>4788</v>
      </c>
      <c r="G24" s="7">
        <f t="shared" si="12"/>
        <v>996153.81276027835</v>
      </c>
      <c r="H24" s="18">
        <f>($C$8+160/1.3*E24)*(D24-D23)+$E$8*D24*12</f>
        <v>618879.55468321347</v>
      </c>
      <c r="I24" s="21">
        <f t="shared" si="13"/>
        <v>377274.25807706488</v>
      </c>
      <c r="O24"/>
      <c r="P24"/>
    </row>
    <row r="25" spans="1:20">
      <c r="H25" s="18"/>
      <c r="I25" s="20"/>
      <c r="O25"/>
      <c r="P25"/>
    </row>
    <row r="26" spans="1:20" ht="30">
      <c r="A26" s="10" t="s">
        <v>19</v>
      </c>
      <c r="B26" s="5" t="s">
        <v>18</v>
      </c>
      <c r="C26" t="s">
        <v>23</v>
      </c>
      <c r="D26" t="s">
        <v>15</v>
      </c>
      <c r="E26" t="s">
        <v>20</v>
      </c>
      <c r="F26" s="7" t="s">
        <v>21</v>
      </c>
      <c r="G26" t="s">
        <v>22</v>
      </c>
      <c r="H26" s="18" t="s">
        <v>0</v>
      </c>
      <c r="I26" s="20" t="s">
        <v>10</v>
      </c>
      <c r="O26"/>
      <c r="P26"/>
    </row>
    <row r="27" spans="1:20">
      <c r="A27" s="17">
        <v>7300</v>
      </c>
      <c r="B27" s="1" t="s">
        <v>25</v>
      </c>
      <c r="C27" s="15">
        <f>0.25*A2</f>
        <v>2.5000000000000001E-3</v>
      </c>
      <c r="D27" s="14">
        <f>A27*C27</f>
        <v>18.25</v>
      </c>
      <c r="E27">
        <v>10</v>
      </c>
      <c r="F27" s="7">
        <f>$M$9*12</f>
        <v>5988</v>
      </c>
      <c r="G27" s="12">
        <f>F27*D27</f>
        <v>109281</v>
      </c>
      <c r="H27" s="18">
        <f>($C$9+$D$9*E27+$E$9*12)*D27</f>
        <v>95447.5</v>
      </c>
      <c r="I27" s="21">
        <f>G27-H27</f>
        <v>13833.5</v>
      </c>
      <c r="O27"/>
      <c r="P27"/>
    </row>
    <row r="28" spans="1:20">
      <c r="A28" s="17">
        <f>A27*1.05</f>
        <v>7665</v>
      </c>
      <c r="B28" s="1" t="s">
        <v>11</v>
      </c>
      <c r="C28" s="15">
        <f>C27*1.75</f>
        <v>4.3750000000000004E-3</v>
      </c>
      <c r="D28" s="14">
        <f t="shared" ref="D28:D31" si="17">A28*C28</f>
        <v>33.534375000000004</v>
      </c>
      <c r="E28">
        <v>10</v>
      </c>
      <c r="F28" s="7">
        <f>$M$9*12</f>
        <v>5988</v>
      </c>
      <c r="G28" s="12">
        <f t="shared" ref="G28:G31" si="18">F28*D28</f>
        <v>200803.83750000002</v>
      </c>
      <c r="H28" s="18">
        <f>($C$9+160/1.3*E28)*(D28-D27)+$E$9*D28*12</f>
        <v>139993.8197115385</v>
      </c>
      <c r="I28" s="21">
        <f t="shared" ref="I28:I31" si="19">G28-H28</f>
        <v>60810.017788461526</v>
      </c>
      <c r="O28"/>
      <c r="P28"/>
    </row>
    <row r="29" spans="1:20">
      <c r="A29" s="17">
        <f t="shared" ref="A29:A31" si="20">A28*1.05</f>
        <v>8048.25</v>
      </c>
      <c r="B29" s="1" t="s">
        <v>12</v>
      </c>
      <c r="C29" s="15">
        <f t="shared" ref="C29:C31" si="21">C28*1.75</f>
        <v>7.6562500000000007E-3</v>
      </c>
      <c r="D29" s="14">
        <f t="shared" si="17"/>
        <v>61.619414062500006</v>
      </c>
      <c r="E29">
        <v>10</v>
      </c>
      <c r="F29" s="7">
        <f t="shared" ref="F29:F31" si="22">$M$9*12</f>
        <v>5988</v>
      </c>
      <c r="G29" s="12">
        <f t="shared" si="18"/>
        <v>368977.05140625004</v>
      </c>
      <c r="H29" s="18">
        <f>($C$9+160/1.3*E29)*(D29-D28)+$E$9*D29*12</f>
        <v>257238.64371995191</v>
      </c>
      <c r="I29" s="21">
        <f t="shared" si="19"/>
        <v>111738.40768629813</v>
      </c>
      <c r="O29"/>
      <c r="P29"/>
    </row>
    <row r="30" spans="1:20">
      <c r="A30" s="17">
        <f t="shared" si="20"/>
        <v>8450.6625000000004</v>
      </c>
      <c r="B30" s="1" t="s">
        <v>13</v>
      </c>
      <c r="C30" s="15">
        <f t="shared" si="21"/>
        <v>1.3398437500000001E-2</v>
      </c>
      <c r="D30" s="14">
        <f t="shared" si="17"/>
        <v>113.22567333984377</v>
      </c>
      <c r="E30">
        <v>10</v>
      </c>
      <c r="F30" s="7">
        <f t="shared" si="22"/>
        <v>5988</v>
      </c>
      <c r="G30" s="12">
        <f t="shared" si="18"/>
        <v>677995.33195898449</v>
      </c>
      <c r="H30" s="18">
        <f>($C$9+160/1.3*E30)*(D30-D29)+$E$9*D30*12</f>
        <v>472676.0078354117</v>
      </c>
      <c r="I30" s="21">
        <f t="shared" si="19"/>
        <v>205319.32412357279</v>
      </c>
      <c r="O30"/>
      <c r="P30"/>
    </row>
    <row r="31" spans="1:20">
      <c r="A31" s="17">
        <f t="shared" si="20"/>
        <v>8873.1956250000003</v>
      </c>
      <c r="B31" s="1" t="s">
        <v>14</v>
      </c>
      <c r="C31" s="15">
        <f t="shared" si="21"/>
        <v>2.3447265625000002E-2</v>
      </c>
      <c r="D31" s="14">
        <f t="shared" si="17"/>
        <v>208.0521747619629</v>
      </c>
      <c r="E31">
        <v>10</v>
      </c>
      <c r="F31" s="7">
        <f t="shared" si="22"/>
        <v>5988</v>
      </c>
      <c r="G31" s="12">
        <f t="shared" si="18"/>
        <v>1245816.4224746339</v>
      </c>
      <c r="H31" s="18">
        <f>($C$9+160/1.3*E31)*(D31-D30)+$E$9*D31*12</f>
        <v>868542.16439756891</v>
      </c>
      <c r="I31" s="21">
        <f t="shared" si="19"/>
        <v>377274.25807706499</v>
      </c>
      <c r="O31"/>
      <c r="P31"/>
    </row>
    <row r="32" spans="1:20">
      <c r="C32" s="13"/>
      <c r="O32"/>
      <c r="P32"/>
    </row>
  </sheetData>
  <mergeCells count="1">
    <mergeCell ref="J5:L5"/>
  </mergeCells>
  <conditionalFormatting sqref="S1:T1 S11:T1048576 O2:P10">
    <cfRule type="cellIs" dxfId="0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GaoYaqiong</dc:creator>
  <cp:lastModifiedBy>Tim</cp:lastModifiedBy>
  <dcterms:created xsi:type="dcterms:W3CDTF">2016-09-21T20:28:46Z</dcterms:created>
  <dcterms:modified xsi:type="dcterms:W3CDTF">2016-10-21T04:47:58Z</dcterms:modified>
</cp:coreProperties>
</file>