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ChemEEE\ChemEEE\"/>
    </mc:Choice>
  </mc:AlternateContent>
  <xr:revisionPtr revIDLastSave="0" documentId="13_ncr:1_{D29D5E41-A9A3-47BA-BF1B-6B272F52E249}" xr6:coauthVersionLast="47" xr6:coauthVersionMax="47" xr10:uidLastSave="{00000000-0000-0000-0000-000000000000}"/>
  <bookViews>
    <workbookView xWindow="-120" yWindow="-120" windowWidth="29040" windowHeight="15720" activeTab="2" xr2:uid="{5BB5957B-335A-4C9E-A2A2-CD79104507D7}"/>
  </bookViews>
  <sheets>
    <sheet name="Plot Data" sheetId="1" r:id="rId1"/>
    <sheet name="Cost" sheetId="2" r:id="rId2"/>
    <sheet name="Yield" sheetId="5" r:id="rId3"/>
    <sheet name="SoilHealth" sheetId="4" r:id="rId4"/>
    <sheet name="EP222" sheetId="7" r:id="rId5"/>
    <sheet name="EP" sheetId="8" r:id="rId6"/>
    <sheet name="SQI" sheetId="9" r:id="rId7"/>
  </sheets>
  <externalReferences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7" l="1"/>
  <c r="O18" i="7" s="1"/>
  <c r="C33" i="7"/>
  <c r="O8" i="7" s="1"/>
  <c r="P21" i="7"/>
  <c r="J15" i="7"/>
  <c r="J14" i="7"/>
  <c r="I10" i="7"/>
  <c r="E10" i="7"/>
  <c r="J10" i="7" s="1"/>
  <c r="I7" i="7"/>
  <c r="E7" i="7"/>
  <c r="J7" i="7" s="1"/>
  <c r="J6" i="7"/>
  <c r="I6" i="7"/>
  <c r="J5" i="7"/>
  <c r="F5" i="7"/>
  <c r="J4" i="7"/>
  <c r="H4" i="7"/>
  <c r="I4" i="7" s="1"/>
  <c r="G4" i="7"/>
  <c r="L6" i="7" l="1"/>
  <c r="K4" i="7"/>
  <c r="L4" i="7"/>
  <c r="L7" i="7"/>
  <c r="K7" i="7"/>
  <c r="L10" i="7"/>
  <c r="K10" i="7"/>
  <c r="P22" i="7"/>
  <c r="G5" i="7" a="1"/>
  <c r="K6" i="7"/>
  <c r="I5" i="7" l="1"/>
  <c r="L5" i="7" s="1"/>
  <c r="G5" i="7"/>
  <c r="K5" i="7" s="1"/>
  <c r="K8" i="7" s="1"/>
  <c r="K11" i="7"/>
  <c r="P3" i="7" s="1"/>
  <c r="P5" i="7" s="1"/>
  <c r="P7" i="7" s="1"/>
  <c r="K15" i="7"/>
  <c r="L11" i="7"/>
  <c r="P13" i="7" s="1"/>
  <c r="P15" i="7" s="1"/>
  <c r="P17" i="7" s="1"/>
  <c r="L15" i="7"/>
  <c r="L8" i="7"/>
  <c r="L13" i="7" l="1"/>
  <c r="O13" i="7"/>
  <c r="L14" i="7"/>
  <c r="K13" i="7"/>
  <c r="O3" i="7"/>
  <c r="K14" i="7"/>
  <c r="O9" i="7" l="1"/>
  <c r="O5" i="7"/>
  <c r="O7" i="7" s="1"/>
  <c r="R7" i="7" s="1"/>
  <c r="O15" i="7"/>
  <c r="O17" i="7" s="1"/>
  <c r="R17" i="7" s="1"/>
  <c r="O19" i="7"/>
  <c r="X19" i="7" l="1"/>
  <c r="O24" i="7"/>
  <c r="O26" i="7" s="1"/>
  <c r="D10" i="1" l="1"/>
  <c r="D14" i="1"/>
  <c r="D17" i="1" s="1"/>
  <c r="G24" i="1"/>
  <c r="H24" i="1"/>
  <c r="I24" i="1"/>
  <c r="G25" i="1"/>
  <c r="H25" i="1"/>
  <c r="I25" i="1"/>
  <c r="G26" i="1"/>
  <c r="H26" i="1"/>
  <c r="I26" i="1"/>
  <c r="G27" i="1"/>
  <c r="H27" i="1"/>
  <c r="I27" i="1"/>
  <c r="G28" i="1"/>
  <c r="H28" i="1"/>
  <c r="I28" i="1"/>
  <c r="G29" i="1"/>
  <c r="H29" i="1"/>
  <c r="I29" i="1"/>
  <c r="D30" i="1"/>
  <c r="D62" i="1" s="1"/>
  <c r="E30" i="1"/>
  <c r="E62" i="1" s="1"/>
  <c r="F30" i="1"/>
  <c r="C73" i="1" s="1"/>
  <c r="G30" i="1"/>
  <c r="L30" i="1"/>
  <c r="C63" i="1" s="1"/>
  <c r="M30" i="1"/>
  <c r="N30" i="1" s="1"/>
  <c r="G36" i="1"/>
  <c r="H36" i="1"/>
  <c r="I36" i="1"/>
  <c r="G37" i="1"/>
  <c r="H37" i="1"/>
  <c r="I37" i="1"/>
  <c r="G38" i="1"/>
  <c r="H38" i="1"/>
  <c r="I38" i="1"/>
  <c r="G39" i="1"/>
  <c r="H39" i="1"/>
  <c r="I39" i="1"/>
  <c r="G40" i="1"/>
  <c r="H40" i="1"/>
  <c r="G41" i="1"/>
  <c r="H41" i="1"/>
  <c r="D42" i="1"/>
  <c r="D67" i="1" s="1"/>
  <c r="E42" i="1"/>
  <c r="G42" i="1" s="1"/>
  <c r="L42" i="1"/>
  <c r="C68" i="1" s="1"/>
  <c r="M42" i="1"/>
  <c r="E68" i="1" s="1"/>
  <c r="I44" i="1"/>
  <c r="D54" i="1"/>
  <c r="E54" i="1" s="1"/>
  <c r="D56" i="1"/>
  <c r="E56" i="1"/>
  <c r="C67" i="1"/>
  <c r="C74" i="1"/>
  <c r="D74" i="1"/>
  <c r="G88" i="1"/>
  <c r="H88" i="1"/>
  <c r="I88" i="1" s="1"/>
  <c r="J88" i="1"/>
  <c r="F89" i="1"/>
  <c r="J89" i="1"/>
  <c r="I90" i="1"/>
  <c r="J90" i="1"/>
  <c r="K90" i="1"/>
  <c r="E91" i="1"/>
  <c r="J91" i="1" s="1"/>
  <c r="I91" i="1"/>
  <c r="E94" i="1"/>
  <c r="I94" i="1"/>
  <c r="J94" i="1"/>
  <c r="L94" i="1" s="1"/>
  <c r="L99" i="1" s="1"/>
  <c r="K94" i="1"/>
  <c r="K95" i="1" s="1"/>
  <c r="P87" i="1" s="1"/>
  <c r="P89" i="1" s="1"/>
  <c r="P91" i="1" s="1"/>
  <c r="J98" i="1"/>
  <c r="J99" i="1"/>
  <c r="D68" i="1" l="1"/>
  <c r="L90" i="1"/>
  <c r="D73" i="1"/>
  <c r="I32" i="1"/>
  <c r="E67" i="1"/>
  <c r="D63" i="1"/>
  <c r="C62" i="1"/>
  <c r="K99" i="1"/>
  <c r="G89" i="1" a="1"/>
  <c r="G89" i="1" s="1"/>
  <c r="K89" i="1" s="1"/>
  <c r="I42" i="1"/>
  <c r="E63" i="1"/>
  <c r="K91" i="1"/>
  <c r="L91" i="1"/>
  <c r="L88" i="1"/>
  <c r="H30" i="1"/>
  <c r="L95" i="1"/>
  <c r="P94" i="1" s="1"/>
  <c r="P96" i="1" s="1"/>
  <c r="P98" i="1" s="1"/>
  <c r="H42" i="1"/>
  <c r="I30" i="1"/>
  <c r="K88" i="1"/>
  <c r="I89" i="1" l="1"/>
  <c r="L89" i="1" s="1"/>
  <c r="K92" i="1"/>
  <c r="L92" i="1"/>
  <c r="K97" i="1"/>
  <c r="K98" i="1"/>
  <c r="O87" i="1"/>
  <c r="O89" i="1" s="1"/>
  <c r="O91" i="1" s="1"/>
  <c r="R91" i="1" s="1"/>
  <c r="O94" i="1" l="1"/>
  <c r="O96" i="1" s="1"/>
  <c r="O98" i="1" s="1"/>
  <c r="R98" i="1" s="1"/>
  <c r="L97" i="1"/>
  <c r="L9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Guest User</author>
    <author>tc={F9A10AC7-DFA3-4361-B693-07CF1EDA1334}</author>
    <author>tc={3B8AD30F-9539-4B1B-88E3-CA59EB246842}</author>
    <author>tc={FA18B9B9-07E9-422B-9725-0ABECF9861A0}</author>
    <author>tc={9E08E42A-6242-40C5-B79A-28FCF41D0A1A}</author>
    <author>tc={99F5176B-2942-4C81-B605-89C7372A477C}</author>
    <author>tc={CFFD3B61-CFEA-4C93-85F6-D763BC1A8198}</author>
  </authors>
  <commentList>
    <comment ref="M30" authorId="0" shapeId="0" xr:uid="{72CE1EDD-4116-4D0A-B8A4-F6F8BF0332E5}">
      <text>
        <r>
          <rPr>
            <sz val="11"/>
            <color theme="1"/>
            <rFont val="Calibri"/>
            <family val="2"/>
            <scheme val="minor"/>
          </rPr>
          <t xml:space="preserve">Unknown User:
A huge  jump after regenerative 
We notice something here
why ? 
How to improve ? 
</t>
        </r>
      </text>
    </comment>
    <comment ref="E49" authorId="0" shapeId="0" xr:uid="{E0BDD7B1-814F-424F-85EB-399DEC908AB7}">
      <text>
        <r>
          <rPr>
            <sz val="11"/>
            <color theme="1"/>
            <rFont val="Calibri"/>
            <family val="2"/>
            <scheme val="minor"/>
          </rPr>
          <t xml:space="preserve">Unknown User:very low nitrogen </t>
        </r>
      </text>
    </comment>
    <comment ref="O88" authorId="1" shapeId="0" xr:uid="{F9A10AC7-DFA3-4361-B693-07CF1EDA133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https://www.sciencedirect.com/science/article/abs/pii/S0048969722020861#s0040</t>
      </text>
    </comment>
    <comment ref="N90" authorId="2" shapeId="0" xr:uid="{3B8AD30F-9539-4B1B-88E3-CA59EB246842}">
      <text>
        <t>[Threaded comment]
Your version of Excel allows you to read this threaded comment; however, any edits to it will get removed if the file is opened in a newer version of Excel. Learn more: https://go.microsoft.com/fwlink/?linkid=870924
Comment:
    characterisation factor</t>
      </text>
    </comment>
    <comment ref="F91" authorId="3" shapeId="0" xr:uid="{FA18B9B9-07E9-422B-9725-0ABECF9861A0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https://www.artal.net/en/foliar-fertilizers/npk/</t>
      </text>
    </comment>
    <comment ref="E94" authorId="4" shapeId="0" xr:uid="{9E08E42A-6242-40C5-B79A-28FCF41D0A1A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https://pmc.ncbi.nlm.nih.gov/articles/PMC10455696/</t>
      </text>
    </comment>
    <comment ref="G94" authorId="5" shapeId="0" xr:uid="{99F5176B-2942-4C81-B605-89C7372A477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10.3390/cells10020393
</t>
      </text>
    </comment>
    <comment ref="N97" authorId="6" shapeId="0" xr:uid="{CFFD3B61-CFEA-4C93-85F6-D763BC1A8198}">
      <text>
        <t>[Threaded comment]
Your version of Excel allows you to read this threaded comment; however, any edits to it will get removed if the file is opened in a newer version of Excel. Learn more: https://go.microsoft.com/fwlink/?linkid=870924
Comment:
    characterisation factor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tc={467E1ADD-031F-424C-B119-828FF693F92D}</author>
    <author>tc={713FB98B-46DE-44AA-A8C4-91CC6D0252B9}</author>
    <author>tc={66FCCBE6-59A4-4AF5-BEE4-49F587A406FC}</author>
    <author>tc={BCD7339C-B5A0-4D7D-9C7A-8F51584576F3}</author>
    <author>tc={E2E97641-9E7F-441F-AF5B-0DC4AE9230D9}</author>
    <author>tc={8780480E-5AE1-4C3E-BD32-4BBBBAC8E121}</author>
    <author>tc={51D6DCCD-43ED-428E-BDAB-D0D0B68933A2}</author>
    <author>tc={1D782AA3-34C2-4815-AA8C-F0983B9D790E}</author>
  </authors>
  <commentList>
    <comment ref="N4" authorId="0" shapeId="0" xr:uid="{467E1ADD-031F-424C-B119-828FF693F92D}">
      <text>
        <t>[Threaded comment]
Your version of Excel allows you to read this threaded comment; however, any edits to it will get removed if the file is opened in a newer version of Excel. Learn more: https://go.microsoft.com/fwlink/?linkid=870924
Comment:
    Emission factor</t>
      </text>
    </comment>
    <comment ref="O4" authorId="1" shapeId="0" xr:uid="{713FB98B-46DE-44AA-A8C4-91CC6D0252B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https://www.sciencedirect.com/science/article/abs/pii/S0048969722020861#s0040</t>
      </text>
    </comment>
    <comment ref="N6" authorId="2" shapeId="0" xr:uid="{66FCCBE6-59A4-4AF5-BEE4-49F587A406FC}">
      <text>
        <t>[Threaded comment]
Your version of Excel allows you to read this threaded comment; however, any edits to it will get removed if the file is opened in a newer version of Excel. Learn more: https://go.microsoft.com/fwlink/?linkid=870924
Comment:
    characterisation factor</t>
      </text>
    </comment>
    <comment ref="F7" authorId="3" shapeId="0" xr:uid="{BCD7339C-B5A0-4D7D-9C7A-8F51584576F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https://www.artal.net/en/foliar-fertilizers/npk/</t>
      </text>
    </comment>
    <comment ref="O8" authorId="4" shapeId="0" xr:uid="{E2E97641-9E7F-441F-AF5B-0DC4AE9230D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10.2495/SDP-V13-N8-1050-1060
</t>
      </text>
    </comment>
    <comment ref="E10" authorId="5" shapeId="0" xr:uid="{8780480E-5AE1-4C3E-BD32-4BBBBAC8E12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https://pmc.ncbi.nlm.nih.gov/articles/PMC10455696/</t>
      </text>
    </comment>
    <comment ref="G10" authorId="6" shapeId="0" xr:uid="{51D6DCCD-43ED-428E-BDAB-D0D0B68933A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10.3390/cells10020393
</t>
      </text>
    </comment>
    <comment ref="N16" authorId="7" shapeId="0" xr:uid="{1D782AA3-34C2-4815-AA8C-F0983B9D790E}">
      <text>
        <t>[Threaded comment]
Your version of Excel allows you to read this threaded comment; however, any edits to it will get removed if the file is opened in a newer version of Excel. Learn more: https://go.microsoft.com/fwlink/?linkid=870924
Comment:
    characterisation factor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<sst xmlns="http://schemas.openxmlformats.org/spreadsheetml/2006/main" count="264" uniqueCount="117">
  <si>
    <t>kg PO4 eq</t>
  </si>
  <si>
    <t>EP</t>
  </si>
  <si>
    <t>Application rate (kg N/ha or kg P/ha)</t>
  </si>
  <si>
    <t>kg PO4 eq/kg emitted</t>
  </si>
  <si>
    <t>Midpoint CF</t>
  </si>
  <si>
    <t>Reductions</t>
  </si>
  <si>
    <t>kg P</t>
  </si>
  <si>
    <t>Emission</t>
  </si>
  <si>
    <t>kg P/kg P applied</t>
  </si>
  <si>
    <t>Emission factor</t>
  </si>
  <si>
    <t>kg</t>
  </si>
  <si>
    <t>P used/year</t>
  </si>
  <si>
    <t>Microalgae water</t>
  </si>
  <si>
    <t>Regenerative</t>
  </si>
  <si>
    <t>Regen</t>
  </si>
  <si>
    <t>Conv</t>
  </si>
  <si>
    <t>kg N eq</t>
  </si>
  <si>
    <t>10-5-12</t>
  </si>
  <si>
    <t>Foliar (fertiliser)</t>
  </si>
  <si>
    <t>kg N eq/kg emitted</t>
  </si>
  <si>
    <t>5-5-5</t>
  </si>
  <si>
    <t>Guang Fong</t>
  </si>
  <si>
    <t>kg NO3</t>
  </si>
  <si>
    <t>Agroharta</t>
  </si>
  <si>
    <t>kg NO3/kg N applied</t>
  </si>
  <si>
    <t>15-15-15</t>
  </si>
  <si>
    <t>DEEBAJ SUPERGRO NPK</t>
  </si>
  <si>
    <t>Conventional</t>
  </si>
  <si>
    <t>N used/year</t>
  </si>
  <si>
    <t>P applied</t>
  </si>
  <si>
    <t>N applied</t>
  </si>
  <si>
    <t>Total</t>
  </si>
  <si>
    <t>P</t>
  </si>
  <si>
    <t>P2O5</t>
  </si>
  <si>
    <t>N</t>
  </si>
  <si>
    <t>Class</t>
  </si>
  <si>
    <t>kg/unit</t>
  </si>
  <si>
    <t>Units</t>
  </si>
  <si>
    <t>Chemical</t>
  </si>
  <si>
    <t>Technique</t>
  </si>
  <si>
    <t>Reduction</t>
  </si>
  <si>
    <t>Monthly use(kg)</t>
  </si>
  <si>
    <t>Mass (kg)</t>
  </si>
  <si>
    <t>Mass percentages</t>
  </si>
  <si>
    <t>Fertiliser</t>
  </si>
  <si>
    <t>Monthly use</t>
  </si>
  <si>
    <t>EUTROPHICATION POTENTIAL REDUCTION</t>
  </si>
  <si>
    <t>ACTIONABLE INSIGHTS- RAG</t>
  </si>
  <si>
    <t>Limau Kasturi</t>
  </si>
  <si>
    <t>Limau Nipis</t>
  </si>
  <si>
    <t>Regenerative Farming</t>
  </si>
  <si>
    <t>Conventional Farming</t>
  </si>
  <si>
    <t>Yield/site/month(kg/site/month)</t>
  </si>
  <si>
    <t>Disaggregation of Mixed-Source Harvest Data</t>
  </si>
  <si>
    <t>After Regenerative Farming 6 months</t>
  </si>
  <si>
    <t>Before Regenerative Farming</t>
  </si>
  <si>
    <t>Low Grade Product (%)</t>
  </si>
  <si>
    <t>Grade A Percentage (%)</t>
  </si>
  <si>
    <t>Total Yield per Hectare (tonnes/ha)</t>
  </si>
  <si>
    <t>Limau Kasturi Yield</t>
  </si>
  <si>
    <t>Limau Nipis Yield</t>
  </si>
  <si>
    <t>Yield</t>
  </si>
  <si>
    <t>Pesticides</t>
  </si>
  <si>
    <t>Soil Regenerative Agent</t>
  </si>
  <si>
    <t>After Regenerative Farming 2 months</t>
  </si>
  <si>
    <t>Fertilizer</t>
  </si>
  <si>
    <t>Pesticide + Foliar Agrochemicals</t>
  </si>
  <si>
    <t>Cost (RM)</t>
  </si>
  <si>
    <t>Category</t>
  </si>
  <si>
    <t>Cost/Month</t>
  </si>
  <si>
    <t>Total Nitrogen (%)</t>
  </si>
  <si>
    <t>Total Carbon (%)</t>
  </si>
  <si>
    <t>Organic Matter (%)</t>
  </si>
  <si>
    <t>Soil Health</t>
  </si>
  <si>
    <t>METRICS PAGE</t>
  </si>
  <si>
    <t>TOTAL</t>
  </si>
  <si>
    <t>Harvest from 1 site Regenerative Farming + 8 sites Conventional Farming</t>
  </si>
  <si>
    <t>Harvest from 9 sites Conventional Farming</t>
  </si>
  <si>
    <t>Farming Method</t>
  </si>
  <si>
    <t>Total Harvest (kg)</t>
  </si>
  <si>
    <t>Grade B (kg)</t>
  </si>
  <si>
    <t>Grade A (kg)</t>
  </si>
  <si>
    <t>Month</t>
  </si>
  <si>
    <t>Low Grade Product</t>
  </si>
  <si>
    <t>Grade B spike</t>
  </si>
  <si>
    <t>Grade A spike</t>
  </si>
  <si>
    <t>1st month</t>
  </si>
  <si>
    <t>1st month (Sep 24)</t>
  </si>
  <si>
    <t>Day No in Month</t>
  </si>
  <si>
    <t>Per Month Regenerative Farming Cost</t>
  </si>
  <si>
    <t>Per Month Conventional Cost</t>
  </si>
  <si>
    <t>Total(RM)</t>
  </si>
  <si>
    <t>Grade A</t>
  </si>
  <si>
    <t>Grade B</t>
  </si>
  <si>
    <t>EF</t>
  </si>
  <si>
    <t>Carbon EF</t>
  </si>
  <si>
    <t>kg CO2eq/kg N applied</t>
  </si>
  <si>
    <t>C footprint</t>
  </si>
  <si>
    <t>kg CO2eq</t>
  </si>
  <si>
    <t>L</t>
  </si>
  <si>
    <t>kg/L</t>
  </si>
  <si>
    <t>kg CO2eq/kg P applied</t>
  </si>
  <si>
    <t>C uptake by MA</t>
  </si>
  <si>
    <t>kg CO2eq/kg MA</t>
  </si>
  <si>
    <t>C avoided</t>
  </si>
  <si>
    <t>kg CO2eq/year</t>
  </si>
  <si>
    <t>Credit sale price</t>
  </si>
  <si>
    <t>RM/ton CO2</t>
  </si>
  <si>
    <t>Revenue</t>
  </si>
  <si>
    <t>RM/year</t>
  </si>
  <si>
    <t>Revenue is not practical xd</t>
  </si>
  <si>
    <t>Carbon Footprint</t>
  </si>
  <si>
    <t>Eutrophication Potential N</t>
  </si>
  <si>
    <t>Eutrophication Potential P</t>
  </si>
  <si>
    <t>Eutrophication Potential N(kg N eq)</t>
  </si>
  <si>
    <t>Eutrophication Potential P(kg PO4 eq)</t>
  </si>
  <si>
    <t>Carbon Footprint(kg CO2eq)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</si>
</sst>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70C0"/>
      <name val="Times New Roman"/>
      <family val="1"/>
      <charset val="1"/>
    </font>
    <font>
      <b/>
      <sz val="12"/>
      <color rgb="FF0070C0"/>
      <name val="Times New Roman"/>
      <family val="1"/>
    </font>
    <font>
      <sz val="10"/>
      <color theme="1"/>
      <name val="Arial"/>
      <family val="2"/>
    </font>
    <font>
      <b/>
      <sz val="12"/>
      <color rgb="FF4472C4"/>
      <name val="Times New Roman"/>
      <family val="1"/>
      <charset val="1"/>
    </font>
    <font>
      <b/>
      <sz val="12"/>
      <color theme="4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  <charset val="1"/>
    </font>
    <font>
      <b/>
      <sz val="12"/>
      <name val="Times New Roman"/>
      <family val="1"/>
    </font>
    <font>
      <b/>
      <sz val="10"/>
      <color theme="1"/>
      <name val="Arial"/>
      <family val="2"/>
    </font>
    <font>
      <b/>
      <sz val="12"/>
      <color theme="1"/>
      <name val="Arial Black"/>
      <family val="2"/>
    </font>
    <font>
      <sz val="12"/>
      <color rgb="FF43434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103">
    <xf numFmtId="0" fontId="0" fillId="0" borderId="0" xfId="0"/>
    <xf numFmtId="164" fontId="3" fillId="0" borderId="2" xfId="1" applyNumberFormat="1" applyFont="1" applyBorder="1"/>
    <xf numFmtId="0" fontId="3" fillId="0" borderId="3" xfId="0" applyFont="1" applyBorder="1"/>
    <xf numFmtId="165" fontId="3" fillId="0" borderId="3" xfId="0" applyNumberFormat="1" applyFont="1" applyBorder="1"/>
    <xf numFmtId="0" fontId="3" fillId="0" borderId="4" xfId="0" applyFont="1" applyBorder="1"/>
    <xf numFmtId="1" fontId="0" fillId="0" borderId="0" xfId="0" applyNumberFormat="1"/>
    <xf numFmtId="9" fontId="0" fillId="0" borderId="0" xfId="1" applyFon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4" fontId="0" fillId="0" borderId="0" xfId="1" applyNumberFormat="1" applyFont="1"/>
    <xf numFmtId="9" fontId="0" fillId="0" borderId="0" xfId="0" applyNumberFormat="1"/>
    <xf numFmtId="0" fontId="0" fillId="3" borderId="0" xfId="0" applyFill="1"/>
    <xf numFmtId="166" fontId="3" fillId="0" borderId="3" xfId="0" applyNumberFormat="1" applyFont="1" applyBorder="1"/>
    <xf numFmtId="10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0" fontId="2" fillId="2" borderId="1" xfId="2"/>
    <xf numFmtId="2" fontId="0" fillId="0" borderId="5" xfId="0" applyNumberFormat="1" applyBorder="1"/>
    <xf numFmtId="0" fontId="0" fillId="0" borderId="5" xfId="0" applyBorder="1"/>
    <xf numFmtId="0" fontId="5" fillId="0" borderId="0" xfId="0" applyFont="1"/>
    <xf numFmtId="166" fontId="6" fillId="0" borderId="5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6" fillId="4" borderId="5" xfId="0" applyFont="1" applyFill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/>
    <xf numFmtId="0" fontId="6" fillId="0" borderId="5" xfId="0" applyFont="1" applyBorder="1" applyAlignment="1">
      <alignment horizontal="center" vertical="center" wrapText="1"/>
    </xf>
    <xf numFmtId="0" fontId="7" fillId="0" borderId="0" xfId="0" applyFont="1"/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top" wrapText="1"/>
    </xf>
    <xf numFmtId="0" fontId="0" fillId="0" borderId="0" xfId="0" applyAlignment="1">
      <alignment horizontal="left"/>
    </xf>
    <xf numFmtId="0" fontId="6" fillId="0" borderId="5" xfId="0" applyFont="1" applyBorder="1" applyAlignment="1">
      <alignment horizontal="center" vertical="center"/>
    </xf>
    <xf numFmtId="0" fontId="8" fillId="0" borderId="5" xfId="0" applyFont="1" applyBorder="1"/>
    <xf numFmtId="0" fontId="9" fillId="0" borderId="5" xfId="0" applyFont="1" applyBorder="1" applyAlignment="1">
      <alignment wrapText="1"/>
    </xf>
    <xf numFmtId="0" fontId="10" fillId="0" borderId="5" xfId="0" applyFont="1" applyBorder="1" applyAlignment="1">
      <alignment horizontal="right" wrapText="1"/>
    </xf>
    <xf numFmtId="0" fontId="10" fillId="4" borderId="17" xfId="0" applyFont="1" applyFill="1" applyBorder="1" applyAlignment="1">
      <alignment horizontal="left" wrapText="1"/>
    </xf>
    <xf numFmtId="9" fontId="0" fillId="0" borderId="7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9" fontId="11" fillId="0" borderId="7" xfId="0" applyNumberFormat="1" applyFont="1" applyBorder="1" applyAlignment="1">
      <alignment horizontal="center" wrapText="1"/>
    </xf>
    <xf numFmtId="0" fontId="12" fillId="0" borderId="18" xfId="0" applyFont="1" applyBorder="1" applyAlignment="1">
      <alignment wrapText="1"/>
    </xf>
    <xf numFmtId="0" fontId="13" fillId="0" borderId="5" xfId="0" applyFont="1" applyBorder="1" applyAlignment="1">
      <alignment horizontal="right" wrapText="1"/>
    </xf>
    <xf numFmtId="17" fontId="13" fillId="4" borderId="5" xfId="0" applyNumberFormat="1" applyFont="1" applyFill="1" applyBorder="1" applyAlignment="1">
      <alignment horizontal="left" wrapText="1"/>
    </xf>
    <xf numFmtId="0" fontId="14" fillId="0" borderId="5" xfId="0" applyFont="1" applyBorder="1" applyAlignment="1">
      <alignment horizontal="left" vertical="top" wrapText="1"/>
    </xf>
    <xf numFmtId="0" fontId="15" fillId="0" borderId="0" xfId="0" applyFont="1" applyAlignment="1">
      <alignment wrapText="1"/>
    </xf>
    <xf numFmtId="0" fontId="14" fillId="0" borderId="5" xfId="0" applyFont="1" applyBorder="1" applyAlignment="1">
      <alignment horizontal="right" wrapText="1"/>
    </xf>
    <xf numFmtId="17" fontId="14" fillId="0" borderId="17" xfId="0" applyNumberFormat="1" applyFont="1" applyBorder="1" applyAlignment="1">
      <alignment horizontal="left"/>
    </xf>
    <xf numFmtId="17" fontId="14" fillId="4" borderId="5" xfId="0" applyNumberFormat="1" applyFont="1" applyFill="1" applyBorder="1" applyAlignment="1">
      <alignment horizontal="left" wrapText="1"/>
    </xf>
    <xf numFmtId="17" fontId="8" fillId="0" borderId="17" xfId="0" applyNumberFormat="1" applyFont="1" applyBorder="1" applyAlignment="1">
      <alignment horizontal="left"/>
    </xf>
    <xf numFmtId="17" fontId="14" fillId="4" borderId="17" xfId="0" applyNumberFormat="1" applyFont="1" applyFill="1" applyBorder="1" applyAlignment="1">
      <alignment horizontal="left" wrapText="1"/>
    </xf>
    <xf numFmtId="0" fontId="16" fillId="0" borderId="5" xfId="0" applyFont="1" applyBorder="1" applyAlignment="1">
      <alignment vertical="top"/>
    </xf>
    <xf numFmtId="0" fontId="16" fillId="0" borderId="5" xfId="0" applyFont="1" applyBorder="1" applyAlignment="1">
      <alignment vertical="top" wrapText="1"/>
    </xf>
    <xf numFmtId="0" fontId="16" fillId="4" borderId="17" xfId="0" applyFont="1" applyFill="1" applyBorder="1" applyAlignment="1">
      <alignment horizontal="left" vertical="top" wrapText="1"/>
    </xf>
    <xf numFmtId="0" fontId="17" fillId="0" borderId="7" xfId="0" applyFont="1" applyBorder="1" applyAlignment="1">
      <alignment vertical="top" wrapText="1"/>
    </xf>
    <xf numFmtId="0" fontId="3" fillId="0" borderId="7" xfId="0" applyFont="1" applyBorder="1" applyAlignment="1">
      <alignment vertical="top"/>
    </xf>
    <xf numFmtId="0" fontId="16" fillId="0" borderId="18" xfId="0" applyFont="1" applyBorder="1" applyAlignment="1">
      <alignment vertical="top" wrapText="1"/>
    </xf>
    <xf numFmtId="0" fontId="16" fillId="4" borderId="5" xfId="0" applyFont="1" applyFill="1" applyBorder="1" applyAlignment="1">
      <alignment horizontal="left" vertical="top" wrapText="1"/>
    </xf>
    <xf numFmtId="9" fontId="11" fillId="0" borderId="0" xfId="0" applyNumberFormat="1" applyFont="1" applyAlignment="1">
      <alignment horizontal="center" wrapText="1"/>
    </xf>
    <xf numFmtId="0" fontId="18" fillId="0" borderId="0" xfId="0" applyFont="1" applyAlignment="1">
      <alignment horizontal="left"/>
    </xf>
    <xf numFmtId="0" fontId="13" fillId="0" borderId="18" xfId="0" applyFont="1" applyBorder="1" applyAlignment="1">
      <alignment horizontal="right" wrapText="1"/>
    </xf>
    <xf numFmtId="0" fontId="8" fillId="0" borderId="5" xfId="0" applyFont="1" applyBorder="1" applyAlignment="1">
      <alignment horizontal="right" wrapText="1"/>
    </xf>
    <xf numFmtId="0" fontId="14" fillId="0" borderId="18" xfId="0" applyFont="1" applyBorder="1" applyAlignment="1">
      <alignment horizontal="right" wrapText="1"/>
    </xf>
    <xf numFmtId="0" fontId="17" fillId="0" borderId="19" xfId="0" applyFont="1" applyBorder="1" applyAlignment="1">
      <alignment vertical="top" wrapText="1"/>
    </xf>
    <xf numFmtId="0" fontId="3" fillId="0" borderId="19" xfId="0" applyFont="1" applyBorder="1" applyAlignment="1">
      <alignment vertical="top"/>
    </xf>
    <xf numFmtId="0" fontId="8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wrapText="1"/>
    </xf>
    <xf numFmtId="0" fontId="8" fillId="0" borderId="7" xfId="0" applyFont="1" applyBorder="1" applyAlignment="1">
      <alignment horizontal="right" wrapText="1"/>
    </xf>
    <xf numFmtId="0" fontId="8" fillId="0" borderId="7" xfId="0" applyFont="1" applyBorder="1" applyAlignment="1">
      <alignment wrapText="1"/>
    </xf>
    <xf numFmtId="14" fontId="19" fillId="0" borderId="7" xfId="0" applyNumberFormat="1" applyFont="1" applyBorder="1" applyAlignment="1">
      <alignment horizontal="right"/>
    </xf>
    <xf numFmtId="14" fontId="19" fillId="0" borderId="7" xfId="0" applyNumberFormat="1" applyFont="1" applyBorder="1" applyAlignment="1">
      <alignment horizontal="right" wrapText="1"/>
    </xf>
    <xf numFmtId="0" fontId="8" fillId="0" borderId="7" xfId="0" applyFont="1" applyBorder="1"/>
    <xf numFmtId="0" fontId="8" fillId="0" borderId="0" xfId="0" applyFont="1"/>
    <xf numFmtId="0" fontId="8" fillId="0" borderId="7" xfId="0" applyFont="1" applyBorder="1" applyAlignment="1">
      <alignment horizontal="center" vertical="top" wrapText="1"/>
    </xf>
    <xf numFmtId="0" fontId="8" fillId="0" borderId="7" xfId="0" applyFont="1" applyBorder="1" applyAlignment="1">
      <alignment vertical="top" wrapText="1"/>
    </xf>
    <xf numFmtId="0" fontId="8" fillId="0" borderId="7" xfId="0" applyFont="1" applyBorder="1" applyAlignment="1">
      <alignment vertical="top"/>
    </xf>
    <xf numFmtId="0" fontId="0" fillId="5" borderId="0" xfId="0" applyFill="1"/>
    <xf numFmtId="49" fontId="0" fillId="3" borderId="0" xfId="0" applyNumberFormat="1" applyFill="1"/>
    <xf numFmtId="0" fontId="3" fillId="5" borderId="4" xfId="0" applyFont="1" applyFill="1" applyBorder="1"/>
    <xf numFmtId="166" fontId="3" fillId="5" borderId="3" xfId="0" applyNumberFormat="1" applyFont="1" applyFill="1" applyBorder="1"/>
    <xf numFmtId="0" fontId="3" fillId="5" borderId="3" xfId="0" applyFont="1" applyFill="1" applyBorder="1"/>
    <xf numFmtId="164" fontId="3" fillId="5" borderId="2" xfId="1" applyNumberFormat="1" applyFont="1" applyFill="1" applyBorder="1"/>
    <xf numFmtId="0" fontId="0" fillId="5" borderId="3" xfId="0" applyFill="1" applyBorder="1"/>
    <xf numFmtId="0" fontId="3" fillId="5" borderId="2" xfId="0" applyFont="1" applyFill="1" applyBorder="1"/>
    <xf numFmtId="165" fontId="3" fillId="5" borderId="3" xfId="0" applyNumberFormat="1" applyFont="1" applyFill="1" applyBorder="1"/>
    <xf numFmtId="1" fontId="3" fillId="5" borderId="3" xfId="0" applyNumberFormat="1" applyFont="1" applyFill="1" applyBorder="1"/>
    <xf numFmtId="0" fontId="8" fillId="0" borderId="5" xfId="0" applyFont="1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14" fillId="0" borderId="5" xfId="0" applyFont="1" applyBorder="1" applyAlignment="1">
      <alignment horizontal="left" vertical="top" wrapText="1"/>
    </xf>
    <xf numFmtId="0" fontId="6" fillId="0" borderId="15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ownloads\Plant%20Data%20Atoz%20Carbon%20Cycle%20Platform(3).xlsx" TargetMode="External"/><Relationship Id="rId1" Type="http://schemas.openxmlformats.org/officeDocument/2006/relationships/externalLinkPath" Target="/Users/User/Downloads/Plant%20Data%20Atoz%20Carbon%20Cycle%20Platform(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hecklist"/>
      <sheetName val="Some Links"/>
      <sheetName val="Questions for Experts"/>
      <sheetName val="Task Tracker"/>
      <sheetName val="Lime Quality"/>
      <sheetName val="Plot Data"/>
      <sheetName val="Costing (Conventional VS Regene"/>
      <sheetName val="Soil Report"/>
      <sheetName val="EP"/>
      <sheetName val="Soil Quality Index"/>
      <sheetName val="Plant Harve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29">
          <cell r="AE29">
            <v>1.83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Ryan Soh" id="{CF76806F-FDD4-4F34-8798-7FE603DD3A9C}" userId="6ed6d6d8e3b8cbe0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88" dT="2025-08-22T14:16:12.41" personId="{CF76806F-FDD4-4F34-8798-7FE603DD3A9C}" id="{F9A10AC7-DFA3-4361-B693-07CF1EDA1334}">
    <text>https://www.sciencedirect.com/science/article/abs/pii/S0048969722020861#s0040</text>
    <extLst>
      <x:ext xmlns:xltc2="http://schemas.microsoft.com/office/spreadsheetml/2020/threadedcomments2" uri="{F7C98A9C-CBB3-438F-8F68-D28B6AF4A901}">
        <xltc2:checksum>2973772676</xltc2:checksum>
        <xltc2:hyperlink startIndex="0" length="77" url="https://www.sciencedirect.com/science/article/abs/pii/S0048969722020861#s0040"/>
      </x:ext>
    </extLst>
  </threadedComment>
  <threadedComment ref="N90" dT="2025-08-22T13:59:27.72" personId="{CF76806F-FDD4-4F34-8798-7FE603DD3A9C}" id="{3B8AD30F-9539-4B1B-88E3-CA59EB246842}">
    <text>characterisation factor</text>
  </threadedComment>
  <threadedComment ref="F91" dT="2025-08-22T10:13:02.37" personId="{CF76806F-FDD4-4F34-8798-7FE603DD3A9C}" id="{FA18B9B9-07E9-422B-9725-0ABECF9861A0}">
    <text>https://www.artal.net/en/foliar-fertilizers/npk/</text>
    <extLst>
      <x:ext xmlns:xltc2="http://schemas.microsoft.com/office/spreadsheetml/2020/threadedcomments2" uri="{F7C98A9C-CBB3-438F-8F68-D28B6AF4A901}">
        <xltc2:checksum>686476481</xltc2:checksum>
        <xltc2:hyperlink startIndex="0" length="48" url="https://www.artal.net/en/foliar-fertilizers/npk/"/>
      </x:ext>
    </extLst>
  </threadedComment>
  <threadedComment ref="E94" dT="2025-08-22T13:19:51.72" personId="{CF76806F-FDD4-4F34-8798-7FE603DD3A9C}" id="{9E08E42A-6242-40C5-B79A-28FCF41D0A1A}">
    <text>https://pmc.ncbi.nlm.nih.gov/articles/PMC10455696/</text>
    <extLst>
      <x:ext xmlns:xltc2="http://schemas.microsoft.com/office/spreadsheetml/2020/threadedcomments2" uri="{F7C98A9C-CBB3-438F-8F68-D28B6AF4A901}">
        <xltc2:checksum>35987173</xltc2:checksum>
        <xltc2:hyperlink startIndex="0" length="50" url="https://pmc.ncbi.nlm.nih.gov/articles/PMC10455696/"/>
      </x:ext>
    </extLst>
  </threadedComment>
  <threadedComment ref="G94" dT="2025-08-22T13:21:41.52" personId="{CF76806F-FDD4-4F34-8798-7FE603DD3A9C}" id="{99F5176B-2942-4C81-B605-89C7372A477C}">
    <text xml:space="preserve">10.3390/cells10020393
</text>
    <extLst>
      <x:ext xmlns:xltc2="http://schemas.microsoft.com/office/spreadsheetml/2020/threadedcomments2" uri="{F7C98A9C-CBB3-438F-8F68-D28B6AF4A901}">
        <xltc2:checksum>3427210606</xltc2:checksum>
        <xltc2:hyperlink startIndex="0" length="21" url="http://dx.doi.org/10.3390/cells10020393"/>
      </x:ext>
    </extLst>
  </threadedComment>
  <threadedComment ref="N97" dT="2025-08-22T13:59:27.72" personId="{CF76806F-FDD4-4F34-8798-7FE603DD3A9C}" id="{CFFD3B61-CFEA-4C93-85F6-D763BC1A8198}">
    <text>characterisation factor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N4" dT="2025-08-23T04:01:56.29" personId="{CF76806F-FDD4-4F34-8798-7FE603DD3A9C}" id="{467E1ADD-031F-424C-B119-828FF693F92D}">
    <text>Emission factor</text>
  </threadedComment>
  <threadedComment ref="O4" dT="2025-08-22T14:16:12.41" personId="{CF76806F-FDD4-4F34-8798-7FE603DD3A9C}" id="{713FB98B-46DE-44AA-A8C4-91CC6D0252B9}">
    <text>https://www.sciencedirect.com/science/article/abs/pii/S0048969722020861#s0040</text>
    <extLst>
      <x:ext xmlns:xltc2="http://schemas.microsoft.com/office/spreadsheetml/2020/threadedcomments2" uri="{F7C98A9C-CBB3-438F-8F68-D28B6AF4A901}">
        <xltc2:checksum>2973772676</xltc2:checksum>
        <xltc2:hyperlink startIndex="0" length="77" url="https://www.sciencedirect.com/science/article/abs/pii/S0048969722020861#s0040"/>
      </x:ext>
    </extLst>
  </threadedComment>
  <threadedComment ref="N6" dT="2025-08-22T13:59:27.72" personId="{CF76806F-FDD4-4F34-8798-7FE603DD3A9C}" id="{66FCCBE6-59A4-4AF5-BEE4-49F587A406FC}">
    <text>characterisation factor</text>
  </threadedComment>
  <threadedComment ref="F7" dT="2025-08-22T10:13:02.37" personId="{CF76806F-FDD4-4F34-8798-7FE603DD3A9C}" id="{BCD7339C-B5A0-4D7D-9C7A-8F51584576F3}">
    <text>https://www.artal.net/en/foliar-fertilizers/npk/</text>
    <extLst>
      <x:ext xmlns:xltc2="http://schemas.microsoft.com/office/spreadsheetml/2020/threadedcomments2" uri="{F7C98A9C-CBB3-438F-8F68-D28B6AF4A901}">
        <xltc2:checksum>686476481</xltc2:checksum>
        <xltc2:hyperlink startIndex="0" length="48" url="https://www.artal.net/en/foliar-fertilizers/npk/"/>
      </x:ext>
    </extLst>
  </threadedComment>
  <threadedComment ref="O8" dT="2025-08-23T04:03:03.90" personId="{CF76806F-FDD4-4F34-8798-7FE603DD3A9C}" id="{E2E97641-9E7F-441F-AF5B-0DC4AE9230D9}">
    <text xml:space="preserve">10.2495/SDP-V13-N8-1050-1060
</text>
    <extLst>
      <x:ext xmlns:xltc2="http://schemas.microsoft.com/office/spreadsheetml/2020/threadedcomments2" uri="{F7C98A9C-CBB3-438F-8F68-D28B6AF4A901}">
        <xltc2:checksum>2446222653</xltc2:checksum>
        <xltc2:hyperlink startIndex="0" length="28" url="http://dx.doi.org/10.2495/SDP-V13-N8-1050-1060"/>
      </x:ext>
    </extLst>
  </threadedComment>
  <threadedComment ref="E10" dT="2025-08-22T13:19:51.72" personId="{CF76806F-FDD4-4F34-8798-7FE603DD3A9C}" id="{8780480E-5AE1-4C3E-BD32-4BBBBAC8E121}">
    <text>https://pmc.ncbi.nlm.nih.gov/articles/PMC10455696/</text>
    <extLst>
      <x:ext xmlns:xltc2="http://schemas.microsoft.com/office/spreadsheetml/2020/threadedcomments2" uri="{F7C98A9C-CBB3-438F-8F68-D28B6AF4A901}">
        <xltc2:checksum>35987173</xltc2:checksum>
        <xltc2:hyperlink startIndex="0" length="50" url="https://pmc.ncbi.nlm.nih.gov/articles/PMC10455696/"/>
      </x:ext>
    </extLst>
  </threadedComment>
  <threadedComment ref="G10" dT="2025-08-22T13:21:41.52" personId="{CF76806F-FDD4-4F34-8798-7FE603DD3A9C}" id="{51D6DCCD-43ED-428E-BDAB-D0D0B68933A2}">
    <text xml:space="preserve">10.3390/cells10020393
</text>
    <extLst>
      <x:ext xmlns:xltc2="http://schemas.microsoft.com/office/spreadsheetml/2020/threadedcomments2" uri="{F7C98A9C-CBB3-438F-8F68-D28B6AF4A901}">
        <xltc2:checksum>3427210606</xltc2:checksum>
        <xltc2:hyperlink startIndex="0" length="21" url="http://dx.doi.org/10.3390/cells10020393"/>
      </x:ext>
    </extLst>
  </threadedComment>
  <threadedComment ref="N16" dT="2025-08-22T13:59:27.72" personId="{CF76806F-FDD4-4F34-8798-7FE603DD3A9C}" id="{1D782AA3-34C2-4815-AA8C-F0983B9D790E}">
    <text>characterisation factor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0A808-20A3-4ED1-BD3E-4EE52B2EDD5B}">
  <dimension ref="B3:R99"/>
  <sheetViews>
    <sheetView topLeftCell="A60" workbookViewId="0">
      <selection activeCell="B122" sqref="B122:E126"/>
    </sheetView>
  </sheetViews>
  <sheetFormatPr defaultRowHeight="15" x14ac:dyDescent="0.25"/>
  <cols>
    <col min="2" max="2" width="18.28515625" customWidth="1"/>
    <col min="3" max="3" width="20.85546875" customWidth="1"/>
    <col min="4" max="4" width="13.7109375" bestFit="1" customWidth="1"/>
    <col min="8" max="8" width="13.42578125" customWidth="1"/>
    <col min="9" max="9" width="12.85546875" customWidth="1"/>
    <col min="10" max="10" width="10.7109375" customWidth="1"/>
    <col min="15" max="15" width="18.28515625" customWidth="1"/>
  </cols>
  <sheetData>
    <row r="3" spans="2:4" ht="15.75" x14ac:dyDescent="0.25">
      <c r="B3" s="76" t="s">
        <v>90</v>
      </c>
      <c r="C3" s="69"/>
      <c r="D3" s="68"/>
    </row>
    <row r="4" spans="2:4" ht="15.75" x14ac:dyDescent="0.25">
      <c r="B4" s="78" t="s">
        <v>88</v>
      </c>
      <c r="C4" s="78" t="s">
        <v>68</v>
      </c>
      <c r="D4" s="79" t="s">
        <v>67</v>
      </c>
    </row>
    <row r="5" spans="2:4" ht="31.5" x14ac:dyDescent="0.25">
      <c r="B5" s="78">
        <v>1</v>
      </c>
      <c r="C5" s="78" t="s">
        <v>66</v>
      </c>
      <c r="D5" s="77">
        <v>171</v>
      </c>
    </row>
    <row r="6" spans="2:4" ht="15.75" x14ac:dyDescent="0.25">
      <c r="B6" s="78">
        <v>14</v>
      </c>
      <c r="C6" s="78" t="s">
        <v>65</v>
      </c>
      <c r="D6" s="77">
        <v>217.8</v>
      </c>
    </row>
    <row r="7" spans="2:4" ht="31.5" x14ac:dyDescent="0.25">
      <c r="B7" s="78">
        <v>20</v>
      </c>
      <c r="C7" s="78" t="s">
        <v>66</v>
      </c>
      <c r="D7" s="77">
        <v>171</v>
      </c>
    </row>
    <row r="8" spans="2:4" ht="15.75" x14ac:dyDescent="0.25">
      <c r="B8" s="78">
        <v>24</v>
      </c>
      <c r="C8" s="78" t="s">
        <v>65</v>
      </c>
      <c r="D8" s="77">
        <v>157.5</v>
      </c>
    </row>
    <row r="9" spans="2:4" ht="31.5" x14ac:dyDescent="0.25">
      <c r="B9" s="78">
        <v>30</v>
      </c>
      <c r="C9" s="78" t="s">
        <v>66</v>
      </c>
      <c r="D9" s="77">
        <v>171</v>
      </c>
    </row>
    <row r="10" spans="2:4" ht="15.75" x14ac:dyDescent="0.25">
      <c r="B10" s="70"/>
      <c r="C10" s="69"/>
      <c r="D10" s="68">
        <f>SUM(D5:D9)</f>
        <v>888.3</v>
      </c>
    </row>
    <row r="11" spans="2:4" ht="15.75" x14ac:dyDescent="0.25">
      <c r="B11" s="70"/>
      <c r="C11" s="69"/>
      <c r="D11" s="68"/>
    </row>
    <row r="12" spans="2:4" ht="15.75" x14ac:dyDescent="0.25">
      <c r="B12" s="68" t="s">
        <v>89</v>
      </c>
      <c r="C12" s="70"/>
      <c r="D12" s="76"/>
    </row>
    <row r="13" spans="2:4" ht="15.75" x14ac:dyDescent="0.25">
      <c r="B13" s="72" t="s">
        <v>88</v>
      </c>
      <c r="C13" s="72" t="s">
        <v>68</v>
      </c>
      <c r="D13" s="75" t="s">
        <v>67</v>
      </c>
    </row>
    <row r="14" spans="2:4" ht="15.75" x14ac:dyDescent="0.25">
      <c r="B14" s="74" t="s">
        <v>87</v>
      </c>
      <c r="D14" s="71">
        <f>6000*0.1</f>
        <v>600</v>
      </c>
    </row>
    <row r="15" spans="2:4" ht="15.75" x14ac:dyDescent="0.25">
      <c r="B15" s="73" t="s">
        <v>86</v>
      </c>
      <c r="D15" s="71">
        <v>55</v>
      </c>
    </row>
    <row r="16" spans="2:4" ht="15.75" x14ac:dyDescent="0.25">
      <c r="B16" s="73" t="s">
        <v>86</v>
      </c>
      <c r="C16" s="72" t="s">
        <v>62</v>
      </c>
      <c r="D16" s="71">
        <v>55</v>
      </c>
    </row>
    <row r="17" spans="2:15" ht="15.75" x14ac:dyDescent="0.25">
      <c r="B17" s="70"/>
      <c r="C17" s="69"/>
      <c r="D17" s="68">
        <f>SUM(D14:D16)</f>
        <v>710</v>
      </c>
    </row>
    <row r="22" spans="2:15" ht="19.5" x14ac:dyDescent="0.4">
      <c r="B22" s="62" t="s">
        <v>49</v>
      </c>
      <c r="C22" s="35"/>
    </row>
    <row r="23" spans="2:15" ht="47.25" x14ac:dyDescent="0.25">
      <c r="B23" s="54" t="s">
        <v>78</v>
      </c>
      <c r="C23" s="60" t="s">
        <v>82</v>
      </c>
      <c r="D23" s="55" t="s">
        <v>81</v>
      </c>
      <c r="E23" s="55" t="s">
        <v>80</v>
      </c>
      <c r="F23" s="55" t="s">
        <v>79</v>
      </c>
      <c r="G23" s="66" t="s">
        <v>83</v>
      </c>
      <c r="H23" s="67" t="s">
        <v>85</v>
      </c>
      <c r="I23" s="67" t="s">
        <v>84</v>
      </c>
      <c r="J23" s="66" t="s">
        <v>83</v>
      </c>
      <c r="K23" s="60" t="s">
        <v>82</v>
      </c>
      <c r="L23" s="55" t="s">
        <v>81</v>
      </c>
      <c r="M23" s="55" t="s">
        <v>80</v>
      </c>
      <c r="N23" s="55" t="s">
        <v>79</v>
      </c>
      <c r="O23" s="54" t="s">
        <v>78</v>
      </c>
    </row>
    <row r="24" spans="2:15" ht="15.75" x14ac:dyDescent="0.25">
      <c r="B24" s="92" t="s">
        <v>77</v>
      </c>
      <c r="C24" s="51">
        <v>45352</v>
      </c>
      <c r="D24" s="49">
        <v>3217</v>
      </c>
      <c r="E24" s="49">
        <v>486</v>
      </c>
      <c r="F24" s="65">
        <v>3703</v>
      </c>
      <c r="G24" s="43">
        <f t="shared" ref="G24:G30" si="0">E24/F24</f>
        <v>0.1312449365379422</v>
      </c>
      <c r="H24" s="42">
        <f t="shared" ref="H24:I30" si="1">L24/D24</f>
        <v>1.7979483991296239</v>
      </c>
      <c r="I24" s="42">
        <f t="shared" si="1"/>
        <v>5.8580246913580245</v>
      </c>
      <c r="J24" s="41">
        <v>0.32985749044143203</v>
      </c>
      <c r="K24" s="53">
        <v>45536</v>
      </c>
      <c r="L24" s="49">
        <v>5784</v>
      </c>
      <c r="M24" s="49">
        <v>2847</v>
      </c>
      <c r="N24" s="49">
        <v>8631</v>
      </c>
      <c r="O24" s="92" t="s">
        <v>76</v>
      </c>
    </row>
    <row r="25" spans="2:15" ht="15.75" x14ac:dyDescent="0.25">
      <c r="B25" s="92"/>
      <c r="C25" s="51">
        <v>45383</v>
      </c>
      <c r="D25" s="49">
        <v>3874</v>
      </c>
      <c r="E25" s="49">
        <v>486</v>
      </c>
      <c r="F25" s="65">
        <v>4360</v>
      </c>
      <c r="G25" s="43">
        <f t="shared" si="0"/>
        <v>0.11146788990825689</v>
      </c>
      <c r="H25" s="42">
        <f t="shared" si="1"/>
        <v>2.1641713990707281</v>
      </c>
      <c r="I25" s="42">
        <f t="shared" si="1"/>
        <v>7.1460905349794235</v>
      </c>
      <c r="J25" s="41">
        <v>0.29290714345955976</v>
      </c>
      <c r="K25" s="53">
        <v>45566</v>
      </c>
      <c r="L25" s="49">
        <v>8384</v>
      </c>
      <c r="M25" s="49">
        <v>3473</v>
      </c>
      <c r="N25" s="49">
        <v>11857</v>
      </c>
      <c r="O25" s="92"/>
    </row>
    <row r="26" spans="2:15" ht="15.75" x14ac:dyDescent="0.25">
      <c r="B26" s="92"/>
      <c r="C26" s="51">
        <v>45413</v>
      </c>
      <c r="D26" s="49">
        <v>5176</v>
      </c>
      <c r="E26" s="49">
        <v>376</v>
      </c>
      <c r="F26" s="65">
        <v>5552</v>
      </c>
      <c r="G26" s="43">
        <f t="shared" si="0"/>
        <v>6.7723342939481262E-2</v>
      </c>
      <c r="H26" s="42">
        <f t="shared" si="1"/>
        <v>1.2121329211746523</v>
      </c>
      <c r="I26" s="42">
        <f t="shared" si="1"/>
        <v>13.452127659574469</v>
      </c>
      <c r="J26" s="41">
        <v>0.44634662901517824</v>
      </c>
      <c r="K26" s="53">
        <v>45597</v>
      </c>
      <c r="L26" s="49">
        <v>6274</v>
      </c>
      <c r="M26" s="49">
        <v>5058</v>
      </c>
      <c r="N26" s="49">
        <v>11332</v>
      </c>
      <c r="O26" s="92"/>
    </row>
    <row r="27" spans="2:15" ht="15.75" x14ac:dyDescent="0.25">
      <c r="B27" s="92"/>
      <c r="C27" s="51">
        <v>45444</v>
      </c>
      <c r="D27" s="49">
        <v>4675</v>
      </c>
      <c r="E27" s="49">
        <v>1037</v>
      </c>
      <c r="F27" s="65">
        <v>5712</v>
      </c>
      <c r="G27" s="43">
        <f t="shared" si="0"/>
        <v>0.18154761904761904</v>
      </c>
      <c r="H27" s="42">
        <f t="shared" si="1"/>
        <v>0.94802139037433153</v>
      </c>
      <c r="I27" s="42">
        <f t="shared" si="1"/>
        <v>1.411764705882353</v>
      </c>
      <c r="J27" s="41">
        <v>0.24830393487109906</v>
      </c>
      <c r="K27" s="53">
        <v>45627</v>
      </c>
      <c r="L27" s="49">
        <v>4432</v>
      </c>
      <c r="M27" s="49">
        <v>1464</v>
      </c>
      <c r="N27" s="49">
        <v>5896</v>
      </c>
      <c r="O27" s="92"/>
    </row>
    <row r="28" spans="2:15" ht="15.75" x14ac:dyDescent="0.25">
      <c r="B28" s="92"/>
      <c r="C28" s="51">
        <v>45474</v>
      </c>
      <c r="D28" s="49">
        <v>2624</v>
      </c>
      <c r="E28" s="49">
        <v>654</v>
      </c>
      <c r="F28" s="65">
        <v>3278</v>
      </c>
      <c r="G28" s="43">
        <f t="shared" si="0"/>
        <v>0.19951189749847467</v>
      </c>
      <c r="H28" s="42">
        <f t="shared" si="1"/>
        <v>1.6913109756097562</v>
      </c>
      <c r="I28" s="42">
        <f t="shared" si="1"/>
        <v>2.0412844036697249</v>
      </c>
      <c r="J28" s="41">
        <v>0.23124891737398234</v>
      </c>
      <c r="K28" s="52">
        <v>45658</v>
      </c>
      <c r="L28" s="64">
        <v>4438</v>
      </c>
      <c r="M28" s="64">
        <v>1335</v>
      </c>
      <c r="N28" s="64">
        <v>5773</v>
      </c>
      <c r="O28" s="92"/>
    </row>
    <row r="29" spans="2:15" ht="15.75" x14ac:dyDescent="0.25">
      <c r="B29" s="92"/>
      <c r="C29" s="51">
        <v>45505</v>
      </c>
      <c r="D29" s="49">
        <v>2221</v>
      </c>
      <c r="E29" s="49">
        <v>431</v>
      </c>
      <c r="F29" s="65">
        <v>2652</v>
      </c>
      <c r="G29" s="43">
        <f t="shared" si="0"/>
        <v>0.16251885369532429</v>
      </c>
      <c r="H29" s="42">
        <f t="shared" si="1"/>
        <v>1.3556956325979288</v>
      </c>
      <c r="I29" s="42">
        <f t="shared" si="1"/>
        <v>1.160092807424594</v>
      </c>
      <c r="J29" s="41">
        <v>0.14240956992309883</v>
      </c>
      <c r="K29" s="50">
        <v>45689</v>
      </c>
      <c r="L29" s="64">
        <v>3011</v>
      </c>
      <c r="M29" s="64">
        <v>500</v>
      </c>
      <c r="N29" s="64">
        <v>3511</v>
      </c>
      <c r="O29" s="92"/>
    </row>
    <row r="30" spans="2:15" ht="15.75" x14ac:dyDescent="0.25">
      <c r="B30" s="47"/>
      <c r="C30" s="46" t="s">
        <v>75</v>
      </c>
      <c r="D30" s="45">
        <f>SUM(D24:D29)</f>
        <v>21787</v>
      </c>
      <c r="E30" s="45">
        <f>SUM(E24:E29)</f>
        <v>3470</v>
      </c>
      <c r="F30" s="63">
        <f>SUM(D30:E30)</f>
        <v>25257</v>
      </c>
      <c r="G30" s="43">
        <f t="shared" si="0"/>
        <v>0.13738765490755039</v>
      </c>
      <c r="H30" s="42">
        <f t="shared" si="1"/>
        <v>1.4835911323266169</v>
      </c>
      <c r="I30" s="42">
        <f t="shared" si="1"/>
        <v>4.2296829971181555</v>
      </c>
      <c r="J30" s="41">
        <v>0.31227659574468086</v>
      </c>
      <c r="K30" s="40" t="s">
        <v>75</v>
      </c>
      <c r="L30" s="39">
        <f>SUM(L24:L29)</f>
        <v>32323</v>
      </c>
      <c r="M30" s="39">
        <f>SUM(M24:M29)</f>
        <v>14677</v>
      </c>
      <c r="N30" s="39">
        <f>L30+M30</f>
        <v>47000</v>
      </c>
      <c r="O30" s="37"/>
    </row>
    <row r="32" spans="2:15" x14ac:dyDescent="0.25">
      <c r="I32">
        <f>N30/F30</f>
        <v>1.8608702537910282</v>
      </c>
    </row>
    <row r="33" spans="2:17" x14ac:dyDescent="0.25">
      <c r="C33" s="35"/>
      <c r="D33" s="11"/>
      <c r="E33" s="11"/>
      <c r="G33" s="61"/>
    </row>
    <row r="34" spans="2:17" ht="19.5" x14ac:dyDescent="0.4">
      <c r="B34" s="62" t="s">
        <v>48</v>
      </c>
      <c r="C34" s="35"/>
      <c r="G34" s="61"/>
    </row>
    <row r="35" spans="2:17" ht="47.25" x14ac:dyDescent="0.25">
      <c r="B35" s="54" t="s">
        <v>78</v>
      </c>
      <c r="C35" s="60" t="s">
        <v>82</v>
      </c>
      <c r="D35" s="55" t="s">
        <v>81</v>
      </c>
      <c r="E35" s="55" t="s">
        <v>80</v>
      </c>
      <c r="F35" s="59" t="s">
        <v>79</v>
      </c>
      <c r="G35" s="57" t="s">
        <v>83</v>
      </c>
      <c r="H35" s="58" t="s">
        <v>85</v>
      </c>
      <c r="I35" s="58" t="s">
        <v>84</v>
      </c>
      <c r="J35" s="57" t="s">
        <v>83</v>
      </c>
      <c r="K35" s="56" t="s">
        <v>82</v>
      </c>
      <c r="L35" s="55" t="s">
        <v>81</v>
      </c>
      <c r="M35" s="55" t="s">
        <v>80</v>
      </c>
      <c r="N35" s="55" t="s">
        <v>79</v>
      </c>
      <c r="O35" s="54" t="s">
        <v>78</v>
      </c>
    </row>
    <row r="36" spans="2:17" ht="15.75" x14ac:dyDescent="0.25">
      <c r="B36" s="92" t="s">
        <v>77</v>
      </c>
      <c r="C36" s="51">
        <v>45352</v>
      </c>
      <c r="D36" s="49">
        <v>4732</v>
      </c>
      <c r="E36" s="49">
        <v>682</v>
      </c>
      <c r="F36" s="48">
        <v>5414</v>
      </c>
      <c r="G36" s="43">
        <f t="shared" ref="G36:G42" si="2">E36/F36</f>
        <v>0.1259697081640192</v>
      </c>
      <c r="H36" s="42">
        <f t="shared" ref="H36:I39" si="3">L36/D36</f>
        <v>1.348901098901099</v>
      </c>
      <c r="I36" s="42">
        <f t="shared" si="3"/>
        <v>3.519061583577713E-2</v>
      </c>
      <c r="J36" s="41">
        <v>3.7459029186826909E-3</v>
      </c>
      <c r="K36" s="53">
        <v>45536</v>
      </c>
      <c r="L36" s="49">
        <v>6383</v>
      </c>
      <c r="M36" s="49">
        <v>24</v>
      </c>
      <c r="N36" s="48">
        <v>6407</v>
      </c>
      <c r="O36" s="92" t="s">
        <v>76</v>
      </c>
    </row>
    <row r="37" spans="2:17" ht="15.75" x14ac:dyDescent="0.25">
      <c r="B37" s="92"/>
      <c r="C37" s="51">
        <v>45383</v>
      </c>
      <c r="D37" s="49">
        <v>8215</v>
      </c>
      <c r="E37" s="49">
        <v>848</v>
      </c>
      <c r="F37" s="48">
        <v>9063</v>
      </c>
      <c r="G37" s="43">
        <f t="shared" si="2"/>
        <v>9.3567251461988299E-2</v>
      </c>
      <c r="H37" s="42">
        <f t="shared" si="3"/>
        <v>0.94169202678027997</v>
      </c>
      <c r="I37" s="42">
        <f t="shared" si="3"/>
        <v>0</v>
      </c>
      <c r="J37" s="41">
        <v>0</v>
      </c>
      <c r="K37" s="53">
        <v>45566</v>
      </c>
      <c r="L37" s="49">
        <v>7736</v>
      </c>
      <c r="M37" s="49">
        <v>0</v>
      </c>
      <c r="N37" s="48">
        <v>7736</v>
      </c>
      <c r="O37" s="92"/>
    </row>
    <row r="38" spans="2:17" ht="15.75" x14ac:dyDescent="0.25">
      <c r="B38" s="92"/>
      <c r="C38" s="51">
        <v>45413</v>
      </c>
      <c r="D38" s="49">
        <v>4881</v>
      </c>
      <c r="E38" s="49">
        <v>354</v>
      </c>
      <c r="F38" s="48">
        <v>5235</v>
      </c>
      <c r="G38" s="43">
        <f t="shared" si="2"/>
        <v>6.7621776504298001E-2</v>
      </c>
      <c r="H38" s="42">
        <f t="shared" si="3"/>
        <v>0.88588404015570577</v>
      </c>
      <c r="I38" s="42">
        <f t="shared" si="3"/>
        <v>1.3983050847457628</v>
      </c>
      <c r="J38" s="41">
        <v>0.10271840630836274</v>
      </c>
      <c r="K38" s="53">
        <v>45597</v>
      </c>
      <c r="L38" s="49">
        <v>4324</v>
      </c>
      <c r="M38" s="49">
        <v>495</v>
      </c>
      <c r="N38" s="48">
        <v>4819</v>
      </c>
      <c r="O38" s="92"/>
    </row>
    <row r="39" spans="2:17" ht="15.75" x14ac:dyDescent="0.25">
      <c r="B39" s="92"/>
      <c r="C39" s="51">
        <v>45444</v>
      </c>
      <c r="D39" s="49">
        <v>5033</v>
      </c>
      <c r="E39" s="49">
        <v>365</v>
      </c>
      <c r="F39" s="48">
        <v>5398</v>
      </c>
      <c r="G39" s="43">
        <f t="shared" si="2"/>
        <v>6.7617636161541317E-2</v>
      </c>
      <c r="H39" s="42">
        <f t="shared" si="3"/>
        <v>1.4245976554738724</v>
      </c>
      <c r="I39" s="42">
        <f t="shared" si="3"/>
        <v>1.1452054794520548</v>
      </c>
      <c r="J39" s="41">
        <v>5.5086979441222983E-2</v>
      </c>
      <c r="K39" s="53">
        <v>45627</v>
      </c>
      <c r="L39" s="49">
        <v>7170</v>
      </c>
      <c r="M39" s="49">
        <v>418</v>
      </c>
      <c r="N39" s="48">
        <v>7588</v>
      </c>
      <c r="O39" s="92"/>
    </row>
    <row r="40" spans="2:17" ht="15.75" x14ac:dyDescent="0.25">
      <c r="B40" s="92"/>
      <c r="C40" s="51">
        <v>45474</v>
      </c>
      <c r="D40" s="49">
        <v>2044</v>
      </c>
      <c r="E40" s="49">
        <v>0</v>
      </c>
      <c r="F40" s="48">
        <v>2044</v>
      </c>
      <c r="G40" s="43">
        <f t="shared" si="2"/>
        <v>0</v>
      </c>
      <c r="H40" s="42">
        <f>L40/D40</f>
        <v>6.2397260273972606</v>
      </c>
      <c r="I40" s="42">
        <v>0</v>
      </c>
      <c r="J40" s="41">
        <v>0.11657546581699799</v>
      </c>
      <c r="K40" s="52">
        <v>45658</v>
      </c>
      <c r="L40" s="49">
        <v>12754</v>
      </c>
      <c r="M40" s="49">
        <v>1683</v>
      </c>
      <c r="N40" s="48">
        <v>14437</v>
      </c>
      <c r="O40" s="92"/>
    </row>
    <row r="41" spans="2:17" ht="15.75" x14ac:dyDescent="0.25">
      <c r="B41" s="92"/>
      <c r="C41" s="51">
        <v>45505</v>
      </c>
      <c r="D41" s="49">
        <v>1963</v>
      </c>
      <c r="E41" s="49">
        <v>0</v>
      </c>
      <c r="F41" s="48">
        <v>1963</v>
      </c>
      <c r="G41" s="43">
        <f t="shared" si="2"/>
        <v>0</v>
      </c>
      <c r="H41" s="42">
        <f>L41/D41</f>
        <v>2.9959246051961284</v>
      </c>
      <c r="I41" s="42">
        <v>0</v>
      </c>
      <c r="J41" s="41">
        <v>0.10595925813317118</v>
      </c>
      <c r="K41" s="50">
        <v>45689</v>
      </c>
      <c r="L41" s="49">
        <v>5881</v>
      </c>
      <c r="M41" s="49">
        <v>697</v>
      </c>
      <c r="N41" s="48">
        <v>6578</v>
      </c>
      <c r="O41" s="92"/>
    </row>
    <row r="42" spans="2:17" ht="15.75" x14ac:dyDescent="0.25">
      <c r="B42" s="47"/>
      <c r="C42" s="46" t="s">
        <v>75</v>
      </c>
      <c r="D42" s="45">
        <f>SUM(D36:D41)</f>
        <v>26868</v>
      </c>
      <c r="E42" s="45">
        <f>SUM(E36:E41)</f>
        <v>2249</v>
      </c>
      <c r="F42" s="44">
        <v>29117</v>
      </c>
      <c r="G42" s="43">
        <f t="shared" si="2"/>
        <v>7.7240100285056845E-2</v>
      </c>
      <c r="H42" s="42">
        <f>L42/D42</f>
        <v>1.6468661604883132</v>
      </c>
      <c r="I42" s="42">
        <f>M42/E42</f>
        <v>1.4748777234326367</v>
      </c>
      <c r="J42" s="41">
        <v>6.9736150530852511E-2</v>
      </c>
      <c r="K42" s="40" t="s">
        <v>75</v>
      </c>
      <c r="L42" s="39">
        <f>SUM(L36:L41)</f>
        <v>44248</v>
      </c>
      <c r="M42" s="39">
        <f>SUM(M36:M41)</f>
        <v>3317</v>
      </c>
      <c r="N42" s="38">
        <v>47565</v>
      </c>
      <c r="O42" s="37"/>
    </row>
    <row r="44" spans="2:17" ht="15.75" thickBot="1" x14ac:dyDescent="0.3">
      <c r="I44">
        <f>N42/F42</f>
        <v>1.6335817563622625</v>
      </c>
    </row>
    <row r="45" spans="2:17" ht="16.5" thickTop="1" thickBot="1" x14ac:dyDescent="0.3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</row>
    <row r="46" spans="2:17" ht="29.25" thickTop="1" x14ac:dyDescent="0.45">
      <c r="B46" s="29" t="s">
        <v>74</v>
      </c>
    </row>
    <row r="47" spans="2:17" ht="21" x14ac:dyDescent="0.35">
      <c r="B47" s="21" t="s">
        <v>73</v>
      </c>
    </row>
    <row r="48" spans="2:17" ht="45" x14ac:dyDescent="0.25">
      <c r="B48" s="27"/>
      <c r="C48" s="26" t="s">
        <v>72</v>
      </c>
      <c r="D48" s="26" t="s">
        <v>71</v>
      </c>
      <c r="E48" s="25" t="s">
        <v>70</v>
      </c>
    </row>
    <row r="49" spans="2:5" ht="45" x14ac:dyDescent="0.25">
      <c r="B49" s="24" t="s">
        <v>55</v>
      </c>
      <c r="C49" s="28">
        <v>5.04</v>
      </c>
      <c r="D49" s="28">
        <v>4.16</v>
      </c>
      <c r="E49" s="28">
        <v>0.1</v>
      </c>
    </row>
    <row r="50" spans="2:5" ht="30" x14ac:dyDescent="0.25">
      <c r="B50" s="23" t="s">
        <v>64</v>
      </c>
      <c r="C50" s="36">
        <v>5.93</v>
      </c>
      <c r="D50" s="36">
        <v>4.7450000000000001</v>
      </c>
      <c r="E50" s="36">
        <v>0.21500000000000002</v>
      </c>
    </row>
    <row r="51" spans="2:5" x14ac:dyDescent="0.25">
      <c r="C51" s="35"/>
      <c r="D51" s="11"/>
      <c r="E51" s="11"/>
    </row>
    <row r="52" spans="2:5" ht="21" x14ac:dyDescent="0.35">
      <c r="B52" s="21" t="s">
        <v>69</v>
      </c>
    </row>
    <row r="53" spans="2:5" ht="15.75" x14ac:dyDescent="0.25">
      <c r="B53" s="27"/>
      <c r="C53" s="34" t="s">
        <v>68</v>
      </c>
      <c r="D53" s="90" t="s">
        <v>67</v>
      </c>
      <c r="E53" s="90"/>
    </row>
    <row r="54" spans="2:5" ht="31.5" x14ac:dyDescent="0.25">
      <c r="B54" s="93" t="s">
        <v>55</v>
      </c>
      <c r="C54" s="32" t="s">
        <v>66</v>
      </c>
      <c r="D54" s="33">
        <f>171*3</f>
        <v>513</v>
      </c>
      <c r="E54" s="95">
        <f>SUM(D54:D55)</f>
        <v>888.3</v>
      </c>
    </row>
    <row r="55" spans="2:5" ht="45" customHeight="1" x14ac:dyDescent="0.25">
      <c r="B55" s="94"/>
      <c r="C55" s="32" t="s">
        <v>65</v>
      </c>
      <c r="D55" s="28">
        <v>375.3</v>
      </c>
      <c r="E55" s="96"/>
    </row>
    <row r="56" spans="2:5" ht="45" customHeight="1" x14ac:dyDescent="0.25">
      <c r="B56" s="99" t="s">
        <v>64</v>
      </c>
      <c r="C56" s="32" t="s">
        <v>63</v>
      </c>
      <c r="D56" s="32">
        <f>6000*0.1</f>
        <v>600</v>
      </c>
      <c r="E56" s="101">
        <f>SUM(D56:D57)</f>
        <v>710</v>
      </c>
    </row>
    <row r="57" spans="2:5" ht="30" customHeight="1" x14ac:dyDescent="0.25">
      <c r="B57" s="100"/>
      <c r="C57" s="32" t="s">
        <v>62</v>
      </c>
      <c r="D57" s="32">
        <v>110</v>
      </c>
      <c r="E57" s="102"/>
    </row>
    <row r="58" spans="2:5" ht="30" customHeight="1" x14ac:dyDescent="0.25">
      <c r="B58" s="30"/>
      <c r="C58" s="31"/>
      <c r="D58" s="31"/>
      <c r="E58" s="30"/>
    </row>
    <row r="59" spans="2:5" ht="28.5" x14ac:dyDescent="0.45">
      <c r="B59" s="29" t="s">
        <v>61</v>
      </c>
    </row>
    <row r="60" spans="2:5" ht="21" x14ac:dyDescent="0.35">
      <c r="B60" s="21" t="s">
        <v>60</v>
      </c>
    </row>
    <row r="61" spans="2:5" ht="60" x14ac:dyDescent="0.25">
      <c r="B61" s="27"/>
      <c r="C61" s="26" t="s">
        <v>58</v>
      </c>
      <c r="D61" s="26" t="s">
        <v>57</v>
      </c>
      <c r="E61" s="25" t="s">
        <v>56</v>
      </c>
    </row>
    <row r="62" spans="2:5" ht="45" x14ac:dyDescent="0.25">
      <c r="B62" s="24" t="s">
        <v>55</v>
      </c>
      <c r="C62" s="28">
        <f>(F30/0.03)/1000</f>
        <v>841.9</v>
      </c>
      <c r="D62" s="22">
        <f>(D30/F30)*100</f>
        <v>86.261234509244971</v>
      </c>
      <c r="E62" s="22">
        <f>(E30/F30)*100</f>
        <v>13.738765490755039</v>
      </c>
    </row>
    <row r="63" spans="2:5" ht="30" x14ac:dyDescent="0.25">
      <c r="B63" s="23" t="s">
        <v>54</v>
      </c>
      <c r="C63" s="22">
        <f>(L30/0.03)/1000</f>
        <v>1077.4333333333334</v>
      </c>
      <c r="D63" s="22">
        <f>(L30/N30)*100</f>
        <v>68.772340425531922</v>
      </c>
      <c r="E63" s="22">
        <f>(M30/N30)*100</f>
        <v>31.227659574468085</v>
      </c>
    </row>
    <row r="65" spans="2:16" ht="21" x14ac:dyDescent="0.35">
      <c r="B65" s="21" t="s">
        <v>59</v>
      </c>
    </row>
    <row r="66" spans="2:16" ht="60" x14ac:dyDescent="0.25">
      <c r="B66" s="27"/>
      <c r="C66" s="26" t="s">
        <v>58</v>
      </c>
      <c r="D66" s="26" t="s">
        <v>57</v>
      </c>
      <c r="E66" s="25" t="s">
        <v>56</v>
      </c>
    </row>
    <row r="67" spans="2:16" ht="45" x14ac:dyDescent="0.25">
      <c r="B67" s="24" t="s">
        <v>55</v>
      </c>
      <c r="C67" s="22">
        <f>(F42/0.03)/1000</f>
        <v>970.56666666666672</v>
      </c>
      <c r="D67" s="22">
        <f>(D42/F42)*100</f>
        <v>92.275989971494326</v>
      </c>
      <c r="E67" s="22">
        <f>(E42/F42)*100</f>
        <v>7.7240100285056847</v>
      </c>
    </row>
    <row r="68" spans="2:16" ht="30" x14ac:dyDescent="0.25">
      <c r="B68" s="23" t="s">
        <v>54</v>
      </c>
      <c r="C68" s="22">
        <f>(L42/0.03)/1000</f>
        <v>1474.9333333333334</v>
      </c>
      <c r="D68" s="22">
        <f>(L42/N42)*100</f>
        <v>93.02638494691476</v>
      </c>
      <c r="E68" s="22">
        <f>(M42/N42)*100</f>
        <v>6.9736150530852514</v>
      </c>
    </row>
    <row r="70" spans="2:16" ht="21" x14ac:dyDescent="0.35">
      <c r="B70" s="21" t="s">
        <v>53</v>
      </c>
    </row>
    <row r="71" spans="2:16" x14ac:dyDescent="0.25">
      <c r="B71" s="91"/>
      <c r="C71" s="91" t="s">
        <v>52</v>
      </c>
      <c r="D71" s="91"/>
    </row>
    <row r="72" spans="2:16" x14ac:dyDescent="0.25">
      <c r="B72" s="91"/>
      <c r="C72" s="20" t="s">
        <v>51</v>
      </c>
      <c r="D72" s="20" t="s">
        <v>50</v>
      </c>
    </row>
    <row r="73" spans="2:16" x14ac:dyDescent="0.25">
      <c r="B73" s="20" t="s">
        <v>49</v>
      </c>
      <c r="C73" s="19">
        <f>(F30/9)/6</f>
        <v>467.72222222222223</v>
      </c>
      <c r="D73" s="19">
        <f>N30-(8*C73)</f>
        <v>43258.222222222219</v>
      </c>
    </row>
    <row r="74" spans="2:16" x14ac:dyDescent="0.25">
      <c r="B74" s="20" t="s">
        <v>48</v>
      </c>
      <c r="C74" s="19">
        <f>(F42/9)/6</f>
        <v>539.2037037037037</v>
      </c>
      <c r="D74" s="19">
        <f>N42-(8*C74)</f>
        <v>43251.370370370372</v>
      </c>
    </row>
    <row r="75" spans="2:16" ht="15.75" thickBot="1" x14ac:dyDescent="0.3"/>
    <row r="76" spans="2:16" ht="16.5" thickTop="1" thickBot="1" x14ac:dyDescent="0.3"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</row>
    <row r="77" spans="2:16" ht="15.75" thickTop="1" x14ac:dyDescent="0.25"/>
    <row r="78" spans="2:16" x14ac:dyDescent="0.25">
      <c r="B78" t="s">
        <v>47</v>
      </c>
    </row>
    <row r="81" spans="2:18" ht="15.75" thickBot="1" x14ac:dyDescent="0.3"/>
    <row r="82" spans="2:18" ht="16.5" thickTop="1" thickBot="1" x14ac:dyDescent="0.3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</row>
    <row r="83" spans="2:18" ht="15.75" thickTop="1" x14ac:dyDescent="0.25"/>
    <row r="84" spans="2:18" ht="23.25" x14ac:dyDescent="0.35">
      <c r="B84" s="17" t="s">
        <v>46</v>
      </c>
    </row>
    <row r="86" spans="2:18" x14ac:dyDescent="0.25">
      <c r="B86" t="s">
        <v>45</v>
      </c>
      <c r="D86" s="97" t="s">
        <v>44</v>
      </c>
      <c r="E86" s="97"/>
      <c r="F86" s="97"/>
      <c r="G86" s="97" t="s">
        <v>43</v>
      </c>
      <c r="H86" s="97"/>
      <c r="I86" s="97"/>
      <c r="J86" t="s">
        <v>42</v>
      </c>
      <c r="K86" s="97" t="s">
        <v>41</v>
      </c>
      <c r="L86" s="97"/>
      <c r="O86" t="s">
        <v>15</v>
      </c>
      <c r="P86" t="s">
        <v>14</v>
      </c>
      <c r="R86" t="s">
        <v>40</v>
      </c>
    </row>
    <row r="87" spans="2:18" x14ac:dyDescent="0.25">
      <c r="B87" t="s">
        <v>39</v>
      </c>
      <c r="C87" t="s">
        <v>38</v>
      </c>
      <c r="D87" t="s">
        <v>37</v>
      </c>
      <c r="E87" t="s">
        <v>36</v>
      </c>
      <c r="F87" t="s">
        <v>35</v>
      </c>
      <c r="G87" t="s">
        <v>34</v>
      </c>
      <c r="H87" t="s">
        <v>33</v>
      </c>
      <c r="I87" t="s">
        <v>32</v>
      </c>
      <c r="J87" t="s">
        <v>31</v>
      </c>
      <c r="K87" t="s">
        <v>30</v>
      </c>
      <c r="L87" t="s">
        <v>29</v>
      </c>
      <c r="N87" t="s">
        <v>28</v>
      </c>
      <c r="O87" s="8">
        <f>K92*12</f>
        <v>189.12</v>
      </c>
      <c r="P87" s="8">
        <f>K95*12</f>
        <v>3.6000000000000005</v>
      </c>
      <c r="Q87" t="s">
        <v>10</v>
      </c>
    </row>
    <row r="88" spans="2:18" x14ac:dyDescent="0.25">
      <c r="B88" t="s">
        <v>27</v>
      </c>
      <c r="C88" t="s">
        <v>26</v>
      </c>
      <c r="D88">
        <v>2</v>
      </c>
      <c r="E88">
        <v>25</v>
      </c>
      <c r="F88" s="15" t="s">
        <v>25</v>
      </c>
      <c r="G88" s="11">
        <f>IF($F$4="15-15-15", 15%, IF($F$4="12-12-17",12%, 18%))</f>
        <v>0.18</v>
      </c>
      <c r="H88" s="11">
        <f>IF($F$4="15-15-15", 15%, IF($F$4="12-12-17",12%, 18%))</f>
        <v>0.18</v>
      </c>
      <c r="I88" s="14">
        <f>H88*62/142</f>
        <v>7.8591549295774651E-2</v>
      </c>
      <c r="J88">
        <f>D88*E88</f>
        <v>50</v>
      </c>
      <c r="K88">
        <f>G88*J88</f>
        <v>9</v>
      </c>
      <c r="L88" s="8">
        <f>J88*I88</f>
        <v>3.9295774647887325</v>
      </c>
      <c r="N88" t="s">
        <v>9</v>
      </c>
      <c r="O88" s="9">
        <v>1.33</v>
      </c>
      <c r="P88" s="9">
        <v>1.33</v>
      </c>
      <c r="Q88" t="s">
        <v>24</v>
      </c>
    </row>
    <row r="89" spans="2:18" x14ac:dyDescent="0.25">
      <c r="C89" t="s">
        <v>23</v>
      </c>
      <c r="D89">
        <v>1</v>
      </c>
      <c r="E89">
        <v>2</v>
      </c>
      <c r="F89" s="15" t="str">
        <f>F88</f>
        <v>15-15-15</v>
      </c>
      <c r="G89" s="11" cm="1">
        <f t="array" ref="G89:H89">G88:H88</f>
        <v>0.18</v>
      </c>
      <c r="H89" s="11">
        <v>0.18</v>
      </c>
      <c r="I89" s="14">
        <f>H89*62/142</f>
        <v>7.8591549295774651E-2</v>
      </c>
      <c r="J89">
        <f>D89*E89</f>
        <v>2</v>
      </c>
      <c r="K89">
        <f>G89*J89</f>
        <v>0.36</v>
      </c>
      <c r="L89" s="8">
        <f>J89*I89</f>
        <v>0.1571830985915493</v>
      </c>
      <c r="N89" t="s">
        <v>7</v>
      </c>
      <c r="O89" s="8">
        <f>O87*O88</f>
        <v>251.52960000000002</v>
      </c>
      <c r="P89" s="8">
        <f>P87*P88</f>
        <v>4.7880000000000011</v>
      </c>
      <c r="Q89" t="s">
        <v>22</v>
      </c>
      <c r="R89" s="6"/>
    </row>
    <row r="90" spans="2:18" ht="15.75" thickBot="1" x14ac:dyDescent="0.3">
      <c r="C90" t="s">
        <v>21</v>
      </c>
      <c r="D90">
        <v>5</v>
      </c>
      <c r="E90">
        <v>25</v>
      </c>
      <c r="F90" s="15" t="s">
        <v>20</v>
      </c>
      <c r="G90" s="11">
        <v>0.05</v>
      </c>
      <c r="H90" s="11">
        <v>0.05</v>
      </c>
      <c r="I90" s="14">
        <f>H90*62/142</f>
        <v>2.183098591549296E-2</v>
      </c>
      <c r="J90">
        <f>D90*E90</f>
        <v>125</v>
      </c>
      <c r="K90">
        <f>G90*J90</f>
        <v>6.25</v>
      </c>
      <c r="L90" s="8">
        <f>J90*I90</f>
        <v>2.72887323943662</v>
      </c>
      <c r="N90" t="s">
        <v>4</v>
      </c>
      <c r="O90" s="7">
        <v>0.158</v>
      </c>
      <c r="P90" s="7">
        <v>0.158</v>
      </c>
      <c r="Q90" t="s">
        <v>19</v>
      </c>
      <c r="R90" s="6"/>
    </row>
    <row r="91" spans="2:18" ht="15.75" thickBot="1" x14ac:dyDescent="0.3">
      <c r="C91" t="s">
        <v>18</v>
      </c>
      <c r="D91">
        <v>1</v>
      </c>
      <c r="E91">
        <f>1*1+0.5</f>
        <v>1.5</v>
      </c>
      <c r="F91" s="15" t="s">
        <v>17</v>
      </c>
      <c r="G91" s="11">
        <v>0.1</v>
      </c>
      <c r="H91" s="11">
        <v>0.05</v>
      </c>
      <c r="I91" s="14">
        <f>H91*62/142</f>
        <v>2.183098591549296E-2</v>
      </c>
      <c r="J91">
        <f>D91*E91</f>
        <v>1.5</v>
      </c>
      <c r="K91">
        <f>G91*J91</f>
        <v>0.15000000000000002</v>
      </c>
      <c r="L91" s="8">
        <f>J91*I91</f>
        <v>3.2746478873239442E-2</v>
      </c>
      <c r="N91" s="4" t="s">
        <v>1</v>
      </c>
      <c r="O91" s="13">
        <f>O89*O90</f>
        <v>39.7416768</v>
      </c>
      <c r="P91" s="13">
        <f>P89*P90</f>
        <v>0.75650400000000018</v>
      </c>
      <c r="Q91" s="2" t="s">
        <v>16</v>
      </c>
      <c r="R91" s="1">
        <f>1-P91/O91</f>
        <v>0.98096446700507611</v>
      </c>
    </row>
    <row r="92" spans="2:18" x14ac:dyDescent="0.25">
      <c r="K92">
        <f>SUM(K88:K91)</f>
        <v>15.76</v>
      </c>
      <c r="L92" s="9">
        <f>SUM(L88:L91)</f>
        <v>6.8483802816901411</v>
      </c>
      <c r="O92" s="8"/>
      <c r="P92" s="8"/>
      <c r="R92" s="6"/>
    </row>
    <row r="93" spans="2:18" x14ac:dyDescent="0.25">
      <c r="O93" s="8" t="s">
        <v>15</v>
      </c>
      <c r="P93" s="8" t="s">
        <v>14</v>
      </c>
      <c r="R93" s="6"/>
    </row>
    <row r="94" spans="2:18" x14ac:dyDescent="0.25">
      <c r="B94" t="s">
        <v>13</v>
      </c>
      <c r="C94" t="s">
        <v>12</v>
      </c>
      <c r="D94">
        <v>6000</v>
      </c>
      <c r="E94" s="12">
        <f>1/1000</f>
        <v>1E-3</v>
      </c>
      <c r="G94" s="11">
        <v>0.05</v>
      </c>
      <c r="I94" s="10">
        <f>0.5%</f>
        <v>5.0000000000000001E-3</v>
      </c>
      <c r="J94">
        <f>D94*E94</f>
        <v>6</v>
      </c>
      <c r="K94">
        <f>G94*J94</f>
        <v>0.30000000000000004</v>
      </c>
      <c r="L94" s="8">
        <f>J94*I94</f>
        <v>0.03</v>
      </c>
      <c r="N94" t="s">
        <v>11</v>
      </c>
      <c r="O94" s="8">
        <f>L92*12</f>
        <v>82.180563380281697</v>
      </c>
      <c r="P94" s="8">
        <f>L95*12</f>
        <v>0.36</v>
      </c>
      <c r="Q94" t="s">
        <v>10</v>
      </c>
      <c r="R94" s="6"/>
    </row>
    <row r="95" spans="2:18" x14ac:dyDescent="0.25">
      <c r="K95">
        <f>SUM(K94)</f>
        <v>0.30000000000000004</v>
      </c>
      <c r="L95">
        <f>SUM(L94)</f>
        <v>0.03</v>
      </c>
      <c r="N95" t="s">
        <v>9</v>
      </c>
      <c r="O95" s="9">
        <v>0.05</v>
      </c>
      <c r="P95" s="9">
        <v>0.05</v>
      </c>
      <c r="Q95" t="s">
        <v>8</v>
      </c>
      <c r="R95" s="6"/>
    </row>
    <row r="96" spans="2:18" x14ac:dyDescent="0.25">
      <c r="N96" t="s">
        <v>7</v>
      </c>
      <c r="O96" s="8">
        <f>O94*O95</f>
        <v>4.1090281690140849</v>
      </c>
      <c r="P96" s="8">
        <f>P94*P95</f>
        <v>1.7999999999999999E-2</v>
      </c>
      <c r="Q96" s="6" t="s">
        <v>6</v>
      </c>
      <c r="R96" s="6"/>
    </row>
    <row r="97" spans="9:18" ht="15.75" thickBot="1" x14ac:dyDescent="0.3">
      <c r="J97" t="s">
        <v>5</v>
      </c>
      <c r="K97" s="6">
        <f>(K92-K95)/K92</f>
        <v>0.98096446700507611</v>
      </c>
      <c r="L97" s="6">
        <f>(L92-L95)/L92</f>
        <v>0.99561940214094002</v>
      </c>
      <c r="N97" t="s">
        <v>4</v>
      </c>
      <c r="O97" s="7">
        <v>0.1</v>
      </c>
      <c r="P97" s="7">
        <v>0.1</v>
      </c>
      <c r="Q97" t="s">
        <v>3</v>
      </c>
      <c r="R97" s="6"/>
    </row>
    <row r="98" spans="9:18" ht="15.75" thickBot="1" x14ac:dyDescent="0.3">
      <c r="I98" s="98" t="s">
        <v>2</v>
      </c>
      <c r="J98" t="str">
        <f>B88</f>
        <v>Conventional</v>
      </c>
      <c r="K98" s="5">
        <f>K92/0.03</f>
        <v>525.33333333333337</v>
      </c>
      <c r="L98" s="5">
        <f>L92/0.03</f>
        <v>228.2793427230047</v>
      </c>
      <c r="N98" s="4" t="s">
        <v>1</v>
      </c>
      <c r="O98" s="3">
        <f>O96*O97</f>
        <v>0.41090281690140851</v>
      </c>
      <c r="P98" s="3">
        <f>P96*P97</f>
        <v>1.8E-3</v>
      </c>
      <c r="Q98" s="2" t="s">
        <v>0</v>
      </c>
      <c r="R98" s="1">
        <f>1-P98/O98</f>
        <v>0.99561940214094014</v>
      </c>
    </row>
    <row r="99" spans="9:18" x14ac:dyDescent="0.25">
      <c r="I99" s="98"/>
      <c r="J99" t="str">
        <f>B94</f>
        <v>Regenerative</v>
      </c>
      <c r="K99">
        <f>K94/0.03</f>
        <v>10.000000000000002</v>
      </c>
      <c r="L99">
        <f>L94/0.03</f>
        <v>1</v>
      </c>
    </row>
  </sheetData>
  <mergeCells count="15">
    <mergeCell ref="D86:F86"/>
    <mergeCell ref="G86:I86"/>
    <mergeCell ref="K86:L86"/>
    <mergeCell ref="I98:I99"/>
    <mergeCell ref="B56:B57"/>
    <mergeCell ref="E56:E57"/>
    <mergeCell ref="D53:E53"/>
    <mergeCell ref="C71:D71"/>
    <mergeCell ref="B71:B72"/>
    <mergeCell ref="B24:B29"/>
    <mergeCell ref="O24:O29"/>
    <mergeCell ref="B36:B41"/>
    <mergeCell ref="O36:O41"/>
    <mergeCell ref="B54:B55"/>
    <mergeCell ref="E54:E55"/>
  </mergeCells>
  <dataValidations count="2">
    <dataValidation type="list" allowBlank="1" showInputMessage="1" showErrorMessage="1" sqref="E88" xr:uid="{D4D2B3A7-87FB-4D66-872E-AB63F783F2C3}">
      <formula1>"25, 50"</formula1>
    </dataValidation>
    <dataValidation type="list" allowBlank="1" showInputMessage="1" showErrorMessage="1" sqref="F88" xr:uid="{2A18D5C0-A087-46B5-AF65-4C7AC6DC2647}">
      <formula1>"15-15-15, 12-12-17, 18-18-5"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C6E97-6730-4479-B335-E7B966E626B7}">
  <dimension ref="A1:D5"/>
  <sheetViews>
    <sheetView workbookViewId="0">
      <selection activeCell="A4" sqref="A4"/>
    </sheetView>
  </sheetViews>
  <sheetFormatPr defaultRowHeight="15" x14ac:dyDescent="0.25"/>
  <sheetData>
    <row r="1" spans="1:4" x14ac:dyDescent="0.25">
      <c r="B1" t="s">
        <v>68</v>
      </c>
      <c r="C1" t="s">
        <v>67</v>
      </c>
      <c r="D1" t="s">
        <v>91</v>
      </c>
    </row>
    <row r="2" spans="1:4" x14ac:dyDescent="0.25">
      <c r="A2" t="s">
        <v>27</v>
      </c>
      <c r="B2" t="s">
        <v>66</v>
      </c>
      <c r="C2">
        <v>513</v>
      </c>
      <c r="D2">
        <v>888.3</v>
      </c>
    </row>
    <row r="3" spans="1:4" x14ac:dyDescent="0.25">
      <c r="B3" t="s">
        <v>65</v>
      </c>
      <c r="C3">
        <v>375.3</v>
      </c>
    </row>
    <row r="4" spans="1:4" x14ac:dyDescent="0.25">
      <c r="A4" t="s">
        <v>13</v>
      </c>
      <c r="B4" t="s">
        <v>63</v>
      </c>
      <c r="C4">
        <v>600</v>
      </c>
      <c r="D4">
        <v>710</v>
      </c>
    </row>
    <row r="5" spans="1:4" x14ac:dyDescent="0.25">
      <c r="B5" t="s">
        <v>62</v>
      </c>
      <c r="C5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D3A75-3B24-4559-A9DB-1FE77FA4ADFE}">
  <dimension ref="A1:D15"/>
  <sheetViews>
    <sheetView tabSelected="1" workbookViewId="0">
      <selection activeCell="B13" sqref="B13"/>
    </sheetView>
  </sheetViews>
  <sheetFormatPr defaultRowHeight="15" x14ac:dyDescent="0.25"/>
  <cols>
    <col min="1" max="1" width="9.140625" customWidth="1"/>
    <col min="2" max="2" width="44.5703125" customWidth="1"/>
  </cols>
  <sheetData>
    <row r="1" spans="1:4" x14ac:dyDescent="0.25">
      <c r="A1" t="s">
        <v>60</v>
      </c>
    </row>
    <row r="2" spans="1:4" x14ac:dyDescent="0.25">
      <c r="B2" t="s">
        <v>79</v>
      </c>
      <c r="C2" t="s">
        <v>92</v>
      </c>
      <c r="D2" t="s">
        <v>93</v>
      </c>
    </row>
    <row r="3" spans="1:4" x14ac:dyDescent="0.25">
      <c r="A3" t="s">
        <v>27</v>
      </c>
      <c r="B3">
        <v>25257</v>
      </c>
      <c r="C3">
        <v>21787</v>
      </c>
      <c r="D3">
        <v>3470</v>
      </c>
    </row>
    <row r="4" spans="1:4" x14ac:dyDescent="0.25">
      <c r="A4" t="s">
        <v>13</v>
      </c>
      <c r="B4">
        <v>47000</v>
      </c>
      <c r="C4">
        <v>32323</v>
      </c>
      <c r="D4">
        <v>14677</v>
      </c>
    </row>
    <row r="6" spans="1:4" x14ac:dyDescent="0.25">
      <c r="A6" t="s">
        <v>59</v>
      </c>
    </row>
    <row r="7" spans="1:4" x14ac:dyDescent="0.25">
      <c r="B7" t="s">
        <v>79</v>
      </c>
      <c r="C7" t="s">
        <v>92</v>
      </c>
      <c r="D7" t="s">
        <v>93</v>
      </c>
    </row>
    <row r="8" spans="1:4" x14ac:dyDescent="0.25">
      <c r="A8" t="s">
        <v>27</v>
      </c>
      <c r="B8">
        <v>29117</v>
      </c>
      <c r="C8">
        <v>26868</v>
      </c>
      <c r="D8">
        <v>2249</v>
      </c>
    </row>
    <row r="9" spans="1:4" x14ac:dyDescent="0.25">
      <c r="A9" t="s">
        <v>13</v>
      </c>
      <c r="B9">
        <v>47565</v>
      </c>
      <c r="C9">
        <v>44248</v>
      </c>
      <c r="D9">
        <v>3317</v>
      </c>
    </row>
    <row r="11" spans="1:4" x14ac:dyDescent="0.25">
      <c r="A11" t="s">
        <v>53</v>
      </c>
    </row>
    <row r="12" spans="1:4" x14ac:dyDescent="0.25">
      <c r="B12" t="s">
        <v>52</v>
      </c>
    </row>
    <row r="13" spans="1:4" x14ac:dyDescent="0.25">
      <c r="B13" t="s">
        <v>27</v>
      </c>
      <c r="C13" t="s">
        <v>13</v>
      </c>
    </row>
    <row r="14" spans="1:4" x14ac:dyDescent="0.25">
      <c r="A14" t="s">
        <v>49</v>
      </c>
      <c r="B14">
        <v>467.72222222222223</v>
      </c>
      <c r="C14">
        <v>43258.222222222219</v>
      </c>
    </row>
    <row r="15" spans="1:4" x14ac:dyDescent="0.25">
      <c r="A15" t="s">
        <v>48</v>
      </c>
      <c r="B15">
        <v>539.2037037037037</v>
      </c>
      <c r="C15">
        <v>43251.370370370372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2F6A8-991A-4930-93DE-35F6E079D2CE}">
  <dimension ref="A1:D3"/>
  <sheetViews>
    <sheetView workbookViewId="0">
      <selection activeCell="F9" sqref="F9"/>
    </sheetView>
  </sheetViews>
  <sheetFormatPr defaultRowHeight="15" x14ac:dyDescent="0.25"/>
  <cols>
    <col min="2" max="2" width="13.5703125" customWidth="1"/>
    <col min="3" max="3" width="12.42578125" customWidth="1"/>
    <col min="4" max="4" width="12" customWidth="1"/>
  </cols>
  <sheetData>
    <row r="1" spans="1:4" x14ac:dyDescent="0.25">
      <c r="B1" t="s">
        <v>72</v>
      </c>
      <c r="C1" t="s">
        <v>71</v>
      </c>
      <c r="D1" t="s">
        <v>70</v>
      </c>
    </row>
    <row r="2" spans="1:4" x14ac:dyDescent="0.25">
      <c r="A2" t="s">
        <v>55</v>
      </c>
      <c r="B2">
        <v>5.04</v>
      </c>
      <c r="C2">
        <v>4.16</v>
      </c>
      <c r="D2">
        <v>0.1</v>
      </c>
    </row>
    <row r="3" spans="1:4" x14ac:dyDescent="0.25">
      <c r="A3" t="s">
        <v>64</v>
      </c>
      <c r="B3">
        <v>10.64</v>
      </c>
      <c r="C3">
        <v>6.96</v>
      </c>
      <c r="D3">
        <v>0.33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D75FC-3163-4F07-A776-F6CFD4F6AB77}">
  <dimension ref="B2:X39"/>
  <sheetViews>
    <sheetView topLeftCell="E12" zoomScaleNormal="100" workbookViewId="0">
      <selection activeCell="E39" sqref="B36:E39"/>
    </sheetView>
  </sheetViews>
  <sheetFormatPr defaultRowHeight="15" x14ac:dyDescent="0.25"/>
  <cols>
    <col min="1" max="1" width="3.42578125" customWidth="1"/>
    <col min="2" max="2" width="11.7109375" bestFit="1" customWidth="1"/>
    <col min="3" max="3" width="21.5703125" bestFit="1" customWidth="1"/>
    <col min="6" max="6" width="10.5703125" bestFit="1" customWidth="1"/>
    <col min="9" max="9" width="13.42578125" customWidth="1"/>
    <col min="10" max="10" width="11.7109375" bestFit="1" customWidth="1"/>
    <col min="14" max="14" width="15.28515625" bestFit="1" customWidth="1"/>
    <col min="17" max="17" width="20.7109375" bestFit="1" customWidth="1"/>
  </cols>
  <sheetData>
    <row r="2" spans="2:18" ht="14.45" customHeight="1" x14ac:dyDescent="0.25">
      <c r="B2" t="s">
        <v>45</v>
      </c>
      <c r="D2" s="97" t="s">
        <v>44</v>
      </c>
      <c r="E2" s="97"/>
      <c r="F2" s="97"/>
      <c r="G2" s="97" t="s">
        <v>43</v>
      </c>
      <c r="H2" s="97"/>
      <c r="I2" s="97"/>
      <c r="J2" t="s">
        <v>42</v>
      </c>
      <c r="K2" s="97" t="s">
        <v>45</v>
      </c>
      <c r="L2" s="97"/>
      <c r="O2" t="s">
        <v>15</v>
      </c>
      <c r="P2" t="s">
        <v>14</v>
      </c>
      <c r="R2" s="80" t="s">
        <v>40</v>
      </c>
    </row>
    <row r="3" spans="2:18" x14ac:dyDescent="0.25">
      <c r="B3" t="s">
        <v>39</v>
      </c>
      <c r="C3" t="s">
        <v>38</v>
      </c>
      <c r="D3" t="s">
        <v>37</v>
      </c>
      <c r="E3" t="s">
        <v>36</v>
      </c>
      <c r="F3" t="s">
        <v>35</v>
      </c>
      <c r="G3" t="s">
        <v>34</v>
      </c>
      <c r="H3" t="s">
        <v>33</v>
      </c>
      <c r="I3" t="s">
        <v>32</v>
      </c>
      <c r="J3" t="s">
        <v>31</v>
      </c>
      <c r="K3" t="s">
        <v>30</v>
      </c>
      <c r="L3" t="s">
        <v>29</v>
      </c>
      <c r="N3" t="s">
        <v>28</v>
      </c>
      <c r="O3" s="8">
        <f>K8*12</f>
        <v>170.4</v>
      </c>
      <c r="P3" s="8">
        <f>K11*12</f>
        <v>3.6000000000000005</v>
      </c>
      <c r="Q3" t="s">
        <v>10</v>
      </c>
    </row>
    <row r="4" spans="2:18" x14ac:dyDescent="0.25">
      <c r="B4" t="s">
        <v>27</v>
      </c>
      <c r="C4" t="s">
        <v>26</v>
      </c>
      <c r="D4" s="12">
        <v>2</v>
      </c>
      <c r="E4" s="12">
        <v>25</v>
      </c>
      <c r="F4" s="81" t="s">
        <v>25</v>
      </c>
      <c r="G4" s="11">
        <f>IF($F$4="15-15-15", 15%, IF($F$4="12-12-17",12%, 18%))</f>
        <v>0.15</v>
      </c>
      <c r="H4" s="11">
        <f>IF($F$4="15-15-15", 15%, IF($F$4="12-12-17",12%, 18%))</f>
        <v>0.15</v>
      </c>
      <c r="I4" s="14">
        <f>H4*62/142</f>
        <v>6.5492957746478869E-2</v>
      </c>
      <c r="J4">
        <f>D4*E4</f>
        <v>50</v>
      </c>
      <c r="K4">
        <f>G4*J4</f>
        <v>7.5</v>
      </c>
      <c r="L4" s="8">
        <f>J4*I4</f>
        <v>3.2746478873239435</v>
      </c>
      <c r="N4" t="s">
        <v>94</v>
      </c>
      <c r="O4" s="9">
        <v>1.33</v>
      </c>
      <c r="P4" s="9">
        <v>1.33</v>
      </c>
      <c r="Q4" t="s">
        <v>24</v>
      </c>
    </row>
    <row r="5" spans="2:18" x14ac:dyDescent="0.25">
      <c r="C5" t="s">
        <v>23</v>
      </c>
      <c r="D5" s="12">
        <v>1</v>
      </c>
      <c r="E5" s="12">
        <v>2</v>
      </c>
      <c r="F5" s="81" t="str">
        <f>F4</f>
        <v>15-15-15</v>
      </c>
      <c r="G5" s="11" cm="1">
        <f t="array" ref="G5:H5">G4:H4</f>
        <v>0.15</v>
      </c>
      <c r="H5" s="11">
        <v>0.15</v>
      </c>
      <c r="I5" s="14">
        <f>H5*62/142</f>
        <v>6.5492957746478869E-2</v>
      </c>
      <c r="J5">
        <f>D5*E5</f>
        <v>2</v>
      </c>
      <c r="K5">
        <f>G5*J5</f>
        <v>0.3</v>
      </c>
      <c r="L5" s="8">
        <f>J5*I5</f>
        <v>0.13098591549295774</v>
      </c>
      <c r="N5" t="s">
        <v>7</v>
      </c>
      <c r="O5" s="8">
        <f>O3*O4</f>
        <v>226.63200000000003</v>
      </c>
      <c r="P5" s="8">
        <f>P3*P4</f>
        <v>4.7880000000000011</v>
      </c>
      <c r="Q5" t="s">
        <v>22</v>
      </c>
      <c r="R5" s="6"/>
    </row>
    <row r="6" spans="2:18" ht="15.75" thickBot="1" x14ac:dyDescent="0.3">
      <c r="C6" t="s">
        <v>21</v>
      </c>
      <c r="D6" s="12">
        <v>5</v>
      </c>
      <c r="E6" s="12">
        <v>25</v>
      </c>
      <c r="F6" s="81" t="s">
        <v>20</v>
      </c>
      <c r="G6" s="11">
        <v>0.05</v>
      </c>
      <c r="H6" s="11">
        <v>0.05</v>
      </c>
      <c r="I6" s="14">
        <f>H6*62/142</f>
        <v>2.183098591549296E-2</v>
      </c>
      <c r="J6">
        <f>D6*E6</f>
        <v>125</v>
      </c>
      <c r="K6">
        <f>G6*J6</f>
        <v>6.25</v>
      </c>
      <c r="L6" s="8">
        <f>J6*I6</f>
        <v>2.72887323943662</v>
      </c>
      <c r="N6" t="s">
        <v>4</v>
      </c>
      <c r="O6" s="7">
        <v>0.158</v>
      </c>
      <c r="P6" s="7">
        <v>0.158</v>
      </c>
      <c r="Q6" t="s">
        <v>19</v>
      </c>
      <c r="R6" s="6"/>
    </row>
    <row r="7" spans="2:18" ht="15.75" thickBot="1" x14ac:dyDescent="0.3">
      <c r="C7" t="s">
        <v>18</v>
      </c>
      <c r="D7" s="12">
        <v>1</v>
      </c>
      <c r="E7" s="12">
        <f>1*1+0.5</f>
        <v>1.5</v>
      </c>
      <c r="F7" s="81" t="s">
        <v>17</v>
      </c>
      <c r="G7" s="11">
        <v>0.1</v>
      </c>
      <c r="H7" s="11">
        <v>0.05</v>
      </c>
      <c r="I7" s="14">
        <f>H7*62/142</f>
        <v>2.183098591549296E-2</v>
      </c>
      <c r="J7">
        <f>D7*E7</f>
        <v>1.5</v>
      </c>
      <c r="K7">
        <f>G7*J7</f>
        <v>0.15000000000000002</v>
      </c>
      <c r="L7" s="8">
        <f>J7*I7</f>
        <v>3.2746478873239442E-2</v>
      </c>
      <c r="N7" s="82" t="s">
        <v>1</v>
      </c>
      <c r="O7" s="83">
        <f>O5*O6</f>
        <v>35.807856000000008</v>
      </c>
      <c r="P7" s="83">
        <f>P5*P6</f>
        <v>0.75650400000000018</v>
      </c>
      <c r="Q7" s="84" t="s">
        <v>16</v>
      </c>
      <c r="R7" s="85">
        <f t="shared" ref="R7" si="0">1-P7/O7</f>
        <v>0.97887323943661975</v>
      </c>
    </row>
    <row r="8" spans="2:18" ht="15.75" thickBot="1" x14ac:dyDescent="0.3">
      <c r="K8">
        <f>SUM(K4:K7)</f>
        <v>14.200000000000001</v>
      </c>
      <c r="L8" s="9">
        <f>SUM(L4:L7)</f>
        <v>6.1672535211267601</v>
      </c>
      <c r="N8" t="s">
        <v>95</v>
      </c>
      <c r="O8" s="8">
        <f>C33</f>
        <v>3.6624999999999996</v>
      </c>
      <c r="P8" s="8"/>
      <c r="Q8" t="s">
        <v>96</v>
      </c>
      <c r="R8" s="6"/>
    </row>
    <row r="9" spans="2:18" ht="15.75" thickBot="1" x14ac:dyDescent="0.3">
      <c r="N9" s="82" t="s">
        <v>97</v>
      </c>
      <c r="O9" s="83">
        <f>O3*O8</f>
        <v>624.08999999999992</v>
      </c>
      <c r="P9" s="86"/>
      <c r="Q9" s="87" t="s">
        <v>98</v>
      </c>
    </row>
    <row r="10" spans="2:18" x14ac:dyDescent="0.25">
      <c r="B10" t="s">
        <v>13</v>
      </c>
      <c r="C10" t="s">
        <v>12</v>
      </c>
      <c r="D10" s="12">
        <v>6000</v>
      </c>
      <c r="E10" s="12">
        <f>1/1000</f>
        <v>1E-3</v>
      </c>
      <c r="G10" s="11">
        <v>0.05</v>
      </c>
      <c r="I10" s="10">
        <f>0.5%</f>
        <v>5.0000000000000001E-3</v>
      </c>
      <c r="J10">
        <f>D10*E10</f>
        <v>6</v>
      </c>
      <c r="K10">
        <f>G10*J10</f>
        <v>0.30000000000000004</v>
      </c>
      <c r="L10" s="8">
        <f>J10*I10</f>
        <v>0.03</v>
      </c>
    </row>
    <row r="11" spans="2:18" x14ac:dyDescent="0.25">
      <c r="D11" s="16" t="s">
        <v>99</v>
      </c>
      <c r="E11" s="16" t="s">
        <v>100</v>
      </c>
      <c r="K11">
        <f>SUM(K10)</f>
        <v>0.30000000000000004</v>
      </c>
      <c r="L11">
        <f t="shared" ref="L11" si="1">SUM(L10)</f>
        <v>0.03</v>
      </c>
    </row>
    <row r="12" spans="2:18" x14ac:dyDescent="0.25">
      <c r="O12" s="8" t="s">
        <v>15</v>
      </c>
      <c r="P12" s="8" t="s">
        <v>14</v>
      </c>
      <c r="R12" s="6"/>
    </row>
    <row r="13" spans="2:18" x14ac:dyDescent="0.25">
      <c r="J13" t="s">
        <v>5</v>
      </c>
      <c r="K13" s="6">
        <f>(K8-K11)/K8</f>
        <v>0.97887323943661964</v>
      </c>
      <c r="L13" s="6">
        <f t="shared" ref="L13" si="2">(L8-L11)/L8</f>
        <v>0.99513559805880669</v>
      </c>
      <c r="N13" t="s">
        <v>11</v>
      </c>
      <c r="O13" s="8">
        <f>L8*12</f>
        <v>74.007042253521121</v>
      </c>
      <c r="P13" s="8">
        <f>L11*12</f>
        <v>0.36</v>
      </c>
      <c r="Q13" t="s">
        <v>10</v>
      </c>
      <c r="R13" s="6"/>
    </row>
    <row r="14" spans="2:18" ht="28.15" customHeight="1" x14ac:dyDescent="0.25">
      <c r="I14" s="98" t="s">
        <v>2</v>
      </c>
      <c r="J14" t="str">
        <f>B4</f>
        <v>Conventional</v>
      </c>
      <c r="K14" s="5">
        <f>K8/0.03</f>
        <v>473.33333333333337</v>
      </c>
      <c r="L14" s="5">
        <f t="shared" ref="L14" si="3">L8/0.03</f>
        <v>205.575117370892</v>
      </c>
      <c r="N14" t="s">
        <v>9</v>
      </c>
      <c r="O14" s="9">
        <v>0.05</v>
      </c>
      <c r="P14" s="9">
        <v>0.05</v>
      </c>
      <c r="Q14" t="s">
        <v>8</v>
      </c>
      <c r="R14" s="6"/>
    </row>
    <row r="15" spans="2:18" x14ac:dyDescent="0.25">
      <c r="I15" s="98"/>
      <c r="J15" t="str">
        <f>B10</f>
        <v>Regenerative</v>
      </c>
      <c r="K15">
        <f>K10/0.03</f>
        <v>10.000000000000002</v>
      </c>
      <c r="L15">
        <f>L10/0.03</f>
        <v>1</v>
      </c>
      <c r="N15" t="s">
        <v>7</v>
      </c>
      <c r="O15" s="8">
        <f>O13*O14</f>
        <v>3.7003521126760561</v>
      </c>
      <c r="P15" s="8">
        <f>P13*P14</f>
        <v>1.7999999999999999E-2</v>
      </c>
      <c r="Q15" s="6" t="s">
        <v>6</v>
      </c>
      <c r="R15" s="6"/>
    </row>
    <row r="16" spans="2:18" ht="15.75" thickBot="1" x14ac:dyDescent="0.3">
      <c r="N16" t="s">
        <v>4</v>
      </c>
      <c r="O16" s="7">
        <v>0.1</v>
      </c>
      <c r="P16" s="7">
        <v>0.1</v>
      </c>
      <c r="Q16" t="s">
        <v>3</v>
      </c>
      <c r="R16" s="6"/>
    </row>
    <row r="17" spans="3:24" ht="15.75" thickBot="1" x14ac:dyDescent="0.3">
      <c r="C17">
        <v>3.7</v>
      </c>
      <c r="D17">
        <v>2.7</v>
      </c>
      <c r="N17" s="82" t="s">
        <v>1</v>
      </c>
      <c r="O17" s="88">
        <f>O15*O16</f>
        <v>0.37003521126760563</v>
      </c>
      <c r="P17" s="88">
        <f>P15*P16</f>
        <v>1.8E-3</v>
      </c>
      <c r="Q17" s="84" t="s">
        <v>0</v>
      </c>
      <c r="R17" s="85">
        <f>1-P17/O17</f>
        <v>0.99513559805880669</v>
      </c>
    </row>
    <row r="18" spans="3:24" ht="15.75" thickBot="1" x14ac:dyDescent="0.3">
      <c r="C18">
        <v>3.9</v>
      </c>
      <c r="D18">
        <v>2.8</v>
      </c>
      <c r="N18" t="s">
        <v>95</v>
      </c>
      <c r="O18" s="8">
        <f>D33</f>
        <v>3.125</v>
      </c>
      <c r="P18" s="8"/>
      <c r="Q18" t="s">
        <v>101</v>
      </c>
      <c r="R18" s="6"/>
    </row>
    <row r="19" spans="3:24" ht="15.75" thickBot="1" x14ac:dyDescent="0.3">
      <c r="C19">
        <v>3.3</v>
      </c>
      <c r="D19">
        <v>4.5</v>
      </c>
      <c r="N19" s="82" t="s">
        <v>97</v>
      </c>
      <c r="O19" s="83">
        <f>O13*O18</f>
        <v>231.27200704225351</v>
      </c>
      <c r="P19" s="86"/>
      <c r="Q19" s="87" t="s">
        <v>98</v>
      </c>
      <c r="X19" s="8">
        <f>O9+O19</f>
        <v>855.36200704225348</v>
      </c>
    </row>
    <row r="20" spans="3:24" x14ac:dyDescent="0.25">
      <c r="C20">
        <v>3.5</v>
      </c>
      <c r="D20">
        <v>2.5</v>
      </c>
    </row>
    <row r="21" spans="3:24" ht="15.75" thickBot="1" x14ac:dyDescent="0.3">
      <c r="C21">
        <v>4.2</v>
      </c>
      <c r="N21" t="s">
        <v>102</v>
      </c>
      <c r="P21">
        <f>-'[1]Plant Harvest'!AE29</f>
        <v>-1.83</v>
      </c>
      <c r="Q21" t="s">
        <v>103</v>
      </c>
    </row>
    <row r="22" spans="3:24" ht="15.75" thickBot="1" x14ac:dyDescent="0.3">
      <c r="C22">
        <v>5.3</v>
      </c>
      <c r="N22" s="82" t="s">
        <v>97</v>
      </c>
      <c r="O22" s="84"/>
      <c r="P22" s="84">
        <f>D10*(E10*(P21))</f>
        <v>-10.98</v>
      </c>
      <c r="Q22" s="87" t="s">
        <v>98</v>
      </c>
    </row>
    <row r="23" spans="3:24" x14ac:dyDescent="0.25">
      <c r="C23">
        <v>3</v>
      </c>
    </row>
    <row r="24" spans="3:24" x14ac:dyDescent="0.25">
      <c r="C24">
        <v>2.8</v>
      </c>
      <c r="N24" t="s">
        <v>104</v>
      </c>
      <c r="O24" s="8">
        <f>O9+O19-P22</f>
        <v>866.3420070422535</v>
      </c>
      <c r="Q24" t="s">
        <v>105</v>
      </c>
    </row>
    <row r="25" spans="3:24" ht="15.75" thickBot="1" x14ac:dyDescent="0.3">
      <c r="C25">
        <v>3.1</v>
      </c>
      <c r="N25" t="s">
        <v>106</v>
      </c>
      <c r="O25">
        <v>15</v>
      </c>
      <c r="Q25" t="s">
        <v>107</v>
      </c>
    </row>
    <row r="26" spans="3:24" ht="15.75" thickBot="1" x14ac:dyDescent="0.3">
      <c r="C26">
        <v>3.3</v>
      </c>
      <c r="N26" s="82" t="s">
        <v>108</v>
      </c>
      <c r="O26" s="89">
        <f>O24*O25/1000</f>
        <v>12.995130105633802</v>
      </c>
      <c r="P26" s="84"/>
      <c r="Q26" s="87" t="s">
        <v>109</v>
      </c>
    </row>
    <row r="27" spans="3:24" x14ac:dyDescent="0.25">
      <c r="C27">
        <v>3.2</v>
      </c>
      <c r="N27" t="s">
        <v>110</v>
      </c>
    </row>
    <row r="28" spans="3:24" x14ac:dyDescent="0.25">
      <c r="C28">
        <v>2.5</v>
      </c>
    </row>
    <row r="29" spans="3:24" x14ac:dyDescent="0.25">
      <c r="C29">
        <v>3.6</v>
      </c>
    </row>
    <row r="30" spans="3:24" x14ac:dyDescent="0.25">
      <c r="C30">
        <v>7.8</v>
      </c>
    </row>
    <row r="31" spans="3:24" x14ac:dyDescent="0.25">
      <c r="C31">
        <v>3.5</v>
      </c>
    </row>
    <row r="32" spans="3:24" x14ac:dyDescent="0.25">
      <c r="C32">
        <v>1.9</v>
      </c>
    </row>
    <row r="33" spans="2:5" x14ac:dyDescent="0.25">
      <c r="C33">
        <f>AVERAGE(C17:C32)</f>
        <v>3.6624999999999996</v>
      </c>
      <c r="D33" s="8">
        <f>AVERAGE(D17:D32)</f>
        <v>3.125</v>
      </c>
    </row>
    <row r="36" spans="2:5" x14ac:dyDescent="0.25">
      <c r="C36" t="s">
        <v>15</v>
      </c>
      <c r="D36" t="s">
        <v>14</v>
      </c>
    </row>
    <row r="37" spans="2:5" x14ac:dyDescent="0.25">
      <c r="B37" t="s">
        <v>112</v>
      </c>
      <c r="C37">
        <v>35.807856000000008</v>
      </c>
      <c r="D37">
        <v>0.75650400000000018</v>
      </c>
      <c r="E37" t="s">
        <v>16</v>
      </c>
    </row>
    <row r="38" spans="2:5" x14ac:dyDescent="0.25">
      <c r="B38" t="s">
        <v>113</v>
      </c>
      <c r="C38">
        <v>0.37003521126760563</v>
      </c>
      <c r="D38">
        <v>1.8E-3</v>
      </c>
      <c r="E38" t="s">
        <v>0</v>
      </c>
    </row>
    <row r="39" spans="2:5" x14ac:dyDescent="0.25">
      <c r="B39" t="s">
        <v>111</v>
      </c>
      <c r="C39">
        <v>855.36200704225348</v>
      </c>
      <c r="D39">
        <v>-10.98</v>
      </c>
      <c r="E39" t="s">
        <v>98</v>
      </c>
    </row>
  </sheetData>
  <mergeCells count="4">
    <mergeCell ref="D2:F2"/>
    <mergeCell ref="G2:I2"/>
    <mergeCell ref="K2:L2"/>
    <mergeCell ref="I14:I15"/>
  </mergeCells>
  <dataValidations count="2">
    <dataValidation type="list" allowBlank="1" showInputMessage="1" showErrorMessage="1" sqref="F4" xr:uid="{68F5D9AE-9305-4893-A96E-1E4D02C4FE61}">
      <formula1>"15-15-15, 12-12-17, 18-18-5"</formula1>
    </dataValidation>
    <dataValidation type="list" allowBlank="1" showInputMessage="1" showErrorMessage="1" sqref="E4" xr:uid="{6BF099A7-8B9D-40BE-B88B-E37FFAAA651F}">
      <formula1>"25, 50"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18C97-1DE5-4D67-BA7A-60BB9E970859}">
  <dimension ref="A1:C4"/>
  <sheetViews>
    <sheetView workbookViewId="0">
      <selection activeCell="L9" sqref="L9"/>
    </sheetView>
  </sheetViews>
  <sheetFormatPr defaultRowHeight="15" x14ac:dyDescent="0.25"/>
  <cols>
    <col min="1" max="1" width="38.5703125" customWidth="1"/>
    <col min="2" max="2" width="22.28515625" customWidth="1"/>
    <col min="3" max="3" width="20.85546875" customWidth="1"/>
  </cols>
  <sheetData>
    <row r="1" spans="1:3" x14ac:dyDescent="0.25">
      <c r="B1" t="s">
        <v>51</v>
      </c>
      <c r="C1" t="s">
        <v>50</v>
      </c>
    </row>
    <row r="2" spans="1:3" x14ac:dyDescent="0.25">
      <c r="A2" t="s">
        <v>114</v>
      </c>
      <c r="B2">
        <v>35.807856000000008</v>
      </c>
      <c r="C2">
        <v>0.75650400000000018</v>
      </c>
    </row>
    <row r="3" spans="1:3" x14ac:dyDescent="0.25">
      <c r="A3" t="s">
        <v>115</v>
      </c>
      <c r="B3">
        <v>0.37003521126760563</v>
      </c>
      <c r="C3">
        <v>1.8E-3</v>
      </c>
    </row>
    <row r="4" spans="1:3" x14ac:dyDescent="0.25">
      <c r="A4" t="s">
        <v>116</v>
      </c>
      <c r="B4">
        <v>855.36200704225348</v>
      </c>
      <c r="C4">
        <v>-131.76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F40CA-6C70-4217-9BBF-A4470D21469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Plot Data</vt:lpstr>
      <vt:lpstr>Cost</vt:lpstr>
      <vt:lpstr>Yield</vt:lpstr>
      <vt:lpstr>SoilHealth</vt:lpstr>
      <vt:lpstr>EP222</vt:lpstr>
      <vt:lpstr>EP</vt:lpstr>
      <vt:lpstr>SQI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Tinaabishegan A/L Baladewan</dc:creator>
  <cp:lastModifiedBy>Tinaabishegan A/L Baladewan</cp:lastModifiedBy>
  <dcterms:created xsi:type="dcterms:W3CDTF">2025-08-23T03:27:29Z</dcterms:created>
  <dcterms:modified xsi:type="dcterms:W3CDTF">2025-08-23T19:00:42Z</dcterms:modified>
</cp:coreProperties>
</file>