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tanyapetach/Documents/Tanya/AGCI/Wiki/"/>
    </mc:Choice>
  </mc:AlternateContent>
  <xr:revisionPtr revIDLastSave="0" documentId="8_{43FA1D14-966F-FD4C-8A81-6E5B8D3609D8}" xr6:coauthVersionLast="47" xr6:coauthVersionMax="47" xr10:uidLastSave="{00000000-0000-0000-0000-000000000000}"/>
  <bookViews>
    <workbookView xWindow="0" yWindow="760" windowWidth="30240" windowHeight="17800" xr2:uid="{00000000-000D-0000-FFFF-FFFF00000000}"/>
  </bookViews>
  <sheets>
    <sheet name="ReadMe" sheetId="1" r:id="rId1"/>
    <sheet name="CRB Urban Water Summary Table" sheetId="2" r:id="rId2"/>
    <sheet name="Metric Table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WG+T0YRYWEXMST136Cf+p9lclFw=="/>
    </ext>
  </extLst>
</workbook>
</file>

<file path=xl/calcChain.xml><?xml version="1.0" encoding="utf-8"?>
<calcChain xmlns="http://schemas.openxmlformats.org/spreadsheetml/2006/main">
  <c r="P62" i="3" l="1"/>
  <c r="K62" i="3"/>
  <c r="P58" i="3"/>
  <c r="K58" i="3"/>
  <c r="B55" i="3"/>
  <c r="P54" i="3"/>
  <c r="K54" i="3"/>
  <c r="E54" i="3"/>
  <c r="P49" i="3"/>
  <c r="K49" i="3"/>
  <c r="P45" i="3"/>
  <c r="K45" i="3"/>
  <c r="E45" i="3"/>
  <c r="P41" i="3"/>
  <c r="K41" i="3"/>
  <c r="M37" i="3"/>
  <c r="L37" i="3"/>
  <c r="J37" i="3"/>
  <c r="I37" i="3"/>
  <c r="H37" i="3"/>
  <c r="F37" i="3"/>
  <c r="E37" i="3"/>
  <c r="G37" i="3" s="1"/>
  <c r="C37" i="3"/>
  <c r="B37" i="3"/>
  <c r="D37" i="3" s="1"/>
  <c r="O35" i="3"/>
  <c r="N35" i="3"/>
  <c r="L35" i="3"/>
  <c r="I35" i="3"/>
  <c r="H35" i="3"/>
  <c r="J35" i="3" s="1"/>
  <c r="F35" i="3"/>
  <c r="E35" i="3"/>
  <c r="G35" i="3" s="1"/>
  <c r="C35" i="3"/>
  <c r="D35" i="3" s="1"/>
  <c r="B35" i="3"/>
  <c r="O34" i="3"/>
  <c r="O54" i="3" s="1"/>
  <c r="N34" i="3"/>
  <c r="L34" i="3"/>
  <c r="I34" i="3"/>
  <c r="H34" i="3"/>
  <c r="J34" i="3" s="1"/>
  <c r="F34" i="3"/>
  <c r="F55" i="3" s="1"/>
  <c r="G55" i="3" s="1"/>
  <c r="E34" i="3"/>
  <c r="D34" i="3"/>
  <c r="C34" i="3"/>
  <c r="B34" i="3"/>
  <c r="O33" i="3"/>
  <c r="N33" i="3"/>
  <c r="L33" i="3"/>
  <c r="I33" i="3"/>
  <c r="J33" i="3" s="1"/>
  <c r="H33" i="3"/>
  <c r="G33" i="3"/>
  <c r="F33" i="3"/>
  <c r="E33" i="3"/>
  <c r="C33" i="3"/>
  <c r="D33" i="3" s="1"/>
  <c r="B33" i="3"/>
  <c r="O32" i="3"/>
  <c r="N32" i="3"/>
  <c r="M32" i="3"/>
  <c r="L32" i="3"/>
  <c r="J32" i="3"/>
  <c r="I32" i="3"/>
  <c r="H32" i="3"/>
  <c r="F32" i="3"/>
  <c r="G32" i="3" s="1"/>
  <c r="E32" i="3"/>
  <c r="C32" i="3"/>
  <c r="D32" i="3" s="1"/>
  <c r="B32" i="3"/>
  <c r="M31" i="3"/>
  <c r="L31" i="3"/>
  <c r="I31" i="3"/>
  <c r="H31" i="3"/>
  <c r="F31" i="3"/>
  <c r="G31" i="3" s="1"/>
  <c r="E31" i="3"/>
  <c r="C31" i="3"/>
  <c r="D31" i="3" s="1"/>
  <c r="B31" i="3"/>
  <c r="O30" i="3"/>
  <c r="N30" i="3"/>
  <c r="L30" i="3"/>
  <c r="I30" i="3"/>
  <c r="J30" i="3" s="1"/>
  <c r="H30" i="3"/>
  <c r="F30" i="3"/>
  <c r="G30" i="3" s="1"/>
  <c r="E30" i="3"/>
  <c r="C30" i="3"/>
  <c r="D30" i="3" s="1"/>
  <c r="B30" i="3"/>
  <c r="O28" i="3"/>
  <c r="N28" i="3"/>
  <c r="L28" i="3"/>
  <c r="I28" i="3"/>
  <c r="J28" i="3" s="1"/>
  <c r="H28" i="3"/>
  <c r="F28" i="3"/>
  <c r="G28" i="3" s="1"/>
  <c r="E28" i="3"/>
  <c r="C28" i="3"/>
  <c r="D28" i="3" s="1"/>
  <c r="B28" i="3"/>
  <c r="O27" i="3"/>
  <c r="N27" i="3"/>
  <c r="M27" i="3"/>
  <c r="L27" i="3"/>
  <c r="I27" i="3"/>
  <c r="J27" i="3" s="1"/>
  <c r="H27" i="3"/>
  <c r="F27" i="3"/>
  <c r="G27" i="3" s="1"/>
  <c r="E27" i="3"/>
  <c r="C27" i="3"/>
  <c r="D27" i="3" s="1"/>
  <c r="B27" i="3"/>
  <c r="O26" i="3"/>
  <c r="N26" i="3"/>
  <c r="L26" i="3"/>
  <c r="I26" i="3"/>
  <c r="J26" i="3" s="1"/>
  <c r="H26" i="3"/>
  <c r="F26" i="3"/>
  <c r="G26" i="3" s="1"/>
  <c r="E26" i="3"/>
  <c r="D26" i="3"/>
  <c r="C26" i="3"/>
  <c r="B26" i="3"/>
  <c r="O25" i="3"/>
  <c r="N25" i="3"/>
  <c r="L25" i="3"/>
  <c r="I25" i="3"/>
  <c r="J25" i="3" s="1"/>
  <c r="H25" i="3"/>
  <c r="G25" i="3"/>
  <c r="F25" i="3"/>
  <c r="E25" i="3"/>
  <c r="C25" i="3"/>
  <c r="B25" i="3"/>
  <c r="D25" i="3" s="1"/>
  <c r="O24" i="3"/>
  <c r="N24" i="3"/>
  <c r="L24" i="3"/>
  <c r="J24" i="3"/>
  <c r="I24" i="3"/>
  <c r="H24" i="3"/>
  <c r="F24" i="3"/>
  <c r="E24" i="3"/>
  <c r="G24" i="3" s="1"/>
  <c r="C24" i="3"/>
  <c r="B24" i="3"/>
  <c r="D24" i="3" s="1"/>
  <c r="O23" i="3"/>
  <c r="N23" i="3"/>
  <c r="L23" i="3"/>
  <c r="L49" i="3" s="1"/>
  <c r="I23" i="3"/>
  <c r="H23" i="3"/>
  <c r="J23" i="3" s="1"/>
  <c r="F23" i="3"/>
  <c r="E23" i="3"/>
  <c r="G23" i="3" s="1"/>
  <c r="C23" i="3"/>
  <c r="D23" i="3" s="1"/>
  <c r="B23" i="3"/>
  <c r="O22" i="3"/>
  <c r="N22" i="3"/>
  <c r="L22" i="3"/>
  <c r="I22" i="3"/>
  <c r="H22" i="3"/>
  <c r="J22" i="3" s="1"/>
  <c r="F22" i="3"/>
  <c r="G22" i="3" s="1"/>
  <c r="E22" i="3"/>
  <c r="D22" i="3"/>
  <c r="C22" i="3"/>
  <c r="B22" i="3"/>
  <c r="O21" i="3"/>
  <c r="N21" i="3"/>
  <c r="L21" i="3"/>
  <c r="I21" i="3"/>
  <c r="J21" i="3" s="1"/>
  <c r="H21" i="3"/>
  <c r="G21" i="3"/>
  <c r="F21" i="3"/>
  <c r="E21" i="3"/>
  <c r="C21" i="3"/>
  <c r="D21" i="3" s="1"/>
  <c r="B21" i="3"/>
  <c r="O20" i="3"/>
  <c r="N20" i="3"/>
  <c r="M20" i="3"/>
  <c r="L20" i="3"/>
  <c r="J20" i="3"/>
  <c r="I20" i="3"/>
  <c r="H20" i="3"/>
  <c r="F20" i="3"/>
  <c r="G20" i="3" s="1"/>
  <c r="E20" i="3"/>
  <c r="C20" i="3"/>
  <c r="D20" i="3" s="1"/>
  <c r="B20" i="3"/>
  <c r="B49" i="3" s="1"/>
  <c r="O19" i="3"/>
  <c r="O49" i="3" s="1"/>
  <c r="N19" i="3"/>
  <c r="L19" i="3"/>
  <c r="I19" i="3"/>
  <c r="J19" i="3" s="1"/>
  <c r="H19" i="3"/>
  <c r="F19" i="3"/>
  <c r="G19" i="3" s="1"/>
  <c r="E19" i="3"/>
  <c r="E49" i="3" s="1"/>
  <c r="C19" i="3"/>
  <c r="C49" i="3" s="1"/>
  <c r="B19" i="3"/>
  <c r="O18" i="3"/>
  <c r="N18" i="3"/>
  <c r="N49" i="3" s="1"/>
  <c r="L18" i="3"/>
  <c r="I18" i="3"/>
  <c r="I50" i="3" s="1"/>
  <c r="H18" i="3"/>
  <c r="H50" i="3" s="1"/>
  <c r="F18" i="3"/>
  <c r="F49" i="3" s="1"/>
  <c r="E18" i="3"/>
  <c r="C18" i="3"/>
  <c r="D18" i="3" s="1"/>
  <c r="B18" i="3"/>
  <c r="B50" i="3" s="1"/>
  <c r="O15" i="3"/>
  <c r="N15" i="3"/>
  <c r="M15" i="3"/>
  <c r="L15" i="3"/>
  <c r="I15" i="3"/>
  <c r="I62" i="3" s="1"/>
  <c r="H15" i="3"/>
  <c r="F15" i="3"/>
  <c r="G15" i="3" s="1"/>
  <c r="E15" i="3"/>
  <c r="C15" i="3"/>
  <c r="D15" i="3" s="1"/>
  <c r="B15" i="3"/>
  <c r="O14" i="3"/>
  <c r="N14" i="3"/>
  <c r="L14" i="3"/>
  <c r="I14" i="3"/>
  <c r="J14" i="3" s="1"/>
  <c r="H14" i="3"/>
  <c r="F14" i="3"/>
  <c r="G14" i="3" s="1"/>
  <c r="E14" i="3"/>
  <c r="D14" i="3"/>
  <c r="C14" i="3"/>
  <c r="B14" i="3"/>
  <c r="O12" i="3"/>
  <c r="N12" i="3"/>
  <c r="L12" i="3"/>
  <c r="I12" i="3"/>
  <c r="J12" i="3" s="1"/>
  <c r="H12" i="3"/>
  <c r="G12" i="3"/>
  <c r="F12" i="3"/>
  <c r="E12" i="3"/>
  <c r="C12" i="3"/>
  <c r="B12" i="3"/>
  <c r="D12" i="3" s="1"/>
  <c r="O11" i="3"/>
  <c r="N11" i="3"/>
  <c r="L11" i="3"/>
  <c r="I11" i="3"/>
  <c r="I41" i="3" s="1"/>
  <c r="F11" i="3"/>
  <c r="G11" i="3" s="1"/>
  <c r="E11" i="3"/>
  <c r="C11" i="3"/>
  <c r="D11" i="3" s="1"/>
  <c r="B11" i="3"/>
  <c r="O9" i="3"/>
  <c r="N9" i="3"/>
  <c r="M9" i="3"/>
  <c r="L9" i="3"/>
  <c r="I9" i="3"/>
  <c r="J9" i="3" s="1"/>
  <c r="H9" i="3"/>
  <c r="F9" i="3"/>
  <c r="G9" i="3" s="1"/>
  <c r="E9" i="3"/>
  <c r="C9" i="3"/>
  <c r="D9" i="3" s="1"/>
  <c r="B9" i="3"/>
  <c r="O8" i="3"/>
  <c r="O62" i="3" s="1"/>
  <c r="N8" i="3"/>
  <c r="N62" i="3" s="1"/>
  <c r="M8" i="3"/>
  <c r="L8" i="3"/>
  <c r="L62" i="3" s="1"/>
  <c r="I8" i="3"/>
  <c r="J8" i="3" s="1"/>
  <c r="H8" i="3"/>
  <c r="H62" i="3" s="1"/>
  <c r="F8" i="3"/>
  <c r="G8" i="3" s="1"/>
  <c r="E8" i="3"/>
  <c r="E62" i="3" s="1"/>
  <c r="D8" i="3"/>
  <c r="C8" i="3"/>
  <c r="C62" i="3" s="1"/>
  <c r="B8" i="3"/>
  <c r="B62" i="3" s="1"/>
  <c r="O7" i="3"/>
  <c r="N7" i="3"/>
  <c r="L7" i="3"/>
  <c r="I7" i="3"/>
  <c r="J7" i="3" s="1"/>
  <c r="H7" i="3"/>
  <c r="H59" i="3" s="1"/>
  <c r="G7" i="3"/>
  <c r="F7" i="3"/>
  <c r="E7" i="3"/>
  <c r="E42" i="3" s="1"/>
  <c r="C7" i="3"/>
  <c r="B7" i="3"/>
  <c r="D7" i="3" s="1"/>
  <c r="O6" i="3"/>
  <c r="N6" i="3"/>
  <c r="N54" i="3" s="1"/>
  <c r="M6" i="3"/>
  <c r="M54" i="3" s="1"/>
  <c r="L6" i="3"/>
  <c r="L54" i="3" s="1"/>
  <c r="J6" i="3"/>
  <c r="I6" i="3"/>
  <c r="I42" i="3" s="1"/>
  <c r="H6" i="3"/>
  <c r="H55" i="3" s="1"/>
  <c r="F6" i="3"/>
  <c r="E6" i="3"/>
  <c r="E55" i="3" s="1"/>
  <c r="C6" i="3"/>
  <c r="C54" i="3" s="1"/>
  <c r="B6" i="3"/>
  <c r="B54" i="3" s="1"/>
  <c r="O5" i="3"/>
  <c r="N5" i="3"/>
  <c r="N41" i="3" s="1"/>
  <c r="L5" i="3"/>
  <c r="I5" i="3"/>
  <c r="H5" i="3"/>
  <c r="J5" i="3" s="1"/>
  <c r="F5" i="3"/>
  <c r="E5" i="3"/>
  <c r="G5" i="3" s="1"/>
  <c r="C5" i="3"/>
  <c r="C41" i="3" s="1"/>
  <c r="B5" i="3"/>
  <c r="B59" i="3" s="1"/>
  <c r="O4" i="3"/>
  <c r="O41" i="3" s="1"/>
  <c r="N4" i="3"/>
  <c r="M4" i="3"/>
  <c r="L4" i="3"/>
  <c r="L41" i="3" s="1"/>
  <c r="I4" i="3"/>
  <c r="I58" i="3" s="1"/>
  <c r="H4" i="3"/>
  <c r="H58" i="3" s="1"/>
  <c r="F4" i="3"/>
  <c r="F46" i="3" s="1"/>
  <c r="E4" i="3"/>
  <c r="E41" i="3" s="1"/>
  <c r="D4" i="3"/>
  <c r="C4" i="3"/>
  <c r="C59" i="3" s="1"/>
  <c r="D59" i="3" s="1"/>
  <c r="B4" i="3"/>
  <c r="B41" i="3" s="1"/>
  <c r="I69" i="2"/>
  <c r="J69" i="2" s="1"/>
  <c r="H69" i="2"/>
  <c r="F69" i="2"/>
  <c r="G69" i="2" s="1"/>
  <c r="E69" i="2"/>
  <c r="C69" i="2"/>
  <c r="D69" i="2" s="1"/>
  <c r="B69" i="2"/>
  <c r="P68" i="2"/>
  <c r="N68" i="2"/>
  <c r="L68" i="2"/>
  <c r="K68" i="2"/>
  <c r="J68" i="2"/>
  <c r="I68" i="2"/>
  <c r="H68" i="2"/>
  <c r="F68" i="2"/>
  <c r="E68" i="2"/>
  <c r="G68" i="2" s="1"/>
  <c r="C68" i="2"/>
  <c r="B68" i="2"/>
  <c r="I67" i="2"/>
  <c r="J67" i="2" s="1"/>
  <c r="H67" i="2"/>
  <c r="F67" i="2"/>
  <c r="E67" i="2"/>
  <c r="C67" i="2"/>
  <c r="B67" i="2"/>
  <c r="I64" i="2"/>
  <c r="J64" i="2" s="1"/>
  <c r="H64" i="2"/>
  <c r="G64" i="2"/>
  <c r="F64" i="2"/>
  <c r="E64" i="2"/>
  <c r="C64" i="2"/>
  <c r="B64" i="2"/>
  <c r="D64" i="2" s="1"/>
  <c r="P63" i="2"/>
  <c r="N63" i="2"/>
  <c r="L63" i="2"/>
  <c r="K63" i="2"/>
  <c r="I63" i="2"/>
  <c r="H63" i="2"/>
  <c r="F63" i="2"/>
  <c r="G63" i="2" s="1"/>
  <c r="E63" i="2"/>
  <c r="C63" i="2"/>
  <c r="B63" i="2"/>
  <c r="I62" i="2"/>
  <c r="J62" i="2" s="1"/>
  <c r="H62" i="2"/>
  <c r="F62" i="2"/>
  <c r="E62" i="2"/>
  <c r="C62" i="2"/>
  <c r="B62" i="2"/>
  <c r="I59" i="2"/>
  <c r="J59" i="2" s="1"/>
  <c r="H59" i="2"/>
  <c r="G59" i="2"/>
  <c r="F59" i="2"/>
  <c r="E59" i="2"/>
  <c r="C59" i="2"/>
  <c r="D59" i="2" s="1"/>
  <c r="B59" i="2"/>
  <c r="P58" i="2"/>
  <c r="N58" i="2"/>
  <c r="L58" i="2"/>
  <c r="K58" i="2"/>
  <c r="I58" i="2"/>
  <c r="H58" i="2"/>
  <c r="F58" i="2"/>
  <c r="G58" i="2" s="1"/>
  <c r="E58" i="2"/>
  <c r="C58" i="2"/>
  <c r="B58" i="2"/>
  <c r="I57" i="2"/>
  <c r="H57" i="2"/>
  <c r="J57" i="2" s="1"/>
  <c r="F57" i="2"/>
  <c r="E57" i="2"/>
  <c r="C57" i="2"/>
  <c r="B57" i="2"/>
  <c r="I53" i="2"/>
  <c r="J53" i="2" s="1"/>
  <c r="H53" i="2"/>
  <c r="F53" i="2"/>
  <c r="G53" i="2" s="1"/>
  <c r="E53" i="2"/>
  <c r="C53" i="2"/>
  <c r="D53" i="2" s="1"/>
  <c r="B53" i="2"/>
  <c r="P52" i="2"/>
  <c r="N52" i="2"/>
  <c r="L52" i="2"/>
  <c r="K52" i="2"/>
  <c r="I52" i="2"/>
  <c r="H52" i="2"/>
  <c r="F52" i="2"/>
  <c r="G52" i="2" s="1"/>
  <c r="E52" i="2"/>
  <c r="C52" i="2"/>
  <c r="B52" i="2"/>
  <c r="I51" i="2"/>
  <c r="J51" i="2" s="1"/>
  <c r="H51" i="2"/>
  <c r="F51" i="2"/>
  <c r="E51" i="2"/>
  <c r="C51" i="2"/>
  <c r="B51" i="2"/>
  <c r="I48" i="2"/>
  <c r="H48" i="2"/>
  <c r="J48" i="2" s="1"/>
  <c r="F48" i="2"/>
  <c r="E48" i="2"/>
  <c r="G48" i="2" s="1"/>
  <c r="C48" i="2"/>
  <c r="D48" i="2" s="1"/>
  <c r="B48" i="2"/>
  <c r="P47" i="2"/>
  <c r="N47" i="2"/>
  <c r="L47" i="2"/>
  <c r="K47" i="2"/>
  <c r="I47" i="2"/>
  <c r="H47" i="2"/>
  <c r="F47" i="2"/>
  <c r="G47" i="2" s="1"/>
  <c r="E47" i="2"/>
  <c r="C47" i="2"/>
  <c r="B47" i="2"/>
  <c r="I46" i="2"/>
  <c r="J46" i="2" s="1"/>
  <c r="H46" i="2"/>
  <c r="F46" i="2"/>
  <c r="E46" i="2"/>
  <c r="C46" i="2"/>
  <c r="B46" i="2"/>
  <c r="F43" i="2"/>
  <c r="G43" i="2" s="1"/>
  <c r="E43" i="2"/>
  <c r="C43" i="2"/>
  <c r="P42" i="2"/>
  <c r="N42" i="2"/>
  <c r="L42" i="2"/>
  <c r="AF19" i="2" s="1"/>
  <c r="K42" i="2"/>
  <c r="H42" i="2"/>
  <c r="F42" i="2"/>
  <c r="E42" i="2"/>
  <c r="B42" i="2"/>
  <c r="I41" i="2"/>
  <c r="F41" i="2"/>
  <c r="E41" i="2"/>
  <c r="B41" i="2"/>
  <c r="M37" i="2"/>
  <c r="J37" i="2"/>
  <c r="G37" i="2"/>
  <c r="D37" i="2"/>
  <c r="D58" i="2" s="1"/>
  <c r="I36" i="2"/>
  <c r="I43" i="2" s="1"/>
  <c r="H36" i="2"/>
  <c r="C36" i="2"/>
  <c r="D36" i="2" s="1"/>
  <c r="Z19" i="2" s="1"/>
  <c r="B36" i="2"/>
  <c r="B43" i="2" s="1"/>
  <c r="O35" i="2"/>
  <c r="M35" i="2"/>
  <c r="M35" i="3" s="1"/>
  <c r="J35" i="2"/>
  <c r="G35" i="2"/>
  <c r="D35" i="2"/>
  <c r="O34" i="2"/>
  <c r="M34" i="2"/>
  <c r="M34" i="3" s="1"/>
  <c r="J34" i="2"/>
  <c r="G34" i="2"/>
  <c r="D34" i="2"/>
  <c r="O33" i="2"/>
  <c r="M33" i="2"/>
  <c r="M33" i="3" s="1"/>
  <c r="J33" i="2"/>
  <c r="G33" i="2"/>
  <c r="D33" i="2"/>
  <c r="O32" i="2"/>
  <c r="M32" i="2"/>
  <c r="J32" i="2"/>
  <c r="G32" i="2"/>
  <c r="D32" i="2"/>
  <c r="M31" i="2"/>
  <c r="J31" i="2"/>
  <c r="G31" i="2"/>
  <c r="D31" i="2"/>
  <c r="D51" i="2" s="1"/>
  <c r="O30" i="2"/>
  <c r="M30" i="2"/>
  <c r="M30" i="3" s="1"/>
  <c r="J30" i="2"/>
  <c r="G30" i="2"/>
  <c r="D30" i="2"/>
  <c r="I29" i="2"/>
  <c r="H29" i="2"/>
  <c r="J29" i="2" s="1"/>
  <c r="O28" i="2"/>
  <c r="M28" i="2"/>
  <c r="M28" i="3" s="1"/>
  <c r="J28" i="2"/>
  <c r="G28" i="2"/>
  <c r="D28" i="2"/>
  <c r="O27" i="2"/>
  <c r="M27" i="2"/>
  <c r="J27" i="2"/>
  <c r="G27" i="2"/>
  <c r="D27" i="2"/>
  <c r="O26" i="2"/>
  <c r="M26" i="2"/>
  <c r="M26" i="3" s="1"/>
  <c r="J26" i="2"/>
  <c r="G26" i="2"/>
  <c r="D26" i="2"/>
  <c r="O25" i="2"/>
  <c r="M25" i="2"/>
  <c r="M25" i="3" s="1"/>
  <c r="J25" i="2"/>
  <c r="G25" i="2"/>
  <c r="D25" i="2"/>
  <c r="O24" i="2"/>
  <c r="O58" i="2" s="1"/>
  <c r="M24" i="2"/>
  <c r="M24" i="3" s="1"/>
  <c r="J24" i="2"/>
  <c r="G24" i="2"/>
  <c r="D24" i="2"/>
  <c r="O23" i="2"/>
  <c r="M23" i="2"/>
  <c r="M23" i="3" s="1"/>
  <c r="J23" i="2"/>
  <c r="G23" i="2"/>
  <c r="D23" i="2"/>
  <c r="AB22" i="2"/>
  <c r="AA22" i="2"/>
  <c r="Y22" i="2"/>
  <c r="O22" i="2"/>
  <c r="M22" i="2"/>
  <c r="M22" i="3" s="1"/>
  <c r="J22" i="2"/>
  <c r="G22" i="2"/>
  <c r="D22" i="2"/>
  <c r="AK21" i="2"/>
  <c r="AI21" i="2"/>
  <c r="AH21" i="2"/>
  <c r="AF21" i="2"/>
  <c r="AE21" i="2"/>
  <c r="AB21" i="2"/>
  <c r="AA21" i="2"/>
  <c r="Y21" i="2"/>
  <c r="O21" i="2"/>
  <c r="M21" i="2"/>
  <c r="M21" i="3" s="1"/>
  <c r="J21" i="2"/>
  <c r="G21" i="2"/>
  <c r="D21" i="2"/>
  <c r="O20" i="2"/>
  <c r="M20" i="2"/>
  <c r="J20" i="2"/>
  <c r="G20" i="2"/>
  <c r="D20" i="2"/>
  <c r="D52" i="2" s="1"/>
  <c r="AK19" i="2"/>
  <c r="AI19" i="2"/>
  <c r="AH19" i="2"/>
  <c r="AE19" i="2"/>
  <c r="AB19" i="2"/>
  <c r="AA19" i="2"/>
  <c r="Y19" i="2"/>
  <c r="O19" i="2"/>
  <c r="M19" i="2"/>
  <c r="M19" i="3" s="1"/>
  <c r="J19" i="2"/>
  <c r="G19" i="2"/>
  <c r="D19" i="2"/>
  <c r="W18" i="2"/>
  <c r="O18" i="2"/>
  <c r="O52" i="2" s="1"/>
  <c r="M18" i="2"/>
  <c r="AG19" i="2" s="1"/>
  <c r="J18" i="2"/>
  <c r="J52" i="2" s="1"/>
  <c r="G18" i="2"/>
  <c r="AC19" i="2" s="1"/>
  <c r="D18" i="2"/>
  <c r="O15" i="2"/>
  <c r="M15" i="2"/>
  <c r="J15" i="2"/>
  <c r="G15" i="2"/>
  <c r="D15" i="2"/>
  <c r="O14" i="2"/>
  <c r="M14" i="2"/>
  <c r="M14" i="3" s="1"/>
  <c r="J14" i="2"/>
  <c r="G14" i="2"/>
  <c r="D14" i="2"/>
  <c r="O12" i="2"/>
  <c r="M12" i="2"/>
  <c r="M12" i="3" s="1"/>
  <c r="J12" i="2"/>
  <c r="G12" i="2"/>
  <c r="D12" i="2"/>
  <c r="D68" i="2" s="1"/>
  <c r="O11" i="2"/>
  <c r="M11" i="2"/>
  <c r="M11" i="3" s="1"/>
  <c r="G11" i="2"/>
  <c r="D11" i="2"/>
  <c r="Z5" i="2" s="1"/>
  <c r="O9" i="2"/>
  <c r="M9" i="2"/>
  <c r="J9" i="2"/>
  <c r="G9" i="2"/>
  <c r="D9" i="2"/>
  <c r="AD8" i="2"/>
  <c r="AB8" i="2"/>
  <c r="AA8" i="2"/>
  <c r="Y8" i="2"/>
  <c r="X8" i="2"/>
  <c r="AH6" i="2" s="1"/>
  <c r="O8" i="2"/>
  <c r="O68" i="2" s="1"/>
  <c r="M8" i="2"/>
  <c r="M68" i="2" s="1"/>
  <c r="J8" i="2"/>
  <c r="G8" i="2"/>
  <c r="D8" i="2"/>
  <c r="D67" i="2" s="1"/>
  <c r="AK7" i="2"/>
  <c r="AI7" i="2"/>
  <c r="AH7" i="2"/>
  <c r="AF7" i="2"/>
  <c r="AE7" i="2"/>
  <c r="AB7" i="2"/>
  <c r="AA7" i="2"/>
  <c r="Y7" i="2"/>
  <c r="X7" i="2"/>
  <c r="O7" i="2"/>
  <c r="M7" i="2"/>
  <c r="M7" i="3" s="1"/>
  <c r="J7" i="2"/>
  <c r="G7" i="2"/>
  <c r="D7" i="2"/>
  <c r="AK6" i="2"/>
  <c r="O6" i="2"/>
  <c r="M6" i="2"/>
  <c r="M58" i="2" s="1"/>
  <c r="J6" i="2"/>
  <c r="J58" i="2" s="1"/>
  <c r="G6" i="2"/>
  <c r="D6" i="2"/>
  <c r="D57" i="2" s="1"/>
  <c r="AK5" i="2"/>
  <c r="AJ5" i="2"/>
  <c r="AI5" i="2"/>
  <c r="AH5" i="2"/>
  <c r="AF5" i="2"/>
  <c r="AE5" i="2"/>
  <c r="AB5" i="2"/>
  <c r="AA5" i="2"/>
  <c r="Y5" i="2"/>
  <c r="X5" i="2"/>
  <c r="O5" i="2"/>
  <c r="M5" i="2"/>
  <c r="M47" i="2" s="1"/>
  <c r="J5" i="2"/>
  <c r="G5" i="2"/>
  <c r="D5" i="2"/>
  <c r="W4" i="2"/>
  <c r="O4" i="2"/>
  <c r="O42" i="2" s="1"/>
  <c r="J4" i="2"/>
  <c r="J47" i="2" s="1"/>
  <c r="G4" i="2"/>
  <c r="AC5" i="2" s="1"/>
  <c r="D4" i="2"/>
  <c r="D47" i="2" s="1"/>
  <c r="D62" i="3" l="1"/>
  <c r="J42" i="2"/>
  <c r="D43" i="2"/>
  <c r="J41" i="2"/>
  <c r="J42" i="3"/>
  <c r="J62" i="3"/>
  <c r="J50" i="3"/>
  <c r="J58" i="3"/>
  <c r="J43" i="2"/>
  <c r="D5" i="3"/>
  <c r="D45" i="3" s="1"/>
  <c r="AG5" i="2"/>
  <c r="X22" i="2"/>
  <c r="G42" i="2"/>
  <c r="O47" i="2"/>
  <c r="M52" i="2"/>
  <c r="G6" i="3"/>
  <c r="G54" i="3" s="1"/>
  <c r="F41" i="3"/>
  <c r="B45" i="3"/>
  <c r="L45" i="3"/>
  <c r="H49" i="3"/>
  <c r="C50" i="3"/>
  <c r="D50" i="3" s="1"/>
  <c r="I55" i="3"/>
  <c r="J55" i="3" s="1"/>
  <c r="E59" i="3"/>
  <c r="F62" i="3"/>
  <c r="D46" i="2"/>
  <c r="B42" i="3"/>
  <c r="C45" i="3"/>
  <c r="H46" i="3"/>
  <c r="I49" i="3"/>
  <c r="B63" i="3"/>
  <c r="J63" i="2"/>
  <c r="F59" i="3"/>
  <c r="G59" i="3" s="1"/>
  <c r="AJ19" i="2"/>
  <c r="J36" i="2"/>
  <c r="H41" i="2"/>
  <c r="I42" i="2"/>
  <c r="M5" i="3"/>
  <c r="J15" i="3"/>
  <c r="G18" i="3"/>
  <c r="D19" i="3"/>
  <c r="D49" i="3" s="1"/>
  <c r="H41" i="3"/>
  <c r="J41" i="3" s="1"/>
  <c r="C42" i="3"/>
  <c r="D42" i="3" s="1"/>
  <c r="N45" i="3"/>
  <c r="I46" i="3"/>
  <c r="E50" i="3"/>
  <c r="F54" i="3"/>
  <c r="B58" i="3"/>
  <c r="L58" i="3"/>
  <c r="C63" i="3"/>
  <c r="D63" i="3" s="1"/>
  <c r="F50" i="3"/>
  <c r="G50" i="3" s="1"/>
  <c r="C58" i="3"/>
  <c r="G4" i="3"/>
  <c r="G34" i="3"/>
  <c r="F45" i="3"/>
  <c r="H54" i="3"/>
  <c r="C55" i="3"/>
  <c r="D55" i="3" s="1"/>
  <c r="N58" i="3"/>
  <c r="I59" i="3"/>
  <c r="J59" i="3" s="1"/>
  <c r="E63" i="3"/>
  <c r="O45" i="3"/>
  <c r="M63" i="2"/>
  <c r="D63" i="2"/>
  <c r="F63" i="3"/>
  <c r="J18" i="3"/>
  <c r="F42" i="3"/>
  <c r="G42" i="3" s="1"/>
  <c r="B46" i="3"/>
  <c r="I54" i="3"/>
  <c r="J54" i="3" s="1"/>
  <c r="E58" i="3"/>
  <c r="O58" i="3"/>
  <c r="X21" i="2"/>
  <c r="C42" i="2"/>
  <c r="M42" i="2"/>
  <c r="H43" i="2"/>
  <c r="O63" i="2"/>
  <c r="H45" i="3"/>
  <c r="C46" i="3"/>
  <c r="D46" i="3" s="1"/>
  <c r="F58" i="3"/>
  <c r="D62" i="2"/>
  <c r="J4" i="3"/>
  <c r="D6" i="3"/>
  <c r="D54" i="3" s="1"/>
  <c r="M18" i="3"/>
  <c r="M49" i="3" s="1"/>
  <c r="H42" i="3"/>
  <c r="I45" i="3"/>
  <c r="H63" i="3"/>
  <c r="D42" i="2"/>
  <c r="C41" i="2"/>
  <c r="E46" i="3"/>
  <c r="G46" i="3" s="1"/>
  <c r="I63" i="3"/>
  <c r="J63" i="3" s="1"/>
  <c r="J49" i="3" l="1"/>
  <c r="AH20" i="2"/>
  <c r="AK20" i="2"/>
  <c r="J45" i="3"/>
  <c r="G63" i="3"/>
  <c r="J46" i="3"/>
  <c r="AD22" i="2"/>
  <c r="M62" i="3"/>
  <c r="D41" i="2"/>
  <c r="X19" i="2"/>
  <c r="M41" i="3"/>
  <c r="M58" i="3"/>
  <c r="M45" i="3"/>
  <c r="G62" i="3"/>
  <c r="D41" i="3"/>
  <c r="D58" i="3"/>
  <c r="G58" i="3"/>
  <c r="G41" i="3"/>
  <c r="G45" i="3" l="1"/>
  <c r="G49" i="3" s="1"/>
</calcChain>
</file>

<file path=xl/sharedStrings.xml><?xml version="1.0" encoding="utf-8"?>
<sst xmlns="http://schemas.openxmlformats.org/spreadsheetml/2006/main" count="253" uniqueCount="125">
  <si>
    <t>The accompanying publication is:</t>
  </si>
  <si>
    <t>Richter, Brian D. 2023. “Decoupling Urban Water Use from Population Growth in the Colorado River Basin.” Journal of Water Resources Planning and Management 149(2):04022082. doi: 10.1061/JWRMD5.WRENG-5887.</t>
  </si>
  <si>
    <t>City Utility or                          Municipal Water District</t>
  </si>
  <si>
    <t>Service Population 2000</t>
  </si>
  <si>
    <t>Service Population 2020</t>
  </si>
  <si>
    <t>Population Increase (%) Since 2000</t>
  </si>
  <si>
    <t>Total Water Delivery 2000 (AF)</t>
  </si>
  <si>
    <t>Total Water Delivery 2020 (AF)</t>
  </si>
  <si>
    <t>Change in Total Water Deliveries Since 2000 (%)</t>
  </si>
  <si>
    <t>CRB Withdrawals 2000 (AF)</t>
  </si>
  <si>
    <t>CRB Withdrawals 2020 (AF)</t>
  </si>
  <si>
    <t>Change in CRB Withdrawals Since 2000 (%)</t>
  </si>
  <si>
    <t>CRB Dependency 2020</t>
  </si>
  <si>
    <t>Total GPCD 2020</t>
  </si>
  <si>
    <t>Percent Change Total GPCD since 2000</t>
  </si>
  <si>
    <t>Most Recent Residential GPCD</t>
  </si>
  <si>
    <t>Percent Change Residential GPCD</t>
  </si>
  <si>
    <t>Percent Residential</t>
  </si>
  <si>
    <t>Calendar/Fiscal Year</t>
  </si>
  <si>
    <t>Assumptions</t>
  </si>
  <si>
    <t>Notes on Period of Record for Specific Summary Statistics etc.</t>
  </si>
  <si>
    <t>Other Notes</t>
  </si>
  <si>
    <t>UPPER BASIN</t>
  </si>
  <si>
    <t>UPPER BASIN SUMMARY STATISTICS</t>
  </si>
  <si>
    <t xml:space="preserve">as current &amp; complete as possible </t>
  </si>
  <si>
    <t>COLORADO</t>
  </si>
  <si>
    <t>inconsistent on back end (not 2020)</t>
  </si>
  <si>
    <t>Aurora Water</t>
  </si>
  <si>
    <t>Calendar</t>
  </si>
  <si>
    <r>
      <rPr>
        <b/>
        <sz val="10"/>
        <color rgb="FF000000"/>
        <rFont val="Calibri"/>
        <family val="2"/>
      </rPr>
      <t xml:space="preserve">Column I: 2004-2020 </t>
    </r>
    <r>
      <rPr>
        <sz val="10"/>
        <color rgb="FF000000"/>
        <rFont val="Calibri"/>
        <family val="2"/>
      </rPr>
      <t>; Deliveries PoR: 2000-2020; Colorado River Withdrawals: 2004-2020</t>
    </r>
  </si>
  <si>
    <t xml:space="preserve">TOTAL COUNT </t>
  </si>
  <si>
    <t>inconsistent on front end (not 2000, etc.)</t>
  </si>
  <si>
    <t>Colorado Springs Utilities</t>
  </si>
  <si>
    <r>
      <rPr>
        <b/>
        <sz val="10"/>
        <color rgb="FF000000"/>
        <rFont val="Calibri"/>
        <family val="2"/>
      </rPr>
      <t>Columns C, D, L, M, O, P: 2001-2020</t>
    </r>
    <r>
      <rPr>
        <sz val="10"/>
        <color rgb="FF000000"/>
        <rFont val="Calibri"/>
        <family val="2"/>
      </rPr>
      <t xml:space="preserve"> ; Total Volume Withdrawn from all Sources PoR: 1950-2020 ; Colorado River Withdrawals PoR: 1991-2020; Total Deliveries &amp; Residential Deliveries: 1950-2020 (two sources)</t>
    </r>
  </si>
  <si>
    <t>Population Data inconsistent between 2000 &amp; 2001 (appears to have been drawn from different sources)</t>
  </si>
  <si>
    <t>AVERAGES</t>
  </si>
  <si>
    <t>need to resolve problem</t>
  </si>
  <si>
    <t>Denver Water</t>
  </si>
  <si>
    <t>?</t>
  </si>
  <si>
    <t>Population PoR: 1987-2020 ; Total Volume Withdrawn from All Sources: 1998-2020 ; Total Deliveries: 1987-2020 ; Residential Deliveries: 1997-2020</t>
  </si>
  <si>
    <t>Note adjustment made to reporting system in 2016 (we resolved this discrepancy)</t>
  </si>
  <si>
    <t>POPULATION-WEIGHTED AVERAGES</t>
  </si>
  <si>
    <t>need to double check an assumption etc.</t>
  </si>
  <si>
    <t>Fort Collins Utilities</t>
  </si>
  <si>
    <t>As per email, assumed 50% CRB, 50% Poudre for source breakdown calculations (2002-2020)</t>
  </si>
  <si>
    <t>Columns C, D, F, G, L, M, O, P: 2002-2020</t>
  </si>
  <si>
    <t>MEDIANS</t>
  </si>
  <si>
    <t>Grand Junction                                    (Ute Water Conservancy District)</t>
  </si>
  <si>
    <t>Fiscal</t>
  </si>
  <si>
    <t>All columns: 2000-2019</t>
  </si>
  <si>
    <t>TOTALS</t>
  </si>
  <si>
    <t>Greeley Water &amp; Sewer</t>
  </si>
  <si>
    <t>Calendar?</t>
  </si>
  <si>
    <r>
      <rPr>
        <b/>
        <sz val="10"/>
        <color rgb="FF000000"/>
        <rFont val="Calibri"/>
        <family val="2"/>
      </rPr>
      <t>Column I: 2010-2020</t>
    </r>
    <r>
      <rPr>
        <sz val="10"/>
        <color rgb="FF000000"/>
        <rFont val="Calibri"/>
        <family val="2"/>
      </rPr>
      <t xml:space="preserve"> ; Total Withdrawn &amp; Sources Breakdown PoR: 2010-2020</t>
    </r>
  </si>
  <si>
    <t>NEW MEXICO</t>
  </si>
  <si>
    <t>Albuquerque Bernalillo County Water Authority</t>
  </si>
  <si>
    <r>
      <rPr>
        <b/>
        <sz val="10"/>
        <color rgb="FF000000"/>
        <rFont val="Calibri"/>
        <family val="2"/>
      </rPr>
      <t>Column I: 2003-2020</t>
    </r>
    <r>
      <rPr>
        <sz val="10"/>
        <color rgb="FF000000"/>
        <rFont val="Calibri"/>
        <family val="2"/>
      </rPr>
      <t xml:space="preserve"> ; Total Withdrawn &amp; Supply Breakdown PoR: 2003-2020</t>
    </r>
  </si>
  <si>
    <t>ANNUAL CHANGE RATE</t>
  </si>
  <si>
    <t>Farmington Water &amp; Wastewater Utilities</t>
  </si>
  <si>
    <t>Total &amp; Residential Deliveries PoR: 2000-2020</t>
  </si>
  <si>
    <t>UTAH</t>
  </si>
  <si>
    <t>Salt Lake City Public Utilities</t>
  </si>
  <si>
    <t xml:space="preserve">All columns: 2000-2019 </t>
  </si>
  <si>
    <t>St. George Water Department</t>
  </si>
  <si>
    <t>Data for Culinary Water only</t>
  </si>
  <si>
    <r>
      <rPr>
        <b/>
        <sz val="10"/>
        <color rgb="FF000000"/>
        <rFont val="Calibri"/>
        <family val="2"/>
      </rPr>
      <t xml:space="preserve">All columns: 2000-2019 ; Column O: 2005-2019 ; </t>
    </r>
    <r>
      <rPr>
        <sz val="10"/>
        <color rgb="FF000000"/>
        <rFont val="Calibri"/>
        <family val="2"/>
      </rPr>
      <t>Total Withdrawn from Colorado River: 1989-2020 ; Total Volume Delivered to Residential PoR: 1991-2020 (with large gaps)</t>
    </r>
  </si>
  <si>
    <t>2004 &amp; 2016 Total Withdrawn values inconsistent: ignore these data points when calculating.</t>
  </si>
  <si>
    <t>LOWER BASIN</t>
  </si>
  <si>
    <t>LOWER BASIN SUMMARY STATISTICS</t>
  </si>
  <si>
    <t>ARIZONA</t>
  </si>
  <si>
    <t>Avondale Public Works Department</t>
  </si>
  <si>
    <t>Assumed CAP+Surface Water = CRB Water</t>
  </si>
  <si>
    <t>Chandler Utility Services</t>
  </si>
  <si>
    <t>Gilbert Utility Division</t>
  </si>
  <si>
    <t>Glendale Water Services</t>
  </si>
  <si>
    <t>Mesa Water Resources</t>
  </si>
  <si>
    <t>Peoria Water Services</t>
  </si>
  <si>
    <t>Total Residential Deliveries / Residential GPCD inconsistent value deleted: 2003 (multi-family value not reported )</t>
  </si>
  <si>
    <t>Phoenix Water Services Department</t>
  </si>
  <si>
    <t>Prescott Water Operations</t>
  </si>
  <si>
    <t>Scottsdale Water</t>
  </si>
  <si>
    <t>Tempe Water Utilities Division</t>
  </si>
  <si>
    <t xml:space="preserve"> NOTE: all values/measures have decreased proportionally (unique case)</t>
  </si>
  <si>
    <t>Tucson Water</t>
  </si>
  <si>
    <t>CALIFORNIA</t>
  </si>
  <si>
    <t>Eastern Metropolitan Water District</t>
  </si>
  <si>
    <t>Assumed each wholesaler's MWD Supply Breakdown matched chart provided by MWD -- self-calculated Fiscal Year breakdown from calendar year chart provided</t>
  </si>
  <si>
    <r>
      <rPr>
        <b/>
        <sz val="10"/>
        <color rgb="FF000000"/>
        <rFont val="Calibri"/>
        <family val="2"/>
      </rPr>
      <t>All highlighted values: end 2019 ;</t>
    </r>
    <r>
      <rPr>
        <sz val="10"/>
        <color rgb="FF000000"/>
        <rFont val="Calibri"/>
        <family val="2"/>
      </rPr>
      <t xml:space="preserve"> Population PoR: 1990, 1994-1995, 2000-2019; Total Withdrawn &amp; Supply: 1981-1989, 1995, 1997-2020; Total &amp; Residential Deliveries:1970-2020</t>
    </r>
  </si>
  <si>
    <t>Inland Empire Utilities District</t>
  </si>
  <si>
    <r>
      <rPr>
        <b/>
        <sz val="10"/>
        <color rgb="FF000000"/>
        <rFont val="Calibri"/>
        <family val="2"/>
      </rPr>
      <t xml:space="preserve">Column C, D: 2003-2020 ;  Column I: 2007-2020 ; Columns F, G, L, M: 2003-2020 ; </t>
    </r>
    <r>
      <rPr>
        <sz val="10"/>
        <color rgb="FF000000"/>
        <rFont val="Calibri"/>
        <family val="2"/>
      </rPr>
      <t>Population PoR: 2003-2020 ;</t>
    </r>
    <r>
      <rPr>
        <b/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Total Withdrawn and Supply PoR: 2007-2020 ; Total Deliveries: 2003-2020</t>
    </r>
  </si>
  <si>
    <t>Long Beach Water Department</t>
  </si>
  <si>
    <t>Assumed each wholesaler's MWD Supply Breakdown matched chart provided by MWD</t>
  </si>
  <si>
    <r>
      <rPr>
        <b/>
        <sz val="10"/>
        <color rgb="FF000000"/>
        <rFont val="Calibri"/>
        <family val="2"/>
      </rPr>
      <t xml:space="preserve">Columns F, G: 2013-2020 ; Columns L, M, O, P: 2013-2020 ; </t>
    </r>
    <r>
      <rPr>
        <sz val="10"/>
        <color rgb="FF000000"/>
        <rFont val="Calibri"/>
        <family val="2"/>
      </rPr>
      <t>Total Deliveries: 2013-2020</t>
    </r>
  </si>
  <si>
    <t>Los Angeles                         Department of Water &amp; Power</t>
  </si>
  <si>
    <t>Need to resolve supply breakdown data issues (see email thread)</t>
  </si>
  <si>
    <t>Orange County Metropolitan Water District</t>
  </si>
  <si>
    <t>San Diego County Water Authority</t>
  </si>
  <si>
    <t>Residential Deliveries PoR: 1999-2020</t>
  </si>
  <si>
    <t>NEVADA</t>
  </si>
  <si>
    <t>Las Vegas                                (Southern Nevada Water Authority)</t>
  </si>
  <si>
    <t>All delivery data &amp; calculations based on total CONSUMPTION data in this case (as we were not provided with specific delivery values)</t>
  </si>
  <si>
    <t>SUMMARY STATISTICS: COLORADO RIVER BASIN (28 UTILITIES)</t>
  </si>
  <si>
    <t>SUMMARY STATISTICS: UPPER COLORADO RIVER BASIN (10 UTILITIES)</t>
  </si>
  <si>
    <t>SUMMARY STATISTICS: LOWER COLORADO RIVER BASIN (18 UTILITIES)</t>
  </si>
  <si>
    <t>SUMMARY STATISTICS: LARGE CITIES &gt;1M Population (6 UTILITIES)</t>
  </si>
  <si>
    <t>SUMMARY STATISTICS: MEDIUM CITIES Population between 100k-1M (17 UTILITIES)</t>
  </si>
  <si>
    <t>SUMMARY STATISTICS: SMALL CITIES under 100k population (5 UTILITIES)</t>
  </si>
  <si>
    <t>City Utility or  Municipal Water District</t>
  </si>
  <si>
    <t>Population Increase (%)</t>
  </si>
  <si>
    <t>Total Water Delivery 2000 (m3)</t>
  </si>
  <si>
    <t>Total Water Delivery 2020 (m3)</t>
  </si>
  <si>
    <t>Change in Total Water Deliveries (%)</t>
  </si>
  <si>
    <t>CRB Withdrawals 2000 (m3)</t>
  </si>
  <si>
    <t>CRB Withdrawals 2020 (m3)</t>
  </si>
  <si>
    <t>Change in CRB Withdrawals (%)</t>
  </si>
  <si>
    <t>Most Recent Total LPCD</t>
  </si>
  <si>
    <t>Percent Change Total LPCD</t>
  </si>
  <si>
    <t>Most Recent Residential LPCD</t>
  </si>
  <si>
    <t>Percent Change Residential LPCD</t>
  </si>
  <si>
    <t>Grand Junction (Ute Water Conservancy District)</t>
  </si>
  <si>
    <t>Los Angeles  Department of Water &amp; Power</t>
  </si>
  <si>
    <t>Las Vegas  (Southern Nevada Water Authority)</t>
  </si>
  <si>
    <t>Most Recent Service Population</t>
  </si>
  <si>
    <t>Percent Change Total LPCD since 2000</t>
  </si>
  <si>
    <t>This spreadsheet was compiled by Brian Richter and published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</si>
</sst>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#,##0.0"/>
    <numFmt numFmtId="166" formatCode="0.000"/>
  </numFmts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2"/>
      <color rgb="FFFFFFFF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333333"/>
      <name val="Calibri"/>
      <family val="2"/>
    </font>
    <font>
      <b/>
      <sz val="12"/>
      <color rgb="FF000000"/>
      <name val="Calibri"/>
      <family val="2"/>
    </font>
    <font>
      <sz val="10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83C92"/>
        <bgColor rgb="FF083C92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rgb="FFFCD668"/>
        <bgColor rgb="FFFCD668"/>
      </patternFill>
    </fill>
    <fill>
      <patternFill patternType="solid">
        <fgColor rgb="FFF28E85"/>
        <bgColor rgb="FFF28E85"/>
      </patternFill>
    </fill>
    <fill>
      <patternFill patternType="solid">
        <fgColor theme="6"/>
        <bgColor theme="6"/>
      </patternFill>
    </fill>
    <fill>
      <patternFill patternType="solid">
        <fgColor rgb="FFF6B3AE"/>
        <bgColor rgb="FFF6B3AE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3" borderId="1" xfId="0" applyFont="1" applyFill="1" applyBorder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center"/>
    </xf>
    <xf numFmtId="9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4" borderId="1" xfId="0" applyFont="1" applyFill="1" applyBorder="1"/>
    <xf numFmtId="0" fontId="3" fillId="0" borderId="0" xfId="0" applyFont="1"/>
    <xf numFmtId="164" fontId="10" fillId="0" borderId="0" xfId="0" applyNumberFormat="1" applyFont="1"/>
    <xf numFmtId="0" fontId="9" fillId="5" borderId="1" xfId="0" applyFont="1" applyFill="1" applyBorder="1"/>
    <xf numFmtId="164" fontId="11" fillId="0" borderId="0" xfId="0" applyNumberFormat="1" applyFont="1" applyAlignment="1">
      <alignment horizontal="right"/>
    </xf>
    <xf numFmtId="164" fontId="11" fillId="0" borderId="0" xfId="0" applyNumberFormat="1" applyFont="1"/>
    <xf numFmtId="0" fontId="10" fillId="0" borderId="0" xfId="0" applyFont="1" applyAlignment="1">
      <alignment horizontal="center" wrapText="1"/>
    </xf>
    <xf numFmtId="49" fontId="10" fillId="0" borderId="0" xfId="0" applyNumberFormat="1" applyFont="1" applyAlignment="1">
      <alignment horizontal="center" wrapText="1"/>
    </xf>
    <xf numFmtId="3" fontId="10" fillId="0" borderId="0" xfId="0" applyNumberFormat="1" applyFont="1"/>
    <xf numFmtId="165" fontId="10" fillId="0" borderId="0" xfId="0" applyNumberFormat="1" applyFont="1"/>
    <xf numFmtId="9" fontId="10" fillId="0" borderId="0" xfId="0" applyNumberFormat="1" applyFont="1"/>
    <xf numFmtId="4" fontId="10" fillId="0" borderId="0" xfId="0" applyNumberFormat="1" applyFont="1"/>
    <xf numFmtId="0" fontId="9" fillId="6" borderId="1" xfId="0" applyFont="1" applyFill="1" applyBorder="1"/>
    <xf numFmtId="2" fontId="10" fillId="7" borderId="1" xfId="0" applyNumberFormat="1" applyFont="1" applyFill="1" applyBorder="1"/>
    <xf numFmtId="0" fontId="9" fillId="8" borderId="1" xfId="0" applyFont="1" applyFill="1" applyBorder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165" fontId="9" fillId="0" borderId="0" xfId="0" applyNumberFormat="1" applyFont="1"/>
    <xf numFmtId="164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right"/>
    </xf>
    <xf numFmtId="10" fontId="10" fillId="9" borderId="1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6" fontId="10" fillId="7" borderId="1" xfId="0" applyNumberFormat="1" applyFont="1" applyFill="1" applyBorder="1"/>
    <xf numFmtId="164" fontId="11" fillId="0" borderId="0" xfId="0" applyNumberFormat="1" applyFont="1" applyAlignment="1">
      <alignment horizontal="center"/>
    </xf>
    <xf numFmtId="164" fontId="10" fillId="10" borderId="1" xfId="0" applyNumberFormat="1" applyFont="1" applyFill="1" applyBorder="1" applyAlignment="1">
      <alignment horizontal="center"/>
    </xf>
    <xf numFmtId="9" fontId="10" fillId="10" borderId="1" xfId="0" applyNumberFormat="1" applyFont="1" applyFill="1" applyBorder="1" applyAlignment="1">
      <alignment horizontal="center"/>
    </xf>
    <xf numFmtId="49" fontId="10" fillId="11" borderId="1" xfId="0" applyNumberFormat="1" applyFont="1" applyFill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right"/>
    </xf>
    <xf numFmtId="3" fontId="9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/>
    </xf>
    <xf numFmtId="9" fontId="9" fillId="0" borderId="0" xfId="0" applyNumberFormat="1" applyFont="1"/>
    <xf numFmtId="0" fontId="3" fillId="0" borderId="0" xfId="0" applyFont="1" applyAlignment="1">
      <alignment horizontal="right"/>
    </xf>
    <xf numFmtId="3" fontId="10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9" fontId="14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14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/>
    <xf numFmtId="0" fontId="13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61/JWRMD5.WRENG-58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3"/>
  <sheetViews>
    <sheetView tabSelected="1" workbookViewId="0"/>
  </sheetViews>
  <sheetFormatPr baseColWidth="10" defaultColWidth="12.6640625" defaultRowHeight="15" customHeight="1" x14ac:dyDescent="0.15"/>
  <sheetData>
    <row r="1" spans="1:1" ht="15" customHeight="1" x14ac:dyDescent="0.15">
      <c r="A1" s="1" t="s">
        <v>124</v>
      </c>
    </row>
    <row r="2" spans="1:1" ht="15" customHeight="1" x14ac:dyDescent="0.15">
      <c r="A2" s="1" t="s">
        <v>0</v>
      </c>
    </row>
    <row r="3" spans="1:1" ht="15" customHeight="1" x14ac:dyDescent="0.15">
      <c r="A3" s="2" t="s">
        <v>1</v>
      </c>
    </row>
  </sheetData>
  <hyperlinks>
    <hyperlink ref="A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26" customWidth="1"/>
    <col min="2" max="2" width="10.83203125" customWidth="1"/>
    <col min="3" max="3" width="11.83203125" customWidth="1"/>
    <col min="4" max="4" width="11" customWidth="1"/>
    <col min="5" max="6" width="11.33203125" customWidth="1"/>
    <col min="7" max="7" width="12.5" customWidth="1"/>
    <col min="8" max="8" width="10" customWidth="1"/>
    <col min="9" max="9" width="10.33203125" customWidth="1"/>
    <col min="10" max="10" width="10.83203125" customWidth="1"/>
    <col min="11" max="11" width="10.1640625" customWidth="1"/>
    <col min="12" max="12" width="10.6640625" customWidth="1"/>
    <col min="13" max="13" width="11.1640625" customWidth="1"/>
    <col min="14" max="14" width="10.6640625" customWidth="1"/>
    <col min="15" max="15" width="13.1640625" customWidth="1"/>
    <col min="16" max="16" width="11.1640625" customWidth="1"/>
    <col min="17" max="17" width="14.5" customWidth="1"/>
    <col min="18" max="18" width="37.83203125" customWidth="1"/>
    <col min="19" max="19" width="63.6640625" customWidth="1"/>
    <col min="20" max="20" width="67.5" customWidth="1"/>
    <col min="21" max="21" width="14.5" customWidth="1"/>
    <col min="22" max="22" width="28.1640625" customWidth="1"/>
    <col min="23" max="23" width="9" customWidth="1"/>
    <col min="24" max="43" width="14.5" customWidth="1"/>
  </cols>
  <sheetData>
    <row r="1" spans="1:43" ht="60" customHeight="1" x14ac:dyDescent="0.2">
      <c r="A1" s="3" t="s">
        <v>2</v>
      </c>
      <c r="B1" s="4" t="s">
        <v>3</v>
      </c>
      <c r="C1" s="3" t="s">
        <v>4</v>
      </c>
      <c r="D1" s="3" t="s">
        <v>5</v>
      </c>
      <c r="E1" s="4" t="s">
        <v>6</v>
      </c>
      <c r="F1" s="4" t="s">
        <v>7</v>
      </c>
      <c r="G1" s="3" t="s">
        <v>8</v>
      </c>
      <c r="H1" s="3" t="s">
        <v>9</v>
      </c>
      <c r="I1" s="5" t="s">
        <v>10</v>
      </c>
      <c r="J1" s="5" t="s">
        <v>11</v>
      </c>
      <c r="K1" s="5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6"/>
      <c r="AI1" s="3"/>
      <c r="AJ1" s="3"/>
      <c r="AK1" s="6"/>
      <c r="AO1" s="7"/>
    </row>
    <row r="2" spans="1:43" ht="31.5" customHeight="1" x14ac:dyDescent="0.2">
      <c r="A2" s="72" t="s">
        <v>22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9"/>
      <c r="R2" s="9"/>
      <c r="S2" s="9"/>
      <c r="T2" s="10"/>
      <c r="V2" s="75" t="s">
        <v>23</v>
      </c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7"/>
      <c r="AO2" s="11"/>
      <c r="AP2" s="78" t="s">
        <v>24</v>
      </c>
      <c r="AQ2" s="73"/>
    </row>
    <row r="3" spans="1:43" ht="13.5" customHeight="1" x14ac:dyDescent="0.2">
      <c r="A3" s="12" t="s">
        <v>25</v>
      </c>
      <c r="B3" s="13"/>
      <c r="C3" s="14"/>
      <c r="D3" s="15"/>
      <c r="E3" s="16"/>
      <c r="F3" s="16"/>
      <c r="G3" s="17"/>
      <c r="H3" s="18"/>
      <c r="I3" s="18"/>
      <c r="J3" s="18"/>
      <c r="K3" s="18"/>
      <c r="L3" s="14"/>
      <c r="M3" s="14"/>
      <c r="N3" s="14"/>
      <c r="O3" s="14"/>
      <c r="P3" s="14"/>
      <c r="Q3" s="19"/>
      <c r="R3" s="19"/>
      <c r="S3" s="19"/>
      <c r="T3" s="19"/>
      <c r="U3" s="20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O3" s="22"/>
      <c r="AP3" s="78" t="s">
        <v>26</v>
      </c>
      <c r="AQ3" s="73"/>
    </row>
    <row r="4" spans="1:43" ht="19.5" customHeight="1" x14ac:dyDescent="0.2">
      <c r="A4" s="23" t="s">
        <v>27</v>
      </c>
      <c r="B4" s="16">
        <v>276393</v>
      </c>
      <c r="C4" s="16">
        <v>386502</v>
      </c>
      <c r="D4" s="18">
        <f t="shared" ref="D4:D9" si="0">(C4-B4)/B4</f>
        <v>0.3983783959796377</v>
      </c>
      <c r="E4" s="16">
        <v>58260</v>
      </c>
      <c r="F4" s="16">
        <v>55374</v>
      </c>
      <c r="G4" s="18">
        <f t="shared" ref="G4:G9" si="1">(F4-E4)/E4</f>
        <v>-4.953656024716787E-2</v>
      </c>
      <c r="H4" s="24">
        <v>10569</v>
      </c>
      <c r="I4" s="24">
        <v>17377</v>
      </c>
      <c r="J4" s="18">
        <f t="shared" ref="J4:J9" si="2">(I4-H4)/H4</f>
        <v>0.64414797994133788</v>
      </c>
      <c r="K4" s="18">
        <v>0.24</v>
      </c>
      <c r="L4" s="14">
        <v>128</v>
      </c>
      <c r="M4" s="18">
        <v>-0.32</v>
      </c>
      <c r="N4" s="14">
        <v>83</v>
      </c>
      <c r="O4" s="18">
        <f>(83-125)/125</f>
        <v>-0.33600000000000002</v>
      </c>
      <c r="P4" s="18">
        <v>0.71</v>
      </c>
      <c r="Q4" s="19" t="s">
        <v>28</v>
      </c>
      <c r="R4" s="19"/>
      <c r="S4" s="19" t="s">
        <v>29</v>
      </c>
      <c r="T4" s="19"/>
      <c r="V4" s="23" t="s">
        <v>30</v>
      </c>
      <c r="W4" s="21" t="e">
        <f>ROWS(A4:A9)+ROWS(A11:A12)+ROWS(A14:A15)+ROWS(#REF!)</f>
        <v>#REF!</v>
      </c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O4" s="25"/>
      <c r="AP4" s="78" t="s">
        <v>31</v>
      </c>
      <c r="AQ4" s="73"/>
    </row>
    <row r="5" spans="1:43" ht="21.75" customHeight="1" x14ac:dyDescent="0.2">
      <c r="A5" s="23" t="s">
        <v>32</v>
      </c>
      <c r="B5" s="26">
        <v>371335</v>
      </c>
      <c r="C5" s="26">
        <v>510054</v>
      </c>
      <c r="D5" s="18">
        <f t="shared" si="0"/>
        <v>0.37356834125520083</v>
      </c>
      <c r="E5" s="27">
        <v>83692</v>
      </c>
      <c r="F5" s="16">
        <v>66871</v>
      </c>
      <c r="G5" s="18">
        <f t="shared" si="1"/>
        <v>-0.20098695215791235</v>
      </c>
      <c r="H5" s="16">
        <v>66818</v>
      </c>
      <c r="I5" s="16">
        <v>62000</v>
      </c>
      <c r="J5" s="18">
        <f t="shared" si="2"/>
        <v>-7.2106318656649404E-2</v>
      </c>
      <c r="K5" s="18">
        <v>0.83</v>
      </c>
      <c r="L5" s="14">
        <v>117</v>
      </c>
      <c r="M5" s="18">
        <f>(117-201)/201</f>
        <v>-0.41791044776119401</v>
      </c>
      <c r="N5" s="14">
        <v>74</v>
      </c>
      <c r="O5" s="18">
        <f>(74-126)/126</f>
        <v>-0.41269841269841268</v>
      </c>
      <c r="P5" s="18">
        <v>0.63</v>
      </c>
      <c r="Q5" s="19" t="s">
        <v>28</v>
      </c>
      <c r="R5" s="21"/>
      <c r="S5" s="28" t="s">
        <v>33</v>
      </c>
      <c r="T5" s="29" t="s">
        <v>34</v>
      </c>
      <c r="V5" s="23" t="s">
        <v>35</v>
      </c>
      <c r="W5" s="21"/>
      <c r="X5" s="30" t="e">
        <f>AVERAGE(C4:C9,C11:C12,C14:C15,#REF!)</f>
        <v>#REF!</v>
      </c>
      <c r="Y5" s="31" t="e">
        <f>AVERAGE(#REF!,#REF!,#REF!,#REF!)</f>
        <v>#REF!</v>
      </c>
      <c r="Z5" s="32">
        <f>AVERAGE(D4:D15)</f>
        <v>0.38040896363479015</v>
      </c>
      <c r="AA5" s="30" t="e">
        <f t="shared" ref="AA5:AB5" si="3">AVERAGE(#REF!,#REF!,#REF!,#REF!)</f>
        <v>#REF!</v>
      </c>
      <c r="AB5" s="33" t="e">
        <f t="shared" si="3"/>
        <v>#REF!</v>
      </c>
      <c r="AC5" s="32">
        <f>AVERAGE(G4:G15)</f>
        <v>-7.2030180962158422E-2</v>
      </c>
      <c r="AD5" s="33"/>
      <c r="AE5" s="32" t="e">
        <f>AVERAGE(#REF!,#REF!,#REF!,#REF!)</f>
        <v>#REF!</v>
      </c>
      <c r="AF5" s="30" t="e">
        <f>AVERAGE(L4:L9,L11:L12,L14:L15,#REF!)</f>
        <v>#REF!</v>
      </c>
      <c r="AG5" s="32">
        <f>AVERAGE(M4:M15)</f>
        <v>-0.31381030645086672</v>
      </c>
      <c r="AH5" s="33" t="e">
        <f>AVERAGE(#REF!,#REF!,#REF!,#REF!)</f>
        <v>#REF!</v>
      </c>
      <c r="AI5" s="30" t="e">
        <f>AVERAGE(N4:N9,N11:N12,N14:N15,#REF!)</f>
        <v>#REF!</v>
      </c>
      <c r="AJ5" s="32">
        <f>AVERAGE(O4:O15)</f>
        <v>-0.32565047499174227</v>
      </c>
      <c r="AK5" s="33" t="e">
        <f>AVERAGE(#REF!,#REF!,#REF!,#REF!)</f>
        <v>#REF!</v>
      </c>
      <c r="AO5" s="34"/>
      <c r="AP5" s="78" t="s">
        <v>36</v>
      </c>
      <c r="AQ5" s="73"/>
    </row>
    <row r="6" spans="1:43" ht="18.75" customHeight="1" x14ac:dyDescent="0.2">
      <c r="A6" s="23" t="s">
        <v>37</v>
      </c>
      <c r="B6" s="16">
        <v>1036000</v>
      </c>
      <c r="C6" s="16">
        <v>1332000</v>
      </c>
      <c r="D6" s="18">
        <f t="shared" si="0"/>
        <v>0.2857142857142857</v>
      </c>
      <c r="E6" s="24">
        <v>256514</v>
      </c>
      <c r="F6" s="16">
        <v>214942</v>
      </c>
      <c r="G6" s="18">
        <f t="shared" si="1"/>
        <v>-0.16206522840858589</v>
      </c>
      <c r="H6" s="16">
        <v>162561</v>
      </c>
      <c r="I6" s="16">
        <v>144947</v>
      </c>
      <c r="J6" s="18">
        <f t="shared" si="2"/>
        <v>-0.1083531720400342</v>
      </c>
      <c r="K6" s="18">
        <v>0.59</v>
      </c>
      <c r="L6" s="14">
        <v>144</v>
      </c>
      <c r="M6" s="18">
        <f>(144-221)/221</f>
        <v>-0.34841628959276016</v>
      </c>
      <c r="N6" s="14">
        <v>50</v>
      </c>
      <c r="O6" s="18">
        <f>(50-86)/86</f>
        <v>-0.41860465116279072</v>
      </c>
      <c r="P6" s="18">
        <v>0.35</v>
      </c>
      <c r="Q6" s="19" t="s">
        <v>38</v>
      </c>
      <c r="R6" s="21"/>
      <c r="S6" s="29" t="s">
        <v>39</v>
      </c>
      <c r="T6" s="29" t="s">
        <v>40</v>
      </c>
      <c r="V6" s="23" t="s">
        <v>41</v>
      </c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35" t="e">
        <f>SUMPRODUCT(#REF!,C4:C15)/X8</f>
        <v>#REF!</v>
      </c>
      <c r="AI6" s="21"/>
      <c r="AJ6" s="21"/>
      <c r="AK6" s="35" t="e">
        <f>SUMPRODUCT(#REF!,C4:C15)/X8</f>
        <v>#REF!</v>
      </c>
      <c r="AO6" s="36"/>
      <c r="AP6" s="78" t="s">
        <v>42</v>
      </c>
      <c r="AQ6" s="73"/>
    </row>
    <row r="7" spans="1:43" ht="24" customHeight="1" x14ac:dyDescent="0.2">
      <c r="A7" s="23" t="s">
        <v>43</v>
      </c>
      <c r="B7" s="16">
        <v>118300</v>
      </c>
      <c r="C7" s="16">
        <v>136100</v>
      </c>
      <c r="D7" s="18">
        <f t="shared" si="0"/>
        <v>0.15046491969568893</v>
      </c>
      <c r="E7" s="16">
        <v>31594</v>
      </c>
      <c r="F7" s="16">
        <v>23498</v>
      </c>
      <c r="G7" s="18">
        <f t="shared" si="1"/>
        <v>-0.25625118693422799</v>
      </c>
      <c r="H7" s="16">
        <v>15797</v>
      </c>
      <c r="I7" s="16">
        <v>11749</v>
      </c>
      <c r="J7" s="18">
        <f t="shared" si="2"/>
        <v>-0.25625118693422799</v>
      </c>
      <c r="K7" s="18">
        <v>0.5</v>
      </c>
      <c r="L7" s="14">
        <v>154</v>
      </c>
      <c r="M7" s="18">
        <f>(154-238)/238</f>
        <v>-0.35294117647058826</v>
      </c>
      <c r="N7" s="14">
        <v>76</v>
      </c>
      <c r="O7" s="18">
        <f>(76-134)/134</f>
        <v>-0.43283582089552236</v>
      </c>
      <c r="P7" s="18">
        <v>0.47</v>
      </c>
      <c r="Q7" s="19" t="s">
        <v>38</v>
      </c>
      <c r="R7" s="29" t="s">
        <v>44</v>
      </c>
      <c r="S7" s="37" t="s">
        <v>45</v>
      </c>
      <c r="T7" s="19"/>
      <c r="V7" s="23" t="s">
        <v>46</v>
      </c>
      <c r="W7" s="21"/>
      <c r="X7" s="30" t="e">
        <f>MEDIAN(C4:C9,C11:C12,C14:C15,#REF!)</f>
        <v>#REF!</v>
      </c>
      <c r="Y7" s="31" t="e">
        <f>MEDIAN(#REF!,#REF!,#REF!,#REF!)</f>
        <v>#REF!</v>
      </c>
      <c r="Z7" s="31"/>
      <c r="AA7" s="30" t="e">
        <f>MEDIAN(#REF!,#REF!,#REF!,#REF!)</f>
        <v>#REF!</v>
      </c>
      <c r="AB7" s="33" t="e">
        <f>AVERAGE(#REF!,#REF!,#REF!,#REF!)</f>
        <v>#REF!</v>
      </c>
      <c r="AC7" s="33"/>
      <c r="AD7" s="33"/>
      <c r="AE7" s="32" t="e">
        <f>MEDIAN(#REF!,#REF!,#REF!,#REF!)</f>
        <v>#REF!</v>
      </c>
      <c r="AF7" s="30" t="e">
        <f>MEDIAN(L4:L9,L11:L12,L14:L15,#REF!)</f>
        <v>#REF!</v>
      </c>
      <c r="AG7" s="30"/>
      <c r="AH7" s="33" t="e">
        <f>MEDIAN(#REF!,#REF!,#REF!,#REF!)</f>
        <v>#REF!</v>
      </c>
      <c r="AI7" s="30" t="e">
        <f>MEDIAN(N4:N9,N11:N12,N14:N15,#REF!)</f>
        <v>#REF!</v>
      </c>
      <c r="AJ7" s="30"/>
      <c r="AK7" s="33" t="e">
        <f>MEDIAN(#REF!,#REF!,#REF!,#REF!)</f>
        <v>#REF!</v>
      </c>
    </row>
    <row r="8" spans="1:43" ht="30" customHeight="1" x14ac:dyDescent="0.2">
      <c r="A8" s="38" t="s">
        <v>47</v>
      </c>
      <c r="B8" s="16">
        <v>60997</v>
      </c>
      <c r="C8" s="16">
        <v>86388</v>
      </c>
      <c r="D8" s="18">
        <f t="shared" si="0"/>
        <v>0.41626637375608638</v>
      </c>
      <c r="E8" s="16">
        <v>8279</v>
      </c>
      <c r="F8" s="16">
        <v>9407</v>
      </c>
      <c r="G8" s="18">
        <f t="shared" si="1"/>
        <v>0.1362483391713975</v>
      </c>
      <c r="H8" s="16">
        <v>10724</v>
      </c>
      <c r="I8" s="24">
        <v>10678</v>
      </c>
      <c r="J8" s="18">
        <f t="shared" si="2"/>
        <v>-4.2894442372249158E-3</v>
      </c>
      <c r="K8" s="18">
        <v>1</v>
      </c>
      <c r="L8" s="14">
        <v>97</v>
      </c>
      <c r="M8" s="18">
        <f>(97-121)/121</f>
        <v>-0.19834710743801653</v>
      </c>
      <c r="N8" s="14">
        <v>73</v>
      </c>
      <c r="O8" s="18">
        <f>(73-93)/93</f>
        <v>-0.21505376344086022</v>
      </c>
      <c r="P8" s="18">
        <v>0.75</v>
      </c>
      <c r="Q8" s="19" t="s">
        <v>48</v>
      </c>
      <c r="R8" s="19"/>
      <c r="S8" s="37" t="s">
        <v>49</v>
      </c>
      <c r="T8" s="19"/>
      <c r="V8" s="23" t="s">
        <v>50</v>
      </c>
      <c r="W8" s="21"/>
      <c r="X8" s="30" t="e">
        <f>SUM(C4:C9,C11:C12,C14:C15,#REF!)</f>
        <v>#REF!</v>
      </c>
      <c r="Y8" s="39" t="e">
        <f>SUM(#REF!)</f>
        <v>#REF!</v>
      </c>
      <c r="Z8" s="39"/>
      <c r="AA8" s="30" t="e">
        <f>SUM(#REF!,#REF!,#REF!,#REF!)</f>
        <v>#REF!</v>
      </c>
      <c r="AB8" s="33" t="e">
        <f>SUM(#REF!)</f>
        <v>#REF!</v>
      </c>
      <c r="AC8" s="33"/>
      <c r="AD8" s="30" t="e">
        <f>SUM(H4:H9,H11:H12,H14:H15,#REF!)</f>
        <v>#REF!</v>
      </c>
      <c r="AE8" s="21"/>
      <c r="AF8" s="21"/>
      <c r="AG8" s="21"/>
      <c r="AH8" s="21"/>
      <c r="AI8" s="21"/>
      <c r="AJ8" s="21"/>
      <c r="AK8" s="21"/>
    </row>
    <row r="9" spans="1:43" ht="21.75" customHeight="1" x14ac:dyDescent="0.2">
      <c r="A9" s="23" t="s">
        <v>51</v>
      </c>
      <c r="B9" s="16">
        <v>79844</v>
      </c>
      <c r="C9" s="16">
        <v>109597</v>
      </c>
      <c r="D9" s="18">
        <f t="shared" si="0"/>
        <v>0.37263914633535394</v>
      </c>
      <c r="E9" s="24">
        <v>22989.374635169141</v>
      </c>
      <c r="F9" s="16">
        <v>22121.506455404466</v>
      </c>
      <c r="G9" s="18">
        <f t="shared" si="1"/>
        <v>-3.775083896527618E-2</v>
      </c>
      <c r="H9" s="40">
        <v>13564</v>
      </c>
      <c r="I9" s="24">
        <v>13486</v>
      </c>
      <c r="J9" s="18">
        <f t="shared" si="2"/>
        <v>-5.7505160719551751E-3</v>
      </c>
      <c r="K9" s="18">
        <v>0.61</v>
      </c>
      <c r="L9" s="14">
        <v>180</v>
      </c>
      <c r="M9" s="18">
        <f>(180-257)/257</f>
        <v>-0.29961089494163423</v>
      </c>
      <c r="N9" s="14">
        <v>106</v>
      </c>
      <c r="O9" s="18">
        <f>(106-157)/157</f>
        <v>-0.32484076433121017</v>
      </c>
      <c r="P9" s="18">
        <v>0.6</v>
      </c>
      <c r="Q9" s="19" t="s">
        <v>52</v>
      </c>
      <c r="R9" s="19"/>
      <c r="S9" s="19" t="s">
        <v>53</v>
      </c>
      <c r="T9" s="19"/>
      <c r="V9" s="23"/>
      <c r="W9" s="21"/>
      <c r="X9" s="30"/>
      <c r="AA9" s="30"/>
      <c r="AB9" s="21"/>
      <c r="AC9" s="21"/>
      <c r="AD9" s="30"/>
      <c r="AE9" s="21"/>
      <c r="AF9" s="21"/>
      <c r="AG9" s="21"/>
      <c r="AH9" s="21"/>
      <c r="AI9" s="21"/>
      <c r="AJ9" s="21"/>
      <c r="AK9" s="21"/>
    </row>
    <row r="10" spans="1:43" ht="21" customHeight="1" x14ac:dyDescent="0.2">
      <c r="A10" s="12" t="s">
        <v>54</v>
      </c>
      <c r="B10" s="13"/>
      <c r="C10" s="16"/>
      <c r="D10" s="18"/>
      <c r="E10" s="16"/>
      <c r="F10" s="16"/>
      <c r="G10" s="18"/>
      <c r="H10" s="16"/>
      <c r="I10" s="16"/>
      <c r="J10" s="18"/>
      <c r="K10" s="18"/>
      <c r="L10" s="14"/>
      <c r="M10" s="14"/>
      <c r="N10" s="14"/>
      <c r="O10" s="14"/>
      <c r="P10" s="14"/>
      <c r="Q10" s="19"/>
      <c r="R10" s="19"/>
      <c r="S10" s="19"/>
      <c r="T10" s="19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</row>
    <row r="11" spans="1:43" ht="30" customHeight="1" x14ac:dyDescent="0.2">
      <c r="A11" s="38" t="s">
        <v>55</v>
      </c>
      <c r="B11" s="16">
        <v>476285</v>
      </c>
      <c r="C11" s="16">
        <v>666777</v>
      </c>
      <c r="D11" s="18">
        <f t="shared" ref="D11:D12" si="4">(C11-B11)/B11</f>
        <v>0.39995380916887996</v>
      </c>
      <c r="E11" s="16">
        <v>114991</v>
      </c>
      <c r="F11" s="16">
        <v>95501</v>
      </c>
      <c r="G11" s="18">
        <f t="shared" ref="G11:G12" si="5">(F11-E11)/E11</f>
        <v>-0.16949152542372881</v>
      </c>
      <c r="H11" s="41">
        <v>0</v>
      </c>
      <c r="I11" s="16">
        <v>18109</v>
      </c>
      <c r="J11" s="18"/>
      <c r="K11" s="18">
        <v>0.22</v>
      </c>
      <c r="L11" s="14">
        <v>128</v>
      </c>
      <c r="M11" s="18">
        <f>(128-216)/216</f>
        <v>-0.40740740740740738</v>
      </c>
      <c r="N11" s="14">
        <v>97</v>
      </c>
      <c r="O11" s="18">
        <f>(97-143)/143</f>
        <v>-0.32167832167832167</v>
      </c>
      <c r="P11" s="18">
        <v>0.69</v>
      </c>
      <c r="Q11" s="19"/>
      <c r="R11" s="29"/>
      <c r="S11" s="19" t="s">
        <v>56</v>
      </c>
      <c r="T11" s="19"/>
      <c r="V11" s="23" t="s">
        <v>57</v>
      </c>
      <c r="W11" s="21"/>
      <c r="X11" s="21"/>
      <c r="Y11" s="42"/>
      <c r="Z11" s="43"/>
      <c r="AA11" s="44"/>
      <c r="AB11" s="42"/>
      <c r="AC11" s="43"/>
      <c r="AD11" s="21"/>
      <c r="AE11" s="21"/>
      <c r="AF11" s="21"/>
      <c r="AG11" s="21"/>
      <c r="AH11" s="42"/>
      <c r="AI11" s="44"/>
      <c r="AJ11" s="44"/>
      <c r="AK11" s="42"/>
    </row>
    <row r="12" spans="1:43" ht="30" customHeight="1" x14ac:dyDescent="0.2">
      <c r="A12" s="38" t="s">
        <v>58</v>
      </c>
      <c r="B12" s="16">
        <v>38468</v>
      </c>
      <c r="C12" s="45">
        <v>43278</v>
      </c>
      <c r="D12" s="18">
        <f t="shared" si="4"/>
        <v>0.12503899344910055</v>
      </c>
      <c r="E12" s="16">
        <v>10394</v>
      </c>
      <c r="F12" s="16">
        <v>10979</v>
      </c>
      <c r="G12" s="18">
        <f t="shared" si="5"/>
        <v>5.6282470656147776E-2</v>
      </c>
      <c r="H12" s="16">
        <v>15273</v>
      </c>
      <c r="I12" s="16">
        <v>15190</v>
      </c>
      <c r="J12" s="18">
        <f>(I12-H12)/H12</f>
        <v>-5.4344267661886993E-3</v>
      </c>
      <c r="K12" s="18">
        <v>1</v>
      </c>
      <c r="L12" s="14">
        <v>226</v>
      </c>
      <c r="M12" s="18">
        <f>(226-241)/241</f>
        <v>-6.2240663900414939E-2</v>
      </c>
      <c r="N12" s="14">
        <v>68</v>
      </c>
      <c r="O12" s="18">
        <f>(68-106)/106</f>
        <v>-0.35849056603773582</v>
      </c>
      <c r="P12" s="18">
        <v>0.39</v>
      </c>
      <c r="Q12" s="19" t="s">
        <v>48</v>
      </c>
      <c r="R12" s="19"/>
      <c r="S12" s="19" t="s">
        <v>59</v>
      </c>
      <c r="T12" s="19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</row>
    <row r="13" spans="1:43" ht="13.5" customHeight="1" x14ac:dyDescent="0.2">
      <c r="A13" s="12" t="s">
        <v>60</v>
      </c>
      <c r="B13" s="13"/>
      <c r="C13" s="16"/>
      <c r="D13" s="18"/>
      <c r="E13" s="16"/>
      <c r="F13" s="16"/>
      <c r="G13" s="18"/>
      <c r="H13" s="16"/>
      <c r="I13" s="16"/>
      <c r="J13" s="18"/>
      <c r="K13" s="18"/>
      <c r="L13" s="14"/>
      <c r="M13" s="14"/>
      <c r="N13" s="14"/>
      <c r="O13" s="14"/>
      <c r="P13" s="14"/>
      <c r="Q13" s="19"/>
      <c r="R13" s="19"/>
      <c r="S13" s="19"/>
      <c r="T13" s="19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</row>
    <row r="14" spans="1:43" ht="21.75" customHeight="1" x14ac:dyDescent="0.2">
      <c r="A14" s="23" t="s">
        <v>61</v>
      </c>
      <c r="B14" s="16">
        <v>312192</v>
      </c>
      <c r="C14" s="16">
        <v>364982</v>
      </c>
      <c r="D14" s="18">
        <f t="shared" ref="D14:D15" si="6">(C14-B14)/B14</f>
        <v>0.16909465969659696</v>
      </c>
      <c r="E14" s="16">
        <v>89138.25</v>
      </c>
      <c r="F14" s="46">
        <v>72858</v>
      </c>
      <c r="G14" s="18">
        <f t="shared" ref="G14:G15" si="7">(F14-E14)/E14</f>
        <v>-0.18264044896551143</v>
      </c>
      <c r="H14" s="16">
        <v>3532</v>
      </c>
      <c r="I14" s="16">
        <v>10315</v>
      </c>
      <c r="J14" s="18">
        <f t="shared" ref="J14:J15" si="8">(I14-H14)/H14</f>
        <v>1.9204416761041903</v>
      </c>
      <c r="K14" s="18">
        <v>0.14000000000000001</v>
      </c>
      <c r="L14" s="14">
        <v>178</v>
      </c>
      <c r="M14" s="18">
        <f>(178-255)/255</f>
        <v>-0.30196078431372547</v>
      </c>
      <c r="N14" s="14">
        <v>113</v>
      </c>
      <c r="O14" s="18">
        <f>(113-152)/152</f>
        <v>-0.25657894736842107</v>
      </c>
      <c r="P14" s="18">
        <v>0.57999999999999996</v>
      </c>
      <c r="Q14" s="19" t="s">
        <v>28</v>
      </c>
      <c r="R14" s="19"/>
      <c r="S14" s="37" t="s">
        <v>62</v>
      </c>
      <c r="T14" s="19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</row>
    <row r="15" spans="1:43" ht="24.75" customHeight="1" x14ac:dyDescent="0.2">
      <c r="A15" s="23" t="s">
        <v>63</v>
      </c>
      <c r="B15" s="16">
        <v>47800</v>
      </c>
      <c r="C15" s="16">
        <v>101000</v>
      </c>
      <c r="D15" s="18">
        <f t="shared" si="6"/>
        <v>1.112970711297071</v>
      </c>
      <c r="E15" s="16">
        <v>23130.49</v>
      </c>
      <c r="F15" s="16">
        <v>26505</v>
      </c>
      <c r="G15" s="18">
        <f t="shared" si="7"/>
        <v>0.14589012165328094</v>
      </c>
      <c r="H15" s="16">
        <v>9549.7999999999993</v>
      </c>
      <c r="I15" s="16">
        <v>19643</v>
      </c>
      <c r="J15" s="18">
        <f t="shared" si="8"/>
        <v>1.0569017152191671</v>
      </c>
      <c r="K15" s="18">
        <v>0.61</v>
      </c>
      <c r="L15" s="14">
        <v>234</v>
      </c>
      <c r="M15" s="18">
        <f>(234-410)/410</f>
        <v>-0.42926829268292682</v>
      </c>
      <c r="N15" s="14">
        <v>178</v>
      </c>
      <c r="O15" s="18">
        <f>(178-217)/217</f>
        <v>-0.17972350230414746</v>
      </c>
      <c r="P15" s="18">
        <v>0.75</v>
      </c>
      <c r="Q15" s="19" t="s">
        <v>38</v>
      </c>
      <c r="R15" s="19" t="s">
        <v>64</v>
      </c>
      <c r="S15" s="47" t="s">
        <v>65</v>
      </c>
      <c r="T15" s="19" t="s">
        <v>66</v>
      </c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</row>
    <row r="16" spans="1:43" ht="36" customHeight="1" x14ac:dyDescent="0.2">
      <c r="A16" s="8" t="s">
        <v>67</v>
      </c>
      <c r="B16" s="48"/>
      <c r="C16" s="48"/>
      <c r="D16" s="8"/>
      <c r="E16" s="48"/>
      <c r="F16" s="49"/>
      <c r="G16" s="8"/>
      <c r="H16" s="48"/>
      <c r="I16" s="48"/>
      <c r="J16" s="8"/>
      <c r="K16" s="8"/>
      <c r="L16" s="8"/>
      <c r="M16" s="8"/>
      <c r="N16" s="8"/>
      <c r="O16" s="8"/>
      <c r="P16" s="8"/>
      <c r="Q16" s="9"/>
      <c r="R16" s="9"/>
      <c r="S16" s="9"/>
      <c r="T16" s="10"/>
      <c r="V16" s="75" t="s">
        <v>68</v>
      </c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7"/>
    </row>
    <row r="17" spans="1:43" ht="21" customHeight="1" x14ac:dyDescent="0.2">
      <c r="A17" s="12" t="s">
        <v>69</v>
      </c>
      <c r="B17" s="13"/>
      <c r="C17" s="16"/>
      <c r="D17" s="44"/>
      <c r="E17" s="16"/>
      <c r="F17" s="16"/>
      <c r="G17" s="44"/>
      <c r="H17" s="16"/>
      <c r="I17" s="16"/>
      <c r="J17" s="18"/>
      <c r="K17" s="18"/>
      <c r="L17" s="44"/>
      <c r="M17" s="44"/>
      <c r="N17" s="44"/>
      <c r="O17" s="44"/>
      <c r="P17" s="44"/>
      <c r="Q17" s="44"/>
      <c r="R17" s="44"/>
      <c r="S17" s="44"/>
      <c r="T17" s="44"/>
      <c r="U17" s="20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0"/>
      <c r="AM17" s="20"/>
      <c r="AN17" s="20"/>
      <c r="AO17" s="20"/>
      <c r="AP17" s="20"/>
      <c r="AQ17" s="20"/>
    </row>
    <row r="18" spans="1:43" ht="18.75" customHeight="1" x14ac:dyDescent="0.2">
      <c r="A18" s="50" t="s">
        <v>70</v>
      </c>
      <c r="B18" s="16">
        <v>36140</v>
      </c>
      <c r="C18" s="16">
        <v>80813</v>
      </c>
      <c r="D18" s="18">
        <f t="shared" ref="D18:D28" si="9">(C18-B18)/B18</f>
        <v>1.2361095738793582</v>
      </c>
      <c r="E18" s="24">
        <v>7379.4</v>
      </c>
      <c r="F18" s="16">
        <v>13928</v>
      </c>
      <c r="G18" s="18">
        <f t="shared" ref="G18:G28" si="10">(F18-E18)/E18</f>
        <v>0.88741632111011748</v>
      </c>
      <c r="H18" s="16">
        <v>5542</v>
      </c>
      <c r="I18" s="16">
        <v>7431</v>
      </c>
      <c r="J18" s="18">
        <f t="shared" ref="J18:J37" si="11">(I18-H18)/H18</f>
        <v>0.34085167809455069</v>
      </c>
      <c r="K18" s="18">
        <v>0.49</v>
      </c>
      <c r="L18" s="44">
        <v>154</v>
      </c>
      <c r="M18" s="18">
        <f>(154-182)/182</f>
        <v>-0.15384615384615385</v>
      </c>
      <c r="N18" s="44">
        <v>98</v>
      </c>
      <c r="O18" s="18">
        <f>(98-125)/125</f>
        <v>-0.216</v>
      </c>
      <c r="P18" s="18">
        <v>0.67</v>
      </c>
      <c r="Q18" s="44" t="s">
        <v>28</v>
      </c>
      <c r="R18" s="44" t="s">
        <v>71</v>
      </c>
      <c r="S18" s="44"/>
      <c r="T18" s="44"/>
      <c r="U18" s="20"/>
      <c r="V18" s="23" t="s">
        <v>30</v>
      </c>
      <c r="W18" s="21">
        <f>ROWS(A18:A28)+ROWS(A30:A47)+ROWS(A37)</f>
        <v>30</v>
      </c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0"/>
      <c r="AM18" s="20"/>
      <c r="AN18" s="20"/>
      <c r="AO18" s="20"/>
      <c r="AP18" s="20"/>
      <c r="AQ18" s="20"/>
    </row>
    <row r="19" spans="1:43" ht="18.75" customHeight="1" x14ac:dyDescent="0.2">
      <c r="A19" s="23" t="s">
        <v>72</v>
      </c>
      <c r="B19" s="16">
        <v>179330</v>
      </c>
      <c r="C19" s="16">
        <v>265398</v>
      </c>
      <c r="D19" s="18">
        <f t="shared" si="9"/>
        <v>0.47994200635699547</v>
      </c>
      <c r="E19" s="24">
        <v>44573.35</v>
      </c>
      <c r="F19" s="16">
        <v>67503</v>
      </c>
      <c r="G19" s="18">
        <f t="shared" si="10"/>
        <v>0.51442509930261027</v>
      </c>
      <c r="H19" s="16">
        <v>38918</v>
      </c>
      <c r="I19" s="16">
        <v>49635</v>
      </c>
      <c r="J19" s="18">
        <f t="shared" si="11"/>
        <v>0.27537386299398736</v>
      </c>
      <c r="K19" s="18">
        <v>0.69</v>
      </c>
      <c r="L19" s="14">
        <v>227</v>
      </c>
      <c r="M19" s="18">
        <f>(227-222)/222</f>
        <v>2.2522522522522521E-2</v>
      </c>
      <c r="N19" s="14">
        <v>122</v>
      </c>
      <c r="O19" s="18">
        <f>(122-137)/137</f>
        <v>-0.10948905109489052</v>
      </c>
      <c r="P19" s="18">
        <v>0.59</v>
      </c>
      <c r="Q19" s="44" t="s">
        <v>28</v>
      </c>
      <c r="R19" s="44" t="s">
        <v>71</v>
      </c>
      <c r="S19" s="19"/>
      <c r="T19" s="44"/>
      <c r="V19" s="23" t="s">
        <v>35</v>
      </c>
      <c r="W19" s="21"/>
      <c r="X19" s="30">
        <f>AVERAGE(C18:C28,C30:C47,C37)</f>
        <v>2893483.0471724137</v>
      </c>
      <c r="Y19" s="30" t="e">
        <f>AVERAGE(#REF!,#REF!,#REF!)</f>
        <v>#REF!</v>
      </c>
      <c r="Z19" s="32">
        <f>AVERAGE(D18:D37)</f>
        <v>0.38238533602687602</v>
      </c>
      <c r="AA19" s="30" t="e">
        <f t="shared" ref="AA19:AB19" si="12">AVERAGE(#REF!,#REF!,#REF!)</f>
        <v>#REF!</v>
      </c>
      <c r="AB19" s="30" t="e">
        <f t="shared" si="12"/>
        <v>#REF!</v>
      </c>
      <c r="AC19" s="32">
        <f>AVERAGE(G18:G37)</f>
        <v>6.9064268083346786E-2</v>
      </c>
      <c r="AD19" s="21"/>
      <c r="AE19" s="32" t="e">
        <f>AVERAGE(#REF!,#REF!,#REF!)</f>
        <v>#REF!</v>
      </c>
      <c r="AF19" s="24">
        <f>AVERAGE(L18:L28,L30:L47,L37)</f>
        <v>154.33333333333334</v>
      </c>
      <c r="AG19" s="32">
        <f>AVERAGE(M18:M37)</f>
        <v>-0.24058608205483736</v>
      </c>
      <c r="AH19" s="33" t="e">
        <f>AVERAGE(#REF!,#REF!,#REF!)</f>
        <v>#REF!</v>
      </c>
      <c r="AI19" s="24">
        <f>AVERAGE(N18:N28,N30:N47,N37)</f>
        <v>103</v>
      </c>
      <c r="AJ19" s="32">
        <f>AVERAGE(O18:O37)</f>
        <v>-0.22031972721100829</v>
      </c>
      <c r="AK19" s="33" t="e">
        <f>AVERAGE(#REF!,#REF!,#REF!)</f>
        <v>#REF!</v>
      </c>
    </row>
    <row r="20" spans="1:43" ht="18.75" customHeight="1" x14ac:dyDescent="0.2">
      <c r="A20" s="23" t="s">
        <v>73</v>
      </c>
      <c r="B20" s="16">
        <v>109576</v>
      </c>
      <c r="C20" s="16">
        <v>263326</v>
      </c>
      <c r="D20" s="18">
        <f t="shared" si="9"/>
        <v>1.4031357231510551</v>
      </c>
      <c r="E20" s="24">
        <v>26319.319999999996</v>
      </c>
      <c r="F20" s="16">
        <v>54050</v>
      </c>
      <c r="G20" s="18">
        <f t="shared" si="10"/>
        <v>1.0536244857389936</v>
      </c>
      <c r="H20" s="16">
        <v>14823</v>
      </c>
      <c r="I20" s="16">
        <v>53069</v>
      </c>
      <c r="J20" s="18">
        <f t="shared" si="11"/>
        <v>2.5801794508534033</v>
      </c>
      <c r="K20" s="18">
        <v>0.81</v>
      </c>
      <c r="L20" s="14">
        <v>183</v>
      </c>
      <c r="M20" s="18">
        <f>(183-214)/214</f>
        <v>-0.14485981308411214</v>
      </c>
      <c r="N20" s="14">
        <v>134</v>
      </c>
      <c r="O20" s="18">
        <f>(134-161)/161</f>
        <v>-0.16770186335403728</v>
      </c>
      <c r="P20" s="18">
        <v>0.73</v>
      </c>
      <c r="Q20" s="44" t="s">
        <v>28</v>
      </c>
      <c r="R20" s="44" t="s">
        <v>71</v>
      </c>
      <c r="S20" s="19"/>
      <c r="T20" s="44"/>
      <c r="V20" s="23" t="s">
        <v>41</v>
      </c>
      <c r="AH20" s="51" t="e">
        <f>SUMPRODUCT(#REF!,C18:C37)/X22</f>
        <v>#REF!</v>
      </c>
      <c r="AI20" s="21"/>
      <c r="AJ20" s="21"/>
      <c r="AK20" s="51" t="e">
        <f>SUMPRODUCT(#REF!,C18:C37)/X22</f>
        <v>#REF!</v>
      </c>
    </row>
    <row r="21" spans="1:43" ht="18.75" customHeight="1" x14ac:dyDescent="0.2">
      <c r="A21" s="23" t="s">
        <v>74</v>
      </c>
      <c r="B21" s="16">
        <v>218039</v>
      </c>
      <c r="C21" s="16">
        <v>231154</v>
      </c>
      <c r="D21" s="18">
        <f t="shared" si="9"/>
        <v>6.0149789716518604E-2</v>
      </c>
      <c r="E21" s="24">
        <v>45729.89</v>
      </c>
      <c r="F21" s="16">
        <v>42169</v>
      </c>
      <c r="G21" s="18">
        <f t="shared" si="10"/>
        <v>-7.7867889032752963E-2</v>
      </c>
      <c r="H21" s="16">
        <v>42617</v>
      </c>
      <c r="I21" s="16">
        <v>42073</v>
      </c>
      <c r="J21" s="18">
        <f t="shared" si="11"/>
        <v>-1.2764859093788864E-2</v>
      </c>
      <c r="K21" s="18">
        <v>0.89</v>
      </c>
      <c r="L21" s="14">
        <v>163</v>
      </c>
      <c r="M21" s="18">
        <f>(163-187)/187</f>
        <v>-0.12834224598930483</v>
      </c>
      <c r="N21" s="14">
        <v>108</v>
      </c>
      <c r="O21" s="18">
        <f>(108-144)/144</f>
        <v>-0.25</v>
      </c>
      <c r="P21" s="18">
        <v>0.7</v>
      </c>
      <c r="Q21" s="44" t="s">
        <v>28</v>
      </c>
      <c r="R21" s="44" t="s">
        <v>71</v>
      </c>
      <c r="S21" s="19"/>
      <c r="T21" s="44"/>
      <c r="V21" s="23" t="s">
        <v>46</v>
      </c>
      <c r="W21" s="21"/>
      <c r="X21" s="30">
        <f>MEDIAN(C18:C28,C30:C47,C37)</f>
        <v>508181</v>
      </c>
      <c r="Y21" s="30" t="e">
        <f>MEDIAN(#REF!,#REF!,#REF!)</f>
        <v>#REF!</v>
      </c>
      <c r="Z21" s="30"/>
      <c r="AA21" s="30" t="e">
        <f t="shared" ref="AA21:AB21" si="13">MEDIAN(#REF!,#REF!,#REF!)</f>
        <v>#REF!</v>
      </c>
      <c r="AB21" s="30" t="e">
        <f t="shared" si="13"/>
        <v>#REF!</v>
      </c>
      <c r="AC21" s="30"/>
      <c r="AD21" s="21"/>
      <c r="AE21" s="32" t="e">
        <f>MEDIAN(#REF!,#REF!,#REF!)</f>
        <v>#REF!</v>
      </c>
      <c r="AF21" s="24">
        <f>MEDIAN(L18:L28,L30:L47,L37)</f>
        <v>154</v>
      </c>
      <c r="AG21" s="24"/>
      <c r="AH21" s="33" t="e">
        <f>MEDIAN(#REF!,#REF!,#REF!)</f>
        <v>#REF!</v>
      </c>
      <c r="AI21" s="24">
        <f>MEDIAN(N18:N28,N30:N47,N37)</f>
        <v>94.75</v>
      </c>
      <c r="AJ21" s="24"/>
      <c r="AK21" s="33" t="e">
        <f>MEDIAN(#REF!,#REF!,#REF!)</f>
        <v>#REF!</v>
      </c>
    </row>
    <row r="22" spans="1:43" ht="18.75" customHeight="1" x14ac:dyDescent="0.2">
      <c r="A22" s="23" t="s">
        <v>75</v>
      </c>
      <c r="B22" s="16">
        <v>426883</v>
      </c>
      <c r="C22" s="16">
        <v>508181</v>
      </c>
      <c r="D22" s="18">
        <f t="shared" si="9"/>
        <v>0.1904456256163867</v>
      </c>
      <c r="E22" s="24">
        <v>91295.39</v>
      </c>
      <c r="F22" s="16">
        <v>92699</v>
      </c>
      <c r="G22" s="18">
        <f t="shared" si="10"/>
        <v>1.5374379801652642E-2</v>
      </c>
      <c r="H22" s="16">
        <v>79679</v>
      </c>
      <c r="I22" s="16">
        <v>79145</v>
      </c>
      <c r="J22" s="18">
        <f t="shared" si="11"/>
        <v>-6.7018913389977281E-3</v>
      </c>
      <c r="K22" s="18">
        <v>0.76</v>
      </c>
      <c r="L22" s="14">
        <v>163</v>
      </c>
      <c r="M22" s="18">
        <f>(163-191)/191</f>
        <v>-0.14659685863874344</v>
      </c>
      <c r="N22" s="14">
        <v>106</v>
      </c>
      <c r="O22" s="18">
        <f>(106-134)/134</f>
        <v>-0.20895522388059701</v>
      </c>
      <c r="P22" s="18">
        <v>0.68</v>
      </c>
      <c r="Q22" s="44" t="s">
        <v>28</v>
      </c>
      <c r="R22" s="44" t="s">
        <v>71</v>
      </c>
      <c r="S22" s="19"/>
      <c r="T22" s="44"/>
      <c r="V22" s="23" t="s">
        <v>50</v>
      </c>
      <c r="W22" s="21"/>
      <c r="X22" s="30">
        <f>SUM(C18:C28,C30:C47,C37)</f>
        <v>72337076.179310337</v>
      </c>
      <c r="Y22" s="33" t="e">
        <f>SUM(#REF!)</f>
        <v>#REF!</v>
      </c>
      <c r="Z22" s="33"/>
      <c r="AA22" s="30" t="e">
        <f>SUM(#REF!,#REF!,#REF!)</f>
        <v>#REF!</v>
      </c>
      <c r="AB22" s="21" t="e">
        <f>SUM(#REF!)</f>
        <v>#REF!</v>
      </c>
      <c r="AC22" s="21"/>
      <c r="AD22" s="30">
        <f>SUM(H18:H28,H30:H47,H37)</f>
        <v>4862439.6066666665</v>
      </c>
      <c r="AE22" s="21"/>
      <c r="AF22" s="21"/>
      <c r="AG22" s="21"/>
      <c r="AH22" s="21"/>
      <c r="AI22" s="21"/>
      <c r="AJ22" s="21"/>
      <c r="AK22" s="21"/>
    </row>
    <row r="23" spans="1:43" ht="18.75" customHeight="1" x14ac:dyDescent="0.2">
      <c r="A23" s="23" t="s">
        <v>76</v>
      </c>
      <c r="B23" s="16">
        <v>99896</v>
      </c>
      <c r="C23" s="16">
        <v>163542</v>
      </c>
      <c r="D23" s="18">
        <f t="shared" si="9"/>
        <v>0.63712260751181227</v>
      </c>
      <c r="E23" s="24">
        <v>19322.47</v>
      </c>
      <c r="F23" s="16">
        <v>31967</v>
      </c>
      <c r="G23" s="18">
        <f t="shared" si="10"/>
        <v>0.65439511615233448</v>
      </c>
      <c r="H23" s="16">
        <v>16518</v>
      </c>
      <c r="I23" s="16">
        <v>28670</v>
      </c>
      <c r="J23" s="18">
        <f t="shared" si="11"/>
        <v>0.73568228599104013</v>
      </c>
      <c r="K23" s="18">
        <v>0.78</v>
      </c>
      <c r="L23" s="14">
        <v>175</v>
      </c>
      <c r="M23" s="18">
        <f>(175-173)/173</f>
        <v>1.1560693641618497E-2</v>
      </c>
      <c r="N23" s="14">
        <v>121</v>
      </c>
      <c r="O23" s="18">
        <f>(121-105)/105</f>
        <v>0.15238095238095239</v>
      </c>
      <c r="P23" s="18">
        <v>0.68</v>
      </c>
      <c r="Q23" s="44" t="s">
        <v>28</v>
      </c>
      <c r="R23" s="44" t="s">
        <v>71</v>
      </c>
      <c r="S23" s="29" t="s">
        <v>77</v>
      </c>
      <c r="T23" s="44"/>
      <c r="V23" s="23" t="s">
        <v>57</v>
      </c>
      <c r="W23" s="21"/>
      <c r="X23" s="21"/>
      <c r="Y23" s="42"/>
      <c r="Z23" s="42"/>
      <c r="AA23" s="44"/>
      <c r="AB23" s="42"/>
      <c r="AC23" s="42"/>
      <c r="AD23" s="21"/>
      <c r="AE23" s="21"/>
      <c r="AF23" s="21"/>
      <c r="AG23" s="21"/>
      <c r="AH23" s="42"/>
      <c r="AI23" s="44"/>
      <c r="AJ23" s="44"/>
      <c r="AK23" s="42"/>
    </row>
    <row r="24" spans="1:43" ht="18.75" customHeight="1" x14ac:dyDescent="0.2">
      <c r="A24" s="23" t="s">
        <v>78</v>
      </c>
      <c r="B24" s="16">
        <v>1331363</v>
      </c>
      <c r="C24" s="52">
        <v>1534330</v>
      </c>
      <c r="D24" s="18">
        <f t="shared" si="9"/>
        <v>0.15245053377628792</v>
      </c>
      <c r="E24" s="24">
        <v>311114.46000000002</v>
      </c>
      <c r="F24" s="16">
        <v>284516</v>
      </c>
      <c r="G24" s="18">
        <f t="shared" si="10"/>
        <v>-8.5494129716760903E-2</v>
      </c>
      <c r="H24" s="16">
        <v>286826</v>
      </c>
      <c r="I24" s="16">
        <v>288942</v>
      </c>
      <c r="J24" s="18">
        <f t="shared" si="11"/>
        <v>7.3772949453675745E-3</v>
      </c>
      <c r="K24" s="18">
        <v>0.57999999999999996</v>
      </c>
      <c r="L24" s="14">
        <v>166</v>
      </c>
      <c r="M24" s="18">
        <f>(166-209)/209</f>
        <v>-0.20574162679425836</v>
      </c>
      <c r="N24" s="14">
        <v>108</v>
      </c>
      <c r="O24" s="18">
        <f>(108-140)/140</f>
        <v>-0.22857142857142856</v>
      </c>
      <c r="P24" s="18">
        <v>0.65</v>
      </c>
      <c r="Q24" s="44" t="s">
        <v>28</v>
      </c>
      <c r="R24" s="44" t="s">
        <v>71</v>
      </c>
      <c r="S24" s="19"/>
      <c r="T24" s="44"/>
    </row>
    <row r="25" spans="1:43" ht="18.75" customHeight="1" x14ac:dyDescent="0.2">
      <c r="A25" s="23" t="s">
        <v>79</v>
      </c>
      <c r="B25" s="16">
        <v>38591</v>
      </c>
      <c r="C25" s="16">
        <v>50494</v>
      </c>
      <c r="D25" s="18">
        <f t="shared" si="9"/>
        <v>0.30843979166126817</v>
      </c>
      <c r="E25" s="24">
        <v>6667.9</v>
      </c>
      <c r="F25" s="16">
        <v>6826.72</v>
      </c>
      <c r="G25" s="18">
        <f t="shared" si="10"/>
        <v>2.3818593560191458E-2</v>
      </c>
      <c r="H25" s="16">
        <v>862</v>
      </c>
      <c r="I25" s="16">
        <v>2982</v>
      </c>
      <c r="J25" s="18">
        <f t="shared" si="11"/>
        <v>2.4593967517401394</v>
      </c>
      <c r="K25" s="18">
        <v>0.31</v>
      </c>
      <c r="L25" s="14">
        <v>121</v>
      </c>
      <c r="M25" s="18">
        <f>(121-154)/154</f>
        <v>-0.21428571428571427</v>
      </c>
      <c r="N25" s="14">
        <v>81</v>
      </c>
      <c r="O25" s="18">
        <f>(81-99)/99</f>
        <v>-0.18181818181818182</v>
      </c>
      <c r="P25" s="18">
        <v>0.65</v>
      </c>
      <c r="Q25" s="44" t="s">
        <v>28</v>
      </c>
      <c r="R25" s="44" t="s">
        <v>71</v>
      </c>
      <c r="S25" s="19"/>
      <c r="T25" s="44"/>
    </row>
    <row r="26" spans="1:43" ht="18.75" customHeight="1" x14ac:dyDescent="0.2">
      <c r="A26" s="23" t="s">
        <v>80</v>
      </c>
      <c r="B26" s="16">
        <v>201302</v>
      </c>
      <c r="C26" s="16">
        <v>232771</v>
      </c>
      <c r="D26" s="18">
        <f t="shared" si="9"/>
        <v>0.15632730921699733</v>
      </c>
      <c r="E26" s="24">
        <v>68389</v>
      </c>
      <c r="F26" s="16">
        <v>74608.040000000008</v>
      </c>
      <c r="G26" s="18">
        <f t="shared" si="10"/>
        <v>9.093626167950998E-2</v>
      </c>
      <c r="H26" s="16">
        <v>41940</v>
      </c>
      <c r="I26" s="16">
        <v>88460</v>
      </c>
      <c r="J26" s="18">
        <f t="shared" si="11"/>
        <v>1.1092036242250836</v>
      </c>
      <c r="K26" s="18">
        <v>0.88</v>
      </c>
      <c r="L26" s="14">
        <v>286</v>
      </c>
      <c r="M26" s="18">
        <f>(286-303)/303</f>
        <v>-5.6105610561056105E-2</v>
      </c>
      <c r="N26" s="14">
        <v>225</v>
      </c>
      <c r="O26" s="18">
        <f>(225-220)/220</f>
        <v>2.2727272727272728E-2</v>
      </c>
      <c r="P26" s="18">
        <v>0.72</v>
      </c>
      <c r="Q26" s="44" t="s">
        <v>28</v>
      </c>
      <c r="R26" s="44" t="s">
        <v>71</v>
      </c>
      <c r="S26" s="19"/>
      <c r="T26" s="44"/>
    </row>
    <row r="27" spans="1:43" ht="18.75" customHeight="1" x14ac:dyDescent="0.2">
      <c r="A27" s="23" t="s">
        <v>81</v>
      </c>
      <c r="B27" s="16">
        <v>163765</v>
      </c>
      <c r="C27" s="16">
        <v>175868</v>
      </c>
      <c r="D27" s="18">
        <f t="shared" si="9"/>
        <v>7.3904680487283603E-2</v>
      </c>
      <c r="E27" s="24">
        <v>57470.16</v>
      </c>
      <c r="F27" s="16">
        <v>45352</v>
      </c>
      <c r="G27" s="18">
        <f t="shared" si="10"/>
        <v>-0.21086003588644964</v>
      </c>
      <c r="H27" s="16">
        <v>62623</v>
      </c>
      <c r="I27" s="16">
        <v>36652</v>
      </c>
      <c r="J27" s="18">
        <f t="shared" si="11"/>
        <v>-0.41471983137186019</v>
      </c>
      <c r="K27" s="18">
        <v>0.69</v>
      </c>
      <c r="L27" s="14">
        <v>230</v>
      </c>
      <c r="M27" s="18">
        <f>(230-313)/313</f>
        <v>-0.26517571884984026</v>
      </c>
      <c r="N27" s="14">
        <v>115</v>
      </c>
      <c r="O27" s="18">
        <f>(115-163)/163</f>
        <v>-0.29447852760736198</v>
      </c>
      <c r="P27" s="18">
        <v>0.52</v>
      </c>
      <c r="Q27" s="44" t="s">
        <v>28</v>
      </c>
      <c r="R27" s="44" t="s">
        <v>71</v>
      </c>
      <c r="S27" s="19"/>
      <c r="T27" s="28" t="s">
        <v>82</v>
      </c>
    </row>
    <row r="28" spans="1:43" ht="18.75" customHeight="1" x14ac:dyDescent="0.2">
      <c r="A28" s="23" t="s">
        <v>83</v>
      </c>
      <c r="B28" s="16">
        <v>635073</v>
      </c>
      <c r="C28" s="16">
        <v>743881</v>
      </c>
      <c r="D28" s="18">
        <f t="shared" si="9"/>
        <v>0.17133148472695264</v>
      </c>
      <c r="E28" s="24">
        <v>110649.3</v>
      </c>
      <c r="F28" s="16">
        <v>91373</v>
      </c>
      <c r="G28" s="18">
        <f t="shared" si="10"/>
        <v>-0.17421077223263051</v>
      </c>
      <c r="H28" s="16">
        <v>69</v>
      </c>
      <c r="I28" s="16">
        <v>92911</v>
      </c>
      <c r="J28" s="18">
        <f t="shared" si="11"/>
        <v>1345.536231884058</v>
      </c>
      <c r="K28" s="18">
        <v>0.82</v>
      </c>
      <c r="L28" s="14">
        <v>110</v>
      </c>
      <c r="M28" s="18">
        <f>(110-156)/156</f>
        <v>-0.29487179487179488</v>
      </c>
      <c r="N28" s="14">
        <v>81</v>
      </c>
      <c r="O28" s="18">
        <f>(81-112)/112</f>
        <v>-0.2767857142857143</v>
      </c>
      <c r="P28" s="18">
        <v>0.73</v>
      </c>
      <c r="Q28" s="44" t="s">
        <v>28</v>
      </c>
      <c r="R28" s="44" t="s">
        <v>71</v>
      </c>
      <c r="S28" s="19"/>
      <c r="T28" s="44"/>
    </row>
    <row r="29" spans="1:43" ht="13.5" customHeight="1" x14ac:dyDescent="0.2">
      <c r="A29" s="12" t="s">
        <v>84</v>
      </c>
      <c r="B29" s="13"/>
      <c r="C29" s="13"/>
      <c r="D29" s="17"/>
      <c r="E29" s="16"/>
      <c r="F29" s="16"/>
      <c r="G29" s="17"/>
      <c r="H29" s="53">
        <f t="shared" ref="H29:I29" si="14">SUM(H18:H28)</f>
        <v>590417</v>
      </c>
      <c r="I29" s="53">
        <f t="shared" si="14"/>
        <v>769970</v>
      </c>
      <c r="J29" s="54">
        <f t="shared" si="11"/>
        <v>0.30411217834174831</v>
      </c>
      <c r="K29" s="18"/>
      <c r="L29" s="14"/>
      <c r="M29" s="14"/>
      <c r="N29" s="14"/>
      <c r="O29" s="14"/>
      <c r="P29" s="14"/>
      <c r="Q29" s="19"/>
      <c r="R29" s="19"/>
      <c r="S29" s="19"/>
      <c r="T29" s="55"/>
    </row>
    <row r="30" spans="1:43" ht="21.75" customHeight="1" x14ac:dyDescent="0.2">
      <c r="A30" s="23" t="s">
        <v>85</v>
      </c>
      <c r="B30" s="16">
        <v>464215</v>
      </c>
      <c r="C30" s="16">
        <v>870579</v>
      </c>
      <c r="D30" s="18">
        <f t="shared" ref="D30:D37" si="15">(C30-B30)/B30</f>
        <v>0.87537886539642196</v>
      </c>
      <c r="E30" s="16">
        <v>83153</v>
      </c>
      <c r="F30" s="16">
        <v>78192</v>
      </c>
      <c r="G30" s="18">
        <f t="shared" ref="G30:G35" si="16">(F30-E30)/E30</f>
        <v>-5.9661106634757613E-2</v>
      </c>
      <c r="H30" s="16">
        <v>16834</v>
      </c>
      <c r="I30" s="16">
        <v>9900</v>
      </c>
      <c r="J30" s="18">
        <f t="shared" si="11"/>
        <v>-0.41190447903053345</v>
      </c>
      <c r="K30" s="18">
        <v>0.11</v>
      </c>
      <c r="L30" s="14">
        <v>80</v>
      </c>
      <c r="M30" s="18">
        <f>(80-160)/160</f>
        <v>-0.5</v>
      </c>
      <c r="N30" s="14">
        <v>78</v>
      </c>
      <c r="O30" s="18">
        <f>(78-145)/145</f>
        <v>-0.46206896551724136</v>
      </c>
      <c r="P30" s="18">
        <v>0.94</v>
      </c>
      <c r="Q30" s="19" t="s">
        <v>48</v>
      </c>
      <c r="R30" s="29" t="s">
        <v>86</v>
      </c>
      <c r="S30" s="29" t="s">
        <v>87</v>
      </c>
      <c r="T30" s="19"/>
    </row>
    <row r="31" spans="1:43" ht="21.75" customHeight="1" x14ac:dyDescent="0.2">
      <c r="A31" s="23" t="s">
        <v>88</v>
      </c>
      <c r="B31" s="16">
        <v>708200</v>
      </c>
      <c r="C31" s="16">
        <v>905816</v>
      </c>
      <c r="D31" s="18">
        <f t="shared" si="15"/>
        <v>0.27903981926009602</v>
      </c>
      <c r="E31" s="52">
        <v>223973</v>
      </c>
      <c r="F31" s="52">
        <v>192100</v>
      </c>
      <c r="G31" s="18">
        <f t="shared" si="16"/>
        <v>-0.14230733168730159</v>
      </c>
      <c r="H31" s="16">
        <v>15933</v>
      </c>
      <c r="I31" s="16">
        <v>9419</v>
      </c>
      <c r="J31" s="18">
        <f t="shared" si="11"/>
        <v>-0.40883700495826275</v>
      </c>
      <c r="K31" s="18">
        <v>0.04</v>
      </c>
      <c r="L31" s="14">
        <v>189</v>
      </c>
      <c r="M31" s="18">
        <f>(189-282)/282</f>
        <v>-0.32978723404255317</v>
      </c>
      <c r="N31" s="14"/>
      <c r="O31" s="14"/>
      <c r="P31" s="14"/>
      <c r="Q31" s="19" t="s">
        <v>48</v>
      </c>
      <c r="R31" s="29" t="s">
        <v>86</v>
      </c>
      <c r="S31" s="29" t="s">
        <v>89</v>
      </c>
      <c r="T31" s="19"/>
    </row>
    <row r="32" spans="1:43" ht="21.75" customHeight="1" x14ac:dyDescent="0.2">
      <c r="A32" s="23" t="s">
        <v>90</v>
      </c>
      <c r="B32" s="16">
        <v>459318</v>
      </c>
      <c r="C32" s="16">
        <v>472217</v>
      </c>
      <c r="D32" s="18">
        <f t="shared" si="15"/>
        <v>2.8082940359402418E-2</v>
      </c>
      <c r="E32" s="24">
        <v>66612</v>
      </c>
      <c r="F32" s="16">
        <v>48706</v>
      </c>
      <c r="G32" s="18">
        <f t="shared" si="16"/>
        <v>-0.26881042454812948</v>
      </c>
      <c r="H32" s="16">
        <v>10994</v>
      </c>
      <c r="I32" s="16">
        <v>5715</v>
      </c>
      <c r="J32" s="18">
        <f t="shared" si="11"/>
        <v>-0.48017100236492632</v>
      </c>
      <c r="K32" s="18">
        <v>0.11</v>
      </c>
      <c r="L32" s="14">
        <v>92</v>
      </c>
      <c r="M32" s="18">
        <f>(92-131)/110</f>
        <v>-0.35454545454545455</v>
      </c>
      <c r="N32" s="14">
        <v>66</v>
      </c>
      <c r="O32" s="18">
        <f>(66-91)/91</f>
        <v>-0.27472527472527475</v>
      </c>
      <c r="P32" s="18">
        <v>0.69</v>
      </c>
      <c r="Q32" s="19" t="s">
        <v>28</v>
      </c>
      <c r="R32" s="29" t="s">
        <v>91</v>
      </c>
      <c r="S32" s="37" t="s">
        <v>92</v>
      </c>
      <c r="T32" s="19"/>
    </row>
    <row r="33" spans="1:37" ht="25.5" customHeight="1" x14ac:dyDescent="0.2">
      <c r="A33" s="38" t="s">
        <v>93</v>
      </c>
      <c r="B33" s="56">
        <v>3705600</v>
      </c>
      <c r="C33" s="16">
        <v>4041284</v>
      </c>
      <c r="D33" s="18">
        <f t="shared" si="15"/>
        <v>9.0588298791018998E-2</v>
      </c>
      <c r="E33" s="16">
        <v>661586</v>
      </c>
      <c r="F33" s="16">
        <v>487591</v>
      </c>
      <c r="G33" s="18">
        <f t="shared" si="16"/>
        <v>-0.26299679860214698</v>
      </c>
      <c r="H33" s="16">
        <v>60252</v>
      </c>
      <c r="I33" s="16">
        <v>9519</v>
      </c>
      <c r="J33" s="18">
        <f t="shared" si="11"/>
        <v>-0.84201354311890064</v>
      </c>
      <c r="K33" s="18">
        <v>0.02</v>
      </c>
      <c r="L33" s="14">
        <v>108</v>
      </c>
      <c r="M33" s="18">
        <f>(108-159)/159</f>
        <v>-0.32075471698113206</v>
      </c>
      <c r="N33" s="14">
        <v>70</v>
      </c>
      <c r="O33" s="18">
        <f>(70-105)/105</f>
        <v>-0.33333333333333331</v>
      </c>
      <c r="P33" s="18">
        <v>0.65</v>
      </c>
      <c r="Q33" s="19"/>
      <c r="R33" s="29"/>
      <c r="S33" s="19"/>
      <c r="T33" s="19" t="s">
        <v>94</v>
      </c>
    </row>
    <row r="34" spans="1:37" ht="27" customHeight="1" x14ac:dyDescent="0.2">
      <c r="A34" s="38" t="s">
        <v>95</v>
      </c>
      <c r="B34" s="16">
        <v>2846794</v>
      </c>
      <c r="C34" s="16">
        <v>3194688</v>
      </c>
      <c r="D34" s="18">
        <f t="shared" si="15"/>
        <v>0.12220554068892937</v>
      </c>
      <c r="E34" s="57">
        <v>695342</v>
      </c>
      <c r="F34" s="16">
        <v>502472</v>
      </c>
      <c r="G34" s="18">
        <f t="shared" si="16"/>
        <v>-0.27737429926568508</v>
      </c>
      <c r="H34" s="16">
        <v>198780</v>
      </c>
      <c r="I34" s="16">
        <v>14779</v>
      </c>
      <c r="J34" s="18">
        <f t="shared" si="11"/>
        <v>-0.92565147399134717</v>
      </c>
      <c r="K34" s="18">
        <v>0.03</v>
      </c>
      <c r="L34" s="14">
        <v>140</v>
      </c>
      <c r="M34" s="18">
        <f>(140-218)/218</f>
        <v>-0.3577981651376147</v>
      </c>
      <c r="N34" s="14">
        <v>86</v>
      </c>
      <c r="O34" s="18">
        <f>(86-135)/135</f>
        <v>-0.36296296296296299</v>
      </c>
      <c r="P34" s="18">
        <v>0.61</v>
      </c>
      <c r="Q34" s="19" t="s">
        <v>28</v>
      </c>
      <c r="R34" s="29" t="s">
        <v>91</v>
      </c>
      <c r="S34" s="19"/>
      <c r="T34" s="19"/>
    </row>
    <row r="35" spans="1:37" ht="21.75" customHeight="1" x14ac:dyDescent="0.2">
      <c r="A35" s="23" t="s">
        <v>96</v>
      </c>
      <c r="B35" s="16">
        <v>2814481</v>
      </c>
      <c r="C35" s="16">
        <v>3254441</v>
      </c>
      <c r="D35" s="18">
        <f t="shared" si="15"/>
        <v>0.15632011727917156</v>
      </c>
      <c r="E35" s="57">
        <v>694513</v>
      </c>
      <c r="F35" s="16">
        <v>463137</v>
      </c>
      <c r="G35" s="18">
        <f t="shared" si="16"/>
        <v>-0.33314855157498852</v>
      </c>
      <c r="H35" s="16">
        <v>146891</v>
      </c>
      <c r="I35" s="16">
        <v>260558</v>
      </c>
      <c r="J35" s="18">
        <f t="shared" si="11"/>
        <v>0.77381868187976122</v>
      </c>
      <c r="K35" s="18">
        <v>0.48</v>
      </c>
      <c r="L35" s="14">
        <v>127</v>
      </c>
      <c r="M35" s="18">
        <f>(127-220)/220</f>
        <v>-0.42272727272727273</v>
      </c>
      <c r="N35" s="14">
        <v>84</v>
      </c>
      <c r="O35" s="18">
        <f>(84-126)/126</f>
        <v>-0.33333333333333331</v>
      </c>
      <c r="P35" s="18">
        <v>0.6</v>
      </c>
      <c r="Q35" s="19" t="s">
        <v>48</v>
      </c>
      <c r="R35" s="29" t="s">
        <v>86</v>
      </c>
      <c r="S35" s="19" t="s">
        <v>97</v>
      </c>
      <c r="T35" s="19"/>
    </row>
    <row r="36" spans="1:37" ht="13.5" customHeight="1" x14ac:dyDescent="0.2">
      <c r="A36" s="12" t="s">
        <v>98</v>
      </c>
      <c r="B36" s="53">
        <f t="shared" ref="B36:C36" si="17">SUM(B30:B35)</f>
        <v>10998608</v>
      </c>
      <c r="C36" s="53">
        <f t="shared" si="17"/>
        <v>12739025</v>
      </c>
      <c r="D36" s="54">
        <f t="shared" si="15"/>
        <v>0.1582397517940452</v>
      </c>
      <c r="E36" s="16"/>
      <c r="F36" s="16"/>
      <c r="G36" s="17"/>
      <c r="H36" s="53">
        <f t="shared" ref="H36:I36" si="18">SUM(H30:H35)</f>
        <v>449684</v>
      </c>
      <c r="I36" s="53">
        <f t="shared" si="18"/>
        <v>309890</v>
      </c>
      <c r="J36" s="54">
        <f t="shared" si="11"/>
        <v>-0.31087163430319958</v>
      </c>
      <c r="K36" s="18"/>
      <c r="L36" s="14"/>
      <c r="M36" s="14"/>
      <c r="N36" s="14"/>
      <c r="O36" s="14"/>
      <c r="P36" s="14"/>
      <c r="Q36" s="19"/>
      <c r="R36" s="19"/>
      <c r="S36" s="19"/>
      <c r="T36" s="19"/>
      <c r="U36" s="20"/>
    </row>
    <row r="37" spans="1:37" ht="30" customHeight="1" x14ac:dyDescent="0.2">
      <c r="A37" s="38" t="s">
        <v>99</v>
      </c>
      <c r="B37" s="16">
        <v>1364248</v>
      </c>
      <c r="C37" s="16">
        <v>2300268</v>
      </c>
      <c r="D37" s="18">
        <f t="shared" si="15"/>
        <v>0.68610692484064484</v>
      </c>
      <c r="E37" s="52">
        <v>321982</v>
      </c>
      <c r="F37" s="52">
        <v>288463</v>
      </c>
      <c r="G37" s="18">
        <f>(F37-E37)/E37</f>
        <v>-0.10410209266356504</v>
      </c>
      <c r="H37" s="16">
        <v>278501</v>
      </c>
      <c r="I37" s="16">
        <v>247107</v>
      </c>
      <c r="J37" s="18">
        <f t="shared" si="11"/>
        <v>-0.11272490942581893</v>
      </c>
      <c r="K37" s="18">
        <v>0.92</v>
      </c>
      <c r="L37" s="14">
        <v>112</v>
      </c>
      <c r="M37" s="18">
        <f>(112-211)/211</f>
        <v>-0.46919431279620855</v>
      </c>
      <c r="N37" s="14"/>
      <c r="O37" s="14"/>
      <c r="P37" s="14"/>
      <c r="Q37" s="19" t="s">
        <v>28</v>
      </c>
      <c r="R37" s="29" t="s">
        <v>100</v>
      </c>
      <c r="S37" s="19"/>
      <c r="T37" s="19"/>
    </row>
    <row r="38" spans="1:37" ht="13.5" customHeight="1" x14ac:dyDescent="0.2">
      <c r="A38" s="21"/>
      <c r="B38" s="16"/>
      <c r="C38" s="16"/>
      <c r="D38" s="18"/>
      <c r="E38" s="16"/>
      <c r="F38" s="16"/>
      <c r="G38" s="44"/>
      <c r="H38" s="44"/>
      <c r="I38" s="44"/>
      <c r="J38" s="18"/>
      <c r="K38" s="18"/>
      <c r="L38" s="44"/>
      <c r="M38" s="44"/>
      <c r="N38" s="44"/>
      <c r="O38" s="44"/>
      <c r="P38" s="44"/>
      <c r="Q38" s="44"/>
      <c r="R38" s="44"/>
      <c r="S38" s="44"/>
      <c r="T38" s="44"/>
      <c r="U38" s="20"/>
    </row>
    <row r="39" spans="1:37" ht="13.5" customHeight="1" x14ac:dyDescent="0.2">
      <c r="B39" s="16"/>
      <c r="C39" s="58"/>
      <c r="E39" s="59"/>
      <c r="F39" s="59"/>
      <c r="I39" s="60"/>
      <c r="J39" s="61"/>
      <c r="K39" s="61"/>
    </row>
    <row r="40" spans="1:37" ht="15.75" customHeight="1" x14ac:dyDescent="0.2">
      <c r="A40" s="8" t="s">
        <v>101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  <c r="R40" s="9"/>
      <c r="S40" s="9"/>
      <c r="T40" s="9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</row>
    <row r="41" spans="1:37" ht="13.5" customHeight="1" x14ac:dyDescent="0.2">
      <c r="A41" s="62" t="s">
        <v>35</v>
      </c>
      <c r="B41" s="63">
        <f t="shared" ref="B41:C41" si="19">AVERAGE(B4:B37)</f>
        <v>1021346.0689655172</v>
      </c>
      <c r="C41" s="63">
        <f t="shared" si="19"/>
        <v>1233267.3793103448</v>
      </c>
      <c r="D41" s="64">
        <f>(C41-B41)/B41</f>
        <v>0.20749216821236183</v>
      </c>
      <c r="E41" s="63">
        <f t="shared" ref="E41:F41" si="20">AVERAGE(E4:E37)</f>
        <v>151251.9198083989</v>
      </c>
      <c r="F41" s="63">
        <f t="shared" si="20"/>
        <v>123703.9023734073</v>
      </c>
      <c r="G41" s="64"/>
      <c r="H41" s="63">
        <f t="shared" ref="H41:I41" si="21">AVERAGE(H4:H37)</f>
        <v>88903.026666666658</v>
      </c>
      <c r="I41" s="63">
        <f t="shared" si="21"/>
        <v>91010.7</v>
      </c>
      <c r="J41" s="64">
        <f>(I41-H41)/H41</f>
        <v>2.3707554313486513E-2</v>
      </c>
      <c r="K41" s="64"/>
      <c r="L41" s="63"/>
      <c r="M41" s="64"/>
      <c r="N41" s="63"/>
      <c r="O41" s="64"/>
      <c r="P41" s="64"/>
      <c r="Q41" s="65"/>
      <c r="R41" s="65"/>
      <c r="S41" s="65"/>
      <c r="T41" s="65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</row>
    <row r="42" spans="1:37" ht="13.5" customHeight="1" x14ac:dyDescent="0.2">
      <c r="A42" s="62" t="s">
        <v>46</v>
      </c>
      <c r="B42" s="63">
        <f t="shared" ref="B42:P42" si="22">MEDIAN(B4:B37)</f>
        <v>312192</v>
      </c>
      <c r="C42" s="63">
        <f t="shared" si="22"/>
        <v>386502</v>
      </c>
      <c r="D42" s="64">
        <f t="shared" si="22"/>
        <v>0.27903981926009602</v>
      </c>
      <c r="E42" s="63">
        <f t="shared" si="22"/>
        <v>67500.5</v>
      </c>
      <c r="F42" s="63">
        <f t="shared" si="22"/>
        <v>67187</v>
      </c>
      <c r="G42" s="64">
        <f t="shared" si="22"/>
        <v>-8.1681009374756933E-2</v>
      </c>
      <c r="H42" s="63">
        <f t="shared" si="22"/>
        <v>16676</v>
      </c>
      <c r="I42" s="63">
        <f t="shared" si="22"/>
        <v>24156.5</v>
      </c>
      <c r="J42" s="64">
        <f t="shared" si="22"/>
        <v>-5.4344267661886993E-3</v>
      </c>
      <c r="K42" s="64">
        <f t="shared" si="22"/>
        <v>0.6</v>
      </c>
      <c r="L42" s="63">
        <f t="shared" si="22"/>
        <v>154</v>
      </c>
      <c r="M42" s="64">
        <f t="shared" si="22"/>
        <v>-0.30078583962767985</v>
      </c>
      <c r="N42" s="63">
        <f t="shared" si="22"/>
        <v>91.5</v>
      </c>
      <c r="O42" s="64">
        <f t="shared" si="22"/>
        <v>-0.27575549450549453</v>
      </c>
      <c r="P42" s="64">
        <f t="shared" si="22"/>
        <v>0.66</v>
      </c>
      <c r="Q42" s="65"/>
      <c r="R42" s="65"/>
      <c r="S42" s="65"/>
      <c r="T42" s="65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</row>
    <row r="43" spans="1:37" ht="13.5" customHeight="1" x14ac:dyDescent="0.2">
      <c r="A43" s="62" t="s">
        <v>50</v>
      </c>
      <c r="B43" s="57">
        <f t="shared" ref="B43:C43" si="23">SUM(B4:B37)</f>
        <v>29619036</v>
      </c>
      <c r="C43" s="63">
        <f t="shared" si="23"/>
        <v>35764754</v>
      </c>
      <c r="D43" s="64">
        <f>(C43-B43)/B43</f>
        <v>0.2074921682123618</v>
      </c>
      <c r="E43" s="63">
        <f t="shared" ref="E43:F43" si="24">SUM(E4:E37)</f>
        <v>4235053.7546351692</v>
      </c>
      <c r="F43" s="63">
        <f t="shared" si="24"/>
        <v>3463709.2664554045</v>
      </c>
      <c r="G43" s="64">
        <f>(F43-E43)/E43</f>
        <v>-0.18213334065371564</v>
      </c>
      <c r="H43" s="63">
        <f t="shared" ref="H43:I43" si="25">SUM(H4:H37)</f>
        <v>2667090.7999999998</v>
      </c>
      <c r="I43" s="63">
        <f t="shared" si="25"/>
        <v>2730321</v>
      </c>
      <c r="J43" s="64">
        <f>(I43-H43)/H43</f>
        <v>2.370755431348651E-2</v>
      </c>
      <c r="K43" s="63"/>
      <c r="L43" s="65"/>
      <c r="M43" s="65"/>
      <c r="N43" s="65"/>
      <c r="O43" s="65"/>
      <c r="P43" s="65"/>
      <c r="Q43" s="65"/>
      <c r="R43" s="65"/>
      <c r="S43" s="65"/>
      <c r="T43" s="65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</row>
    <row r="44" spans="1:37" ht="13.5" customHeight="1" x14ac:dyDescent="0.2">
      <c r="A44" s="65"/>
      <c r="B44" s="57"/>
      <c r="C44" s="65"/>
      <c r="D44" s="65"/>
      <c r="E44" s="57"/>
      <c r="F44" s="57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</row>
    <row r="45" spans="1:37" ht="15.75" customHeight="1" x14ac:dyDescent="0.2">
      <c r="A45" s="74" t="s">
        <v>102</v>
      </c>
      <c r="B45" s="73"/>
      <c r="C45" s="73"/>
      <c r="D45" s="73"/>
      <c r="E45" s="73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6"/>
      <c r="AH45" s="66"/>
      <c r="AI45" s="66"/>
      <c r="AJ45" s="66"/>
      <c r="AK45" s="66"/>
    </row>
    <row r="46" spans="1:37" ht="13.5" customHeight="1" x14ac:dyDescent="0.2">
      <c r="A46" s="62" t="s">
        <v>35</v>
      </c>
      <c r="B46" s="63">
        <f t="shared" ref="B46:F46" si="26">AVERAGE(B4:B9,B11:B12,B14:B15)</f>
        <v>281761.40000000002</v>
      </c>
      <c r="C46" s="63">
        <f t="shared" si="26"/>
        <v>373667.8</v>
      </c>
      <c r="D46" s="64">
        <f t="shared" si="26"/>
        <v>0.38040896363479015</v>
      </c>
      <c r="E46" s="63">
        <f t="shared" si="26"/>
        <v>69898.211463516913</v>
      </c>
      <c r="F46" s="63">
        <f t="shared" si="26"/>
        <v>59805.650645540445</v>
      </c>
      <c r="G46" s="64"/>
      <c r="H46" s="63">
        <f t="shared" ref="H46:I46" si="27">AVERAGE(H4:H9,H11:H12,H14:H15)</f>
        <v>30838.78</v>
      </c>
      <c r="I46" s="63">
        <f t="shared" si="27"/>
        <v>32349.4</v>
      </c>
      <c r="J46" s="32">
        <f>(I46-H46)/H46</f>
        <v>4.8984428048061648E-2</v>
      </c>
      <c r="K46" s="64"/>
      <c r="L46" s="63"/>
      <c r="M46" s="64"/>
      <c r="N46" s="63"/>
      <c r="O46" s="64"/>
      <c r="P46" s="64"/>
      <c r="Q46" s="65"/>
      <c r="R46" s="65"/>
      <c r="S46" s="65"/>
      <c r="T46" s="65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</row>
    <row r="47" spans="1:37" ht="13.5" customHeight="1" x14ac:dyDescent="0.2">
      <c r="A47" s="62" t="s">
        <v>46</v>
      </c>
      <c r="B47" s="63">
        <f t="shared" ref="B47:F47" si="28">MEDIAN(B4:B9,B11:B12,B14:B15)</f>
        <v>197346.5</v>
      </c>
      <c r="C47" s="63">
        <f t="shared" si="28"/>
        <v>250541</v>
      </c>
      <c r="D47" s="64">
        <f t="shared" si="28"/>
        <v>0.37310374379527739</v>
      </c>
      <c r="E47" s="63">
        <f t="shared" si="28"/>
        <v>44927</v>
      </c>
      <c r="F47" s="63">
        <f t="shared" si="28"/>
        <v>40939.5</v>
      </c>
      <c r="G47" s="64">
        <f t="shared" ref="G47:G48" si="29">(F47-E47)/E47</f>
        <v>-8.875509159302869E-2</v>
      </c>
      <c r="H47" s="63">
        <f t="shared" ref="H47:P47" si="30">MEDIAN(H4:H9,H11:H12,H14:H15)</f>
        <v>12144</v>
      </c>
      <c r="I47" s="63">
        <f t="shared" si="30"/>
        <v>16283.5</v>
      </c>
      <c r="J47" s="64">
        <f t="shared" si="30"/>
        <v>-5.4344267661886993E-3</v>
      </c>
      <c r="K47" s="64">
        <f t="shared" si="30"/>
        <v>0.6</v>
      </c>
      <c r="L47" s="41">
        <f t="shared" si="30"/>
        <v>149</v>
      </c>
      <c r="M47" s="64">
        <f t="shared" si="30"/>
        <v>-0.33420814479638006</v>
      </c>
      <c r="N47" s="41">
        <f t="shared" si="30"/>
        <v>79.5</v>
      </c>
      <c r="O47" s="64">
        <f t="shared" si="30"/>
        <v>-0.3304203821656051</v>
      </c>
      <c r="P47" s="64">
        <f t="shared" si="30"/>
        <v>0.61499999999999999</v>
      </c>
      <c r="Q47" s="65"/>
      <c r="R47" s="65"/>
      <c r="S47" s="65"/>
      <c r="T47" s="65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</row>
    <row r="48" spans="1:37" ht="13.5" customHeight="1" x14ac:dyDescent="0.2">
      <c r="A48" s="62" t="s">
        <v>50</v>
      </c>
      <c r="B48" s="57">
        <f t="shared" ref="B48:C48" si="31">SUM(B4:B9,B11:B12,B14:B15)</f>
        <v>2817614</v>
      </c>
      <c r="C48" s="57">
        <f t="shared" si="31"/>
        <v>3736678</v>
      </c>
      <c r="D48" s="64">
        <f>(C48-B48)/B48</f>
        <v>0.32618520492870917</v>
      </c>
      <c r="E48" s="57">
        <f t="shared" ref="E48:F48" si="32">SUM(E4:E9,E11:E12,E14:E15)</f>
        <v>698982.11463516916</v>
      </c>
      <c r="F48" s="57">
        <f t="shared" si="32"/>
        <v>598056.50645540445</v>
      </c>
      <c r="G48" s="64">
        <f t="shared" si="29"/>
        <v>-0.14438940005273584</v>
      </c>
      <c r="H48" s="57">
        <f t="shared" ref="H48:I48" si="33">SUM(H4:H9,H11:H12,H14:H15)</f>
        <v>308387.8</v>
      </c>
      <c r="I48" s="57">
        <f t="shared" si="33"/>
        <v>323494</v>
      </c>
      <c r="J48" s="64">
        <f>(I48-H48)/H48</f>
        <v>4.8984428048061607E-2</v>
      </c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</row>
    <row r="49" spans="1:37" ht="13.5" customHeight="1" x14ac:dyDescent="0.2">
      <c r="A49" s="62"/>
      <c r="B49" s="57"/>
      <c r="C49" s="65"/>
      <c r="D49" s="65"/>
      <c r="E49" s="57"/>
      <c r="F49" s="57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</row>
    <row r="50" spans="1:37" ht="15.75" customHeight="1" x14ac:dyDescent="0.2">
      <c r="A50" s="67" t="s">
        <v>103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</row>
    <row r="51" spans="1:37" ht="13.5" customHeight="1" x14ac:dyDescent="0.2">
      <c r="A51" s="62" t="s">
        <v>35</v>
      </c>
      <c r="B51" s="63">
        <f t="shared" ref="B51:F51" si="34">AVERAGE(B18:B28,B30:B35,B37)</f>
        <v>877934.11111111112</v>
      </c>
      <c r="C51" s="63">
        <f t="shared" si="34"/>
        <v>1071613.9444444445</v>
      </c>
      <c r="D51" s="64">
        <f t="shared" si="34"/>
        <v>0.39483786848425556</v>
      </c>
      <c r="E51" s="63">
        <f t="shared" si="34"/>
        <v>196448.42444444445</v>
      </c>
      <c r="F51" s="63">
        <f t="shared" si="34"/>
        <v>159202.9311111111</v>
      </c>
      <c r="G51" s="64"/>
      <c r="H51" s="63">
        <f t="shared" ref="H51:I51" si="35">AVERAGE(H18:H28,H30:H35,H37)</f>
        <v>73255.666666666672</v>
      </c>
      <c r="I51" s="63">
        <f t="shared" si="35"/>
        <v>73720.388888888891</v>
      </c>
      <c r="J51" s="32">
        <f>(I51-H51)/H51</f>
        <v>6.343839915304194E-3</v>
      </c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</row>
    <row r="52" spans="1:37" ht="13.5" customHeight="1" x14ac:dyDescent="0.2">
      <c r="A52" s="62" t="s">
        <v>46</v>
      </c>
      <c r="B52" s="63">
        <f t="shared" ref="B52:F52" si="36">MEDIAN(B18:B28,B30:B35,B37)</f>
        <v>443100.5</v>
      </c>
      <c r="C52" s="63">
        <f t="shared" si="36"/>
        <v>490199</v>
      </c>
      <c r="D52" s="64">
        <f t="shared" si="36"/>
        <v>0.18088855517166968</v>
      </c>
      <c r="E52" s="63">
        <f t="shared" si="36"/>
        <v>75771</v>
      </c>
      <c r="F52" s="63">
        <f t="shared" si="36"/>
        <v>76400.02</v>
      </c>
      <c r="G52" s="64">
        <f t="shared" ref="G52:G53" si="37">(F52-E52)/E52</f>
        <v>8.3015929577279438E-3</v>
      </c>
      <c r="H52" s="63">
        <f t="shared" ref="H52:P52" si="38">MEDIAN(H18:H28,H30:H35,H37)</f>
        <v>40429</v>
      </c>
      <c r="I52" s="63">
        <f t="shared" si="38"/>
        <v>39362.5</v>
      </c>
      <c r="J52" s="64">
        <f t="shared" si="38"/>
        <v>3.3770180318492323E-4</v>
      </c>
      <c r="K52" s="64">
        <f t="shared" si="38"/>
        <v>0.63500000000000001</v>
      </c>
      <c r="L52" s="63">
        <f t="shared" si="38"/>
        <v>158.5</v>
      </c>
      <c r="M52" s="64">
        <f t="shared" si="38"/>
        <v>-0.23973071656777728</v>
      </c>
      <c r="N52" s="63">
        <f t="shared" si="38"/>
        <v>102</v>
      </c>
      <c r="O52" s="64">
        <f t="shared" si="38"/>
        <v>-0.23928571428571427</v>
      </c>
      <c r="P52" s="64">
        <f t="shared" si="38"/>
        <v>0.67500000000000004</v>
      </c>
      <c r="Q52" s="65"/>
      <c r="R52" s="65"/>
      <c r="S52" s="65"/>
      <c r="T52" s="65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</row>
    <row r="53" spans="1:37" ht="13.5" customHeight="1" x14ac:dyDescent="0.2">
      <c r="A53" s="62" t="s">
        <v>50</v>
      </c>
      <c r="B53" s="57">
        <f t="shared" ref="B53:C53" si="39">SUM(B18:B28,B30:B35,B37)</f>
        <v>15802814</v>
      </c>
      <c r="C53" s="57">
        <f t="shared" si="39"/>
        <v>19289051</v>
      </c>
      <c r="D53" s="64">
        <f>(C53-B53)/B53</f>
        <v>0.22060862071780379</v>
      </c>
      <c r="E53" s="57">
        <f t="shared" ref="E53:F53" si="40">SUM(E18:E28,E30:E35,E37)</f>
        <v>3536071.64</v>
      </c>
      <c r="F53" s="57">
        <f t="shared" si="40"/>
        <v>2865652.76</v>
      </c>
      <c r="G53" s="64">
        <f t="shared" si="37"/>
        <v>-0.18959425833352186</v>
      </c>
      <c r="H53" s="57">
        <f t="shared" ref="H53:I53" si="41">SUM(H18:H28,H30:H35,H37)</f>
        <v>1318602</v>
      </c>
      <c r="I53" s="57">
        <f t="shared" si="41"/>
        <v>1326967</v>
      </c>
      <c r="J53" s="64">
        <f>(I53-H53)/H53</f>
        <v>6.3438399153042391E-3</v>
      </c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</row>
    <row r="54" spans="1:37" ht="13.5" customHeight="1" x14ac:dyDescent="0.2">
      <c r="A54" s="62"/>
      <c r="B54" s="57"/>
      <c r="C54" s="65"/>
      <c r="D54" s="65"/>
      <c r="E54" s="57"/>
      <c r="F54" s="57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</row>
    <row r="55" spans="1:37" ht="13.5" customHeight="1" x14ac:dyDescent="0.2">
      <c r="A55" s="62"/>
      <c r="B55" s="57"/>
      <c r="C55" s="65"/>
      <c r="D55" s="65"/>
      <c r="E55" s="57"/>
      <c r="F55" s="57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</row>
    <row r="56" spans="1:37" ht="15.75" customHeight="1" x14ac:dyDescent="0.2">
      <c r="A56" s="67" t="s">
        <v>104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6"/>
      <c r="AK56" s="66"/>
    </row>
    <row r="57" spans="1:37" ht="13.5" customHeight="1" x14ac:dyDescent="0.2">
      <c r="A57" s="62" t="s">
        <v>35</v>
      </c>
      <c r="B57" s="57">
        <f t="shared" ref="B57:F57" si="42">AVERAGE(B6,B24,B33:B35,B37)</f>
        <v>2183081</v>
      </c>
      <c r="C57" s="57">
        <f t="shared" si="42"/>
        <v>2609501.8333333335</v>
      </c>
      <c r="D57" s="64">
        <f t="shared" si="42"/>
        <v>0.24889761684838974</v>
      </c>
      <c r="E57" s="57">
        <f t="shared" si="42"/>
        <v>490175.24333333335</v>
      </c>
      <c r="F57" s="57">
        <f t="shared" si="42"/>
        <v>373520.16666666669</v>
      </c>
      <c r="G57" s="64"/>
      <c r="H57" s="57">
        <f t="shared" ref="H57:I57" si="43">AVERAGE(H6,H24,H33:H35,H37)</f>
        <v>188968.5</v>
      </c>
      <c r="I57" s="57">
        <f t="shared" si="43"/>
        <v>160975.33333333334</v>
      </c>
      <c r="J57" s="32">
        <f>(I57-H57)/H57</f>
        <v>-0.14813668239239164</v>
      </c>
      <c r="K57" s="65"/>
      <c r="L57" s="65"/>
      <c r="M57" s="64"/>
      <c r="N57" s="65"/>
      <c r="O57" s="69"/>
      <c r="P57" s="69"/>
      <c r="Q57" s="65"/>
      <c r="R57" s="65"/>
      <c r="S57" s="65"/>
      <c r="T57" s="65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</row>
    <row r="58" spans="1:37" ht="13.5" customHeight="1" x14ac:dyDescent="0.2">
      <c r="A58" s="62" t="s">
        <v>46</v>
      </c>
      <c r="B58" s="57">
        <f t="shared" ref="B58:F58" si="44">MEDIAN(B6,B24,B33:B35,B37)</f>
        <v>2089364.5</v>
      </c>
      <c r="C58" s="57">
        <f t="shared" si="44"/>
        <v>2747478</v>
      </c>
      <c r="D58" s="64">
        <f t="shared" si="44"/>
        <v>0.15438532552772974</v>
      </c>
      <c r="E58" s="57">
        <f t="shared" si="44"/>
        <v>491784</v>
      </c>
      <c r="F58" s="57">
        <f t="shared" si="44"/>
        <v>375800</v>
      </c>
      <c r="G58" s="64">
        <f t="shared" ref="G58:G59" si="45">(F58-E58)/E58</f>
        <v>-0.23584337839376637</v>
      </c>
      <c r="H58" s="57">
        <f t="shared" ref="H58:P58" si="46">MEDIAN(H6,H24,H33:H35,H37)</f>
        <v>180670.5</v>
      </c>
      <c r="I58" s="57">
        <f t="shared" si="46"/>
        <v>196027</v>
      </c>
      <c r="J58" s="64">
        <f t="shared" si="46"/>
        <v>-0.11053904073292656</v>
      </c>
      <c r="K58" s="64">
        <f t="shared" si="46"/>
        <v>0.53</v>
      </c>
      <c r="L58" s="57">
        <f t="shared" si="46"/>
        <v>133.5</v>
      </c>
      <c r="M58" s="64">
        <f t="shared" si="46"/>
        <v>-0.3531072273651874</v>
      </c>
      <c r="N58" s="57">
        <f t="shared" si="46"/>
        <v>84</v>
      </c>
      <c r="O58" s="64">
        <f t="shared" si="46"/>
        <v>-0.33333333333333331</v>
      </c>
      <c r="P58" s="64">
        <f t="shared" si="46"/>
        <v>0.61</v>
      </c>
      <c r="Q58" s="65"/>
      <c r="R58" s="65"/>
      <c r="S58" s="65"/>
      <c r="T58" s="65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</row>
    <row r="59" spans="1:37" ht="13.5" customHeight="1" x14ac:dyDescent="0.2">
      <c r="A59" s="62" t="s">
        <v>50</v>
      </c>
      <c r="B59" s="57">
        <f t="shared" ref="B59:C59" si="47">SUM(B6,B24,B33:B35,B37)</f>
        <v>13098486</v>
      </c>
      <c r="C59" s="57">
        <f t="shared" si="47"/>
        <v>15657011</v>
      </c>
      <c r="D59" s="64">
        <f>(C59-B59)/B59</f>
        <v>0.19532982666851725</v>
      </c>
      <c r="E59" s="57">
        <f t="shared" ref="E59:F59" si="48">SUM(E6,E24,E33:E35,E37)</f>
        <v>2941051.46</v>
      </c>
      <c r="F59" s="57">
        <f t="shared" si="48"/>
        <v>2241121</v>
      </c>
      <c r="G59" s="64">
        <f t="shared" si="45"/>
        <v>-0.23798647168179776</v>
      </c>
      <c r="H59" s="57">
        <f t="shared" ref="H59:I59" si="49">SUM(H6,H24,H33:H35,H37)</f>
        <v>1133811</v>
      </c>
      <c r="I59" s="57">
        <f t="shared" si="49"/>
        <v>965852</v>
      </c>
      <c r="J59" s="64">
        <f>(I59-H59)/H59</f>
        <v>-0.14813668239239167</v>
      </c>
      <c r="K59" s="65"/>
      <c r="L59" s="65"/>
      <c r="M59" s="64"/>
      <c r="N59" s="65"/>
      <c r="O59" s="69"/>
      <c r="P59" s="69"/>
      <c r="Q59" s="65"/>
      <c r="R59" s="65"/>
      <c r="S59" s="65"/>
      <c r="T59" s="65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</row>
    <row r="60" spans="1:37" ht="13.5" customHeight="1" x14ac:dyDescent="0.2">
      <c r="A60" s="62"/>
      <c r="B60" s="70"/>
      <c r="C60" s="65"/>
      <c r="D60" s="64"/>
      <c r="E60" s="57"/>
      <c r="F60" s="57"/>
      <c r="G60" s="64"/>
      <c r="H60" s="65"/>
      <c r="I60" s="65"/>
      <c r="J60" s="65"/>
      <c r="K60" s="65"/>
      <c r="L60" s="65"/>
      <c r="M60" s="64"/>
      <c r="N60" s="65"/>
      <c r="O60" s="69"/>
      <c r="P60" s="69"/>
      <c r="Q60" s="65"/>
      <c r="R60" s="65"/>
      <c r="S60" s="65"/>
      <c r="T60" s="65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</row>
    <row r="61" spans="1:37" ht="15.75" customHeight="1" x14ac:dyDescent="0.2">
      <c r="A61" s="67" t="s">
        <v>105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6"/>
      <c r="AK61" s="66"/>
    </row>
    <row r="62" spans="1:37" ht="13.5" customHeight="1" x14ac:dyDescent="0.2">
      <c r="A62" s="62" t="s">
        <v>35</v>
      </c>
      <c r="B62" s="57">
        <f t="shared" ref="B62:F62" si="50">AVERAGE(B4,B5,B7,B9,B11,B14,B19,B20,B21,B22,B23,B26,B27,B28,B30,B31,B32)</f>
        <v>311761.5294117647</v>
      </c>
      <c r="C62" s="57">
        <f t="shared" si="50"/>
        <v>412161.4705882353</v>
      </c>
      <c r="D62" s="64">
        <f t="shared" si="50"/>
        <v>0.36582118376066353</v>
      </c>
      <c r="E62" s="57">
        <f t="shared" si="50"/>
        <v>72832.441449127597</v>
      </c>
      <c r="F62" s="57">
        <f t="shared" si="50"/>
        <v>67937.796850317915</v>
      </c>
      <c r="G62" s="64"/>
      <c r="H62" s="57">
        <f t="shared" ref="H62:I62" si="51">AVERAGE(H4,H5,H7,H9,H11,H14,H19,H20,H21,H22,H23,H26,H27,H28,H30,H31,H32)</f>
        <v>26542.823529411766</v>
      </c>
      <c r="I62" s="57">
        <f t="shared" si="51"/>
        <v>36981.470588235294</v>
      </c>
      <c r="J62" s="32">
        <f>(I62-H62)/H62</f>
        <v>0.39327568324660694</v>
      </c>
      <c r="K62" s="64"/>
      <c r="L62" s="64"/>
      <c r="M62" s="64"/>
      <c r="N62" s="65"/>
      <c r="O62" s="65"/>
      <c r="P62" s="65"/>
      <c r="Q62" s="65"/>
      <c r="R62" s="65"/>
      <c r="S62" s="65"/>
      <c r="T62" s="65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</row>
    <row r="63" spans="1:37" ht="13.5" customHeight="1" x14ac:dyDescent="0.2">
      <c r="A63" s="62" t="s">
        <v>46</v>
      </c>
      <c r="B63" s="57">
        <f t="shared" ref="B63:F63" si="52">MEDIAN(B4,B5,B7,B9,B11,B14,B19,B20,B21,B22,B23,B26,B27,B28,B30,B31,B32)</f>
        <v>276393</v>
      </c>
      <c r="C63" s="57">
        <f t="shared" si="52"/>
        <v>364982</v>
      </c>
      <c r="D63" s="64">
        <f t="shared" si="52"/>
        <v>0.27903981926009602</v>
      </c>
      <c r="E63" s="57">
        <f t="shared" si="52"/>
        <v>66612</v>
      </c>
      <c r="F63" s="57">
        <f t="shared" si="52"/>
        <v>66871</v>
      </c>
      <c r="G63" s="64">
        <f t="shared" ref="G63:G64" si="53">(F63-E63)/E63</f>
        <v>3.8881883144178228E-3</v>
      </c>
      <c r="H63" s="57">
        <f t="shared" ref="H63:P63" si="54">MEDIAN(H4,H5,H7,H9,H11,H14,H19,H20,H21,H22,H23,H26,H27,H28,H30,H31,H32)</f>
        <v>15933</v>
      </c>
      <c r="I63" s="57">
        <f t="shared" si="54"/>
        <v>28670</v>
      </c>
      <c r="J63" s="64">
        <f t="shared" si="54"/>
        <v>-6.2262037054764512E-3</v>
      </c>
      <c r="K63" s="64">
        <f t="shared" si="54"/>
        <v>0.69</v>
      </c>
      <c r="L63" s="57">
        <f t="shared" si="54"/>
        <v>163</v>
      </c>
      <c r="M63" s="64">
        <f t="shared" si="54"/>
        <v>-0.29961089494163423</v>
      </c>
      <c r="N63" s="57">
        <f t="shared" si="54"/>
        <v>106</v>
      </c>
      <c r="O63" s="64">
        <f t="shared" si="54"/>
        <v>-0.27575549450549453</v>
      </c>
      <c r="P63" s="64">
        <f t="shared" si="54"/>
        <v>0.68500000000000005</v>
      </c>
      <c r="Q63" s="65"/>
      <c r="R63" s="65"/>
      <c r="S63" s="65"/>
      <c r="T63" s="65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</row>
    <row r="64" spans="1:37" ht="13.5" customHeight="1" x14ac:dyDescent="0.2">
      <c r="A64" s="62" t="s">
        <v>50</v>
      </c>
      <c r="B64" s="57">
        <f t="shared" ref="B64:C64" si="55">SUM(B4,B5,B7,B9,B11,B14,B19,B20,B21,B22,B23,B26,B27,B28,B30,B31,B32)</f>
        <v>5299946</v>
      </c>
      <c r="C64" s="57">
        <f t="shared" si="55"/>
        <v>7006745</v>
      </c>
      <c r="D64" s="64">
        <f>(C64-B64)/B64</f>
        <v>0.32204082834051517</v>
      </c>
      <c r="E64" s="57">
        <f t="shared" ref="E64:F64" si="56">SUM(E4,E5,E7,E9,E11,E14,E19,E20,E21,E22,E23,E26,E27,E28,E30,E31,E32)</f>
        <v>1238151.5046351692</v>
      </c>
      <c r="F64" s="57">
        <f t="shared" si="56"/>
        <v>1154942.5464554045</v>
      </c>
      <c r="G64" s="64">
        <f t="shared" si="53"/>
        <v>-6.7204181288204171E-2</v>
      </c>
      <c r="H64" s="57">
        <f t="shared" ref="H64:I64" si="57">SUM(H4,H5,H7,H9,H11,H14,H19,H20,H21,H22,H23,H26,H27,H28,H30,H31,H32)</f>
        <v>451228</v>
      </c>
      <c r="I64" s="57">
        <f t="shared" si="57"/>
        <v>628685</v>
      </c>
      <c r="J64" s="64">
        <f>(I64-H64)/H64</f>
        <v>0.39327568324660706</v>
      </c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</row>
    <row r="65" spans="1:37" ht="13.5" customHeight="1" x14ac:dyDescent="0.2">
      <c r="A65" s="65"/>
      <c r="B65" s="57"/>
      <c r="C65" s="65"/>
      <c r="D65" s="65"/>
      <c r="E65" s="57"/>
      <c r="F65" s="57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</row>
    <row r="66" spans="1:37" ht="15.75" customHeight="1" x14ac:dyDescent="0.2">
      <c r="A66" s="67" t="s">
        <v>106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6"/>
      <c r="AK66" s="66"/>
    </row>
    <row r="67" spans="1:37" ht="13.5" customHeight="1" x14ac:dyDescent="0.2">
      <c r="A67" s="62" t="s">
        <v>35</v>
      </c>
      <c r="B67" s="57">
        <f t="shared" ref="B67:F67" si="58">AVERAGE(B8,B12,B15,B18,B25)</f>
        <v>44399.199999999997</v>
      </c>
      <c r="C67" s="57">
        <f t="shared" si="58"/>
        <v>72394.600000000006</v>
      </c>
      <c r="D67" s="64">
        <f t="shared" si="58"/>
        <v>0.63976508880857685</v>
      </c>
      <c r="E67" s="57">
        <f t="shared" si="58"/>
        <v>11170.158000000001</v>
      </c>
      <c r="F67" s="57">
        <f t="shared" si="58"/>
        <v>13529.144</v>
      </c>
      <c r="G67" s="64"/>
      <c r="H67" s="57">
        <f t="shared" ref="H67:I67" si="59">AVERAGE(H8,H12,H15,H18,H25)</f>
        <v>8390.16</v>
      </c>
      <c r="I67" s="57">
        <f t="shared" si="59"/>
        <v>11184.8</v>
      </c>
      <c r="J67" s="32">
        <f>(I67-H67)/H67</f>
        <v>0.33308542387749451</v>
      </c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</row>
    <row r="68" spans="1:37" ht="13.5" customHeight="1" x14ac:dyDescent="0.2">
      <c r="A68" s="62" t="s">
        <v>46</v>
      </c>
      <c r="B68" s="57">
        <f t="shared" ref="B68:F68" si="60">MEDIAN(B8,B12,B15,B18,B25)</f>
        <v>38591</v>
      </c>
      <c r="C68" s="57">
        <f t="shared" si="60"/>
        <v>80813</v>
      </c>
      <c r="D68" s="64">
        <f t="shared" si="60"/>
        <v>0.41626637375608638</v>
      </c>
      <c r="E68" s="57">
        <f t="shared" si="60"/>
        <v>8279</v>
      </c>
      <c r="F68" s="57">
        <f t="shared" si="60"/>
        <v>10979</v>
      </c>
      <c r="G68" s="64">
        <f t="shared" ref="G68:G69" si="61">(F68-E68)/E68</f>
        <v>0.32612634376132382</v>
      </c>
      <c r="H68" s="57">
        <f t="shared" ref="H68:P68" si="62">MEDIAN(H8,H12,H15,H18,H25)</f>
        <v>9549.7999999999993</v>
      </c>
      <c r="I68" s="57">
        <f t="shared" si="62"/>
        <v>10678</v>
      </c>
      <c r="J68" s="64">
        <f t="shared" si="62"/>
        <v>0.34085167809455069</v>
      </c>
      <c r="K68" s="64">
        <f t="shared" si="62"/>
        <v>0.61</v>
      </c>
      <c r="L68" s="57">
        <f t="shared" si="62"/>
        <v>154</v>
      </c>
      <c r="M68" s="64">
        <f t="shared" si="62"/>
        <v>-0.19834710743801653</v>
      </c>
      <c r="N68" s="57">
        <f t="shared" si="62"/>
        <v>81</v>
      </c>
      <c r="O68" s="64">
        <f t="shared" si="62"/>
        <v>-0.21505376344086022</v>
      </c>
      <c r="P68" s="64">
        <f t="shared" si="62"/>
        <v>0.67</v>
      </c>
      <c r="Q68" s="65"/>
      <c r="R68" s="65"/>
      <c r="S68" s="65"/>
      <c r="T68" s="65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</row>
    <row r="69" spans="1:37" ht="13.5" customHeight="1" x14ac:dyDescent="0.2">
      <c r="A69" s="62" t="s">
        <v>50</v>
      </c>
      <c r="B69" s="57">
        <f t="shared" ref="B69:C69" si="63">SUM(B4,B7,B8,B9,B12,B14,B15,B18,B19,B20,B21,B23,B25,B26,B27,B32)</f>
        <v>2439951</v>
      </c>
      <c r="C69" s="57">
        <f t="shared" si="63"/>
        <v>3163430</v>
      </c>
      <c r="D69" s="64">
        <f>(C69-B69)/B69</f>
        <v>0.29651374146448023</v>
      </c>
      <c r="E69" s="57">
        <f t="shared" ref="E69:F69" si="64">SUM(E4,E7,E8,E9,E12,E14,E15,E18,E19,E20,E21,E23,E25,E26,E27,E32)</f>
        <v>586248.60463516915</v>
      </c>
      <c r="F69" s="57">
        <f t="shared" si="64"/>
        <v>605852.26645540446</v>
      </c>
      <c r="G69" s="64">
        <f t="shared" si="61"/>
        <v>3.3439161586465441E-2</v>
      </c>
      <c r="H69" s="57">
        <f t="shared" ref="H69:I69" si="65">SUM(H4,H7,H8,H9,H12,H14,H15,H18,H19,H20,H21,H23,H25,H26,H27,H32)</f>
        <v>313845.8</v>
      </c>
      <c r="I69" s="57">
        <f t="shared" si="65"/>
        <v>413125</v>
      </c>
      <c r="J69" s="64">
        <f>(I69-H69)/H69</f>
        <v>0.31633114096158055</v>
      </c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</row>
    <row r="70" spans="1:37" ht="13.5" customHeight="1" x14ac:dyDescent="0.2">
      <c r="A70" s="65"/>
      <c r="B70" s="57"/>
      <c r="C70" s="65"/>
      <c r="D70" s="65"/>
      <c r="E70" s="57"/>
      <c r="F70" s="57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</row>
    <row r="71" spans="1:37" ht="13.5" customHeight="1" x14ac:dyDescent="0.2">
      <c r="A71" s="65"/>
      <c r="B71" s="57"/>
      <c r="C71" s="65"/>
      <c r="D71" s="65"/>
      <c r="E71" s="57"/>
      <c r="F71" s="57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</row>
    <row r="72" spans="1:37" ht="13.5" customHeight="1" x14ac:dyDescent="0.2">
      <c r="A72" s="65"/>
      <c r="B72" s="57"/>
      <c r="C72" s="65"/>
      <c r="D72" s="65"/>
      <c r="E72" s="57"/>
      <c r="F72" s="57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</row>
    <row r="73" spans="1:37" ht="13.5" customHeight="1" x14ac:dyDescent="0.2">
      <c r="A73" s="65"/>
      <c r="B73" s="57"/>
      <c r="C73" s="65"/>
      <c r="D73" s="65"/>
      <c r="E73" s="57"/>
      <c r="F73" s="57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</row>
    <row r="74" spans="1:37" ht="13.5" customHeight="1" x14ac:dyDescent="0.2">
      <c r="A74" s="21"/>
      <c r="B74" s="16"/>
      <c r="C74" s="44"/>
      <c r="D74" s="44"/>
      <c r="E74" s="16"/>
      <c r="F74" s="16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</row>
    <row r="75" spans="1:37" ht="13.5" customHeight="1" x14ac:dyDescent="0.2">
      <c r="A75" s="21"/>
      <c r="B75" s="16"/>
      <c r="C75" s="44"/>
      <c r="D75" s="44"/>
      <c r="E75" s="16"/>
      <c r="F75" s="16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</row>
    <row r="76" spans="1:37" ht="13.5" customHeight="1" x14ac:dyDescent="0.2">
      <c r="A76" s="21"/>
      <c r="B76" s="16"/>
      <c r="C76" s="44"/>
      <c r="D76" s="44"/>
      <c r="E76" s="16"/>
      <c r="F76" s="16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 spans="1:37" ht="13.5" customHeight="1" x14ac:dyDescent="0.2">
      <c r="A77" s="21"/>
      <c r="B77" s="16"/>
      <c r="C77" s="44"/>
      <c r="D77" s="44"/>
      <c r="E77" s="16"/>
      <c r="F77" s="16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 spans="1:37" ht="13.5" customHeight="1" x14ac:dyDescent="0.2">
      <c r="A78" s="21"/>
      <c r="B78" s="16"/>
      <c r="C78" s="44"/>
      <c r="D78" s="44"/>
      <c r="E78" s="16"/>
      <c r="F78" s="16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 spans="1:37" ht="13.5" customHeight="1" x14ac:dyDescent="0.2">
      <c r="A79" s="21"/>
      <c r="B79" s="16"/>
      <c r="C79" s="44"/>
      <c r="D79" s="44"/>
      <c r="E79" s="16"/>
      <c r="F79" s="16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</row>
    <row r="80" spans="1:37" ht="13.5" customHeight="1" x14ac:dyDescent="0.2">
      <c r="A80" s="21"/>
      <c r="B80" s="16"/>
      <c r="C80" s="44"/>
      <c r="D80" s="44"/>
      <c r="E80" s="16"/>
      <c r="F80" s="16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</row>
    <row r="81" spans="1:20" ht="13.5" customHeight="1" x14ac:dyDescent="0.2">
      <c r="A81" s="21"/>
      <c r="B81" s="16"/>
      <c r="C81" s="44"/>
      <c r="D81" s="44"/>
      <c r="E81" s="16"/>
      <c r="F81" s="16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</row>
    <row r="82" spans="1:20" ht="13.5" customHeight="1" x14ac:dyDescent="0.2">
      <c r="A82" s="21"/>
      <c r="B82" s="16"/>
      <c r="C82" s="44"/>
      <c r="D82" s="44"/>
      <c r="E82" s="16"/>
      <c r="F82" s="16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  <row r="83" spans="1:20" ht="13.5" customHeight="1" x14ac:dyDescent="0.2">
      <c r="A83" s="21"/>
      <c r="B83" s="16"/>
      <c r="C83" s="44"/>
      <c r="D83" s="44"/>
      <c r="E83" s="16"/>
      <c r="F83" s="16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</row>
    <row r="84" spans="1:20" ht="13.5" customHeight="1" x14ac:dyDescent="0.2">
      <c r="A84" s="21"/>
      <c r="B84" s="16"/>
      <c r="C84" s="44"/>
      <c r="D84" s="44"/>
      <c r="E84" s="16"/>
      <c r="F84" s="16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</row>
    <row r="85" spans="1:20" ht="13.5" customHeight="1" x14ac:dyDescent="0.2">
      <c r="A85" s="21"/>
      <c r="B85" s="16"/>
      <c r="C85" s="44"/>
      <c r="D85" s="44"/>
      <c r="E85" s="16"/>
      <c r="F85" s="16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</row>
    <row r="86" spans="1:20" ht="13.5" customHeight="1" x14ac:dyDescent="0.2">
      <c r="A86" s="21"/>
      <c r="B86" s="16"/>
      <c r="C86" s="44"/>
      <c r="D86" s="44"/>
      <c r="E86" s="16"/>
      <c r="F86" s="16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</row>
    <row r="87" spans="1:20" ht="13.5" customHeight="1" x14ac:dyDescent="0.2">
      <c r="A87" s="21"/>
      <c r="B87" s="16"/>
      <c r="C87" s="44"/>
      <c r="D87" s="44"/>
      <c r="E87" s="16"/>
      <c r="F87" s="16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</row>
    <row r="88" spans="1:20" ht="13.5" customHeight="1" x14ac:dyDescent="0.2">
      <c r="A88" s="21"/>
      <c r="B88" s="16"/>
      <c r="C88" s="44"/>
      <c r="D88" s="44"/>
      <c r="E88" s="16"/>
      <c r="F88" s="16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</row>
    <row r="89" spans="1:20" ht="13.5" customHeight="1" x14ac:dyDescent="0.2">
      <c r="A89" s="21"/>
      <c r="B89" s="16"/>
      <c r="C89" s="44"/>
      <c r="D89" s="44"/>
      <c r="E89" s="16"/>
      <c r="F89" s="16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</row>
    <row r="90" spans="1:20" ht="13.5" customHeight="1" x14ac:dyDescent="0.2">
      <c r="A90" s="21"/>
      <c r="B90" s="16"/>
      <c r="C90" s="44"/>
      <c r="D90" s="44"/>
      <c r="E90" s="16"/>
      <c r="F90" s="16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</row>
    <row r="91" spans="1:20" ht="13.5" customHeight="1" x14ac:dyDescent="0.2">
      <c r="A91" s="21"/>
      <c r="B91" s="16"/>
      <c r="C91" s="44"/>
      <c r="D91" s="44"/>
      <c r="E91" s="16"/>
      <c r="F91" s="16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</row>
    <row r="92" spans="1:20" ht="13.5" customHeight="1" x14ac:dyDescent="0.2">
      <c r="A92" s="21"/>
      <c r="B92" s="16"/>
      <c r="C92" s="44"/>
      <c r="D92" s="44"/>
      <c r="E92" s="16"/>
      <c r="F92" s="16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</row>
    <row r="93" spans="1:20" ht="13.5" customHeight="1" x14ac:dyDescent="0.2">
      <c r="A93" s="21"/>
      <c r="B93" s="16"/>
      <c r="C93" s="44"/>
      <c r="D93" s="44"/>
      <c r="E93" s="16"/>
      <c r="F93" s="16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</row>
    <row r="94" spans="1:20" ht="13.5" customHeight="1" x14ac:dyDescent="0.2">
      <c r="A94" s="21"/>
      <c r="B94" s="16"/>
      <c r="C94" s="44"/>
      <c r="D94" s="44"/>
      <c r="E94" s="16"/>
      <c r="F94" s="16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</row>
    <row r="95" spans="1:20" ht="13.5" customHeight="1" x14ac:dyDescent="0.2">
      <c r="A95" s="21"/>
      <c r="B95" s="16"/>
      <c r="C95" s="44"/>
      <c r="D95" s="44"/>
      <c r="E95" s="16"/>
      <c r="F95" s="16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</row>
    <row r="96" spans="1:20" ht="13.5" customHeight="1" x14ac:dyDescent="0.2">
      <c r="A96" s="21"/>
      <c r="B96" s="16"/>
      <c r="C96" s="44"/>
      <c r="D96" s="44"/>
      <c r="E96" s="16"/>
      <c r="F96" s="16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</row>
    <row r="97" spans="1:20" ht="13.5" customHeight="1" x14ac:dyDescent="0.2">
      <c r="A97" s="21"/>
      <c r="B97" s="16"/>
      <c r="C97" s="44"/>
      <c r="D97" s="44"/>
      <c r="E97" s="16"/>
      <c r="F97" s="16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</row>
    <row r="98" spans="1:20" ht="13.5" customHeight="1" x14ac:dyDescent="0.2">
      <c r="A98" s="21"/>
      <c r="B98" s="16"/>
      <c r="C98" s="44"/>
      <c r="D98" s="44"/>
      <c r="E98" s="16"/>
      <c r="F98" s="16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</row>
    <row r="99" spans="1:20" ht="13.5" customHeight="1" x14ac:dyDescent="0.2">
      <c r="A99" s="21"/>
      <c r="B99" s="16"/>
      <c r="C99" s="44"/>
      <c r="D99" s="44"/>
      <c r="E99" s="16"/>
      <c r="F99" s="16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</row>
    <row r="100" spans="1:20" ht="13.5" customHeight="1" x14ac:dyDescent="0.2">
      <c r="A100" s="21"/>
      <c r="B100" s="16"/>
      <c r="C100" s="44"/>
      <c r="D100" s="44"/>
      <c r="E100" s="16"/>
      <c r="F100" s="16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</row>
    <row r="101" spans="1:20" ht="13.5" customHeight="1" x14ac:dyDescent="0.2">
      <c r="A101" s="21"/>
      <c r="B101" s="16"/>
      <c r="C101" s="44"/>
      <c r="D101" s="44"/>
      <c r="E101" s="16"/>
      <c r="F101" s="16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</row>
    <row r="102" spans="1:20" ht="13.5" customHeight="1" x14ac:dyDescent="0.2">
      <c r="A102" s="21"/>
      <c r="B102" s="16"/>
      <c r="C102" s="44"/>
      <c r="D102" s="44"/>
      <c r="E102" s="16"/>
      <c r="F102" s="16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</row>
    <row r="103" spans="1:20" ht="13.5" customHeight="1" x14ac:dyDescent="0.2">
      <c r="A103" s="21"/>
      <c r="B103" s="16"/>
      <c r="C103" s="44"/>
      <c r="D103" s="44"/>
      <c r="E103" s="16"/>
      <c r="F103" s="16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</row>
    <row r="104" spans="1:20" ht="13.5" customHeight="1" x14ac:dyDescent="0.2">
      <c r="A104" s="21"/>
      <c r="B104" s="16"/>
      <c r="C104" s="44"/>
      <c r="D104" s="44"/>
      <c r="E104" s="16"/>
      <c r="F104" s="16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</row>
    <row r="105" spans="1:20" ht="13.5" customHeight="1" x14ac:dyDescent="0.2">
      <c r="A105" s="21"/>
      <c r="B105" s="16"/>
      <c r="C105" s="44"/>
      <c r="D105" s="44"/>
      <c r="E105" s="16"/>
      <c r="F105" s="16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</row>
    <row r="106" spans="1:20" ht="13.5" customHeight="1" x14ac:dyDescent="0.2">
      <c r="A106" s="21"/>
      <c r="B106" s="16"/>
      <c r="C106" s="44"/>
      <c r="D106" s="44"/>
      <c r="E106" s="16"/>
      <c r="F106" s="16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</row>
    <row r="107" spans="1:20" ht="13.5" customHeight="1" x14ac:dyDescent="0.2">
      <c r="A107" s="21"/>
      <c r="B107" s="16"/>
      <c r="C107" s="44"/>
      <c r="D107" s="44"/>
      <c r="E107" s="16"/>
      <c r="F107" s="16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</row>
    <row r="108" spans="1:20" ht="13.5" customHeight="1" x14ac:dyDescent="0.2">
      <c r="A108" s="21"/>
      <c r="B108" s="16"/>
      <c r="C108" s="44"/>
      <c r="D108" s="44"/>
      <c r="E108" s="16"/>
      <c r="F108" s="16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</row>
    <row r="109" spans="1:20" ht="13.5" customHeight="1" x14ac:dyDescent="0.2">
      <c r="A109" s="21"/>
      <c r="B109" s="16"/>
      <c r="C109" s="44"/>
      <c r="D109" s="44"/>
      <c r="E109" s="16"/>
      <c r="F109" s="16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</row>
    <row r="110" spans="1:20" ht="13.5" customHeight="1" x14ac:dyDescent="0.2">
      <c r="A110" s="21"/>
      <c r="B110" s="16"/>
      <c r="C110" s="44"/>
      <c r="D110" s="44"/>
      <c r="E110" s="16"/>
      <c r="F110" s="16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</row>
    <row r="111" spans="1:20" ht="13.5" customHeight="1" x14ac:dyDescent="0.2">
      <c r="A111" s="21"/>
      <c r="B111" s="16"/>
      <c r="C111" s="44"/>
      <c r="D111" s="44"/>
      <c r="E111" s="16"/>
      <c r="F111" s="16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</row>
    <row r="112" spans="1:20" ht="13.5" customHeight="1" x14ac:dyDescent="0.2">
      <c r="A112" s="21"/>
      <c r="B112" s="16"/>
      <c r="C112" s="44"/>
      <c r="D112" s="44"/>
      <c r="E112" s="16"/>
      <c r="F112" s="16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</row>
    <row r="113" spans="1:20" ht="13.5" customHeight="1" x14ac:dyDescent="0.2">
      <c r="A113" s="21"/>
      <c r="B113" s="16"/>
      <c r="C113" s="44"/>
      <c r="D113" s="44"/>
      <c r="E113" s="16"/>
      <c r="F113" s="16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</row>
    <row r="114" spans="1:20" ht="13.5" customHeight="1" x14ac:dyDescent="0.2">
      <c r="A114" s="21"/>
      <c r="B114" s="16"/>
      <c r="C114" s="44"/>
      <c r="D114" s="44"/>
      <c r="E114" s="16"/>
      <c r="F114" s="16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</row>
    <row r="115" spans="1:20" ht="13.5" customHeight="1" x14ac:dyDescent="0.2">
      <c r="A115" s="21"/>
      <c r="B115" s="16"/>
      <c r="C115" s="44"/>
      <c r="D115" s="44"/>
      <c r="E115" s="16"/>
      <c r="F115" s="16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</row>
    <row r="116" spans="1:20" ht="13.5" customHeight="1" x14ac:dyDescent="0.2">
      <c r="A116" s="21"/>
      <c r="B116" s="16"/>
      <c r="C116" s="44"/>
      <c r="D116" s="44"/>
      <c r="E116" s="16"/>
      <c r="F116" s="16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</row>
    <row r="117" spans="1:20" ht="13.5" customHeight="1" x14ac:dyDescent="0.2">
      <c r="A117" s="21"/>
      <c r="B117" s="16"/>
      <c r="C117" s="44"/>
      <c r="D117" s="44"/>
      <c r="E117" s="16"/>
      <c r="F117" s="16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</row>
    <row r="118" spans="1:20" ht="13.5" customHeight="1" x14ac:dyDescent="0.2">
      <c r="A118" s="21"/>
      <c r="B118" s="16"/>
      <c r="C118" s="44"/>
      <c r="D118" s="44"/>
      <c r="E118" s="16"/>
      <c r="F118" s="16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</row>
    <row r="119" spans="1:20" ht="13.5" customHeight="1" x14ac:dyDescent="0.2">
      <c r="A119" s="21"/>
      <c r="B119" s="16"/>
      <c r="C119" s="44"/>
      <c r="D119" s="44"/>
      <c r="E119" s="16"/>
      <c r="F119" s="16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</row>
    <row r="120" spans="1:20" ht="13.5" customHeight="1" x14ac:dyDescent="0.2">
      <c r="A120" s="21"/>
      <c r="B120" s="16"/>
      <c r="C120" s="44"/>
      <c r="D120" s="44"/>
      <c r="E120" s="16"/>
      <c r="F120" s="16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</row>
    <row r="121" spans="1:20" ht="13.5" customHeight="1" x14ac:dyDescent="0.2">
      <c r="A121" s="21"/>
      <c r="B121" s="16"/>
      <c r="C121" s="44"/>
      <c r="D121" s="44"/>
      <c r="E121" s="16"/>
      <c r="F121" s="16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</row>
    <row r="122" spans="1:20" ht="13.5" customHeight="1" x14ac:dyDescent="0.2">
      <c r="A122" s="21"/>
      <c r="B122" s="16"/>
      <c r="C122" s="44"/>
      <c r="D122" s="44"/>
      <c r="E122" s="16"/>
      <c r="F122" s="16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</row>
    <row r="123" spans="1:20" ht="13.5" customHeight="1" x14ac:dyDescent="0.2">
      <c r="A123" s="21"/>
      <c r="B123" s="16"/>
      <c r="C123" s="44"/>
      <c r="D123" s="44"/>
      <c r="E123" s="16"/>
      <c r="F123" s="16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</row>
    <row r="124" spans="1:20" ht="13.5" customHeight="1" x14ac:dyDescent="0.2">
      <c r="A124" s="21"/>
      <c r="B124" s="16"/>
      <c r="C124" s="44"/>
      <c r="D124" s="44"/>
      <c r="E124" s="16"/>
      <c r="F124" s="16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</row>
    <row r="125" spans="1:20" ht="13.5" customHeight="1" x14ac:dyDescent="0.2">
      <c r="A125" s="21"/>
      <c r="B125" s="16"/>
      <c r="C125" s="44"/>
      <c r="D125" s="44"/>
      <c r="E125" s="16"/>
      <c r="F125" s="16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</row>
    <row r="126" spans="1:20" ht="13.5" customHeight="1" x14ac:dyDescent="0.2">
      <c r="A126" s="21"/>
      <c r="B126" s="16"/>
      <c r="C126" s="44"/>
      <c r="D126" s="44"/>
      <c r="E126" s="16"/>
      <c r="F126" s="16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</row>
    <row r="127" spans="1:20" ht="13.5" customHeight="1" x14ac:dyDescent="0.2">
      <c r="A127" s="21"/>
      <c r="B127" s="16"/>
      <c r="C127" s="44"/>
      <c r="D127" s="44"/>
      <c r="E127" s="16"/>
      <c r="F127" s="16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</row>
    <row r="128" spans="1:20" ht="13.5" customHeight="1" x14ac:dyDescent="0.2">
      <c r="A128" s="21"/>
      <c r="B128" s="16"/>
      <c r="C128" s="44"/>
      <c r="D128" s="44"/>
      <c r="E128" s="16"/>
      <c r="F128" s="16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</row>
    <row r="129" spans="1:20" ht="13.5" customHeight="1" x14ac:dyDescent="0.2">
      <c r="A129" s="21"/>
      <c r="B129" s="16"/>
      <c r="C129" s="44"/>
      <c r="D129" s="44"/>
      <c r="E129" s="16"/>
      <c r="F129" s="16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</row>
    <row r="130" spans="1:20" ht="13.5" customHeight="1" x14ac:dyDescent="0.2">
      <c r="A130" s="21"/>
      <c r="B130" s="16"/>
      <c r="C130" s="44"/>
      <c r="D130" s="44"/>
      <c r="E130" s="16"/>
      <c r="F130" s="16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</row>
    <row r="131" spans="1:20" ht="13.5" customHeight="1" x14ac:dyDescent="0.2">
      <c r="A131" s="21"/>
      <c r="B131" s="16"/>
      <c r="C131" s="44"/>
      <c r="D131" s="44"/>
      <c r="E131" s="16"/>
      <c r="F131" s="16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</row>
    <row r="132" spans="1:20" ht="13.5" customHeight="1" x14ac:dyDescent="0.2">
      <c r="A132" s="21"/>
      <c r="B132" s="16"/>
      <c r="C132" s="44"/>
      <c r="D132" s="44"/>
      <c r="E132" s="16"/>
      <c r="F132" s="16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</row>
    <row r="133" spans="1:20" ht="13.5" customHeight="1" x14ac:dyDescent="0.2">
      <c r="A133" s="21"/>
      <c r="B133" s="16"/>
      <c r="C133" s="44"/>
      <c r="D133" s="44"/>
      <c r="E133" s="16"/>
      <c r="F133" s="16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</row>
    <row r="134" spans="1:20" ht="13.5" customHeight="1" x14ac:dyDescent="0.2">
      <c r="A134" s="21"/>
      <c r="B134" s="16"/>
      <c r="C134" s="44"/>
      <c r="D134" s="44"/>
      <c r="E134" s="16"/>
      <c r="F134" s="16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</row>
    <row r="135" spans="1:20" ht="13.5" customHeight="1" x14ac:dyDescent="0.2">
      <c r="A135" s="21"/>
      <c r="B135" s="16"/>
      <c r="C135" s="44"/>
      <c r="D135" s="44"/>
      <c r="E135" s="16"/>
      <c r="F135" s="16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</row>
    <row r="136" spans="1:20" ht="13.5" customHeight="1" x14ac:dyDescent="0.2">
      <c r="A136" s="21"/>
      <c r="B136" s="16"/>
      <c r="C136" s="44"/>
      <c r="D136" s="44"/>
      <c r="E136" s="16"/>
      <c r="F136" s="16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</row>
    <row r="137" spans="1:20" ht="13.5" customHeight="1" x14ac:dyDescent="0.2">
      <c r="A137" s="21"/>
      <c r="B137" s="16"/>
      <c r="C137" s="44"/>
      <c r="D137" s="44"/>
      <c r="E137" s="16"/>
      <c r="F137" s="16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</row>
    <row r="138" spans="1:20" ht="13.5" customHeight="1" x14ac:dyDescent="0.2">
      <c r="A138" s="21"/>
      <c r="B138" s="16"/>
      <c r="C138" s="44"/>
      <c r="D138" s="44"/>
      <c r="E138" s="16"/>
      <c r="F138" s="16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</row>
    <row r="139" spans="1:20" ht="13.5" customHeight="1" x14ac:dyDescent="0.2">
      <c r="A139" s="21"/>
      <c r="B139" s="16"/>
      <c r="C139" s="44"/>
      <c r="D139" s="44"/>
      <c r="E139" s="16"/>
      <c r="F139" s="16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</row>
    <row r="140" spans="1:20" ht="13.5" customHeight="1" x14ac:dyDescent="0.2">
      <c r="A140" s="21"/>
      <c r="B140" s="16"/>
      <c r="C140" s="44"/>
      <c r="D140" s="44"/>
      <c r="E140" s="16"/>
      <c r="F140" s="16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</row>
    <row r="141" spans="1:20" ht="13.5" customHeight="1" x14ac:dyDescent="0.2">
      <c r="A141" s="21"/>
      <c r="B141" s="16"/>
      <c r="C141" s="44"/>
      <c r="D141" s="44"/>
      <c r="E141" s="16"/>
      <c r="F141" s="16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</row>
    <row r="142" spans="1:20" ht="13.5" customHeight="1" x14ac:dyDescent="0.2">
      <c r="A142" s="21"/>
      <c r="B142" s="16"/>
      <c r="C142" s="44"/>
      <c r="D142" s="44"/>
      <c r="E142" s="16"/>
      <c r="F142" s="16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</row>
    <row r="143" spans="1:20" ht="13.5" customHeight="1" x14ac:dyDescent="0.2">
      <c r="A143" s="21"/>
      <c r="B143" s="16"/>
      <c r="C143" s="44"/>
      <c r="D143" s="44"/>
      <c r="E143" s="16"/>
      <c r="F143" s="16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</row>
    <row r="144" spans="1:20" ht="13.5" customHeight="1" x14ac:dyDescent="0.2">
      <c r="A144" s="21"/>
      <c r="B144" s="16"/>
      <c r="C144" s="44"/>
      <c r="D144" s="44"/>
      <c r="E144" s="16"/>
      <c r="F144" s="16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</row>
    <row r="145" spans="1:20" ht="13.5" customHeight="1" x14ac:dyDescent="0.2">
      <c r="A145" s="21"/>
      <c r="B145" s="16"/>
      <c r="C145" s="44"/>
      <c r="D145" s="44"/>
      <c r="E145" s="16"/>
      <c r="F145" s="16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</row>
    <row r="146" spans="1:20" ht="13.5" customHeight="1" x14ac:dyDescent="0.2">
      <c r="A146" s="21"/>
      <c r="B146" s="16"/>
      <c r="C146" s="44"/>
      <c r="D146" s="44"/>
      <c r="E146" s="16"/>
      <c r="F146" s="16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</row>
    <row r="147" spans="1:20" ht="13.5" customHeight="1" x14ac:dyDescent="0.2">
      <c r="A147" s="21"/>
      <c r="B147" s="16"/>
      <c r="C147" s="44"/>
      <c r="D147" s="44"/>
      <c r="E147" s="16"/>
      <c r="F147" s="16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</row>
    <row r="148" spans="1:20" ht="13.5" customHeight="1" x14ac:dyDescent="0.2">
      <c r="A148" s="21"/>
      <c r="B148" s="16"/>
      <c r="C148" s="44"/>
      <c r="D148" s="44"/>
      <c r="E148" s="16"/>
      <c r="F148" s="16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</row>
    <row r="149" spans="1:20" ht="13.5" customHeight="1" x14ac:dyDescent="0.2">
      <c r="A149" s="21"/>
      <c r="B149" s="16"/>
      <c r="C149" s="44"/>
      <c r="D149" s="44"/>
      <c r="E149" s="16"/>
      <c r="F149" s="16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</row>
    <row r="150" spans="1:20" ht="13.5" customHeight="1" x14ac:dyDescent="0.2">
      <c r="A150" s="21"/>
      <c r="B150" s="16"/>
      <c r="C150" s="44"/>
      <c r="D150" s="44"/>
      <c r="E150" s="16"/>
      <c r="F150" s="16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</row>
    <row r="151" spans="1:20" ht="13.5" customHeight="1" x14ac:dyDescent="0.2">
      <c r="A151" s="21"/>
      <c r="B151" s="16"/>
      <c r="C151" s="44"/>
      <c r="D151" s="44"/>
      <c r="E151" s="16"/>
      <c r="F151" s="16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</row>
    <row r="152" spans="1:20" ht="13.5" customHeight="1" x14ac:dyDescent="0.2">
      <c r="A152" s="21"/>
      <c r="B152" s="16"/>
      <c r="C152" s="44"/>
      <c r="D152" s="44"/>
      <c r="E152" s="16"/>
      <c r="F152" s="16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</row>
    <row r="153" spans="1:20" ht="13.5" customHeight="1" x14ac:dyDescent="0.2">
      <c r="A153" s="21"/>
      <c r="B153" s="16"/>
      <c r="C153" s="44"/>
      <c r="D153" s="44"/>
      <c r="E153" s="16"/>
      <c r="F153" s="16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</row>
    <row r="154" spans="1:20" ht="13.5" customHeight="1" x14ac:dyDescent="0.2">
      <c r="A154" s="21"/>
      <c r="B154" s="16"/>
      <c r="C154" s="44"/>
      <c r="D154" s="44"/>
      <c r="E154" s="16"/>
      <c r="F154" s="16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</row>
    <row r="155" spans="1:20" ht="13.5" customHeight="1" x14ac:dyDescent="0.2">
      <c r="A155" s="21"/>
      <c r="B155" s="16"/>
      <c r="C155" s="44"/>
      <c r="D155" s="44"/>
      <c r="E155" s="16"/>
      <c r="F155" s="16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</row>
    <row r="156" spans="1:20" ht="13.5" customHeight="1" x14ac:dyDescent="0.2">
      <c r="A156" s="21"/>
      <c r="B156" s="16"/>
      <c r="C156" s="44"/>
      <c r="D156" s="44"/>
      <c r="E156" s="16"/>
      <c r="F156" s="16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</row>
    <row r="157" spans="1:20" ht="13.5" customHeight="1" x14ac:dyDescent="0.2">
      <c r="A157" s="21"/>
      <c r="B157" s="16"/>
      <c r="C157" s="44"/>
      <c r="D157" s="44"/>
      <c r="E157" s="16"/>
      <c r="F157" s="16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</row>
    <row r="158" spans="1:20" ht="13.5" customHeight="1" x14ac:dyDescent="0.2">
      <c r="A158" s="21"/>
      <c r="B158" s="16"/>
      <c r="C158" s="44"/>
      <c r="D158" s="44"/>
      <c r="E158" s="16"/>
      <c r="F158" s="16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</row>
    <row r="159" spans="1:20" ht="13.5" customHeight="1" x14ac:dyDescent="0.2">
      <c r="A159" s="21"/>
      <c r="B159" s="16"/>
      <c r="C159" s="44"/>
      <c r="D159" s="44"/>
      <c r="E159" s="16"/>
      <c r="F159" s="16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</row>
    <row r="160" spans="1:20" ht="13.5" customHeight="1" x14ac:dyDescent="0.2">
      <c r="A160" s="21"/>
      <c r="B160" s="16"/>
      <c r="C160" s="44"/>
      <c r="D160" s="44"/>
      <c r="E160" s="16"/>
      <c r="F160" s="16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</row>
    <row r="161" spans="1:20" ht="13.5" customHeight="1" x14ac:dyDescent="0.2">
      <c r="A161" s="21"/>
      <c r="B161" s="16"/>
      <c r="C161" s="44"/>
      <c r="D161" s="44"/>
      <c r="E161" s="16"/>
      <c r="F161" s="16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</row>
    <row r="162" spans="1:20" ht="13.5" customHeight="1" x14ac:dyDescent="0.2">
      <c r="A162" s="21"/>
      <c r="B162" s="16"/>
      <c r="C162" s="44"/>
      <c r="D162" s="44"/>
      <c r="E162" s="16"/>
      <c r="F162" s="16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</row>
    <row r="163" spans="1:20" ht="13.5" customHeight="1" x14ac:dyDescent="0.2">
      <c r="A163" s="21"/>
      <c r="B163" s="16"/>
      <c r="C163" s="44"/>
      <c r="D163" s="44"/>
      <c r="E163" s="16"/>
      <c r="F163" s="16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</row>
    <row r="164" spans="1:20" ht="13.5" customHeight="1" x14ac:dyDescent="0.2">
      <c r="A164" s="21"/>
      <c r="B164" s="16"/>
      <c r="C164" s="44"/>
      <c r="D164" s="44"/>
      <c r="E164" s="16"/>
      <c r="F164" s="16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</row>
    <row r="165" spans="1:20" ht="13.5" customHeight="1" x14ac:dyDescent="0.2">
      <c r="A165" s="21"/>
      <c r="B165" s="16"/>
      <c r="C165" s="44"/>
      <c r="D165" s="44"/>
      <c r="E165" s="16"/>
      <c r="F165" s="16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</row>
    <row r="166" spans="1:20" ht="13.5" customHeight="1" x14ac:dyDescent="0.2">
      <c r="A166" s="21"/>
      <c r="B166" s="16"/>
      <c r="C166" s="44"/>
      <c r="D166" s="44"/>
      <c r="E166" s="16"/>
      <c r="F166" s="16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</row>
    <row r="167" spans="1:20" ht="13.5" customHeight="1" x14ac:dyDescent="0.2">
      <c r="A167" s="21"/>
      <c r="B167" s="16"/>
      <c r="C167" s="44"/>
      <c r="D167" s="44"/>
      <c r="E167" s="16"/>
      <c r="F167" s="16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</row>
    <row r="168" spans="1:20" ht="13.5" customHeight="1" x14ac:dyDescent="0.2">
      <c r="A168" s="21"/>
      <c r="B168" s="16"/>
      <c r="C168" s="44"/>
      <c r="D168" s="44"/>
      <c r="E168" s="16"/>
      <c r="F168" s="16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</row>
    <row r="169" spans="1:20" ht="13.5" customHeight="1" x14ac:dyDescent="0.2">
      <c r="A169" s="21"/>
      <c r="B169" s="16"/>
      <c r="C169" s="44"/>
      <c r="D169" s="44"/>
      <c r="E169" s="16"/>
      <c r="F169" s="16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</row>
    <row r="170" spans="1:20" ht="13.5" customHeight="1" x14ac:dyDescent="0.2">
      <c r="A170" s="21"/>
      <c r="B170" s="16"/>
      <c r="C170" s="44"/>
      <c r="D170" s="44"/>
      <c r="E170" s="16"/>
      <c r="F170" s="16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</row>
    <row r="171" spans="1:20" ht="13.5" customHeight="1" x14ac:dyDescent="0.2">
      <c r="A171" s="21"/>
      <c r="B171" s="16"/>
      <c r="C171" s="44"/>
      <c r="D171" s="44"/>
      <c r="E171" s="16"/>
      <c r="F171" s="16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</row>
    <row r="172" spans="1:20" ht="13.5" customHeight="1" x14ac:dyDescent="0.2">
      <c r="A172" s="21"/>
      <c r="B172" s="16"/>
      <c r="C172" s="44"/>
      <c r="D172" s="44"/>
      <c r="E172" s="16"/>
      <c r="F172" s="16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</row>
    <row r="173" spans="1:20" ht="13.5" customHeight="1" x14ac:dyDescent="0.2">
      <c r="A173" s="21"/>
      <c r="B173" s="16"/>
      <c r="C173" s="44"/>
      <c r="D173" s="44"/>
      <c r="E173" s="16"/>
      <c r="F173" s="16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</row>
    <row r="174" spans="1:20" ht="13.5" customHeight="1" x14ac:dyDescent="0.2">
      <c r="A174" s="21"/>
      <c r="B174" s="16"/>
      <c r="C174" s="44"/>
      <c r="D174" s="44"/>
      <c r="E174" s="16"/>
      <c r="F174" s="16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</row>
    <row r="175" spans="1:20" ht="13.5" customHeight="1" x14ac:dyDescent="0.2">
      <c r="A175" s="21"/>
      <c r="B175" s="16"/>
      <c r="C175" s="44"/>
      <c r="D175" s="44"/>
      <c r="E175" s="16"/>
      <c r="F175" s="16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</row>
    <row r="176" spans="1:20" ht="13.5" customHeight="1" x14ac:dyDescent="0.2">
      <c r="A176" s="21"/>
      <c r="B176" s="16"/>
      <c r="C176" s="44"/>
      <c r="D176" s="44"/>
      <c r="E176" s="16"/>
      <c r="F176" s="16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</row>
    <row r="177" spans="1:20" ht="13.5" customHeight="1" x14ac:dyDescent="0.2">
      <c r="A177" s="21"/>
      <c r="B177" s="16"/>
      <c r="C177" s="44"/>
      <c r="D177" s="44"/>
      <c r="E177" s="16"/>
      <c r="F177" s="16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</row>
    <row r="178" spans="1:20" ht="13.5" customHeight="1" x14ac:dyDescent="0.2">
      <c r="A178" s="21"/>
      <c r="B178" s="16"/>
      <c r="C178" s="44"/>
      <c r="D178" s="44"/>
      <c r="E178" s="16"/>
      <c r="F178" s="16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</row>
    <row r="179" spans="1:20" ht="13.5" customHeight="1" x14ac:dyDescent="0.2">
      <c r="A179" s="21"/>
      <c r="B179" s="16"/>
      <c r="C179" s="44"/>
      <c r="D179" s="44"/>
      <c r="E179" s="16"/>
      <c r="F179" s="16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</row>
    <row r="180" spans="1:20" ht="13.5" customHeight="1" x14ac:dyDescent="0.2">
      <c r="A180" s="21"/>
      <c r="B180" s="16"/>
      <c r="C180" s="44"/>
      <c r="D180" s="44"/>
      <c r="E180" s="16"/>
      <c r="F180" s="16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</row>
    <row r="181" spans="1:20" ht="13.5" customHeight="1" x14ac:dyDescent="0.2">
      <c r="A181" s="21"/>
      <c r="B181" s="16"/>
      <c r="C181" s="44"/>
      <c r="D181" s="44"/>
      <c r="E181" s="16"/>
      <c r="F181" s="16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</row>
    <row r="182" spans="1:20" ht="13.5" customHeight="1" x14ac:dyDescent="0.2">
      <c r="A182" s="21"/>
      <c r="B182" s="16"/>
      <c r="C182" s="44"/>
      <c r="D182" s="44"/>
      <c r="E182" s="16"/>
      <c r="F182" s="16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</row>
    <row r="183" spans="1:20" ht="13.5" customHeight="1" x14ac:dyDescent="0.2">
      <c r="A183" s="21"/>
      <c r="B183" s="16"/>
      <c r="C183" s="44"/>
      <c r="D183" s="44"/>
      <c r="E183" s="16"/>
      <c r="F183" s="16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</row>
    <row r="184" spans="1:20" ht="13.5" customHeight="1" x14ac:dyDescent="0.2">
      <c r="A184" s="21"/>
      <c r="B184" s="16"/>
      <c r="C184" s="44"/>
      <c r="D184" s="44"/>
      <c r="E184" s="16"/>
      <c r="F184" s="16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</row>
    <row r="185" spans="1:20" ht="13.5" customHeight="1" x14ac:dyDescent="0.2">
      <c r="A185" s="21"/>
      <c r="B185" s="16"/>
      <c r="C185" s="44"/>
      <c r="D185" s="44"/>
      <c r="E185" s="16"/>
      <c r="F185" s="16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</row>
    <row r="186" spans="1:20" ht="13.5" customHeight="1" x14ac:dyDescent="0.2">
      <c r="A186" s="21"/>
      <c r="B186" s="16"/>
      <c r="C186" s="44"/>
      <c r="D186" s="44"/>
      <c r="E186" s="16"/>
      <c r="F186" s="16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</row>
    <row r="187" spans="1:20" ht="13.5" customHeight="1" x14ac:dyDescent="0.2">
      <c r="A187" s="21"/>
      <c r="B187" s="16"/>
      <c r="C187" s="44"/>
      <c r="D187" s="44"/>
      <c r="E187" s="16"/>
      <c r="F187" s="16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</row>
    <row r="188" spans="1:20" ht="13.5" customHeight="1" x14ac:dyDescent="0.2">
      <c r="A188" s="21"/>
      <c r="B188" s="16"/>
      <c r="C188" s="44"/>
      <c r="D188" s="44"/>
      <c r="E188" s="16"/>
      <c r="F188" s="16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</row>
    <row r="189" spans="1:20" ht="13.5" customHeight="1" x14ac:dyDescent="0.2">
      <c r="A189" s="21"/>
      <c r="B189" s="16"/>
      <c r="C189" s="44"/>
      <c r="D189" s="44"/>
      <c r="E189" s="16"/>
      <c r="F189" s="16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</row>
    <row r="190" spans="1:20" ht="13.5" customHeight="1" x14ac:dyDescent="0.2">
      <c r="A190" s="21"/>
      <c r="B190" s="16"/>
      <c r="C190" s="44"/>
      <c r="D190" s="44"/>
      <c r="E190" s="16"/>
      <c r="F190" s="16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</row>
    <row r="191" spans="1:20" ht="13.5" customHeight="1" x14ac:dyDescent="0.2">
      <c r="A191" s="21"/>
      <c r="B191" s="16"/>
      <c r="C191" s="44"/>
      <c r="D191" s="44"/>
      <c r="E191" s="16"/>
      <c r="F191" s="16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</row>
    <row r="192" spans="1:20" ht="13.5" customHeight="1" x14ac:dyDescent="0.2">
      <c r="A192" s="21"/>
      <c r="B192" s="16"/>
      <c r="C192" s="44"/>
      <c r="D192" s="44"/>
      <c r="E192" s="16"/>
      <c r="F192" s="16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</row>
    <row r="193" spans="1:20" ht="13.5" customHeight="1" x14ac:dyDescent="0.2">
      <c r="A193" s="21"/>
      <c r="B193" s="16"/>
      <c r="C193" s="44"/>
      <c r="D193" s="44"/>
      <c r="E193" s="16"/>
      <c r="F193" s="16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</row>
    <row r="194" spans="1:20" ht="13.5" customHeight="1" x14ac:dyDescent="0.2">
      <c r="A194" s="21"/>
      <c r="B194" s="16"/>
      <c r="C194" s="44"/>
      <c r="D194" s="44"/>
      <c r="E194" s="16"/>
      <c r="F194" s="16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</row>
    <row r="195" spans="1:20" ht="13.5" customHeight="1" x14ac:dyDescent="0.2">
      <c r="A195" s="21"/>
      <c r="B195" s="16"/>
      <c r="C195" s="44"/>
      <c r="D195" s="44"/>
      <c r="E195" s="16"/>
      <c r="F195" s="16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</row>
    <row r="196" spans="1:20" ht="13.5" customHeight="1" x14ac:dyDescent="0.2">
      <c r="A196" s="21"/>
      <c r="B196" s="16"/>
      <c r="C196" s="44"/>
      <c r="D196" s="44"/>
      <c r="E196" s="16"/>
      <c r="F196" s="16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</row>
    <row r="197" spans="1:20" ht="13.5" customHeight="1" x14ac:dyDescent="0.2">
      <c r="A197" s="21"/>
      <c r="B197" s="16"/>
      <c r="C197" s="44"/>
      <c r="D197" s="44"/>
      <c r="E197" s="16"/>
      <c r="F197" s="16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</row>
    <row r="198" spans="1:20" ht="13.5" customHeight="1" x14ac:dyDescent="0.2">
      <c r="A198" s="21"/>
      <c r="B198" s="16"/>
      <c r="C198" s="44"/>
      <c r="D198" s="44"/>
      <c r="E198" s="16"/>
      <c r="F198" s="16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</row>
    <row r="199" spans="1:20" ht="13.5" customHeight="1" x14ac:dyDescent="0.2">
      <c r="A199" s="21"/>
      <c r="B199" s="16"/>
      <c r="C199" s="44"/>
      <c r="D199" s="44"/>
      <c r="E199" s="16"/>
      <c r="F199" s="16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</row>
    <row r="200" spans="1:20" ht="13.5" customHeight="1" x14ac:dyDescent="0.2">
      <c r="A200" s="21"/>
      <c r="B200" s="16"/>
      <c r="C200" s="44"/>
      <c r="D200" s="44"/>
      <c r="E200" s="16"/>
      <c r="F200" s="16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</row>
    <row r="201" spans="1:20" ht="13.5" customHeight="1" x14ac:dyDescent="0.2">
      <c r="A201" s="21"/>
      <c r="B201" s="16"/>
      <c r="C201" s="44"/>
      <c r="D201" s="44"/>
      <c r="E201" s="16"/>
      <c r="F201" s="16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</row>
    <row r="202" spans="1:20" ht="13.5" customHeight="1" x14ac:dyDescent="0.2">
      <c r="A202" s="21"/>
      <c r="B202" s="16"/>
      <c r="C202" s="44"/>
      <c r="D202" s="44"/>
      <c r="E202" s="16"/>
      <c r="F202" s="16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</row>
    <row r="203" spans="1:20" ht="13.5" customHeight="1" x14ac:dyDescent="0.2">
      <c r="A203" s="21"/>
      <c r="B203" s="16"/>
      <c r="C203" s="44"/>
      <c r="D203" s="44"/>
      <c r="E203" s="16"/>
      <c r="F203" s="16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</row>
    <row r="204" spans="1:20" ht="13.5" customHeight="1" x14ac:dyDescent="0.2">
      <c r="A204" s="21"/>
      <c r="B204" s="16"/>
      <c r="C204" s="44"/>
      <c r="D204" s="44"/>
      <c r="E204" s="16"/>
      <c r="F204" s="16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</row>
    <row r="205" spans="1:20" ht="13.5" customHeight="1" x14ac:dyDescent="0.2">
      <c r="A205" s="21"/>
      <c r="B205" s="16"/>
      <c r="C205" s="44"/>
      <c r="D205" s="44"/>
      <c r="E205" s="16"/>
      <c r="F205" s="16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</row>
    <row r="206" spans="1:20" ht="13.5" customHeight="1" x14ac:dyDescent="0.2">
      <c r="A206" s="21"/>
      <c r="B206" s="16"/>
      <c r="C206" s="44"/>
      <c r="D206" s="44"/>
      <c r="E206" s="16"/>
      <c r="F206" s="16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</row>
    <row r="207" spans="1:20" ht="13.5" customHeight="1" x14ac:dyDescent="0.2">
      <c r="A207" s="21"/>
      <c r="B207" s="16"/>
      <c r="C207" s="44"/>
      <c r="D207" s="44"/>
      <c r="E207" s="16"/>
      <c r="F207" s="16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</row>
    <row r="208" spans="1:20" ht="13.5" customHeight="1" x14ac:dyDescent="0.2">
      <c r="A208" s="21"/>
      <c r="B208" s="16"/>
      <c r="C208" s="44"/>
      <c r="D208" s="44"/>
      <c r="E208" s="16"/>
      <c r="F208" s="16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</row>
    <row r="209" spans="1:20" ht="13.5" customHeight="1" x14ac:dyDescent="0.2">
      <c r="A209" s="21"/>
      <c r="B209" s="16"/>
      <c r="C209" s="44"/>
      <c r="D209" s="44"/>
      <c r="E209" s="16"/>
      <c r="F209" s="16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</row>
    <row r="210" spans="1:20" ht="13.5" customHeight="1" x14ac:dyDescent="0.2">
      <c r="A210" s="21"/>
      <c r="B210" s="16"/>
      <c r="C210" s="44"/>
      <c r="D210" s="44"/>
      <c r="E210" s="16"/>
      <c r="F210" s="16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</row>
    <row r="211" spans="1:20" ht="13.5" customHeight="1" x14ac:dyDescent="0.2">
      <c r="A211" s="21"/>
      <c r="B211" s="16"/>
      <c r="C211" s="44"/>
      <c r="D211" s="44"/>
      <c r="E211" s="16"/>
      <c r="F211" s="16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</row>
    <row r="212" spans="1:20" ht="13.5" customHeight="1" x14ac:dyDescent="0.2">
      <c r="A212" s="21"/>
      <c r="B212" s="16"/>
      <c r="C212" s="44"/>
      <c r="D212" s="44"/>
      <c r="E212" s="16"/>
      <c r="F212" s="16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</row>
    <row r="213" spans="1:20" ht="13.5" customHeight="1" x14ac:dyDescent="0.2">
      <c r="A213" s="21"/>
      <c r="B213" s="16"/>
      <c r="C213" s="44"/>
      <c r="D213" s="44"/>
      <c r="E213" s="16"/>
      <c r="F213" s="16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</row>
    <row r="214" spans="1:20" ht="13.5" customHeight="1" x14ac:dyDescent="0.2">
      <c r="A214" s="21"/>
      <c r="B214" s="16"/>
      <c r="C214" s="44"/>
      <c r="D214" s="44"/>
      <c r="E214" s="16"/>
      <c r="F214" s="16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</row>
    <row r="215" spans="1:20" ht="13.5" customHeight="1" x14ac:dyDescent="0.2">
      <c r="A215" s="21"/>
      <c r="B215" s="16"/>
      <c r="C215" s="44"/>
      <c r="D215" s="44"/>
      <c r="E215" s="16"/>
      <c r="F215" s="16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</row>
    <row r="216" spans="1:20" ht="13.5" customHeight="1" x14ac:dyDescent="0.2">
      <c r="A216" s="21"/>
      <c r="B216" s="16"/>
      <c r="C216" s="44"/>
      <c r="D216" s="44"/>
      <c r="E216" s="16"/>
      <c r="F216" s="16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</row>
    <row r="217" spans="1:20" ht="13.5" customHeight="1" x14ac:dyDescent="0.2">
      <c r="A217" s="21"/>
      <c r="B217" s="16"/>
      <c r="C217" s="44"/>
      <c r="D217" s="44"/>
      <c r="E217" s="16"/>
      <c r="F217" s="16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</row>
    <row r="218" spans="1:20" ht="13.5" customHeight="1" x14ac:dyDescent="0.2">
      <c r="A218" s="21"/>
      <c r="B218" s="16"/>
      <c r="C218" s="44"/>
      <c r="D218" s="44"/>
      <c r="E218" s="16"/>
      <c r="F218" s="16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</row>
    <row r="219" spans="1:20" ht="13.5" customHeight="1" x14ac:dyDescent="0.2">
      <c r="A219" s="21"/>
      <c r="B219" s="16"/>
      <c r="C219" s="44"/>
      <c r="D219" s="44"/>
      <c r="E219" s="16"/>
      <c r="F219" s="16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</row>
    <row r="220" spans="1:20" ht="13.5" customHeight="1" x14ac:dyDescent="0.2">
      <c r="A220" s="21"/>
      <c r="B220" s="16"/>
      <c r="C220" s="44"/>
      <c r="D220" s="44"/>
      <c r="E220" s="16"/>
      <c r="F220" s="16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</row>
    <row r="221" spans="1:20" ht="13.5" customHeight="1" x14ac:dyDescent="0.2">
      <c r="A221" s="21"/>
      <c r="B221" s="16"/>
      <c r="C221" s="44"/>
      <c r="D221" s="44"/>
      <c r="E221" s="16"/>
      <c r="F221" s="16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</row>
    <row r="222" spans="1:20" ht="13.5" customHeight="1" x14ac:dyDescent="0.2">
      <c r="A222" s="21"/>
      <c r="B222" s="16"/>
      <c r="C222" s="44"/>
      <c r="D222" s="44"/>
      <c r="E222" s="16"/>
      <c r="F222" s="16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</row>
    <row r="223" spans="1:20" ht="13.5" customHeight="1" x14ac:dyDescent="0.2">
      <c r="A223" s="21"/>
      <c r="B223" s="16"/>
      <c r="C223" s="44"/>
      <c r="D223" s="44"/>
      <c r="E223" s="16"/>
      <c r="F223" s="16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</row>
    <row r="224" spans="1:20" ht="13.5" customHeight="1" x14ac:dyDescent="0.2">
      <c r="A224" s="21"/>
      <c r="B224" s="16"/>
      <c r="C224" s="44"/>
      <c r="D224" s="44"/>
      <c r="E224" s="16"/>
      <c r="F224" s="16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</row>
    <row r="225" spans="1:20" ht="13.5" customHeight="1" x14ac:dyDescent="0.2">
      <c r="A225" s="21"/>
      <c r="B225" s="16"/>
      <c r="C225" s="44"/>
      <c r="D225" s="44"/>
      <c r="E225" s="16"/>
      <c r="F225" s="16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</row>
    <row r="226" spans="1:20" ht="13.5" customHeight="1" x14ac:dyDescent="0.2">
      <c r="A226" s="21"/>
      <c r="B226" s="16"/>
      <c r="C226" s="44"/>
      <c r="D226" s="44"/>
      <c r="E226" s="16"/>
      <c r="F226" s="16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</row>
    <row r="227" spans="1:20" ht="13.5" customHeight="1" x14ac:dyDescent="0.2">
      <c r="A227" s="21"/>
      <c r="B227" s="16"/>
      <c r="C227" s="44"/>
      <c r="D227" s="44"/>
      <c r="E227" s="16"/>
      <c r="F227" s="16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</row>
    <row r="228" spans="1:20" ht="13.5" customHeight="1" x14ac:dyDescent="0.2">
      <c r="A228" s="21"/>
      <c r="B228" s="16"/>
      <c r="C228" s="44"/>
      <c r="D228" s="44"/>
      <c r="E228" s="16"/>
      <c r="F228" s="16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</row>
    <row r="229" spans="1:20" ht="13.5" customHeight="1" x14ac:dyDescent="0.2">
      <c r="A229" s="21"/>
      <c r="B229" s="16"/>
      <c r="C229" s="44"/>
      <c r="D229" s="44"/>
      <c r="E229" s="16"/>
      <c r="F229" s="16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</row>
    <row r="230" spans="1:20" ht="13.5" customHeight="1" x14ac:dyDescent="0.2">
      <c r="A230" s="21"/>
      <c r="B230" s="16"/>
      <c r="C230" s="44"/>
      <c r="D230" s="44"/>
      <c r="E230" s="16"/>
      <c r="F230" s="16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</row>
    <row r="231" spans="1:20" ht="13.5" customHeight="1" x14ac:dyDescent="0.2">
      <c r="A231" s="21"/>
      <c r="B231" s="16"/>
      <c r="C231" s="44"/>
      <c r="D231" s="44"/>
      <c r="E231" s="16"/>
      <c r="F231" s="16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</row>
    <row r="232" spans="1:20" ht="13.5" customHeight="1" x14ac:dyDescent="0.2">
      <c r="A232" s="21"/>
      <c r="B232" s="16"/>
      <c r="C232" s="44"/>
      <c r="D232" s="44"/>
      <c r="E232" s="16"/>
      <c r="F232" s="16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</row>
    <row r="233" spans="1:20" ht="13.5" customHeight="1" x14ac:dyDescent="0.2">
      <c r="A233" s="21"/>
      <c r="B233" s="16"/>
      <c r="C233" s="44"/>
      <c r="D233" s="44"/>
      <c r="E233" s="16"/>
      <c r="F233" s="16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</row>
    <row r="234" spans="1:20" ht="13.5" customHeight="1" x14ac:dyDescent="0.2">
      <c r="A234" s="21"/>
      <c r="B234" s="16"/>
      <c r="C234" s="44"/>
      <c r="D234" s="44"/>
      <c r="E234" s="16"/>
      <c r="F234" s="16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</row>
    <row r="235" spans="1:20" ht="13.5" customHeight="1" x14ac:dyDescent="0.2">
      <c r="A235" s="21"/>
      <c r="B235" s="16"/>
      <c r="C235" s="44"/>
      <c r="D235" s="44"/>
      <c r="E235" s="16"/>
      <c r="F235" s="16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</row>
    <row r="236" spans="1:20" ht="13.5" customHeight="1" x14ac:dyDescent="0.2">
      <c r="A236" s="21"/>
      <c r="B236" s="16"/>
      <c r="C236" s="44"/>
      <c r="D236" s="44"/>
      <c r="E236" s="16"/>
      <c r="F236" s="16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</row>
    <row r="237" spans="1:20" ht="13.5" customHeight="1" x14ac:dyDescent="0.2">
      <c r="A237" s="21"/>
      <c r="B237" s="16"/>
      <c r="C237" s="44"/>
      <c r="D237" s="44"/>
      <c r="E237" s="16"/>
      <c r="F237" s="16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</row>
    <row r="238" spans="1:20" ht="13.5" customHeight="1" x14ac:dyDescent="0.2">
      <c r="A238" s="21"/>
      <c r="B238" s="16"/>
      <c r="C238" s="44"/>
      <c r="D238" s="44"/>
      <c r="E238" s="16"/>
      <c r="F238" s="16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</row>
    <row r="239" spans="1:20" ht="13.5" customHeight="1" x14ac:dyDescent="0.2">
      <c r="A239" s="21"/>
      <c r="B239" s="16"/>
      <c r="C239" s="44"/>
      <c r="D239" s="44"/>
      <c r="E239" s="16"/>
      <c r="F239" s="16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</row>
    <row r="240" spans="1:20" ht="13.5" customHeight="1" x14ac:dyDescent="0.2">
      <c r="A240" s="21"/>
      <c r="B240" s="16"/>
      <c r="C240" s="44"/>
      <c r="D240" s="44"/>
      <c r="E240" s="16"/>
      <c r="F240" s="16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</row>
    <row r="241" spans="1:20" ht="13.5" customHeight="1" x14ac:dyDescent="0.2">
      <c r="A241" s="21"/>
      <c r="B241" s="16"/>
      <c r="C241" s="44"/>
      <c r="D241" s="44"/>
      <c r="E241" s="16"/>
      <c r="F241" s="16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</row>
    <row r="242" spans="1:20" ht="13.5" customHeight="1" x14ac:dyDescent="0.2">
      <c r="A242" s="21"/>
      <c r="B242" s="16"/>
      <c r="C242" s="44"/>
      <c r="D242" s="44"/>
      <c r="E242" s="16"/>
      <c r="F242" s="16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</row>
    <row r="243" spans="1:20" ht="13.5" customHeight="1" x14ac:dyDescent="0.2">
      <c r="A243" s="21"/>
      <c r="B243" s="16"/>
      <c r="C243" s="44"/>
      <c r="D243" s="44"/>
      <c r="E243" s="16"/>
      <c r="F243" s="16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</row>
    <row r="244" spans="1:20" ht="13.5" customHeight="1" x14ac:dyDescent="0.2">
      <c r="A244" s="21"/>
      <c r="B244" s="16"/>
      <c r="C244" s="44"/>
      <c r="D244" s="44"/>
      <c r="E244" s="16"/>
      <c r="F244" s="16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</row>
    <row r="245" spans="1:20" ht="13.5" customHeight="1" x14ac:dyDescent="0.2">
      <c r="A245" s="21"/>
      <c r="B245" s="16"/>
      <c r="C245" s="44"/>
      <c r="D245" s="44"/>
      <c r="E245" s="16"/>
      <c r="F245" s="16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</row>
    <row r="246" spans="1:20" ht="13.5" customHeight="1" x14ac:dyDescent="0.2">
      <c r="A246" s="21"/>
      <c r="B246" s="16"/>
      <c r="C246" s="44"/>
      <c r="D246" s="44"/>
      <c r="E246" s="16"/>
      <c r="F246" s="16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</row>
    <row r="247" spans="1:20" ht="13.5" customHeight="1" x14ac:dyDescent="0.2">
      <c r="A247" s="21"/>
      <c r="B247" s="16"/>
      <c r="C247" s="44"/>
      <c r="D247" s="44"/>
      <c r="E247" s="16"/>
      <c r="F247" s="16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</row>
    <row r="248" spans="1:20" ht="13.5" customHeight="1" x14ac:dyDescent="0.2">
      <c r="A248" s="21"/>
      <c r="B248" s="16"/>
      <c r="C248" s="44"/>
      <c r="D248" s="44"/>
      <c r="E248" s="16"/>
      <c r="F248" s="16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</row>
    <row r="249" spans="1:20" ht="13.5" customHeight="1" x14ac:dyDescent="0.2">
      <c r="A249" s="21"/>
      <c r="B249" s="16"/>
      <c r="C249" s="44"/>
      <c r="D249" s="44"/>
      <c r="E249" s="16"/>
      <c r="F249" s="16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</row>
    <row r="250" spans="1:20" ht="13.5" customHeight="1" x14ac:dyDescent="0.2">
      <c r="A250" s="21"/>
      <c r="B250" s="16"/>
      <c r="C250" s="44"/>
      <c r="D250" s="44"/>
      <c r="E250" s="16"/>
      <c r="F250" s="16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</row>
    <row r="251" spans="1:20" ht="13.5" customHeight="1" x14ac:dyDescent="0.2">
      <c r="A251" s="21"/>
      <c r="B251" s="16"/>
      <c r="C251" s="44"/>
      <c r="D251" s="44"/>
      <c r="E251" s="16"/>
      <c r="F251" s="16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</row>
    <row r="252" spans="1:20" ht="13.5" customHeight="1" x14ac:dyDescent="0.2">
      <c r="A252" s="21"/>
      <c r="B252" s="16"/>
      <c r="C252" s="44"/>
      <c r="D252" s="44"/>
      <c r="E252" s="16"/>
      <c r="F252" s="16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</row>
    <row r="253" spans="1:20" ht="13.5" customHeight="1" x14ac:dyDescent="0.2">
      <c r="A253" s="21"/>
      <c r="B253" s="16"/>
      <c r="C253" s="44"/>
      <c r="D253" s="44"/>
      <c r="E253" s="16"/>
      <c r="F253" s="16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</row>
    <row r="254" spans="1:20" ht="13.5" customHeight="1" x14ac:dyDescent="0.2">
      <c r="A254" s="21"/>
      <c r="B254" s="16"/>
      <c r="C254" s="44"/>
      <c r="D254" s="44"/>
      <c r="E254" s="16"/>
      <c r="F254" s="16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</row>
    <row r="255" spans="1:20" ht="13.5" customHeight="1" x14ac:dyDescent="0.2">
      <c r="A255" s="21"/>
      <c r="B255" s="16"/>
      <c r="C255" s="44"/>
      <c r="D255" s="44"/>
      <c r="E255" s="16"/>
      <c r="F255" s="16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</row>
    <row r="256" spans="1:20" ht="13.5" customHeight="1" x14ac:dyDescent="0.2">
      <c r="A256" s="21"/>
      <c r="B256" s="16"/>
      <c r="C256" s="44"/>
      <c r="D256" s="44"/>
      <c r="E256" s="16"/>
      <c r="F256" s="16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</row>
    <row r="257" spans="1:20" ht="13.5" customHeight="1" x14ac:dyDescent="0.2">
      <c r="A257" s="21"/>
      <c r="B257" s="16"/>
      <c r="C257" s="44"/>
      <c r="D257" s="44"/>
      <c r="E257" s="16"/>
      <c r="F257" s="16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</row>
    <row r="258" spans="1:20" ht="13.5" customHeight="1" x14ac:dyDescent="0.2">
      <c r="A258" s="21"/>
      <c r="B258" s="16"/>
      <c r="C258" s="44"/>
      <c r="D258" s="44"/>
      <c r="E258" s="16"/>
      <c r="F258" s="16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</row>
    <row r="259" spans="1:20" ht="13.5" customHeight="1" x14ac:dyDescent="0.2">
      <c r="A259" s="21"/>
      <c r="B259" s="16"/>
      <c r="C259" s="44"/>
      <c r="D259" s="44"/>
      <c r="E259" s="16"/>
      <c r="F259" s="16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</row>
    <row r="260" spans="1:20" ht="13.5" customHeight="1" x14ac:dyDescent="0.2">
      <c r="A260" s="21"/>
      <c r="B260" s="16"/>
      <c r="C260" s="44"/>
      <c r="D260" s="44"/>
      <c r="E260" s="16"/>
      <c r="F260" s="16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</row>
    <row r="261" spans="1:20" ht="13.5" customHeight="1" x14ac:dyDescent="0.2">
      <c r="A261" s="21"/>
      <c r="B261" s="16"/>
      <c r="C261" s="44"/>
      <c r="D261" s="44"/>
      <c r="E261" s="16"/>
      <c r="F261" s="16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</row>
    <row r="262" spans="1:20" ht="13.5" customHeight="1" x14ac:dyDescent="0.2">
      <c r="A262" s="21"/>
      <c r="B262" s="16"/>
      <c r="C262" s="44"/>
      <c r="D262" s="44"/>
      <c r="E262" s="16"/>
      <c r="F262" s="16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</row>
    <row r="263" spans="1:20" ht="13.5" customHeight="1" x14ac:dyDescent="0.2">
      <c r="A263" s="21"/>
      <c r="B263" s="16"/>
      <c r="C263" s="44"/>
      <c r="D263" s="44"/>
      <c r="E263" s="16"/>
      <c r="F263" s="16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</row>
    <row r="264" spans="1:20" ht="13.5" customHeight="1" x14ac:dyDescent="0.2">
      <c r="A264" s="21"/>
      <c r="B264" s="16"/>
      <c r="C264" s="44"/>
      <c r="D264" s="44"/>
      <c r="E264" s="16"/>
      <c r="F264" s="16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</row>
    <row r="265" spans="1:20" ht="13.5" customHeight="1" x14ac:dyDescent="0.2">
      <c r="A265" s="21"/>
      <c r="B265" s="16"/>
      <c r="C265" s="44"/>
      <c r="D265" s="44"/>
      <c r="E265" s="16"/>
      <c r="F265" s="16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</row>
    <row r="266" spans="1:20" ht="13.5" customHeight="1" x14ac:dyDescent="0.2">
      <c r="A266" s="21"/>
      <c r="B266" s="16"/>
      <c r="C266" s="44"/>
      <c r="D266" s="44"/>
      <c r="E266" s="16"/>
      <c r="F266" s="16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</row>
    <row r="267" spans="1:20" ht="13.5" customHeight="1" x14ac:dyDescent="0.2">
      <c r="A267" s="21"/>
      <c r="B267" s="16"/>
      <c r="C267" s="44"/>
      <c r="D267" s="44"/>
      <c r="E267" s="16"/>
      <c r="F267" s="16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</row>
    <row r="268" spans="1:20" ht="13.5" customHeight="1" x14ac:dyDescent="0.2">
      <c r="A268" s="21"/>
      <c r="B268" s="16"/>
      <c r="C268" s="44"/>
      <c r="D268" s="44"/>
      <c r="E268" s="16"/>
      <c r="F268" s="16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</row>
    <row r="269" spans="1:20" ht="13.5" customHeight="1" x14ac:dyDescent="0.2">
      <c r="A269" s="21"/>
      <c r="B269" s="16"/>
      <c r="C269" s="44"/>
      <c r="D269" s="44"/>
      <c r="E269" s="16"/>
      <c r="F269" s="16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</row>
    <row r="270" spans="1:20" ht="15.75" customHeight="1" x14ac:dyDescent="0.2">
      <c r="B270" s="16"/>
      <c r="E270" s="59"/>
      <c r="F270" s="59"/>
      <c r="I270" s="60"/>
    </row>
    <row r="271" spans="1:20" ht="15.75" customHeight="1" x14ac:dyDescent="0.2">
      <c r="B271" s="16"/>
      <c r="E271" s="59"/>
      <c r="F271" s="59"/>
      <c r="I271" s="60"/>
    </row>
    <row r="272" spans="1:20" ht="15.75" customHeight="1" x14ac:dyDescent="0.2">
      <c r="B272" s="16"/>
      <c r="E272" s="59"/>
      <c r="F272" s="59"/>
      <c r="I272" s="60"/>
    </row>
    <row r="273" spans="2:9" ht="15.75" customHeight="1" x14ac:dyDescent="0.2">
      <c r="B273" s="16"/>
      <c r="E273" s="59"/>
      <c r="F273" s="59"/>
      <c r="I273" s="60"/>
    </row>
    <row r="274" spans="2:9" ht="15.75" customHeight="1" x14ac:dyDescent="0.2">
      <c r="B274" s="16"/>
      <c r="E274" s="59"/>
      <c r="F274" s="59"/>
      <c r="I274" s="60"/>
    </row>
    <row r="275" spans="2:9" ht="15.75" customHeight="1" x14ac:dyDescent="0.2">
      <c r="B275" s="16"/>
      <c r="E275" s="59"/>
      <c r="F275" s="59"/>
      <c r="I275" s="60"/>
    </row>
    <row r="276" spans="2:9" ht="15.75" customHeight="1" x14ac:dyDescent="0.2">
      <c r="B276" s="16"/>
      <c r="E276" s="59"/>
      <c r="F276" s="59"/>
      <c r="I276" s="60"/>
    </row>
    <row r="277" spans="2:9" ht="15.75" customHeight="1" x14ac:dyDescent="0.2">
      <c r="B277" s="16"/>
      <c r="E277" s="59"/>
      <c r="F277" s="59"/>
      <c r="I277" s="60"/>
    </row>
    <row r="278" spans="2:9" ht="15.75" customHeight="1" x14ac:dyDescent="0.2">
      <c r="B278" s="16"/>
      <c r="E278" s="59"/>
      <c r="F278" s="59"/>
      <c r="I278" s="60"/>
    </row>
    <row r="279" spans="2:9" ht="15.75" customHeight="1" x14ac:dyDescent="0.2">
      <c r="B279" s="16"/>
      <c r="E279" s="59"/>
      <c r="F279" s="59"/>
      <c r="I279" s="60"/>
    </row>
    <row r="280" spans="2:9" ht="15.75" customHeight="1" x14ac:dyDescent="0.2">
      <c r="B280" s="16"/>
      <c r="E280" s="59"/>
      <c r="F280" s="59"/>
      <c r="I280" s="60"/>
    </row>
    <row r="281" spans="2:9" ht="15.75" customHeight="1" x14ac:dyDescent="0.2">
      <c r="B281" s="16"/>
      <c r="E281" s="59"/>
      <c r="F281" s="59"/>
      <c r="I281" s="60"/>
    </row>
    <row r="282" spans="2:9" ht="15.75" customHeight="1" x14ac:dyDescent="0.2">
      <c r="B282" s="16"/>
      <c r="E282" s="59"/>
      <c r="F282" s="59"/>
      <c r="I282" s="60"/>
    </row>
    <row r="283" spans="2:9" ht="15.75" customHeight="1" x14ac:dyDescent="0.2">
      <c r="B283" s="16"/>
      <c r="E283" s="59"/>
      <c r="F283" s="59"/>
      <c r="I283" s="60"/>
    </row>
    <row r="284" spans="2:9" ht="15.75" customHeight="1" x14ac:dyDescent="0.2">
      <c r="B284" s="16"/>
      <c r="E284" s="59"/>
      <c r="F284" s="59"/>
      <c r="I284" s="60"/>
    </row>
    <row r="285" spans="2:9" ht="15.75" customHeight="1" x14ac:dyDescent="0.2">
      <c r="B285" s="16"/>
      <c r="E285" s="59"/>
      <c r="F285" s="59"/>
      <c r="I285" s="60"/>
    </row>
    <row r="286" spans="2:9" ht="15.75" customHeight="1" x14ac:dyDescent="0.2">
      <c r="B286" s="16"/>
      <c r="E286" s="59"/>
      <c r="F286" s="59"/>
      <c r="I286" s="60"/>
    </row>
    <row r="287" spans="2:9" ht="15.75" customHeight="1" x14ac:dyDescent="0.2">
      <c r="B287" s="16"/>
      <c r="E287" s="59"/>
      <c r="F287" s="59"/>
      <c r="I287" s="60"/>
    </row>
    <row r="288" spans="2:9" ht="15.75" customHeight="1" x14ac:dyDescent="0.2">
      <c r="B288" s="16"/>
      <c r="E288" s="59"/>
      <c r="F288" s="59"/>
      <c r="I288" s="60"/>
    </row>
    <row r="289" spans="2:9" ht="15.75" customHeight="1" x14ac:dyDescent="0.2">
      <c r="B289" s="16"/>
      <c r="E289" s="59"/>
      <c r="F289" s="59"/>
      <c r="I289" s="60"/>
    </row>
    <row r="290" spans="2:9" ht="15.75" customHeight="1" x14ac:dyDescent="0.2">
      <c r="B290" s="16"/>
      <c r="E290" s="59"/>
      <c r="F290" s="59"/>
      <c r="I290" s="60"/>
    </row>
    <row r="291" spans="2:9" ht="15.75" customHeight="1" x14ac:dyDescent="0.2">
      <c r="B291" s="16"/>
      <c r="E291" s="59"/>
      <c r="F291" s="59"/>
      <c r="I291" s="60"/>
    </row>
    <row r="292" spans="2:9" ht="15.75" customHeight="1" x14ac:dyDescent="0.2">
      <c r="B292" s="16"/>
      <c r="E292" s="59"/>
      <c r="F292" s="59"/>
      <c r="I292" s="60"/>
    </row>
    <row r="293" spans="2:9" ht="15.75" customHeight="1" x14ac:dyDescent="0.2">
      <c r="B293" s="16"/>
      <c r="E293" s="59"/>
      <c r="F293" s="59"/>
      <c r="I293" s="60"/>
    </row>
    <row r="294" spans="2:9" ht="15.75" customHeight="1" x14ac:dyDescent="0.2">
      <c r="B294" s="16"/>
      <c r="E294" s="59"/>
      <c r="F294" s="59"/>
      <c r="I294" s="60"/>
    </row>
    <row r="295" spans="2:9" ht="15.75" customHeight="1" x14ac:dyDescent="0.2">
      <c r="B295" s="16"/>
      <c r="E295" s="59"/>
      <c r="F295" s="59"/>
      <c r="I295" s="60"/>
    </row>
    <row r="296" spans="2:9" ht="15.75" customHeight="1" x14ac:dyDescent="0.2">
      <c r="B296" s="16"/>
      <c r="E296" s="59"/>
      <c r="F296" s="59"/>
      <c r="I296" s="60"/>
    </row>
    <row r="297" spans="2:9" ht="15.75" customHeight="1" x14ac:dyDescent="0.2">
      <c r="B297" s="16"/>
      <c r="E297" s="59"/>
      <c r="F297" s="59"/>
      <c r="I297" s="60"/>
    </row>
    <row r="298" spans="2:9" ht="15.75" customHeight="1" x14ac:dyDescent="0.2">
      <c r="B298" s="16"/>
      <c r="E298" s="59"/>
      <c r="F298" s="59"/>
      <c r="I298" s="60"/>
    </row>
    <row r="299" spans="2:9" ht="15.75" customHeight="1" x14ac:dyDescent="0.2">
      <c r="B299" s="16"/>
      <c r="E299" s="59"/>
      <c r="F299" s="59"/>
      <c r="I299" s="60"/>
    </row>
    <row r="300" spans="2:9" ht="15.75" customHeight="1" x14ac:dyDescent="0.2">
      <c r="B300" s="16"/>
      <c r="E300" s="59"/>
      <c r="F300" s="59"/>
      <c r="I300" s="60"/>
    </row>
    <row r="301" spans="2:9" ht="15.75" customHeight="1" x14ac:dyDescent="0.2">
      <c r="B301" s="16"/>
      <c r="E301" s="59"/>
      <c r="F301" s="59"/>
      <c r="I301" s="60"/>
    </row>
    <row r="302" spans="2:9" ht="15.75" customHeight="1" x14ac:dyDescent="0.2">
      <c r="B302" s="16"/>
      <c r="E302" s="59"/>
      <c r="F302" s="59"/>
      <c r="I302" s="60"/>
    </row>
    <row r="303" spans="2:9" ht="15.75" customHeight="1" x14ac:dyDescent="0.2">
      <c r="B303" s="16"/>
      <c r="E303" s="59"/>
      <c r="F303" s="59"/>
      <c r="I303" s="60"/>
    </row>
    <row r="304" spans="2:9" ht="15.75" customHeight="1" x14ac:dyDescent="0.2">
      <c r="B304" s="16"/>
      <c r="E304" s="59"/>
      <c r="F304" s="59"/>
      <c r="I304" s="60"/>
    </row>
    <row r="305" spans="2:9" ht="15.75" customHeight="1" x14ac:dyDescent="0.2">
      <c r="B305" s="16"/>
      <c r="E305" s="59"/>
      <c r="F305" s="59"/>
      <c r="I305" s="60"/>
    </row>
    <row r="306" spans="2:9" ht="15.75" customHeight="1" x14ac:dyDescent="0.2">
      <c r="B306" s="16"/>
      <c r="E306" s="59"/>
      <c r="F306" s="59"/>
      <c r="I306" s="60"/>
    </row>
    <row r="307" spans="2:9" ht="15.75" customHeight="1" x14ac:dyDescent="0.2">
      <c r="B307" s="16"/>
      <c r="E307" s="59"/>
      <c r="F307" s="59"/>
      <c r="I307" s="60"/>
    </row>
    <row r="308" spans="2:9" ht="15.75" customHeight="1" x14ac:dyDescent="0.2">
      <c r="B308" s="16"/>
      <c r="E308" s="59"/>
      <c r="F308" s="59"/>
      <c r="I308" s="60"/>
    </row>
    <row r="309" spans="2:9" ht="15.75" customHeight="1" x14ac:dyDescent="0.2">
      <c r="B309" s="16"/>
      <c r="E309" s="59"/>
      <c r="F309" s="59"/>
      <c r="I309" s="60"/>
    </row>
    <row r="310" spans="2:9" ht="15.75" customHeight="1" x14ac:dyDescent="0.2">
      <c r="B310" s="16"/>
      <c r="E310" s="59"/>
      <c r="F310" s="59"/>
      <c r="I310" s="60"/>
    </row>
    <row r="311" spans="2:9" ht="15.75" customHeight="1" x14ac:dyDescent="0.2">
      <c r="B311" s="16"/>
      <c r="E311" s="59"/>
      <c r="F311" s="59"/>
      <c r="I311" s="60"/>
    </row>
    <row r="312" spans="2:9" ht="15.75" customHeight="1" x14ac:dyDescent="0.2">
      <c r="B312" s="16"/>
      <c r="E312" s="59"/>
      <c r="F312" s="59"/>
      <c r="I312" s="60"/>
    </row>
    <row r="313" spans="2:9" ht="15.75" customHeight="1" x14ac:dyDescent="0.2">
      <c r="B313" s="16"/>
      <c r="E313" s="59"/>
      <c r="F313" s="59"/>
      <c r="I313" s="60"/>
    </row>
    <row r="314" spans="2:9" ht="15.75" customHeight="1" x14ac:dyDescent="0.2">
      <c r="B314" s="16"/>
      <c r="E314" s="59"/>
      <c r="F314" s="59"/>
      <c r="I314" s="60"/>
    </row>
    <row r="315" spans="2:9" ht="15.75" customHeight="1" x14ac:dyDescent="0.2">
      <c r="B315" s="16"/>
      <c r="E315" s="59"/>
      <c r="F315" s="59"/>
      <c r="I315" s="60"/>
    </row>
    <row r="316" spans="2:9" ht="15.75" customHeight="1" x14ac:dyDescent="0.2">
      <c r="B316" s="16"/>
      <c r="E316" s="59"/>
      <c r="F316" s="59"/>
      <c r="I316" s="60"/>
    </row>
    <row r="317" spans="2:9" ht="15.75" customHeight="1" x14ac:dyDescent="0.2">
      <c r="B317" s="16"/>
      <c r="E317" s="59"/>
      <c r="F317" s="59"/>
      <c r="I317" s="60"/>
    </row>
    <row r="318" spans="2:9" ht="15.75" customHeight="1" x14ac:dyDescent="0.2">
      <c r="B318" s="16"/>
      <c r="E318" s="59"/>
      <c r="F318" s="59"/>
      <c r="I318" s="60"/>
    </row>
    <row r="319" spans="2:9" ht="15.75" customHeight="1" x14ac:dyDescent="0.2">
      <c r="B319" s="16"/>
      <c r="E319" s="59"/>
      <c r="F319" s="59"/>
      <c r="I319" s="60"/>
    </row>
    <row r="320" spans="2:9" ht="15.75" customHeight="1" x14ac:dyDescent="0.2">
      <c r="B320" s="16"/>
      <c r="E320" s="59"/>
      <c r="F320" s="59"/>
      <c r="I320" s="60"/>
    </row>
    <row r="321" spans="2:9" ht="15.75" customHeight="1" x14ac:dyDescent="0.2">
      <c r="B321" s="16"/>
      <c r="E321" s="59"/>
      <c r="F321" s="59"/>
      <c r="I321" s="60"/>
    </row>
    <row r="322" spans="2:9" ht="15.75" customHeight="1" x14ac:dyDescent="0.2">
      <c r="B322" s="16"/>
      <c r="E322" s="59"/>
      <c r="F322" s="59"/>
      <c r="I322" s="60"/>
    </row>
    <row r="323" spans="2:9" ht="15.75" customHeight="1" x14ac:dyDescent="0.2">
      <c r="B323" s="16"/>
      <c r="E323" s="59"/>
      <c r="F323" s="59"/>
      <c r="I323" s="60"/>
    </row>
    <row r="324" spans="2:9" ht="15.75" customHeight="1" x14ac:dyDescent="0.2">
      <c r="B324" s="16"/>
      <c r="E324" s="59"/>
      <c r="F324" s="59"/>
      <c r="I324" s="60"/>
    </row>
    <row r="325" spans="2:9" ht="15.75" customHeight="1" x14ac:dyDescent="0.2">
      <c r="B325" s="16"/>
      <c r="E325" s="59"/>
      <c r="F325" s="59"/>
      <c r="I325" s="60"/>
    </row>
    <row r="326" spans="2:9" ht="15.75" customHeight="1" x14ac:dyDescent="0.2">
      <c r="B326" s="16"/>
      <c r="E326" s="59"/>
      <c r="F326" s="59"/>
      <c r="I326" s="60"/>
    </row>
    <row r="327" spans="2:9" ht="15.75" customHeight="1" x14ac:dyDescent="0.2">
      <c r="B327" s="16"/>
      <c r="E327" s="59"/>
      <c r="F327" s="59"/>
      <c r="I327" s="60"/>
    </row>
    <row r="328" spans="2:9" ht="15.75" customHeight="1" x14ac:dyDescent="0.2">
      <c r="B328" s="16"/>
      <c r="E328" s="59"/>
      <c r="F328" s="59"/>
      <c r="I328" s="60"/>
    </row>
    <row r="329" spans="2:9" ht="15.75" customHeight="1" x14ac:dyDescent="0.2">
      <c r="B329" s="16"/>
      <c r="E329" s="59"/>
      <c r="F329" s="59"/>
      <c r="I329" s="60"/>
    </row>
    <row r="330" spans="2:9" ht="15.75" customHeight="1" x14ac:dyDescent="0.2">
      <c r="B330" s="16"/>
      <c r="E330" s="59"/>
      <c r="F330" s="59"/>
      <c r="I330" s="60"/>
    </row>
    <row r="331" spans="2:9" ht="15.75" customHeight="1" x14ac:dyDescent="0.2">
      <c r="B331" s="16"/>
      <c r="E331" s="59"/>
      <c r="F331" s="59"/>
      <c r="I331" s="60"/>
    </row>
    <row r="332" spans="2:9" ht="15.75" customHeight="1" x14ac:dyDescent="0.2">
      <c r="B332" s="16"/>
      <c r="E332" s="59"/>
      <c r="F332" s="59"/>
      <c r="I332" s="60"/>
    </row>
    <row r="333" spans="2:9" ht="15.75" customHeight="1" x14ac:dyDescent="0.2">
      <c r="B333" s="16"/>
      <c r="E333" s="59"/>
      <c r="F333" s="59"/>
      <c r="I333" s="60"/>
    </row>
    <row r="334" spans="2:9" ht="15.75" customHeight="1" x14ac:dyDescent="0.2">
      <c r="B334" s="16"/>
      <c r="E334" s="59"/>
      <c r="F334" s="59"/>
      <c r="I334" s="60"/>
    </row>
    <row r="335" spans="2:9" ht="15.75" customHeight="1" x14ac:dyDescent="0.2">
      <c r="B335" s="16"/>
      <c r="E335" s="59"/>
      <c r="F335" s="59"/>
      <c r="I335" s="60"/>
    </row>
    <row r="336" spans="2:9" ht="15.75" customHeight="1" x14ac:dyDescent="0.2">
      <c r="B336" s="16"/>
      <c r="E336" s="59"/>
      <c r="F336" s="59"/>
      <c r="I336" s="60"/>
    </row>
    <row r="337" spans="2:9" ht="15.75" customHeight="1" x14ac:dyDescent="0.2">
      <c r="B337" s="16"/>
      <c r="E337" s="59"/>
      <c r="F337" s="59"/>
      <c r="I337" s="60"/>
    </row>
    <row r="338" spans="2:9" ht="15.75" customHeight="1" x14ac:dyDescent="0.2">
      <c r="B338" s="16"/>
      <c r="E338" s="59"/>
      <c r="F338" s="59"/>
      <c r="I338" s="60"/>
    </row>
    <row r="339" spans="2:9" ht="15.75" customHeight="1" x14ac:dyDescent="0.2">
      <c r="B339" s="16"/>
      <c r="E339" s="59"/>
      <c r="F339" s="59"/>
      <c r="I339" s="60"/>
    </row>
    <row r="340" spans="2:9" ht="15.75" customHeight="1" x14ac:dyDescent="0.2">
      <c r="B340" s="16"/>
      <c r="E340" s="59"/>
      <c r="F340" s="59"/>
      <c r="I340" s="60"/>
    </row>
    <row r="341" spans="2:9" ht="15.75" customHeight="1" x14ac:dyDescent="0.2">
      <c r="B341" s="16"/>
      <c r="E341" s="59"/>
      <c r="F341" s="59"/>
      <c r="I341" s="60"/>
    </row>
    <row r="342" spans="2:9" ht="15.75" customHeight="1" x14ac:dyDescent="0.2">
      <c r="B342" s="16"/>
      <c r="E342" s="59"/>
      <c r="F342" s="59"/>
      <c r="I342" s="60"/>
    </row>
    <row r="343" spans="2:9" ht="15.75" customHeight="1" x14ac:dyDescent="0.2">
      <c r="B343" s="16"/>
      <c r="E343" s="59"/>
      <c r="F343" s="59"/>
      <c r="I343" s="60"/>
    </row>
    <row r="344" spans="2:9" ht="15.75" customHeight="1" x14ac:dyDescent="0.2">
      <c r="B344" s="16"/>
      <c r="E344" s="59"/>
      <c r="F344" s="59"/>
      <c r="I344" s="60"/>
    </row>
    <row r="345" spans="2:9" ht="15.75" customHeight="1" x14ac:dyDescent="0.2">
      <c r="B345" s="16"/>
      <c r="E345" s="59"/>
      <c r="F345" s="59"/>
      <c r="I345" s="60"/>
    </row>
    <row r="346" spans="2:9" ht="15.75" customHeight="1" x14ac:dyDescent="0.2">
      <c r="B346" s="16"/>
      <c r="E346" s="59"/>
      <c r="F346" s="59"/>
      <c r="I346" s="60"/>
    </row>
    <row r="347" spans="2:9" ht="15.75" customHeight="1" x14ac:dyDescent="0.2">
      <c r="B347" s="16"/>
      <c r="E347" s="59"/>
      <c r="F347" s="59"/>
      <c r="I347" s="60"/>
    </row>
    <row r="348" spans="2:9" ht="15.75" customHeight="1" x14ac:dyDescent="0.2">
      <c r="B348" s="16"/>
      <c r="E348" s="59"/>
      <c r="F348" s="59"/>
      <c r="I348" s="60"/>
    </row>
    <row r="349" spans="2:9" ht="15.75" customHeight="1" x14ac:dyDescent="0.2">
      <c r="B349" s="16"/>
      <c r="E349" s="59"/>
      <c r="F349" s="59"/>
      <c r="I349" s="60"/>
    </row>
    <row r="350" spans="2:9" ht="15.75" customHeight="1" x14ac:dyDescent="0.2">
      <c r="B350" s="16"/>
      <c r="E350" s="59"/>
      <c r="F350" s="59"/>
      <c r="I350" s="60"/>
    </row>
    <row r="351" spans="2:9" ht="15.75" customHeight="1" x14ac:dyDescent="0.2">
      <c r="B351" s="16"/>
      <c r="E351" s="59"/>
      <c r="F351" s="59"/>
      <c r="I351" s="60"/>
    </row>
    <row r="352" spans="2:9" ht="15.75" customHeight="1" x14ac:dyDescent="0.2">
      <c r="B352" s="16"/>
      <c r="E352" s="59"/>
      <c r="F352" s="59"/>
      <c r="I352" s="60"/>
    </row>
    <row r="353" spans="2:9" ht="15.75" customHeight="1" x14ac:dyDescent="0.2">
      <c r="B353" s="16"/>
      <c r="E353" s="59"/>
      <c r="F353" s="59"/>
      <c r="I353" s="60"/>
    </row>
    <row r="354" spans="2:9" ht="15.75" customHeight="1" x14ac:dyDescent="0.2">
      <c r="B354" s="16"/>
      <c r="E354" s="59"/>
      <c r="F354" s="59"/>
      <c r="I354" s="60"/>
    </row>
    <row r="355" spans="2:9" ht="15.75" customHeight="1" x14ac:dyDescent="0.2">
      <c r="B355" s="16"/>
      <c r="E355" s="59"/>
      <c r="F355" s="59"/>
      <c r="I355" s="60"/>
    </row>
    <row r="356" spans="2:9" ht="15.75" customHeight="1" x14ac:dyDescent="0.2">
      <c r="B356" s="16"/>
      <c r="E356" s="59"/>
      <c r="F356" s="59"/>
      <c r="I356" s="60"/>
    </row>
    <row r="357" spans="2:9" ht="15.75" customHeight="1" x14ac:dyDescent="0.2">
      <c r="B357" s="16"/>
      <c r="E357" s="59"/>
      <c r="F357" s="59"/>
      <c r="I357" s="60"/>
    </row>
    <row r="358" spans="2:9" ht="15.75" customHeight="1" x14ac:dyDescent="0.2">
      <c r="B358" s="16"/>
      <c r="E358" s="59"/>
      <c r="F358" s="59"/>
      <c r="I358" s="60"/>
    </row>
    <row r="359" spans="2:9" ht="15.75" customHeight="1" x14ac:dyDescent="0.2">
      <c r="B359" s="16"/>
      <c r="E359" s="59"/>
      <c r="F359" s="59"/>
      <c r="I359" s="60"/>
    </row>
    <row r="360" spans="2:9" ht="15.75" customHeight="1" x14ac:dyDescent="0.2">
      <c r="B360" s="16"/>
      <c r="E360" s="59"/>
      <c r="F360" s="59"/>
      <c r="I360" s="60"/>
    </row>
    <row r="361" spans="2:9" ht="15.75" customHeight="1" x14ac:dyDescent="0.2">
      <c r="B361" s="16"/>
      <c r="E361" s="59"/>
      <c r="F361" s="59"/>
      <c r="I361" s="60"/>
    </row>
    <row r="362" spans="2:9" ht="15.75" customHeight="1" x14ac:dyDescent="0.2">
      <c r="B362" s="16"/>
      <c r="E362" s="59"/>
      <c r="F362" s="59"/>
      <c r="I362" s="60"/>
    </row>
    <row r="363" spans="2:9" ht="15.75" customHeight="1" x14ac:dyDescent="0.2">
      <c r="B363" s="16"/>
      <c r="E363" s="59"/>
      <c r="F363" s="59"/>
      <c r="I363" s="60"/>
    </row>
    <row r="364" spans="2:9" ht="15.75" customHeight="1" x14ac:dyDescent="0.2">
      <c r="B364" s="16"/>
      <c r="E364" s="59"/>
      <c r="F364" s="59"/>
      <c r="I364" s="60"/>
    </row>
    <row r="365" spans="2:9" ht="15.75" customHeight="1" x14ac:dyDescent="0.2">
      <c r="B365" s="16"/>
      <c r="E365" s="59"/>
      <c r="F365" s="59"/>
      <c r="I365" s="60"/>
    </row>
    <row r="366" spans="2:9" ht="15.75" customHeight="1" x14ac:dyDescent="0.2">
      <c r="B366" s="16"/>
      <c r="E366" s="59"/>
      <c r="F366" s="59"/>
      <c r="I366" s="60"/>
    </row>
    <row r="367" spans="2:9" ht="15.75" customHeight="1" x14ac:dyDescent="0.2">
      <c r="B367" s="16"/>
      <c r="E367" s="59"/>
      <c r="F367" s="59"/>
      <c r="I367" s="60"/>
    </row>
    <row r="368" spans="2:9" ht="15.75" customHeight="1" x14ac:dyDescent="0.2">
      <c r="B368" s="16"/>
      <c r="E368" s="59"/>
      <c r="F368" s="59"/>
      <c r="I368" s="60"/>
    </row>
    <row r="369" spans="2:9" ht="15.75" customHeight="1" x14ac:dyDescent="0.2">
      <c r="B369" s="16"/>
      <c r="E369" s="59"/>
      <c r="F369" s="59"/>
      <c r="I369" s="60"/>
    </row>
    <row r="370" spans="2:9" ht="15.75" customHeight="1" x14ac:dyDescent="0.2">
      <c r="B370" s="16"/>
      <c r="E370" s="59"/>
      <c r="F370" s="59"/>
      <c r="I370" s="60"/>
    </row>
    <row r="371" spans="2:9" ht="15.75" customHeight="1" x14ac:dyDescent="0.2">
      <c r="B371" s="16"/>
      <c r="E371" s="59"/>
      <c r="F371" s="59"/>
      <c r="I371" s="60"/>
    </row>
    <row r="372" spans="2:9" ht="15.75" customHeight="1" x14ac:dyDescent="0.2">
      <c r="B372" s="16"/>
      <c r="E372" s="59"/>
      <c r="F372" s="59"/>
      <c r="I372" s="60"/>
    </row>
    <row r="373" spans="2:9" ht="15.75" customHeight="1" x14ac:dyDescent="0.2">
      <c r="B373" s="16"/>
      <c r="E373" s="59"/>
      <c r="F373" s="59"/>
      <c r="I373" s="60"/>
    </row>
    <row r="374" spans="2:9" ht="15.75" customHeight="1" x14ac:dyDescent="0.2">
      <c r="B374" s="16"/>
      <c r="E374" s="59"/>
      <c r="F374" s="59"/>
      <c r="I374" s="60"/>
    </row>
    <row r="375" spans="2:9" ht="15.75" customHeight="1" x14ac:dyDescent="0.2">
      <c r="B375" s="16"/>
      <c r="E375" s="59"/>
      <c r="F375" s="59"/>
      <c r="I375" s="60"/>
    </row>
    <row r="376" spans="2:9" ht="15.75" customHeight="1" x14ac:dyDescent="0.2">
      <c r="B376" s="16"/>
      <c r="E376" s="59"/>
      <c r="F376" s="59"/>
      <c r="I376" s="60"/>
    </row>
    <row r="377" spans="2:9" ht="15.75" customHeight="1" x14ac:dyDescent="0.2">
      <c r="B377" s="16"/>
      <c r="E377" s="59"/>
      <c r="F377" s="59"/>
      <c r="I377" s="60"/>
    </row>
    <row r="378" spans="2:9" ht="15.75" customHeight="1" x14ac:dyDescent="0.2">
      <c r="B378" s="16"/>
      <c r="E378" s="59"/>
      <c r="F378" s="59"/>
      <c r="I378" s="60"/>
    </row>
    <row r="379" spans="2:9" ht="15.75" customHeight="1" x14ac:dyDescent="0.2">
      <c r="B379" s="16"/>
      <c r="E379" s="59"/>
      <c r="F379" s="59"/>
      <c r="I379" s="60"/>
    </row>
    <row r="380" spans="2:9" ht="15.75" customHeight="1" x14ac:dyDescent="0.2">
      <c r="B380" s="16"/>
      <c r="E380" s="59"/>
      <c r="F380" s="59"/>
      <c r="I380" s="60"/>
    </row>
    <row r="381" spans="2:9" ht="15.75" customHeight="1" x14ac:dyDescent="0.2">
      <c r="B381" s="16"/>
      <c r="E381" s="59"/>
      <c r="F381" s="59"/>
      <c r="I381" s="60"/>
    </row>
    <row r="382" spans="2:9" ht="15.75" customHeight="1" x14ac:dyDescent="0.2">
      <c r="B382" s="16"/>
      <c r="E382" s="59"/>
      <c r="F382" s="59"/>
      <c r="I382" s="60"/>
    </row>
    <row r="383" spans="2:9" ht="15.75" customHeight="1" x14ac:dyDescent="0.2">
      <c r="B383" s="16"/>
      <c r="E383" s="59"/>
      <c r="F383" s="59"/>
      <c r="I383" s="60"/>
    </row>
    <row r="384" spans="2:9" ht="15.75" customHeight="1" x14ac:dyDescent="0.2">
      <c r="B384" s="16"/>
      <c r="E384" s="59"/>
      <c r="F384" s="59"/>
      <c r="I384" s="60"/>
    </row>
    <row r="385" spans="2:9" ht="15.75" customHeight="1" x14ac:dyDescent="0.2">
      <c r="B385" s="16"/>
      <c r="E385" s="59"/>
      <c r="F385" s="59"/>
      <c r="I385" s="60"/>
    </row>
    <row r="386" spans="2:9" ht="15.75" customHeight="1" x14ac:dyDescent="0.2">
      <c r="B386" s="16"/>
      <c r="E386" s="59"/>
      <c r="F386" s="59"/>
      <c r="I386" s="60"/>
    </row>
    <row r="387" spans="2:9" ht="15.75" customHeight="1" x14ac:dyDescent="0.2">
      <c r="B387" s="16"/>
      <c r="E387" s="59"/>
      <c r="F387" s="59"/>
      <c r="I387" s="60"/>
    </row>
    <row r="388" spans="2:9" ht="15.75" customHeight="1" x14ac:dyDescent="0.2">
      <c r="B388" s="16"/>
      <c r="E388" s="59"/>
      <c r="F388" s="59"/>
      <c r="I388" s="60"/>
    </row>
    <row r="389" spans="2:9" ht="15.75" customHeight="1" x14ac:dyDescent="0.2">
      <c r="B389" s="16"/>
      <c r="E389" s="59"/>
      <c r="F389" s="59"/>
      <c r="I389" s="60"/>
    </row>
    <row r="390" spans="2:9" ht="15.75" customHeight="1" x14ac:dyDescent="0.2">
      <c r="B390" s="16"/>
      <c r="E390" s="59"/>
      <c r="F390" s="59"/>
      <c r="I390" s="60"/>
    </row>
    <row r="391" spans="2:9" ht="15.75" customHeight="1" x14ac:dyDescent="0.2">
      <c r="B391" s="16"/>
      <c r="E391" s="59"/>
      <c r="F391" s="59"/>
      <c r="I391" s="60"/>
    </row>
    <row r="392" spans="2:9" ht="15.75" customHeight="1" x14ac:dyDescent="0.2">
      <c r="B392" s="16"/>
      <c r="E392" s="59"/>
      <c r="F392" s="59"/>
      <c r="I392" s="60"/>
    </row>
    <row r="393" spans="2:9" ht="15.75" customHeight="1" x14ac:dyDescent="0.2">
      <c r="B393" s="16"/>
      <c r="E393" s="59"/>
      <c r="F393" s="59"/>
      <c r="I393" s="60"/>
    </row>
    <row r="394" spans="2:9" ht="15.75" customHeight="1" x14ac:dyDescent="0.2">
      <c r="B394" s="16"/>
      <c r="E394" s="59"/>
      <c r="F394" s="59"/>
      <c r="I394" s="60"/>
    </row>
    <row r="395" spans="2:9" ht="15.75" customHeight="1" x14ac:dyDescent="0.2">
      <c r="B395" s="16"/>
      <c r="E395" s="59"/>
      <c r="F395" s="59"/>
      <c r="I395" s="60"/>
    </row>
    <row r="396" spans="2:9" ht="15.75" customHeight="1" x14ac:dyDescent="0.2">
      <c r="B396" s="16"/>
      <c r="E396" s="59"/>
      <c r="F396" s="59"/>
      <c r="I396" s="60"/>
    </row>
    <row r="397" spans="2:9" ht="15.75" customHeight="1" x14ac:dyDescent="0.2">
      <c r="B397" s="16"/>
      <c r="E397" s="59"/>
      <c r="F397" s="59"/>
      <c r="I397" s="60"/>
    </row>
    <row r="398" spans="2:9" ht="15.75" customHeight="1" x14ac:dyDescent="0.2">
      <c r="B398" s="16"/>
      <c r="E398" s="59"/>
      <c r="F398" s="59"/>
      <c r="I398" s="60"/>
    </row>
    <row r="399" spans="2:9" ht="15.75" customHeight="1" x14ac:dyDescent="0.2">
      <c r="B399" s="16"/>
      <c r="E399" s="59"/>
      <c r="F399" s="59"/>
      <c r="I399" s="60"/>
    </row>
    <row r="400" spans="2:9" ht="15.75" customHeight="1" x14ac:dyDescent="0.2">
      <c r="B400" s="16"/>
      <c r="E400" s="59"/>
      <c r="F400" s="59"/>
      <c r="I400" s="60"/>
    </row>
    <row r="401" spans="2:9" ht="15.75" customHeight="1" x14ac:dyDescent="0.2">
      <c r="B401" s="16"/>
      <c r="E401" s="59"/>
      <c r="F401" s="59"/>
      <c r="I401" s="60"/>
    </row>
    <row r="402" spans="2:9" ht="15.75" customHeight="1" x14ac:dyDescent="0.2">
      <c r="B402" s="16"/>
      <c r="E402" s="59"/>
      <c r="F402" s="59"/>
      <c r="I402" s="60"/>
    </row>
    <row r="403" spans="2:9" ht="15.75" customHeight="1" x14ac:dyDescent="0.2">
      <c r="B403" s="16"/>
      <c r="E403" s="59"/>
      <c r="F403" s="59"/>
      <c r="I403" s="60"/>
    </row>
    <row r="404" spans="2:9" ht="15.75" customHeight="1" x14ac:dyDescent="0.2">
      <c r="B404" s="16"/>
      <c r="E404" s="59"/>
      <c r="F404" s="59"/>
      <c r="I404" s="60"/>
    </row>
    <row r="405" spans="2:9" ht="15.75" customHeight="1" x14ac:dyDescent="0.2">
      <c r="B405" s="16"/>
      <c r="E405" s="59"/>
      <c r="F405" s="59"/>
      <c r="I405" s="60"/>
    </row>
    <row r="406" spans="2:9" ht="15.75" customHeight="1" x14ac:dyDescent="0.2">
      <c r="B406" s="16"/>
      <c r="E406" s="59"/>
      <c r="F406" s="59"/>
      <c r="I406" s="60"/>
    </row>
    <row r="407" spans="2:9" ht="15.75" customHeight="1" x14ac:dyDescent="0.2">
      <c r="B407" s="16"/>
      <c r="E407" s="59"/>
      <c r="F407" s="59"/>
      <c r="I407" s="60"/>
    </row>
    <row r="408" spans="2:9" ht="15.75" customHeight="1" x14ac:dyDescent="0.2">
      <c r="B408" s="16"/>
      <c r="E408" s="59"/>
      <c r="F408" s="59"/>
      <c r="I408" s="60"/>
    </row>
    <row r="409" spans="2:9" ht="15.75" customHeight="1" x14ac:dyDescent="0.2">
      <c r="B409" s="16"/>
      <c r="E409" s="59"/>
      <c r="F409" s="59"/>
      <c r="I409" s="60"/>
    </row>
    <row r="410" spans="2:9" ht="15.75" customHeight="1" x14ac:dyDescent="0.2">
      <c r="B410" s="16"/>
      <c r="E410" s="59"/>
      <c r="F410" s="59"/>
      <c r="I410" s="60"/>
    </row>
    <row r="411" spans="2:9" ht="15.75" customHeight="1" x14ac:dyDescent="0.2">
      <c r="B411" s="16"/>
      <c r="E411" s="59"/>
      <c r="F411" s="59"/>
      <c r="I411" s="60"/>
    </row>
    <row r="412" spans="2:9" ht="15.75" customHeight="1" x14ac:dyDescent="0.2">
      <c r="B412" s="16"/>
      <c r="E412" s="59"/>
      <c r="F412" s="59"/>
      <c r="I412" s="60"/>
    </row>
    <row r="413" spans="2:9" ht="15.75" customHeight="1" x14ac:dyDescent="0.2">
      <c r="B413" s="16"/>
      <c r="E413" s="59"/>
      <c r="F413" s="59"/>
      <c r="I413" s="60"/>
    </row>
    <row r="414" spans="2:9" ht="15.75" customHeight="1" x14ac:dyDescent="0.2">
      <c r="B414" s="16"/>
      <c r="E414" s="59"/>
      <c r="F414" s="59"/>
      <c r="I414" s="60"/>
    </row>
    <row r="415" spans="2:9" ht="15.75" customHeight="1" x14ac:dyDescent="0.2">
      <c r="B415" s="16"/>
      <c r="E415" s="59"/>
      <c r="F415" s="59"/>
      <c r="I415" s="60"/>
    </row>
    <row r="416" spans="2:9" ht="15.75" customHeight="1" x14ac:dyDescent="0.2">
      <c r="B416" s="16"/>
      <c r="E416" s="59"/>
      <c r="F416" s="59"/>
      <c r="I416" s="60"/>
    </row>
    <row r="417" spans="2:9" ht="15.75" customHeight="1" x14ac:dyDescent="0.2">
      <c r="B417" s="16"/>
      <c r="E417" s="59"/>
      <c r="F417" s="59"/>
      <c r="I417" s="60"/>
    </row>
    <row r="418" spans="2:9" ht="15.75" customHeight="1" x14ac:dyDescent="0.2">
      <c r="B418" s="16"/>
      <c r="E418" s="59"/>
      <c r="F418" s="59"/>
      <c r="I418" s="60"/>
    </row>
    <row r="419" spans="2:9" ht="15.75" customHeight="1" x14ac:dyDescent="0.2">
      <c r="B419" s="16"/>
      <c r="E419" s="59"/>
      <c r="F419" s="59"/>
      <c r="I419" s="60"/>
    </row>
    <row r="420" spans="2:9" ht="15.75" customHeight="1" x14ac:dyDescent="0.2">
      <c r="B420" s="16"/>
      <c r="E420" s="59"/>
      <c r="F420" s="59"/>
      <c r="I420" s="60"/>
    </row>
    <row r="421" spans="2:9" ht="15.75" customHeight="1" x14ac:dyDescent="0.2">
      <c r="B421" s="16"/>
      <c r="E421" s="59"/>
      <c r="F421" s="59"/>
      <c r="I421" s="60"/>
    </row>
    <row r="422" spans="2:9" ht="15.75" customHeight="1" x14ac:dyDescent="0.2">
      <c r="B422" s="16"/>
      <c r="E422" s="59"/>
      <c r="F422" s="59"/>
      <c r="I422" s="60"/>
    </row>
    <row r="423" spans="2:9" ht="15.75" customHeight="1" x14ac:dyDescent="0.2">
      <c r="B423" s="16"/>
      <c r="E423" s="59"/>
      <c r="F423" s="59"/>
      <c r="I423" s="60"/>
    </row>
    <row r="424" spans="2:9" ht="15.75" customHeight="1" x14ac:dyDescent="0.2">
      <c r="B424" s="16"/>
      <c r="E424" s="59"/>
      <c r="F424" s="59"/>
      <c r="I424" s="60"/>
    </row>
    <row r="425" spans="2:9" ht="15.75" customHeight="1" x14ac:dyDescent="0.2">
      <c r="B425" s="16"/>
      <c r="E425" s="59"/>
      <c r="F425" s="59"/>
      <c r="I425" s="60"/>
    </row>
    <row r="426" spans="2:9" ht="15.75" customHeight="1" x14ac:dyDescent="0.2">
      <c r="B426" s="16"/>
      <c r="E426" s="59"/>
      <c r="F426" s="59"/>
      <c r="I426" s="60"/>
    </row>
    <row r="427" spans="2:9" ht="15.75" customHeight="1" x14ac:dyDescent="0.2">
      <c r="B427" s="16"/>
      <c r="E427" s="59"/>
      <c r="F427" s="59"/>
      <c r="I427" s="60"/>
    </row>
    <row r="428" spans="2:9" ht="15.75" customHeight="1" x14ac:dyDescent="0.2">
      <c r="B428" s="16"/>
      <c r="E428" s="59"/>
      <c r="F428" s="59"/>
      <c r="I428" s="60"/>
    </row>
    <row r="429" spans="2:9" ht="15.75" customHeight="1" x14ac:dyDescent="0.2">
      <c r="B429" s="16"/>
      <c r="E429" s="59"/>
      <c r="F429" s="59"/>
      <c r="I429" s="60"/>
    </row>
    <row r="430" spans="2:9" ht="15.75" customHeight="1" x14ac:dyDescent="0.2">
      <c r="B430" s="16"/>
      <c r="E430" s="59"/>
      <c r="F430" s="59"/>
      <c r="I430" s="60"/>
    </row>
    <row r="431" spans="2:9" ht="15.75" customHeight="1" x14ac:dyDescent="0.2">
      <c r="B431" s="16"/>
      <c r="E431" s="59"/>
      <c r="F431" s="59"/>
      <c r="I431" s="60"/>
    </row>
    <row r="432" spans="2:9" ht="15.75" customHeight="1" x14ac:dyDescent="0.2">
      <c r="B432" s="16"/>
      <c r="E432" s="59"/>
      <c r="F432" s="59"/>
      <c r="I432" s="60"/>
    </row>
    <row r="433" spans="2:9" ht="15.75" customHeight="1" x14ac:dyDescent="0.2">
      <c r="B433" s="16"/>
      <c r="E433" s="59"/>
      <c r="F433" s="59"/>
      <c r="I433" s="60"/>
    </row>
    <row r="434" spans="2:9" ht="15.75" customHeight="1" x14ac:dyDescent="0.2">
      <c r="B434" s="16"/>
      <c r="E434" s="59"/>
      <c r="F434" s="59"/>
      <c r="I434" s="60"/>
    </row>
    <row r="435" spans="2:9" ht="15.75" customHeight="1" x14ac:dyDescent="0.2">
      <c r="B435" s="16"/>
      <c r="E435" s="59"/>
      <c r="F435" s="59"/>
      <c r="I435" s="60"/>
    </row>
    <row r="436" spans="2:9" ht="15.75" customHeight="1" x14ac:dyDescent="0.2">
      <c r="B436" s="16"/>
      <c r="E436" s="59"/>
      <c r="F436" s="59"/>
      <c r="I436" s="60"/>
    </row>
    <row r="437" spans="2:9" ht="15.75" customHeight="1" x14ac:dyDescent="0.2">
      <c r="B437" s="16"/>
      <c r="E437" s="59"/>
      <c r="F437" s="59"/>
      <c r="I437" s="60"/>
    </row>
    <row r="438" spans="2:9" ht="15.75" customHeight="1" x14ac:dyDescent="0.2">
      <c r="B438" s="16"/>
      <c r="E438" s="59"/>
      <c r="F438" s="59"/>
      <c r="I438" s="60"/>
    </row>
    <row r="439" spans="2:9" ht="15.75" customHeight="1" x14ac:dyDescent="0.2">
      <c r="B439" s="16"/>
      <c r="E439" s="59"/>
      <c r="F439" s="59"/>
      <c r="I439" s="60"/>
    </row>
    <row r="440" spans="2:9" ht="15.75" customHeight="1" x14ac:dyDescent="0.2">
      <c r="B440" s="16"/>
      <c r="E440" s="59"/>
      <c r="F440" s="59"/>
      <c r="I440" s="60"/>
    </row>
    <row r="441" spans="2:9" ht="15.75" customHeight="1" x14ac:dyDescent="0.2">
      <c r="B441" s="16"/>
      <c r="E441" s="59"/>
      <c r="F441" s="59"/>
      <c r="I441" s="60"/>
    </row>
    <row r="442" spans="2:9" ht="15.75" customHeight="1" x14ac:dyDescent="0.2">
      <c r="B442" s="16"/>
      <c r="E442" s="59"/>
      <c r="F442" s="59"/>
      <c r="I442" s="60"/>
    </row>
    <row r="443" spans="2:9" ht="15.75" customHeight="1" x14ac:dyDescent="0.2">
      <c r="B443" s="16"/>
      <c r="E443" s="59"/>
      <c r="F443" s="59"/>
      <c r="I443" s="60"/>
    </row>
    <row r="444" spans="2:9" ht="15.75" customHeight="1" x14ac:dyDescent="0.2">
      <c r="B444" s="16"/>
      <c r="E444" s="59"/>
      <c r="F444" s="59"/>
      <c r="I444" s="60"/>
    </row>
    <row r="445" spans="2:9" ht="15.75" customHeight="1" x14ac:dyDescent="0.2">
      <c r="B445" s="16"/>
      <c r="E445" s="59"/>
      <c r="F445" s="59"/>
      <c r="I445" s="60"/>
    </row>
    <row r="446" spans="2:9" ht="15.75" customHeight="1" x14ac:dyDescent="0.2">
      <c r="B446" s="16"/>
      <c r="E446" s="59"/>
      <c r="F446" s="59"/>
      <c r="I446" s="60"/>
    </row>
    <row r="447" spans="2:9" ht="15.75" customHeight="1" x14ac:dyDescent="0.2">
      <c r="B447" s="16"/>
      <c r="E447" s="59"/>
      <c r="F447" s="59"/>
      <c r="I447" s="60"/>
    </row>
    <row r="448" spans="2:9" ht="15.75" customHeight="1" x14ac:dyDescent="0.2">
      <c r="B448" s="16"/>
      <c r="E448" s="59"/>
      <c r="F448" s="59"/>
      <c r="I448" s="60"/>
    </row>
    <row r="449" spans="2:9" ht="15.75" customHeight="1" x14ac:dyDescent="0.2">
      <c r="B449" s="16"/>
      <c r="E449" s="59"/>
      <c r="F449" s="59"/>
      <c r="I449" s="60"/>
    </row>
    <row r="450" spans="2:9" ht="15.75" customHeight="1" x14ac:dyDescent="0.2">
      <c r="B450" s="16"/>
      <c r="E450" s="59"/>
      <c r="F450" s="59"/>
      <c r="I450" s="60"/>
    </row>
    <row r="451" spans="2:9" ht="15.75" customHeight="1" x14ac:dyDescent="0.2">
      <c r="B451" s="16"/>
      <c r="E451" s="59"/>
      <c r="F451" s="59"/>
      <c r="I451" s="60"/>
    </row>
    <row r="452" spans="2:9" ht="15.75" customHeight="1" x14ac:dyDescent="0.2">
      <c r="B452" s="16"/>
      <c r="E452" s="59"/>
      <c r="F452" s="59"/>
      <c r="I452" s="60"/>
    </row>
    <row r="453" spans="2:9" ht="15.75" customHeight="1" x14ac:dyDescent="0.2">
      <c r="B453" s="16"/>
      <c r="E453" s="59"/>
      <c r="F453" s="59"/>
      <c r="I453" s="60"/>
    </row>
    <row r="454" spans="2:9" ht="15.75" customHeight="1" x14ac:dyDescent="0.2">
      <c r="B454" s="16"/>
      <c r="E454" s="59"/>
      <c r="F454" s="59"/>
      <c r="I454" s="60"/>
    </row>
    <row r="455" spans="2:9" ht="15.75" customHeight="1" x14ac:dyDescent="0.2">
      <c r="B455" s="16"/>
      <c r="E455" s="59"/>
      <c r="F455" s="59"/>
      <c r="I455" s="60"/>
    </row>
    <row r="456" spans="2:9" ht="15.75" customHeight="1" x14ac:dyDescent="0.2">
      <c r="B456" s="16"/>
      <c r="E456" s="59"/>
      <c r="F456" s="59"/>
      <c r="I456" s="60"/>
    </row>
    <row r="457" spans="2:9" ht="15.75" customHeight="1" x14ac:dyDescent="0.2">
      <c r="B457" s="16"/>
      <c r="E457" s="59"/>
      <c r="F457" s="59"/>
      <c r="I457" s="60"/>
    </row>
    <row r="458" spans="2:9" ht="15.75" customHeight="1" x14ac:dyDescent="0.2">
      <c r="B458" s="16"/>
      <c r="E458" s="59"/>
      <c r="F458" s="59"/>
      <c r="I458" s="60"/>
    </row>
    <row r="459" spans="2:9" ht="15.75" customHeight="1" x14ac:dyDescent="0.2">
      <c r="B459" s="16"/>
      <c r="E459" s="59"/>
      <c r="F459" s="59"/>
      <c r="I459" s="60"/>
    </row>
    <row r="460" spans="2:9" ht="15.75" customHeight="1" x14ac:dyDescent="0.2">
      <c r="B460" s="16"/>
      <c r="E460" s="59"/>
      <c r="F460" s="59"/>
      <c r="I460" s="60"/>
    </row>
    <row r="461" spans="2:9" ht="15.75" customHeight="1" x14ac:dyDescent="0.2">
      <c r="B461" s="16"/>
      <c r="E461" s="59"/>
      <c r="F461" s="59"/>
      <c r="I461" s="60"/>
    </row>
    <row r="462" spans="2:9" ht="15.75" customHeight="1" x14ac:dyDescent="0.2">
      <c r="B462" s="16"/>
      <c r="E462" s="59"/>
      <c r="F462" s="59"/>
      <c r="I462" s="60"/>
    </row>
    <row r="463" spans="2:9" ht="15.75" customHeight="1" x14ac:dyDescent="0.2">
      <c r="B463" s="16"/>
      <c r="E463" s="59"/>
      <c r="F463" s="59"/>
      <c r="I463" s="60"/>
    </row>
    <row r="464" spans="2:9" ht="15.75" customHeight="1" x14ac:dyDescent="0.2">
      <c r="B464" s="16"/>
      <c r="E464" s="59"/>
      <c r="F464" s="59"/>
      <c r="I464" s="60"/>
    </row>
    <row r="465" spans="2:9" ht="15.75" customHeight="1" x14ac:dyDescent="0.2">
      <c r="B465" s="16"/>
      <c r="E465" s="59"/>
      <c r="F465" s="59"/>
      <c r="I465" s="60"/>
    </row>
    <row r="466" spans="2:9" ht="15.75" customHeight="1" x14ac:dyDescent="0.2">
      <c r="B466" s="16"/>
      <c r="E466" s="59"/>
      <c r="F466" s="59"/>
      <c r="I466" s="60"/>
    </row>
    <row r="467" spans="2:9" ht="15.75" customHeight="1" x14ac:dyDescent="0.2">
      <c r="B467" s="16"/>
      <c r="E467" s="59"/>
      <c r="F467" s="59"/>
      <c r="I467" s="60"/>
    </row>
    <row r="468" spans="2:9" ht="15.75" customHeight="1" x14ac:dyDescent="0.2">
      <c r="B468" s="16"/>
      <c r="E468" s="59"/>
      <c r="F468" s="59"/>
      <c r="I468" s="60"/>
    </row>
    <row r="469" spans="2:9" ht="15.75" customHeight="1" x14ac:dyDescent="0.2">
      <c r="B469" s="16"/>
      <c r="E469" s="59"/>
      <c r="F469" s="59"/>
      <c r="I469" s="60"/>
    </row>
    <row r="470" spans="2:9" ht="15.75" customHeight="1" x14ac:dyDescent="0.2">
      <c r="B470" s="16"/>
      <c r="E470" s="59"/>
      <c r="F470" s="59"/>
      <c r="I470" s="60"/>
    </row>
    <row r="471" spans="2:9" ht="15.75" customHeight="1" x14ac:dyDescent="0.2">
      <c r="B471" s="16"/>
      <c r="E471" s="59"/>
      <c r="F471" s="59"/>
      <c r="I471" s="60"/>
    </row>
    <row r="472" spans="2:9" ht="15.75" customHeight="1" x14ac:dyDescent="0.2">
      <c r="B472" s="16"/>
      <c r="E472" s="59"/>
      <c r="F472" s="59"/>
      <c r="I472" s="60"/>
    </row>
    <row r="473" spans="2:9" ht="15.75" customHeight="1" x14ac:dyDescent="0.2">
      <c r="B473" s="16"/>
      <c r="E473" s="59"/>
      <c r="F473" s="59"/>
      <c r="I473" s="60"/>
    </row>
    <row r="474" spans="2:9" ht="15.75" customHeight="1" x14ac:dyDescent="0.2">
      <c r="B474" s="16"/>
      <c r="E474" s="59"/>
      <c r="F474" s="59"/>
      <c r="I474" s="60"/>
    </row>
    <row r="475" spans="2:9" ht="15.75" customHeight="1" x14ac:dyDescent="0.2">
      <c r="B475" s="16"/>
      <c r="E475" s="59"/>
      <c r="F475" s="59"/>
      <c r="I475" s="60"/>
    </row>
    <row r="476" spans="2:9" ht="15.75" customHeight="1" x14ac:dyDescent="0.2">
      <c r="B476" s="16"/>
      <c r="E476" s="59"/>
      <c r="F476" s="59"/>
      <c r="I476" s="60"/>
    </row>
    <row r="477" spans="2:9" ht="15.75" customHeight="1" x14ac:dyDescent="0.2">
      <c r="B477" s="16"/>
      <c r="E477" s="59"/>
      <c r="F477" s="59"/>
      <c r="I477" s="60"/>
    </row>
    <row r="478" spans="2:9" ht="15.75" customHeight="1" x14ac:dyDescent="0.2">
      <c r="B478" s="16"/>
      <c r="E478" s="59"/>
      <c r="F478" s="59"/>
      <c r="I478" s="60"/>
    </row>
    <row r="479" spans="2:9" ht="15.75" customHeight="1" x14ac:dyDescent="0.2">
      <c r="B479" s="16"/>
      <c r="E479" s="59"/>
      <c r="F479" s="59"/>
      <c r="I479" s="60"/>
    </row>
    <row r="480" spans="2:9" ht="15.75" customHeight="1" x14ac:dyDescent="0.2">
      <c r="B480" s="16"/>
      <c r="E480" s="59"/>
      <c r="F480" s="59"/>
      <c r="I480" s="60"/>
    </row>
    <row r="481" spans="2:9" ht="15.75" customHeight="1" x14ac:dyDescent="0.2">
      <c r="B481" s="16"/>
      <c r="E481" s="59"/>
      <c r="F481" s="59"/>
      <c r="I481" s="60"/>
    </row>
    <row r="482" spans="2:9" ht="15.75" customHeight="1" x14ac:dyDescent="0.2">
      <c r="B482" s="16"/>
      <c r="E482" s="59"/>
      <c r="F482" s="59"/>
      <c r="I482" s="60"/>
    </row>
    <row r="483" spans="2:9" ht="15.75" customHeight="1" x14ac:dyDescent="0.2">
      <c r="B483" s="16"/>
      <c r="E483" s="59"/>
      <c r="F483" s="59"/>
      <c r="I483" s="60"/>
    </row>
    <row r="484" spans="2:9" ht="15.75" customHeight="1" x14ac:dyDescent="0.2">
      <c r="B484" s="16"/>
      <c r="E484" s="59"/>
      <c r="F484" s="59"/>
      <c r="I484" s="60"/>
    </row>
    <row r="485" spans="2:9" ht="15.75" customHeight="1" x14ac:dyDescent="0.2">
      <c r="B485" s="16"/>
      <c r="E485" s="59"/>
      <c r="F485" s="59"/>
      <c r="I485" s="60"/>
    </row>
    <row r="486" spans="2:9" ht="15.75" customHeight="1" x14ac:dyDescent="0.2">
      <c r="B486" s="16"/>
      <c r="E486" s="59"/>
      <c r="F486" s="59"/>
      <c r="I486" s="60"/>
    </row>
    <row r="487" spans="2:9" ht="15.75" customHeight="1" x14ac:dyDescent="0.2">
      <c r="B487" s="16"/>
      <c r="E487" s="59"/>
      <c r="F487" s="59"/>
      <c r="I487" s="60"/>
    </row>
    <row r="488" spans="2:9" ht="15.75" customHeight="1" x14ac:dyDescent="0.2">
      <c r="B488" s="16"/>
      <c r="E488" s="59"/>
      <c r="F488" s="59"/>
      <c r="I488" s="60"/>
    </row>
    <row r="489" spans="2:9" ht="15.75" customHeight="1" x14ac:dyDescent="0.2">
      <c r="B489" s="16"/>
      <c r="E489" s="59"/>
      <c r="F489" s="59"/>
      <c r="I489" s="60"/>
    </row>
    <row r="490" spans="2:9" ht="15.75" customHeight="1" x14ac:dyDescent="0.2">
      <c r="B490" s="16"/>
      <c r="E490" s="59"/>
      <c r="F490" s="59"/>
      <c r="I490" s="60"/>
    </row>
    <row r="491" spans="2:9" ht="15.75" customHeight="1" x14ac:dyDescent="0.2">
      <c r="B491" s="16"/>
      <c r="E491" s="59"/>
      <c r="F491" s="59"/>
      <c r="I491" s="60"/>
    </row>
    <row r="492" spans="2:9" ht="15.75" customHeight="1" x14ac:dyDescent="0.2">
      <c r="B492" s="16"/>
      <c r="E492" s="59"/>
      <c r="F492" s="59"/>
      <c r="I492" s="60"/>
    </row>
    <row r="493" spans="2:9" ht="15.75" customHeight="1" x14ac:dyDescent="0.2">
      <c r="B493" s="16"/>
      <c r="E493" s="59"/>
      <c r="F493" s="59"/>
      <c r="I493" s="60"/>
    </row>
    <row r="494" spans="2:9" ht="15.75" customHeight="1" x14ac:dyDescent="0.2">
      <c r="B494" s="16"/>
      <c r="E494" s="59"/>
      <c r="F494" s="59"/>
      <c r="I494" s="60"/>
    </row>
    <row r="495" spans="2:9" ht="15.75" customHeight="1" x14ac:dyDescent="0.2">
      <c r="B495" s="16"/>
      <c r="E495" s="59"/>
      <c r="F495" s="59"/>
      <c r="I495" s="60"/>
    </row>
    <row r="496" spans="2:9" ht="15.75" customHeight="1" x14ac:dyDescent="0.2">
      <c r="B496" s="16"/>
      <c r="E496" s="59"/>
      <c r="F496" s="59"/>
      <c r="I496" s="60"/>
    </row>
    <row r="497" spans="2:9" ht="15.75" customHeight="1" x14ac:dyDescent="0.2">
      <c r="B497" s="16"/>
      <c r="E497" s="59"/>
      <c r="F497" s="59"/>
      <c r="I497" s="60"/>
    </row>
    <row r="498" spans="2:9" ht="15.75" customHeight="1" x14ac:dyDescent="0.2">
      <c r="B498" s="16"/>
      <c r="E498" s="59"/>
      <c r="F498" s="59"/>
      <c r="I498" s="60"/>
    </row>
    <row r="499" spans="2:9" ht="15.75" customHeight="1" x14ac:dyDescent="0.2">
      <c r="B499" s="16"/>
      <c r="E499" s="59"/>
      <c r="F499" s="59"/>
      <c r="I499" s="60"/>
    </row>
    <row r="500" spans="2:9" ht="15.75" customHeight="1" x14ac:dyDescent="0.2">
      <c r="B500" s="16"/>
      <c r="E500" s="59"/>
      <c r="F500" s="59"/>
      <c r="I500" s="60"/>
    </row>
    <row r="501" spans="2:9" ht="15.75" customHeight="1" x14ac:dyDescent="0.2">
      <c r="B501" s="16"/>
      <c r="E501" s="59"/>
      <c r="F501" s="59"/>
      <c r="I501" s="60"/>
    </row>
    <row r="502" spans="2:9" ht="15.75" customHeight="1" x14ac:dyDescent="0.2">
      <c r="B502" s="16"/>
      <c r="E502" s="59"/>
      <c r="F502" s="59"/>
      <c r="I502" s="60"/>
    </row>
    <row r="503" spans="2:9" ht="15.75" customHeight="1" x14ac:dyDescent="0.2">
      <c r="B503" s="16"/>
      <c r="E503" s="59"/>
      <c r="F503" s="59"/>
      <c r="I503" s="60"/>
    </row>
    <row r="504" spans="2:9" ht="15.75" customHeight="1" x14ac:dyDescent="0.2">
      <c r="B504" s="16"/>
      <c r="E504" s="59"/>
      <c r="F504" s="59"/>
      <c r="I504" s="60"/>
    </row>
    <row r="505" spans="2:9" ht="15.75" customHeight="1" x14ac:dyDescent="0.2">
      <c r="B505" s="16"/>
      <c r="E505" s="59"/>
      <c r="F505" s="59"/>
      <c r="I505" s="60"/>
    </row>
    <row r="506" spans="2:9" ht="15.75" customHeight="1" x14ac:dyDescent="0.2">
      <c r="B506" s="16"/>
      <c r="E506" s="59"/>
      <c r="F506" s="59"/>
      <c r="I506" s="60"/>
    </row>
    <row r="507" spans="2:9" ht="15.75" customHeight="1" x14ac:dyDescent="0.2">
      <c r="B507" s="16"/>
      <c r="E507" s="59"/>
      <c r="F507" s="59"/>
      <c r="I507" s="60"/>
    </row>
    <row r="508" spans="2:9" ht="15.75" customHeight="1" x14ac:dyDescent="0.2">
      <c r="B508" s="16"/>
      <c r="E508" s="59"/>
      <c r="F508" s="59"/>
      <c r="I508" s="60"/>
    </row>
    <row r="509" spans="2:9" ht="15.75" customHeight="1" x14ac:dyDescent="0.2">
      <c r="B509" s="16"/>
      <c r="E509" s="59"/>
      <c r="F509" s="59"/>
      <c r="I509" s="60"/>
    </row>
    <row r="510" spans="2:9" ht="15.75" customHeight="1" x14ac:dyDescent="0.2">
      <c r="B510" s="16"/>
      <c r="E510" s="59"/>
      <c r="F510" s="59"/>
      <c r="I510" s="60"/>
    </row>
    <row r="511" spans="2:9" ht="15.75" customHeight="1" x14ac:dyDescent="0.2">
      <c r="B511" s="16"/>
      <c r="E511" s="59"/>
      <c r="F511" s="59"/>
      <c r="I511" s="60"/>
    </row>
    <row r="512" spans="2:9" ht="15.75" customHeight="1" x14ac:dyDescent="0.2">
      <c r="B512" s="16"/>
      <c r="E512" s="59"/>
      <c r="F512" s="59"/>
      <c r="I512" s="60"/>
    </row>
    <row r="513" spans="2:9" ht="15.75" customHeight="1" x14ac:dyDescent="0.2">
      <c r="B513" s="16"/>
      <c r="E513" s="59"/>
      <c r="F513" s="59"/>
      <c r="I513" s="60"/>
    </row>
    <row r="514" spans="2:9" ht="15.75" customHeight="1" x14ac:dyDescent="0.2">
      <c r="B514" s="16"/>
      <c r="E514" s="59"/>
      <c r="F514" s="59"/>
      <c r="I514" s="60"/>
    </row>
    <row r="515" spans="2:9" ht="15.75" customHeight="1" x14ac:dyDescent="0.2">
      <c r="B515" s="16"/>
      <c r="E515" s="59"/>
      <c r="F515" s="59"/>
      <c r="I515" s="60"/>
    </row>
    <row r="516" spans="2:9" ht="15.75" customHeight="1" x14ac:dyDescent="0.2">
      <c r="B516" s="16"/>
      <c r="E516" s="59"/>
      <c r="F516" s="59"/>
      <c r="I516" s="60"/>
    </row>
    <row r="517" spans="2:9" ht="15.75" customHeight="1" x14ac:dyDescent="0.2">
      <c r="B517" s="16"/>
      <c r="E517" s="59"/>
      <c r="F517" s="59"/>
      <c r="I517" s="60"/>
    </row>
    <row r="518" spans="2:9" ht="15.75" customHeight="1" x14ac:dyDescent="0.2">
      <c r="B518" s="16"/>
      <c r="E518" s="59"/>
      <c r="F518" s="59"/>
      <c r="I518" s="60"/>
    </row>
    <row r="519" spans="2:9" ht="15.75" customHeight="1" x14ac:dyDescent="0.2">
      <c r="B519" s="16"/>
      <c r="E519" s="59"/>
      <c r="F519" s="59"/>
      <c r="I519" s="60"/>
    </row>
    <row r="520" spans="2:9" ht="15.75" customHeight="1" x14ac:dyDescent="0.2">
      <c r="B520" s="16"/>
      <c r="E520" s="59"/>
      <c r="F520" s="59"/>
      <c r="I520" s="60"/>
    </row>
    <row r="521" spans="2:9" ht="15.75" customHeight="1" x14ac:dyDescent="0.2">
      <c r="B521" s="16"/>
      <c r="E521" s="59"/>
      <c r="F521" s="59"/>
      <c r="I521" s="60"/>
    </row>
    <row r="522" spans="2:9" ht="15.75" customHeight="1" x14ac:dyDescent="0.2">
      <c r="B522" s="16"/>
      <c r="E522" s="59"/>
      <c r="F522" s="59"/>
      <c r="I522" s="60"/>
    </row>
    <row r="523" spans="2:9" ht="15.75" customHeight="1" x14ac:dyDescent="0.2">
      <c r="B523" s="16"/>
      <c r="E523" s="59"/>
      <c r="F523" s="59"/>
      <c r="I523" s="60"/>
    </row>
    <row r="524" spans="2:9" ht="15.75" customHeight="1" x14ac:dyDescent="0.2">
      <c r="B524" s="16"/>
      <c r="E524" s="59"/>
      <c r="F524" s="59"/>
      <c r="I524" s="60"/>
    </row>
    <row r="525" spans="2:9" ht="15.75" customHeight="1" x14ac:dyDescent="0.2">
      <c r="B525" s="16"/>
      <c r="E525" s="59"/>
      <c r="F525" s="59"/>
      <c r="I525" s="60"/>
    </row>
    <row r="526" spans="2:9" ht="15.75" customHeight="1" x14ac:dyDescent="0.2">
      <c r="B526" s="16"/>
      <c r="E526" s="59"/>
      <c r="F526" s="59"/>
      <c r="I526" s="60"/>
    </row>
    <row r="527" spans="2:9" ht="15.75" customHeight="1" x14ac:dyDescent="0.2">
      <c r="B527" s="16"/>
      <c r="E527" s="59"/>
      <c r="F527" s="59"/>
      <c r="I527" s="60"/>
    </row>
    <row r="528" spans="2:9" ht="15.75" customHeight="1" x14ac:dyDescent="0.2">
      <c r="B528" s="16"/>
      <c r="E528" s="59"/>
      <c r="F528" s="59"/>
      <c r="I528" s="60"/>
    </row>
    <row r="529" spans="2:9" ht="15.75" customHeight="1" x14ac:dyDescent="0.2">
      <c r="B529" s="16"/>
      <c r="E529" s="59"/>
      <c r="F529" s="59"/>
      <c r="I529" s="60"/>
    </row>
    <row r="530" spans="2:9" ht="15.75" customHeight="1" x14ac:dyDescent="0.2">
      <c r="B530" s="16"/>
      <c r="E530" s="59"/>
      <c r="F530" s="59"/>
      <c r="I530" s="60"/>
    </row>
    <row r="531" spans="2:9" ht="15.75" customHeight="1" x14ac:dyDescent="0.2">
      <c r="B531" s="16"/>
      <c r="E531" s="59"/>
      <c r="F531" s="59"/>
      <c r="I531" s="60"/>
    </row>
    <row r="532" spans="2:9" ht="15.75" customHeight="1" x14ac:dyDescent="0.2">
      <c r="B532" s="16"/>
      <c r="E532" s="59"/>
      <c r="F532" s="59"/>
      <c r="I532" s="60"/>
    </row>
    <row r="533" spans="2:9" ht="15.75" customHeight="1" x14ac:dyDescent="0.2">
      <c r="B533" s="16"/>
      <c r="E533" s="59"/>
      <c r="F533" s="59"/>
      <c r="I533" s="60"/>
    </row>
    <row r="534" spans="2:9" ht="15.75" customHeight="1" x14ac:dyDescent="0.2">
      <c r="B534" s="16"/>
      <c r="E534" s="59"/>
      <c r="F534" s="59"/>
      <c r="I534" s="60"/>
    </row>
    <row r="535" spans="2:9" ht="15.75" customHeight="1" x14ac:dyDescent="0.2">
      <c r="B535" s="16"/>
      <c r="E535" s="59"/>
      <c r="F535" s="59"/>
      <c r="I535" s="60"/>
    </row>
    <row r="536" spans="2:9" ht="15.75" customHeight="1" x14ac:dyDescent="0.2">
      <c r="B536" s="16"/>
      <c r="E536" s="59"/>
      <c r="F536" s="59"/>
      <c r="I536" s="60"/>
    </row>
    <row r="537" spans="2:9" ht="15.75" customHeight="1" x14ac:dyDescent="0.2">
      <c r="B537" s="16"/>
      <c r="E537" s="59"/>
      <c r="F537" s="59"/>
      <c r="I537" s="60"/>
    </row>
    <row r="538" spans="2:9" ht="15.75" customHeight="1" x14ac:dyDescent="0.2">
      <c r="B538" s="16"/>
      <c r="E538" s="59"/>
      <c r="F538" s="59"/>
      <c r="I538" s="60"/>
    </row>
    <row r="539" spans="2:9" ht="15.75" customHeight="1" x14ac:dyDescent="0.2">
      <c r="B539" s="16"/>
      <c r="E539" s="59"/>
      <c r="F539" s="59"/>
      <c r="I539" s="60"/>
    </row>
    <row r="540" spans="2:9" ht="15.75" customHeight="1" x14ac:dyDescent="0.2">
      <c r="B540" s="16"/>
      <c r="E540" s="59"/>
      <c r="F540" s="59"/>
      <c r="I540" s="60"/>
    </row>
    <row r="541" spans="2:9" ht="15.75" customHeight="1" x14ac:dyDescent="0.2">
      <c r="B541" s="16"/>
      <c r="E541" s="59"/>
      <c r="F541" s="59"/>
      <c r="I541" s="60"/>
    </row>
    <row r="542" spans="2:9" ht="15.75" customHeight="1" x14ac:dyDescent="0.2">
      <c r="B542" s="16"/>
      <c r="E542" s="59"/>
      <c r="F542" s="59"/>
      <c r="I542" s="60"/>
    </row>
    <row r="543" spans="2:9" ht="15.75" customHeight="1" x14ac:dyDescent="0.2">
      <c r="B543" s="16"/>
      <c r="E543" s="59"/>
      <c r="F543" s="59"/>
      <c r="I543" s="60"/>
    </row>
    <row r="544" spans="2:9" ht="15.75" customHeight="1" x14ac:dyDescent="0.2">
      <c r="B544" s="16"/>
      <c r="E544" s="59"/>
      <c r="F544" s="59"/>
      <c r="I544" s="60"/>
    </row>
    <row r="545" spans="2:9" ht="15.75" customHeight="1" x14ac:dyDescent="0.2">
      <c r="B545" s="16"/>
      <c r="E545" s="59"/>
      <c r="F545" s="59"/>
      <c r="I545" s="60"/>
    </row>
    <row r="546" spans="2:9" ht="15.75" customHeight="1" x14ac:dyDescent="0.2">
      <c r="B546" s="16"/>
      <c r="E546" s="59"/>
      <c r="F546" s="59"/>
      <c r="I546" s="60"/>
    </row>
    <row r="547" spans="2:9" ht="15.75" customHeight="1" x14ac:dyDescent="0.2">
      <c r="B547" s="16"/>
      <c r="E547" s="59"/>
      <c r="F547" s="59"/>
      <c r="I547" s="60"/>
    </row>
    <row r="548" spans="2:9" ht="15.75" customHeight="1" x14ac:dyDescent="0.2">
      <c r="B548" s="16"/>
      <c r="E548" s="59"/>
      <c r="F548" s="59"/>
      <c r="I548" s="60"/>
    </row>
    <row r="549" spans="2:9" ht="15.75" customHeight="1" x14ac:dyDescent="0.2">
      <c r="B549" s="16"/>
      <c r="E549" s="59"/>
      <c r="F549" s="59"/>
      <c r="I549" s="60"/>
    </row>
    <row r="550" spans="2:9" ht="15.75" customHeight="1" x14ac:dyDescent="0.2">
      <c r="B550" s="16"/>
      <c r="E550" s="59"/>
      <c r="F550" s="59"/>
      <c r="I550" s="60"/>
    </row>
    <row r="551" spans="2:9" ht="15.75" customHeight="1" x14ac:dyDescent="0.2">
      <c r="B551" s="16"/>
      <c r="E551" s="59"/>
      <c r="F551" s="59"/>
      <c r="I551" s="60"/>
    </row>
    <row r="552" spans="2:9" ht="15.75" customHeight="1" x14ac:dyDescent="0.2">
      <c r="B552" s="16"/>
      <c r="E552" s="59"/>
      <c r="F552" s="59"/>
      <c r="I552" s="60"/>
    </row>
    <row r="553" spans="2:9" ht="15.75" customHeight="1" x14ac:dyDescent="0.2">
      <c r="B553" s="16"/>
      <c r="E553" s="59"/>
      <c r="F553" s="59"/>
      <c r="I553" s="60"/>
    </row>
    <row r="554" spans="2:9" ht="15.75" customHeight="1" x14ac:dyDescent="0.2">
      <c r="B554" s="16"/>
      <c r="E554" s="59"/>
      <c r="F554" s="59"/>
      <c r="I554" s="60"/>
    </row>
    <row r="555" spans="2:9" ht="15.75" customHeight="1" x14ac:dyDescent="0.2">
      <c r="B555" s="16"/>
      <c r="E555" s="59"/>
      <c r="F555" s="59"/>
      <c r="I555" s="60"/>
    </row>
    <row r="556" spans="2:9" ht="15.75" customHeight="1" x14ac:dyDescent="0.2">
      <c r="B556" s="16"/>
      <c r="E556" s="59"/>
      <c r="F556" s="59"/>
      <c r="I556" s="60"/>
    </row>
    <row r="557" spans="2:9" ht="15.75" customHeight="1" x14ac:dyDescent="0.2">
      <c r="B557" s="16"/>
      <c r="E557" s="59"/>
      <c r="F557" s="59"/>
      <c r="I557" s="60"/>
    </row>
    <row r="558" spans="2:9" ht="15.75" customHeight="1" x14ac:dyDescent="0.2">
      <c r="B558" s="16"/>
      <c r="E558" s="59"/>
      <c r="F558" s="59"/>
      <c r="I558" s="60"/>
    </row>
    <row r="559" spans="2:9" ht="15.75" customHeight="1" x14ac:dyDescent="0.2">
      <c r="B559" s="16"/>
      <c r="E559" s="59"/>
      <c r="F559" s="59"/>
      <c r="I559" s="60"/>
    </row>
    <row r="560" spans="2:9" ht="15.75" customHeight="1" x14ac:dyDescent="0.2">
      <c r="B560" s="16"/>
      <c r="E560" s="59"/>
      <c r="F560" s="59"/>
      <c r="I560" s="60"/>
    </row>
    <row r="561" spans="2:9" ht="15.75" customHeight="1" x14ac:dyDescent="0.2">
      <c r="B561" s="16"/>
      <c r="E561" s="59"/>
      <c r="F561" s="59"/>
      <c r="I561" s="60"/>
    </row>
    <row r="562" spans="2:9" ht="15.75" customHeight="1" x14ac:dyDescent="0.2">
      <c r="B562" s="16"/>
      <c r="E562" s="59"/>
      <c r="F562" s="59"/>
      <c r="I562" s="60"/>
    </row>
    <row r="563" spans="2:9" ht="15.75" customHeight="1" x14ac:dyDescent="0.2">
      <c r="B563" s="16"/>
      <c r="E563" s="59"/>
      <c r="F563" s="59"/>
      <c r="I563" s="60"/>
    </row>
    <row r="564" spans="2:9" ht="15.75" customHeight="1" x14ac:dyDescent="0.2">
      <c r="B564" s="16"/>
      <c r="E564" s="59"/>
      <c r="F564" s="59"/>
      <c r="I564" s="60"/>
    </row>
    <row r="565" spans="2:9" ht="15.75" customHeight="1" x14ac:dyDescent="0.2">
      <c r="B565" s="16"/>
      <c r="E565" s="59"/>
      <c r="F565" s="59"/>
      <c r="I565" s="60"/>
    </row>
    <row r="566" spans="2:9" ht="15.75" customHeight="1" x14ac:dyDescent="0.2">
      <c r="B566" s="16"/>
      <c r="E566" s="59"/>
      <c r="F566" s="59"/>
      <c r="I566" s="60"/>
    </row>
    <row r="567" spans="2:9" ht="15.75" customHeight="1" x14ac:dyDescent="0.2">
      <c r="B567" s="16"/>
      <c r="E567" s="59"/>
      <c r="F567" s="59"/>
      <c r="I567" s="60"/>
    </row>
    <row r="568" spans="2:9" ht="15.75" customHeight="1" x14ac:dyDescent="0.2">
      <c r="B568" s="16"/>
      <c r="E568" s="59"/>
      <c r="F568" s="59"/>
      <c r="I568" s="60"/>
    </row>
    <row r="569" spans="2:9" ht="15.75" customHeight="1" x14ac:dyDescent="0.2">
      <c r="B569" s="16"/>
      <c r="E569" s="59"/>
      <c r="F569" s="59"/>
      <c r="I569" s="60"/>
    </row>
    <row r="570" spans="2:9" ht="15.75" customHeight="1" x14ac:dyDescent="0.2">
      <c r="B570" s="16"/>
      <c r="E570" s="59"/>
      <c r="F570" s="59"/>
      <c r="I570" s="60"/>
    </row>
    <row r="571" spans="2:9" ht="15.75" customHeight="1" x14ac:dyDescent="0.2">
      <c r="B571" s="16"/>
      <c r="E571" s="59"/>
      <c r="F571" s="59"/>
      <c r="I571" s="60"/>
    </row>
    <row r="572" spans="2:9" ht="15.75" customHeight="1" x14ac:dyDescent="0.2">
      <c r="B572" s="16"/>
      <c r="E572" s="59"/>
      <c r="F572" s="59"/>
      <c r="I572" s="60"/>
    </row>
    <row r="573" spans="2:9" ht="15.75" customHeight="1" x14ac:dyDescent="0.2">
      <c r="B573" s="16"/>
      <c r="E573" s="59"/>
      <c r="F573" s="59"/>
      <c r="I573" s="60"/>
    </row>
    <row r="574" spans="2:9" ht="15.75" customHeight="1" x14ac:dyDescent="0.2">
      <c r="B574" s="16"/>
      <c r="E574" s="59"/>
      <c r="F574" s="59"/>
      <c r="I574" s="60"/>
    </row>
    <row r="575" spans="2:9" ht="15.75" customHeight="1" x14ac:dyDescent="0.2">
      <c r="B575" s="16"/>
      <c r="E575" s="59"/>
      <c r="F575" s="59"/>
      <c r="I575" s="60"/>
    </row>
    <row r="576" spans="2:9" ht="15.75" customHeight="1" x14ac:dyDescent="0.2">
      <c r="B576" s="16"/>
      <c r="E576" s="59"/>
      <c r="F576" s="59"/>
      <c r="I576" s="60"/>
    </row>
    <row r="577" spans="2:9" ht="15.75" customHeight="1" x14ac:dyDescent="0.2">
      <c r="B577" s="16"/>
      <c r="E577" s="59"/>
      <c r="F577" s="59"/>
      <c r="I577" s="60"/>
    </row>
    <row r="578" spans="2:9" ht="15.75" customHeight="1" x14ac:dyDescent="0.2">
      <c r="B578" s="16"/>
      <c r="E578" s="59"/>
      <c r="F578" s="59"/>
      <c r="I578" s="60"/>
    </row>
    <row r="579" spans="2:9" ht="15.75" customHeight="1" x14ac:dyDescent="0.2">
      <c r="B579" s="16"/>
      <c r="E579" s="59"/>
      <c r="F579" s="59"/>
      <c r="I579" s="60"/>
    </row>
    <row r="580" spans="2:9" ht="15.75" customHeight="1" x14ac:dyDescent="0.2">
      <c r="B580" s="16"/>
      <c r="E580" s="59"/>
      <c r="F580" s="59"/>
      <c r="I580" s="60"/>
    </row>
    <row r="581" spans="2:9" ht="15.75" customHeight="1" x14ac:dyDescent="0.2">
      <c r="B581" s="16"/>
      <c r="E581" s="59"/>
      <c r="F581" s="59"/>
      <c r="I581" s="60"/>
    </row>
    <row r="582" spans="2:9" ht="15.75" customHeight="1" x14ac:dyDescent="0.2">
      <c r="B582" s="16"/>
      <c r="E582" s="59"/>
      <c r="F582" s="59"/>
      <c r="I582" s="60"/>
    </row>
    <row r="583" spans="2:9" ht="15.75" customHeight="1" x14ac:dyDescent="0.2">
      <c r="B583" s="16"/>
      <c r="E583" s="59"/>
      <c r="F583" s="59"/>
      <c r="I583" s="60"/>
    </row>
    <row r="584" spans="2:9" ht="15.75" customHeight="1" x14ac:dyDescent="0.2">
      <c r="B584" s="16"/>
      <c r="E584" s="59"/>
      <c r="F584" s="59"/>
      <c r="I584" s="60"/>
    </row>
    <row r="585" spans="2:9" ht="15.75" customHeight="1" x14ac:dyDescent="0.2">
      <c r="B585" s="16"/>
      <c r="E585" s="59"/>
      <c r="F585" s="59"/>
      <c r="I585" s="60"/>
    </row>
    <row r="586" spans="2:9" ht="15.75" customHeight="1" x14ac:dyDescent="0.2">
      <c r="B586" s="16"/>
      <c r="E586" s="59"/>
      <c r="F586" s="59"/>
      <c r="I586" s="60"/>
    </row>
    <row r="587" spans="2:9" ht="15.75" customHeight="1" x14ac:dyDescent="0.2">
      <c r="B587" s="16"/>
      <c r="E587" s="59"/>
      <c r="F587" s="59"/>
      <c r="I587" s="60"/>
    </row>
    <row r="588" spans="2:9" ht="15.75" customHeight="1" x14ac:dyDescent="0.2">
      <c r="B588" s="16"/>
      <c r="E588" s="59"/>
      <c r="F588" s="59"/>
      <c r="I588" s="60"/>
    </row>
    <row r="589" spans="2:9" ht="15.75" customHeight="1" x14ac:dyDescent="0.2">
      <c r="B589" s="16"/>
      <c r="E589" s="59"/>
      <c r="F589" s="59"/>
      <c r="I589" s="60"/>
    </row>
    <row r="590" spans="2:9" ht="15.75" customHeight="1" x14ac:dyDescent="0.2">
      <c r="B590" s="16"/>
      <c r="E590" s="59"/>
      <c r="F590" s="59"/>
      <c r="I590" s="60"/>
    </row>
    <row r="591" spans="2:9" ht="15.75" customHeight="1" x14ac:dyDescent="0.2">
      <c r="B591" s="16"/>
      <c r="E591" s="59"/>
      <c r="F591" s="59"/>
      <c r="I591" s="60"/>
    </row>
    <row r="592" spans="2:9" ht="15.75" customHeight="1" x14ac:dyDescent="0.2">
      <c r="B592" s="16"/>
      <c r="E592" s="59"/>
      <c r="F592" s="59"/>
      <c r="I592" s="60"/>
    </row>
    <row r="593" spans="2:9" ht="15.75" customHeight="1" x14ac:dyDescent="0.2">
      <c r="B593" s="16"/>
      <c r="E593" s="59"/>
      <c r="F593" s="59"/>
      <c r="I593" s="60"/>
    </row>
    <row r="594" spans="2:9" ht="15.75" customHeight="1" x14ac:dyDescent="0.2">
      <c r="B594" s="16"/>
      <c r="E594" s="59"/>
      <c r="F594" s="59"/>
      <c r="I594" s="60"/>
    </row>
    <row r="595" spans="2:9" ht="15.75" customHeight="1" x14ac:dyDescent="0.2">
      <c r="B595" s="16"/>
      <c r="E595" s="59"/>
      <c r="F595" s="59"/>
      <c r="I595" s="60"/>
    </row>
    <row r="596" spans="2:9" ht="15.75" customHeight="1" x14ac:dyDescent="0.2">
      <c r="B596" s="16"/>
      <c r="E596" s="59"/>
      <c r="F596" s="59"/>
      <c r="I596" s="60"/>
    </row>
    <row r="597" spans="2:9" ht="15.75" customHeight="1" x14ac:dyDescent="0.2">
      <c r="B597" s="16"/>
      <c r="E597" s="59"/>
      <c r="F597" s="59"/>
      <c r="I597" s="60"/>
    </row>
    <row r="598" spans="2:9" ht="15.75" customHeight="1" x14ac:dyDescent="0.2">
      <c r="B598" s="16"/>
      <c r="E598" s="59"/>
      <c r="F598" s="59"/>
      <c r="I598" s="60"/>
    </row>
    <row r="599" spans="2:9" ht="15.75" customHeight="1" x14ac:dyDescent="0.2">
      <c r="B599" s="16"/>
      <c r="E599" s="59"/>
      <c r="F599" s="59"/>
      <c r="I599" s="60"/>
    </row>
    <row r="600" spans="2:9" ht="15.75" customHeight="1" x14ac:dyDescent="0.2">
      <c r="B600" s="16"/>
      <c r="E600" s="59"/>
      <c r="F600" s="59"/>
      <c r="I600" s="60"/>
    </row>
    <row r="601" spans="2:9" ht="15.75" customHeight="1" x14ac:dyDescent="0.2">
      <c r="B601" s="16"/>
      <c r="E601" s="59"/>
      <c r="F601" s="59"/>
      <c r="I601" s="60"/>
    </row>
    <row r="602" spans="2:9" ht="15.75" customHeight="1" x14ac:dyDescent="0.2">
      <c r="B602" s="16"/>
      <c r="E602" s="59"/>
      <c r="F602" s="59"/>
      <c r="I602" s="60"/>
    </row>
    <row r="603" spans="2:9" ht="15.75" customHeight="1" x14ac:dyDescent="0.2">
      <c r="B603" s="16"/>
      <c r="E603" s="59"/>
      <c r="F603" s="59"/>
      <c r="I603" s="60"/>
    </row>
    <row r="604" spans="2:9" ht="15.75" customHeight="1" x14ac:dyDescent="0.2">
      <c r="B604" s="16"/>
      <c r="E604" s="59"/>
      <c r="F604" s="59"/>
      <c r="I604" s="60"/>
    </row>
    <row r="605" spans="2:9" ht="15.75" customHeight="1" x14ac:dyDescent="0.2">
      <c r="B605" s="16"/>
      <c r="E605" s="59"/>
      <c r="F605" s="59"/>
      <c r="I605" s="60"/>
    </row>
    <row r="606" spans="2:9" ht="15.75" customHeight="1" x14ac:dyDescent="0.2">
      <c r="B606" s="16"/>
      <c r="E606" s="59"/>
      <c r="F606" s="59"/>
      <c r="I606" s="60"/>
    </row>
    <row r="607" spans="2:9" ht="15.75" customHeight="1" x14ac:dyDescent="0.2">
      <c r="B607" s="16"/>
      <c r="E607" s="59"/>
      <c r="F607" s="59"/>
      <c r="I607" s="60"/>
    </row>
    <row r="608" spans="2:9" ht="15.75" customHeight="1" x14ac:dyDescent="0.2">
      <c r="B608" s="16"/>
      <c r="E608" s="59"/>
      <c r="F608" s="59"/>
      <c r="I608" s="60"/>
    </row>
    <row r="609" spans="2:9" ht="15.75" customHeight="1" x14ac:dyDescent="0.2">
      <c r="B609" s="16"/>
      <c r="E609" s="59"/>
      <c r="F609" s="59"/>
      <c r="I609" s="60"/>
    </row>
    <row r="610" spans="2:9" ht="15.75" customHeight="1" x14ac:dyDescent="0.2">
      <c r="B610" s="16"/>
      <c r="E610" s="59"/>
      <c r="F610" s="59"/>
      <c r="I610" s="60"/>
    </row>
    <row r="611" spans="2:9" ht="15.75" customHeight="1" x14ac:dyDescent="0.2">
      <c r="B611" s="16"/>
      <c r="E611" s="59"/>
      <c r="F611" s="59"/>
      <c r="I611" s="60"/>
    </row>
    <row r="612" spans="2:9" ht="15.75" customHeight="1" x14ac:dyDescent="0.2">
      <c r="B612" s="16"/>
      <c r="E612" s="59"/>
      <c r="F612" s="59"/>
      <c r="I612" s="60"/>
    </row>
    <row r="613" spans="2:9" ht="15.75" customHeight="1" x14ac:dyDescent="0.2">
      <c r="B613" s="16"/>
      <c r="E613" s="59"/>
      <c r="F613" s="59"/>
      <c r="I613" s="60"/>
    </row>
    <row r="614" spans="2:9" ht="15.75" customHeight="1" x14ac:dyDescent="0.2">
      <c r="B614" s="16"/>
      <c r="E614" s="59"/>
      <c r="F614" s="59"/>
      <c r="I614" s="60"/>
    </row>
    <row r="615" spans="2:9" ht="15.75" customHeight="1" x14ac:dyDescent="0.2">
      <c r="B615" s="16"/>
      <c r="E615" s="59"/>
      <c r="F615" s="59"/>
      <c r="I615" s="60"/>
    </row>
    <row r="616" spans="2:9" ht="15.75" customHeight="1" x14ac:dyDescent="0.2">
      <c r="B616" s="16"/>
      <c r="E616" s="59"/>
      <c r="F616" s="59"/>
      <c r="I616" s="60"/>
    </row>
    <row r="617" spans="2:9" ht="15.75" customHeight="1" x14ac:dyDescent="0.2">
      <c r="B617" s="16"/>
      <c r="E617" s="59"/>
      <c r="F617" s="59"/>
      <c r="I617" s="60"/>
    </row>
    <row r="618" spans="2:9" ht="15.75" customHeight="1" x14ac:dyDescent="0.2">
      <c r="B618" s="16"/>
      <c r="E618" s="59"/>
      <c r="F618" s="59"/>
      <c r="I618" s="60"/>
    </row>
    <row r="619" spans="2:9" ht="15.75" customHeight="1" x14ac:dyDescent="0.2">
      <c r="B619" s="16"/>
      <c r="E619" s="59"/>
      <c r="F619" s="59"/>
      <c r="I619" s="60"/>
    </row>
    <row r="620" spans="2:9" ht="15.75" customHeight="1" x14ac:dyDescent="0.2">
      <c r="B620" s="16"/>
      <c r="E620" s="59"/>
      <c r="F620" s="59"/>
      <c r="I620" s="60"/>
    </row>
    <row r="621" spans="2:9" ht="15.75" customHeight="1" x14ac:dyDescent="0.2">
      <c r="B621" s="16"/>
      <c r="E621" s="59"/>
      <c r="F621" s="59"/>
      <c r="I621" s="60"/>
    </row>
    <row r="622" spans="2:9" ht="15.75" customHeight="1" x14ac:dyDescent="0.2">
      <c r="B622" s="16"/>
      <c r="E622" s="59"/>
      <c r="F622" s="59"/>
      <c r="I622" s="60"/>
    </row>
    <row r="623" spans="2:9" ht="15.75" customHeight="1" x14ac:dyDescent="0.2">
      <c r="B623" s="16"/>
      <c r="E623" s="59"/>
      <c r="F623" s="59"/>
      <c r="I623" s="60"/>
    </row>
    <row r="624" spans="2:9" ht="15.75" customHeight="1" x14ac:dyDescent="0.2">
      <c r="B624" s="16"/>
      <c r="E624" s="59"/>
      <c r="F624" s="59"/>
      <c r="I624" s="60"/>
    </row>
    <row r="625" spans="2:9" ht="15.75" customHeight="1" x14ac:dyDescent="0.2">
      <c r="B625" s="16"/>
      <c r="E625" s="59"/>
      <c r="F625" s="59"/>
      <c r="I625" s="60"/>
    </row>
    <row r="626" spans="2:9" ht="15.75" customHeight="1" x14ac:dyDescent="0.2">
      <c r="B626" s="16"/>
      <c r="E626" s="59"/>
      <c r="F626" s="59"/>
      <c r="I626" s="60"/>
    </row>
    <row r="627" spans="2:9" ht="15.75" customHeight="1" x14ac:dyDescent="0.2">
      <c r="B627" s="16"/>
      <c r="E627" s="59"/>
      <c r="F627" s="59"/>
      <c r="I627" s="60"/>
    </row>
    <row r="628" spans="2:9" ht="15.75" customHeight="1" x14ac:dyDescent="0.2">
      <c r="B628" s="16"/>
      <c r="E628" s="59"/>
      <c r="F628" s="59"/>
      <c r="I628" s="60"/>
    </row>
    <row r="629" spans="2:9" ht="15.75" customHeight="1" x14ac:dyDescent="0.2">
      <c r="B629" s="16"/>
      <c r="E629" s="59"/>
      <c r="F629" s="59"/>
      <c r="I629" s="60"/>
    </row>
    <row r="630" spans="2:9" ht="15.75" customHeight="1" x14ac:dyDescent="0.2">
      <c r="B630" s="16"/>
      <c r="E630" s="59"/>
      <c r="F630" s="59"/>
      <c r="I630" s="60"/>
    </row>
    <row r="631" spans="2:9" ht="15.75" customHeight="1" x14ac:dyDescent="0.2">
      <c r="B631" s="16"/>
      <c r="E631" s="59"/>
      <c r="F631" s="59"/>
      <c r="I631" s="60"/>
    </row>
    <row r="632" spans="2:9" ht="15.75" customHeight="1" x14ac:dyDescent="0.2">
      <c r="B632" s="16"/>
      <c r="E632" s="59"/>
      <c r="F632" s="59"/>
      <c r="I632" s="60"/>
    </row>
    <row r="633" spans="2:9" ht="15.75" customHeight="1" x14ac:dyDescent="0.2">
      <c r="B633" s="16"/>
      <c r="E633" s="59"/>
      <c r="F633" s="59"/>
      <c r="I633" s="60"/>
    </row>
    <row r="634" spans="2:9" ht="15.75" customHeight="1" x14ac:dyDescent="0.2">
      <c r="B634" s="16"/>
      <c r="E634" s="59"/>
      <c r="F634" s="59"/>
      <c r="I634" s="60"/>
    </row>
    <row r="635" spans="2:9" ht="15.75" customHeight="1" x14ac:dyDescent="0.2">
      <c r="B635" s="16"/>
      <c r="E635" s="59"/>
      <c r="F635" s="59"/>
      <c r="I635" s="60"/>
    </row>
    <row r="636" spans="2:9" ht="15.75" customHeight="1" x14ac:dyDescent="0.2">
      <c r="B636" s="16"/>
      <c r="E636" s="59"/>
      <c r="F636" s="59"/>
      <c r="I636" s="60"/>
    </row>
    <row r="637" spans="2:9" ht="15.75" customHeight="1" x14ac:dyDescent="0.2">
      <c r="B637" s="16"/>
      <c r="E637" s="59"/>
      <c r="F637" s="59"/>
      <c r="I637" s="60"/>
    </row>
    <row r="638" spans="2:9" ht="15.75" customHeight="1" x14ac:dyDescent="0.2">
      <c r="B638" s="16"/>
      <c r="E638" s="59"/>
      <c r="F638" s="59"/>
      <c r="I638" s="60"/>
    </row>
    <row r="639" spans="2:9" ht="15.75" customHeight="1" x14ac:dyDescent="0.2">
      <c r="B639" s="16"/>
      <c r="E639" s="59"/>
      <c r="F639" s="59"/>
      <c r="I639" s="60"/>
    </row>
    <row r="640" spans="2:9" ht="15.75" customHeight="1" x14ac:dyDescent="0.2">
      <c r="B640" s="16"/>
      <c r="E640" s="59"/>
      <c r="F640" s="59"/>
      <c r="I640" s="60"/>
    </row>
    <row r="641" spans="2:9" ht="15.75" customHeight="1" x14ac:dyDescent="0.2">
      <c r="B641" s="16"/>
      <c r="E641" s="59"/>
      <c r="F641" s="59"/>
      <c r="I641" s="60"/>
    </row>
    <row r="642" spans="2:9" ht="15.75" customHeight="1" x14ac:dyDescent="0.2">
      <c r="B642" s="16"/>
      <c r="E642" s="59"/>
      <c r="F642" s="59"/>
      <c r="I642" s="60"/>
    </row>
    <row r="643" spans="2:9" ht="15.75" customHeight="1" x14ac:dyDescent="0.2">
      <c r="B643" s="16"/>
      <c r="E643" s="59"/>
      <c r="F643" s="59"/>
      <c r="I643" s="60"/>
    </row>
    <row r="644" spans="2:9" ht="15.75" customHeight="1" x14ac:dyDescent="0.2">
      <c r="B644" s="16"/>
      <c r="E644" s="59"/>
      <c r="F644" s="59"/>
      <c r="I644" s="60"/>
    </row>
    <row r="645" spans="2:9" ht="15.75" customHeight="1" x14ac:dyDescent="0.2">
      <c r="B645" s="16"/>
      <c r="E645" s="59"/>
      <c r="F645" s="59"/>
      <c r="I645" s="60"/>
    </row>
    <row r="646" spans="2:9" ht="15.75" customHeight="1" x14ac:dyDescent="0.2">
      <c r="B646" s="16"/>
      <c r="E646" s="59"/>
      <c r="F646" s="59"/>
      <c r="I646" s="60"/>
    </row>
    <row r="647" spans="2:9" ht="15.75" customHeight="1" x14ac:dyDescent="0.2">
      <c r="B647" s="16"/>
      <c r="E647" s="59"/>
      <c r="F647" s="59"/>
      <c r="I647" s="60"/>
    </row>
    <row r="648" spans="2:9" ht="15.75" customHeight="1" x14ac:dyDescent="0.2">
      <c r="B648" s="16"/>
      <c r="E648" s="59"/>
      <c r="F648" s="59"/>
      <c r="I648" s="60"/>
    </row>
    <row r="649" spans="2:9" ht="15.75" customHeight="1" x14ac:dyDescent="0.2">
      <c r="B649" s="16"/>
      <c r="E649" s="59"/>
      <c r="F649" s="59"/>
      <c r="I649" s="60"/>
    </row>
    <row r="650" spans="2:9" ht="15.75" customHeight="1" x14ac:dyDescent="0.2">
      <c r="B650" s="16"/>
      <c r="E650" s="59"/>
      <c r="F650" s="59"/>
      <c r="I650" s="60"/>
    </row>
    <row r="651" spans="2:9" ht="15.75" customHeight="1" x14ac:dyDescent="0.2">
      <c r="B651" s="16"/>
      <c r="E651" s="59"/>
      <c r="F651" s="59"/>
      <c r="I651" s="60"/>
    </row>
    <row r="652" spans="2:9" ht="15.75" customHeight="1" x14ac:dyDescent="0.2">
      <c r="B652" s="16"/>
      <c r="E652" s="59"/>
      <c r="F652" s="59"/>
      <c r="I652" s="60"/>
    </row>
    <row r="653" spans="2:9" ht="15.75" customHeight="1" x14ac:dyDescent="0.2">
      <c r="B653" s="16"/>
      <c r="E653" s="59"/>
      <c r="F653" s="59"/>
      <c r="I653" s="60"/>
    </row>
    <row r="654" spans="2:9" ht="15.75" customHeight="1" x14ac:dyDescent="0.2">
      <c r="B654" s="16"/>
      <c r="E654" s="59"/>
      <c r="F654" s="59"/>
      <c r="I654" s="60"/>
    </row>
    <row r="655" spans="2:9" ht="15.75" customHeight="1" x14ac:dyDescent="0.2">
      <c r="B655" s="16"/>
      <c r="E655" s="59"/>
      <c r="F655" s="59"/>
      <c r="I655" s="60"/>
    </row>
    <row r="656" spans="2:9" ht="15.75" customHeight="1" x14ac:dyDescent="0.2">
      <c r="B656" s="16"/>
      <c r="E656" s="59"/>
      <c r="F656" s="59"/>
      <c r="I656" s="60"/>
    </row>
    <row r="657" spans="2:9" ht="15.75" customHeight="1" x14ac:dyDescent="0.2">
      <c r="B657" s="16"/>
      <c r="E657" s="59"/>
      <c r="F657" s="59"/>
      <c r="I657" s="60"/>
    </row>
    <row r="658" spans="2:9" ht="15.75" customHeight="1" x14ac:dyDescent="0.2">
      <c r="B658" s="16"/>
      <c r="E658" s="59"/>
      <c r="F658" s="59"/>
      <c r="I658" s="60"/>
    </row>
    <row r="659" spans="2:9" ht="15.75" customHeight="1" x14ac:dyDescent="0.2">
      <c r="B659" s="16"/>
      <c r="E659" s="59"/>
      <c r="F659" s="59"/>
      <c r="I659" s="60"/>
    </row>
    <row r="660" spans="2:9" ht="15.75" customHeight="1" x14ac:dyDescent="0.2">
      <c r="B660" s="16"/>
      <c r="E660" s="59"/>
      <c r="F660" s="59"/>
      <c r="I660" s="60"/>
    </row>
    <row r="661" spans="2:9" ht="15.75" customHeight="1" x14ac:dyDescent="0.2">
      <c r="B661" s="16"/>
      <c r="E661" s="59"/>
      <c r="F661" s="59"/>
      <c r="I661" s="60"/>
    </row>
    <row r="662" spans="2:9" ht="15.75" customHeight="1" x14ac:dyDescent="0.2">
      <c r="B662" s="16"/>
      <c r="E662" s="59"/>
      <c r="F662" s="59"/>
      <c r="I662" s="60"/>
    </row>
    <row r="663" spans="2:9" ht="15.75" customHeight="1" x14ac:dyDescent="0.2">
      <c r="B663" s="16"/>
      <c r="E663" s="59"/>
      <c r="F663" s="59"/>
      <c r="I663" s="60"/>
    </row>
    <row r="664" spans="2:9" ht="15.75" customHeight="1" x14ac:dyDescent="0.2">
      <c r="B664" s="16"/>
      <c r="E664" s="59"/>
      <c r="F664" s="59"/>
      <c r="I664" s="60"/>
    </row>
    <row r="665" spans="2:9" ht="15.75" customHeight="1" x14ac:dyDescent="0.2">
      <c r="B665" s="16"/>
      <c r="E665" s="59"/>
      <c r="F665" s="59"/>
      <c r="I665" s="60"/>
    </row>
    <row r="666" spans="2:9" ht="15.75" customHeight="1" x14ac:dyDescent="0.2">
      <c r="B666" s="16"/>
      <c r="E666" s="59"/>
      <c r="F666" s="59"/>
      <c r="I666" s="60"/>
    </row>
    <row r="667" spans="2:9" ht="15.75" customHeight="1" x14ac:dyDescent="0.2">
      <c r="B667" s="16"/>
      <c r="E667" s="59"/>
      <c r="F667" s="59"/>
      <c r="I667" s="60"/>
    </row>
    <row r="668" spans="2:9" ht="15.75" customHeight="1" x14ac:dyDescent="0.2">
      <c r="B668" s="16"/>
      <c r="E668" s="59"/>
      <c r="F668" s="59"/>
      <c r="I668" s="60"/>
    </row>
    <row r="669" spans="2:9" ht="15.75" customHeight="1" x14ac:dyDescent="0.2">
      <c r="B669" s="16"/>
      <c r="E669" s="59"/>
      <c r="F669" s="59"/>
      <c r="I669" s="60"/>
    </row>
    <row r="670" spans="2:9" ht="15.75" customHeight="1" x14ac:dyDescent="0.2">
      <c r="B670" s="16"/>
      <c r="E670" s="59"/>
      <c r="F670" s="59"/>
      <c r="I670" s="60"/>
    </row>
    <row r="671" spans="2:9" ht="15.75" customHeight="1" x14ac:dyDescent="0.2">
      <c r="B671" s="16"/>
      <c r="E671" s="59"/>
      <c r="F671" s="59"/>
      <c r="I671" s="60"/>
    </row>
    <row r="672" spans="2:9" ht="15.75" customHeight="1" x14ac:dyDescent="0.2">
      <c r="B672" s="16"/>
      <c r="E672" s="59"/>
      <c r="F672" s="59"/>
      <c r="I672" s="60"/>
    </row>
    <row r="673" spans="2:9" ht="15.75" customHeight="1" x14ac:dyDescent="0.2">
      <c r="B673" s="16"/>
      <c r="E673" s="59"/>
      <c r="F673" s="59"/>
      <c r="I673" s="60"/>
    </row>
    <row r="674" spans="2:9" ht="15.75" customHeight="1" x14ac:dyDescent="0.2">
      <c r="B674" s="16"/>
      <c r="E674" s="59"/>
      <c r="F674" s="59"/>
      <c r="I674" s="60"/>
    </row>
    <row r="675" spans="2:9" ht="15.75" customHeight="1" x14ac:dyDescent="0.2">
      <c r="B675" s="16"/>
      <c r="E675" s="59"/>
      <c r="F675" s="59"/>
      <c r="I675" s="60"/>
    </row>
    <row r="676" spans="2:9" ht="15.75" customHeight="1" x14ac:dyDescent="0.2">
      <c r="B676" s="16"/>
      <c r="E676" s="59"/>
      <c r="F676" s="59"/>
      <c r="I676" s="60"/>
    </row>
    <row r="677" spans="2:9" ht="15.75" customHeight="1" x14ac:dyDescent="0.2">
      <c r="B677" s="16"/>
      <c r="E677" s="59"/>
      <c r="F677" s="59"/>
      <c r="I677" s="60"/>
    </row>
    <row r="678" spans="2:9" ht="15.75" customHeight="1" x14ac:dyDescent="0.2">
      <c r="B678" s="16"/>
      <c r="E678" s="59"/>
      <c r="F678" s="59"/>
      <c r="I678" s="60"/>
    </row>
    <row r="679" spans="2:9" ht="15.75" customHeight="1" x14ac:dyDescent="0.2">
      <c r="B679" s="16"/>
      <c r="E679" s="59"/>
      <c r="F679" s="59"/>
      <c r="I679" s="60"/>
    </row>
    <row r="680" spans="2:9" ht="15.75" customHeight="1" x14ac:dyDescent="0.2">
      <c r="B680" s="16"/>
      <c r="E680" s="59"/>
      <c r="F680" s="59"/>
      <c r="I680" s="60"/>
    </row>
    <row r="681" spans="2:9" ht="15.75" customHeight="1" x14ac:dyDescent="0.2">
      <c r="B681" s="16"/>
      <c r="E681" s="59"/>
      <c r="F681" s="59"/>
      <c r="I681" s="60"/>
    </row>
    <row r="682" spans="2:9" ht="15.75" customHeight="1" x14ac:dyDescent="0.2">
      <c r="B682" s="16"/>
      <c r="E682" s="59"/>
      <c r="F682" s="59"/>
      <c r="I682" s="60"/>
    </row>
    <row r="683" spans="2:9" ht="15.75" customHeight="1" x14ac:dyDescent="0.2">
      <c r="B683" s="16"/>
      <c r="E683" s="59"/>
      <c r="F683" s="59"/>
      <c r="I683" s="60"/>
    </row>
    <row r="684" spans="2:9" ht="15.75" customHeight="1" x14ac:dyDescent="0.2">
      <c r="B684" s="16"/>
      <c r="E684" s="59"/>
      <c r="F684" s="59"/>
      <c r="I684" s="60"/>
    </row>
    <row r="685" spans="2:9" ht="15.75" customHeight="1" x14ac:dyDescent="0.2">
      <c r="B685" s="16"/>
      <c r="E685" s="59"/>
      <c r="F685" s="59"/>
      <c r="I685" s="60"/>
    </row>
    <row r="686" spans="2:9" ht="15.75" customHeight="1" x14ac:dyDescent="0.2">
      <c r="B686" s="16"/>
      <c r="E686" s="59"/>
      <c r="F686" s="59"/>
      <c r="I686" s="60"/>
    </row>
    <row r="687" spans="2:9" ht="15.75" customHeight="1" x14ac:dyDescent="0.2">
      <c r="B687" s="16"/>
      <c r="E687" s="59"/>
      <c r="F687" s="59"/>
      <c r="I687" s="60"/>
    </row>
    <row r="688" spans="2:9" ht="15.75" customHeight="1" x14ac:dyDescent="0.2">
      <c r="B688" s="16"/>
      <c r="E688" s="59"/>
      <c r="F688" s="59"/>
      <c r="I688" s="60"/>
    </row>
    <row r="689" spans="2:9" ht="15.75" customHeight="1" x14ac:dyDescent="0.2">
      <c r="B689" s="16"/>
      <c r="E689" s="59"/>
      <c r="F689" s="59"/>
      <c r="I689" s="60"/>
    </row>
    <row r="690" spans="2:9" ht="15.75" customHeight="1" x14ac:dyDescent="0.2">
      <c r="B690" s="16"/>
      <c r="E690" s="59"/>
      <c r="F690" s="59"/>
      <c r="I690" s="60"/>
    </row>
    <row r="691" spans="2:9" ht="15.75" customHeight="1" x14ac:dyDescent="0.2">
      <c r="B691" s="16"/>
      <c r="E691" s="59"/>
      <c r="F691" s="59"/>
      <c r="I691" s="60"/>
    </row>
    <row r="692" spans="2:9" ht="15.75" customHeight="1" x14ac:dyDescent="0.2">
      <c r="B692" s="16"/>
      <c r="E692" s="59"/>
      <c r="F692" s="59"/>
      <c r="I692" s="60"/>
    </row>
    <row r="693" spans="2:9" ht="15.75" customHeight="1" x14ac:dyDescent="0.2">
      <c r="B693" s="16"/>
      <c r="E693" s="59"/>
      <c r="F693" s="59"/>
      <c r="I693" s="60"/>
    </row>
    <row r="694" spans="2:9" ht="15.75" customHeight="1" x14ac:dyDescent="0.2">
      <c r="B694" s="16"/>
      <c r="E694" s="59"/>
      <c r="F694" s="59"/>
      <c r="I694" s="60"/>
    </row>
    <row r="695" spans="2:9" ht="15.75" customHeight="1" x14ac:dyDescent="0.2">
      <c r="B695" s="16"/>
      <c r="E695" s="59"/>
      <c r="F695" s="59"/>
      <c r="I695" s="60"/>
    </row>
    <row r="696" spans="2:9" ht="15.75" customHeight="1" x14ac:dyDescent="0.2">
      <c r="B696" s="16"/>
      <c r="E696" s="59"/>
      <c r="F696" s="59"/>
      <c r="I696" s="60"/>
    </row>
    <row r="697" spans="2:9" ht="15.75" customHeight="1" x14ac:dyDescent="0.2">
      <c r="B697" s="16"/>
      <c r="E697" s="59"/>
      <c r="F697" s="59"/>
      <c r="I697" s="60"/>
    </row>
    <row r="698" spans="2:9" ht="15.75" customHeight="1" x14ac:dyDescent="0.2">
      <c r="B698" s="16"/>
      <c r="E698" s="59"/>
      <c r="F698" s="59"/>
      <c r="I698" s="60"/>
    </row>
    <row r="699" spans="2:9" ht="15.75" customHeight="1" x14ac:dyDescent="0.2">
      <c r="B699" s="16"/>
      <c r="E699" s="59"/>
      <c r="F699" s="59"/>
      <c r="I699" s="60"/>
    </row>
    <row r="700" spans="2:9" ht="15.75" customHeight="1" x14ac:dyDescent="0.2">
      <c r="B700" s="16"/>
      <c r="E700" s="59"/>
      <c r="F700" s="59"/>
      <c r="I700" s="60"/>
    </row>
    <row r="701" spans="2:9" ht="15.75" customHeight="1" x14ac:dyDescent="0.2">
      <c r="B701" s="16"/>
      <c r="E701" s="59"/>
      <c r="F701" s="59"/>
      <c r="I701" s="60"/>
    </row>
    <row r="702" spans="2:9" ht="15.75" customHeight="1" x14ac:dyDescent="0.2">
      <c r="B702" s="16"/>
      <c r="E702" s="59"/>
      <c r="F702" s="59"/>
      <c r="I702" s="60"/>
    </row>
    <row r="703" spans="2:9" ht="15.75" customHeight="1" x14ac:dyDescent="0.2">
      <c r="B703" s="16"/>
      <c r="E703" s="59"/>
      <c r="F703" s="59"/>
      <c r="I703" s="60"/>
    </row>
    <row r="704" spans="2:9" ht="15.75" customHeight="1" x14ac:dyDescent="0.2">
      <c r="B704" s="16"/>
      <c r="E704" s="59"/>
      <c r="F704" s="59"/>
      <c r="I704" s="60"/>
    </row>
    <row r="705" spans="2:9" ht="15.75" customHeight="1" x14ac:dyDescent="0.2">
      <c r="B705" s="16"/>
      <c r="E705" s="59"/>
      <c r="F705" s="59"/>
      <c r="I705" s="60"/>
    </row>
    <row r="706" spans="2:9" ht="15.75" customHeight="1" x14ac:dyDescent="0.2">
      <c r="B706" s="16"/>
      <c r="E706" s="59"/>
      <c r="F706" s="59"/>
      <c r="I706" s="60"/>
    </row>
    <row r="707" spans="2:9" ht="15.75" customHeight="1" x14ac:dyDescent="0.2">
      <c r="B707" s="16"/>
      <c r="E707" s="59"/>
      <c r="F707" s="59"/>
      <c r="I707" s="60"/>
    </row>
    <row r="708" spans="2:9" ht="15.75" customHeight="1" x14ac:dyDescent="0.2">
      <c r="B708" s="16"/>
      <c r="E708" s="59"/>
      <c r="F708" s="59"/>
      <c r="I708" s="60"/>
    </row>
    <row r="709" spans="2:9" ht="15.75" customHeight="1" x14ac:dyDescent="0.2">
      <c r="B709" s="16"/>
      <c r="E709" s="59"/>
      <c r="F709" s="59"/>
      <c r="I709" s="60"/>
    </row>
    <row r="710" spans="2:9" ht="15.75" customHeight="1" x14ac:dyDescent="0.2">
      <c r="B710" s="16"/>
      <c r="E710" s="59"/>
      <c r="F710" s="59"/>
      <c r="I710" s="60"/>
    </row>
    <row r="711" spans="2:9" ht="15.75" customHeight="1" x14ac:dyDescent="0.2">
      <c r="B711" s="16"/>
      <c r="E711" s="59"/>
      <c r="F711" s="59"/>
      <c r="I711" s="60"/>
    </row>
    <row r="712" spans="2:9" ht="15.75" customHeight="1" x14ac:dyDescent="0.2">
      <c r="B712" s="16"/>
      <c r="E712" s="59"/>
      <c r="F712" s="59"/>
      <c r="I712" s="60"/>
    </row>
    <row r="713" spans="2:9" ht="15.75" customHeight="1" x14ac:dyDescent="0.2">
      <c r="B713" s="16"/>
      <c r="E713" s="59"/>
      <c r="F713" s="59"/>
      <c r="I713" s="60"/>
    </row>
    <row r="714" spans="2:9" ht="15.75" customHeight="1" x14ac:dyDescent="0.2">
      <c r="B714" s="16"/>
      <c r="E714" s="59"/>
      <c r="F714" s="59"/>
      <c r="I714" s="60"/>
    </row>
    <row r="715" spans="2:9" ht="15.75" customHeight="1" x14ac:dyDescent="0.2">
      <c r="B715" s="16"/>
      <c r="E715" s="59"/>
      <c r="F715" s="59"/>
      <c r="I715" s="60"/>
    </row>
    <row r="716" spans="2:9" ht="15.75" customHeight="1" x14ac:dyDescent="0.2">
      <c r="B716" s="16"/>
      <c r="E716" s="59"/>
      <c r="F716" s="59"/>
      <c r="I716" s="60"/>
    </row>
    <row r="717" spans="2:9" ht="15.75" customHeight="1" x14ac:dyDescent="0.2">
      <c r="B717" s="16"/>
      <c r="E717" s="59"/>
      <c r="F717" s="59"/>
      <c r="I717" s="60"/>
    </row>
    <row r="718" spans="2:9" ht="15.75" customHeight="1" x14ac:dyDescent="0.2">
      <c r="B718" s="16"/>
      <c r="E718" s="59"/>
      <c r="F718" s="59"/>
      <c r="I718" s="60"/>
    </row>
    <row r="719" spans="2:9" ht="15.75" customHeight="1" x14ac:dyDescent="0.2">
      <c r="B719" s="16"/>
      <c r="E719" s="59"/>
      <c r="F719" s="59"/>
      <c r="I719" s="60"/>
    </row>
    <row r="720" spans="2:9" ht="15.75" customHeight="1" x14ac:dyDescent="0.2">
      <c r="B720" s="16"/>
      <c r="E720" s="59"/>
      <c r="F720" s="59"/>
      <c r="I720" s="60"/>
    </row>
    <row r="721" spans="2:9" ht="15.75" customHeight="1" x14ac:dyDescent="0.2">
      <c r="B721" s="16"/>
      <c r="E721" s="59"/>
      <c r="F721" s="59"/>
      <c r="I721" s="60"/>
    </row>
    <row r="722" spans="2:9" ht="15.75" customHeight="1" x14ac:dyDescent="0.2">
      <c r="B722" s="16"/>
      <c r="E722" s="59"/>
      <c r="F722" s="59"/>
      <c r="I722" s="60"/>
    </row>
    <row r="723" spans="2:9" ht="15.75" customHeight="1" x14ac:dyDescent="0.2">
      <c r="B723" s="16"/>
      <c r="E723" s="59"/>
      <c r="F723" s="59"/>
      <c r="I723" s="60"/>
    </row>
    <row r="724" spans="2:9" ht="15.75" customHeight="1" x14ac:dyDescent="0.2">
      <c r="B724" s="16"/>
      <c r="E724" s="59"/>
      <c r="F724" s="59"/>
      <c r="I724" s="60"/>
    </row>
    <row r="725" spans="2:9" ht="15.75" customHeight="1" x14ac:dyDescent="0.2">
      <c r="B725" s="16"/>
      <c r="E725" s="59"/>
      <c r="F725" s="59"/>
      <c r="I725" s="60"/>
    </row>
    <row r="726" spans="2:9" ht="15.75" customHeight="1" x14ac:dyDescent="0.2">
      <c r="B726" s="16"/>
      <c r="E726" s="59"/>
      <c r="F726" s="59"/>
      <c r="I726" s="60"/>
    </row>
    <row r="727" spans="2:9" ht="15.75" customHeight="1" x14ac:dyDescent="0.2">
      <c r="B727" s="16"/>
      <c r="E727" s="59"/>
      <c r="F727" s="59"/>
      <c r="I727" s="60"/>
    </row>
    <row r="728" spans="2:9" ht="15.75" customHeight="1" x14ac:dyDescent="0.2">
      <c r="B728" s="16"/>
      <c r="E728" s="59"/>
      <c r="F728" s="59"/>
      <c r="I728" s="60"/>
    </row>
    <row r="729" spans="2:9" ht="15.75" customHeight="1" x14ac:dyDescent="0.2">
      <c r="B729" s="16"/>
      <c r="E729" s="59"/>
      <c r="F729" s="59"/>
      <c r="I729" s="60"/>
    </row>
    <row r="730" spans="2:9" ht="15.75" customHeight="1" x14ac:dyDescent="0.2">
      <c r="B730" s="16"/>
      <c r="E730" s="59"/>
      <c r="F730" s="59"/>
      <c r="I730" s="60"/>
    </row>
    <row r="731" spans="2:9" ht="15.75" customHeight="1" x14ac:dyDescent="0.2">
      <c r="B731" s="16"/>
      <c r="E731" s="59"/>
      <c r="F731" s="59"/>
      <c r="I731" s="60"/>
    </row>
    <row r="732" spans="2:9" ht="15.75" customHeight="1" x14ac:dyDescent="0.2">
      <c r="B732" s="16"/>
      <c r="E732" s="59"/>
      <c r="F732" s="59"/>
      <c r="I732" s="60"/>
    </row>
    <row r="733" spans="2:9" ht="15.75" customHeight="1" x14ac:dyDescent="0.2">
      <c r="B733" s="16"/>
      <c r="E733" s="59"/>
      <c r="F733" s="59"/>
      <c r="I733" s="60"/>
    </row>
    <row r="734" spans="2:9" ht="15.75" customHeight="1" x14ac:dyDescent="0.2">
      <c r="B734" s="16"/>
      <c r="E734" s="59"/>
      <c r="F734" s="59"/>
      <c r="I734" s="60"/>
    </row>
    <row r="735" spans="2:9" ht="15.75" customHeight="1" x14ac:dyDescent="0.2">
      <c r="B735" s="16"/>
      <c r="E735" s="59"/>
      <c r="F735" s="59"/>
      <c r="I735" s="60"/>
    </row>
    <row r="736" spans="2:9" ht="15.75" customHeight="1" x14ac:dyDescent="0.2">
      <c r="B736" s="16"/>
      <c r="E736" s="59"/>
      <c r="F736" s="59"/>
      <c r="I736" s="60"/>
    </row>
    <row r="737" spans="2:9" ht="15.75" customHeight="1" x14ac:dyDescent="0.2">
      <c r="B737" s="16"/>
      <c r="E737" s="59"/>
      <c r="F737" s="59"/>
      <c r="I737" s="60"/>
    </row>
    <row r="738" spans="2:9" ht="15.75" customHeight="1" x14ac:dyDescent="0.2">
      <c r="B738" s="16"/>
      <c r="E738" s="59"/>
      <c r="F738" s="59"/>
      <c r="I738" s="60"/>
    </row>
    <row r="739" spans="2:9" ht="15.75" customHeight="1" x14ac:dyDescent="0.2">
      <c r="B739" s="16"/>
      <c r="E739" s="59"/>
      <c r="F739" s="59"/>
      <c r="I739" s="60"/>
    </row>
    <row r="740" spans="2:9" ht="15.75" customHeight="1" x14ac:dyDescent="0.2">
      <c r="B740" s="16"/>
      <c r="E740" s="59"/>
      <c r="F740" s="59"/>
      <c r="I740" s="60"/>
    </row>
    <row r="741" spans="2:9" ht="15.75" customHeight="1" x14ac:dyDescent="0.2">
      <c r="B741" s="16"/>
      <c r="E741" s="59"/>
      <c r="F741" s="59"/>
      <c r="I741" s="60"/>
    </row>
    <row r="742" spans="2:9" ht="15.75" customHeight="1" x14ac:dyDescent="0.2">
      <c r="B742" s="16"/>
      <c r="E742" s="59"/>
      <c r="F742" s="59"/>
      <c r="I742" s="60"/>
    </row>
    <row r="743" spans="2:9" ht="15.75" customHeight="1" x14ac:dyDescent="0.2">
      <c r="B743" s="16"/>
      <c r="E743" s="59"/>
      <c r="F743" s="59"/>
      <c r="I743" s="60"/>
    </row>
    <row r="744" spans="2:9" ht="15.75" customHeight="1" x14ac:dyDescent="0.2">
      <c r="B744" s="16"/>
      <c r="E744" s="59"/>
      <c r="F744" s="59"/>
      <c r="I744" s="60"/>
    </row>
    <row r="745" spans="2:9" ht="15.75" customHeight="1" x14ac:dyDescent="0.2">
      <c r="B745" s="16"/>
      <c r="E745" s="59"/>
      <c r="F745" s="59"/>
      <c r="I745" s="60"/>
    </row>
    <row r="746" spans="2:9" ht="15.75" customHeight="1" x14ac:dyDescent="0.2">
      <c r="B746" s="16"/>
      <c r="E746" s="59"/>
      <c r="F746" s="59"/>
      <c r="I746" s="60"/>
    </row>
    <row r="747" spans="2:9" ht="15.75" customHeight="1" x14ac:dyDescent="0.2">
      <c r="B747" s="16"/>
      <c r="E747" s="59"/>
      <c r="F747" s="59"/>
      <c r="I747" s="60"/>
    </row>
    <row r="748" spans="2:9" ht="15.75" customHeight="1" x14ac:dyDescent="0.2">
      <c r="B748" s="16"/>
      <c r="E748" s="59"/>
      <c r="F748" s="59"/>
      <c r="I748" s="60"/>
    </row>
    <row r="749" spans="2:9" ht="15.75" customHeight="1" x14ac:dyDescent="0.2">
      <c r="B749" s="16"/>
      <c r="E749" s="59"/>
      <c r="F749" s="59"/>
      <c r="I749" s="60"/>
    </row>
    <row r="750" spans="2:9" ht="15.75" customHeight="1" x14ac:dyDescent="0.2">
      <c r="B750" s="16"/>
      <c r="E750" s="59"/>
      <c r="F750" s="59"/>
      <c r="I750" s="60"/>
    </row>
    <row r="751" spans="2:9" ht="15.75" customHeight="1" x14ac:dyDescent="0.2">
      <c r="B751" s="16"/>
      <c r="E751" s="59"/>
      <c r="F751" s="59"/>
      <c r="I751" s="60"/>
    </row>
    <row r="752" spans="2:9" ht="15.75" customHeight="1" x14ac:dyDescent="0.2">
      <c r="B752" s="16"/>
      <c r="E752" s="59"/>
      <c r="F752" s="59"/>
      <c r="I752" s="60"/>
    </row>
    <row r="753" spans="2:9" ht="15.75" customHeight="1" x14ac:dyDescent="0.2">
      <c r="B753" s="16"/>
      <c r="E753" s="59"/>
      <c r="F753" s="59"/>
      <c r="I753" s="60"/>
    </row>
    <row r="754" spans="2:9" ht="15.75" customHeight="1" x14ac:dyDescent="0.2">
      <c r="B754" s="16"/>
      <c r="E754" s="59"/>
      <c r="F754" s="59"/>
      <c r="I754" s="60"/>
    </row>
    <row r="755" spans="2:9" ht="15.75" customHeight="1" x14ac:dyDescent="0.2">
      <c r="B755" s="16"/>
      <c r="E755" s="59"/>
      <c r="F755" s="59"/>
      <c r="I755" s="60"/>
    </row>
    <row r="756" spans="2:9" ht="15.75" customHeight="1" x14ac:dyDescent="0.2">
      <c r="B756" s="16"/>
      <c r="E756" s="59"/>
      <c r="F756" s="59"/>
      <c r="I756" s="60"/>
    </row>
    <row r="757" spans="2:9" ht="15.75" customHeight="1" x14ac:dyDescent="0.2">
      <c r="B757" s="16"/>
      <c r="E757" s="59"/>
      <c r="F757" s="59"/>
      <c r="I757" s="60"/>
    </row>
    <row r="758" spans="2:9" ht="15.75" customHeight="1" x14ac:dyDescent="0.2">
      <c r="B758" s="16"/>
      <c r="E758" s="59"/>
      <c r="F758" s="59"/>
      <c r="I758" s="60"/>
    </row>
    <row r="759" spans="2:9" ht="15.75" customHeight="1" x14ac:dyDescent="0.2">
      <c r="B759" s="16"/>
      <c r="E759" s="59"/>
      <c r="F759" s="59"/>
      <c r="I759" s="60"/>
    </row>
    <row r="760" spans="2:9" ht="15.75" customHeight="1" x14ac:dyDescent="0.2">
      <c r="B760" s="16"/>
      <c r="E760" s="59"/>
      <c r="F760" s="59"/>
      <c r="I760" s="60"/>
    </row>
    <row r="761" spans="2:9" ht="15.75" customHeight="1" x14ac:dyDescent="0.2">
      <c r="B761" s="16"/>
      <c r="E761" s="59"/>
      <c r="F761" s="59"/>
      <c r="I761" s="60"/>
    </row>
    <row r="762" spans="2:9" ht="15.75" customHeight="1" x14ac:dyDescent="0.2">
      <c r="B762" s="16"/>
      <c r="E762" s="59"/>
      <c r="F762" s="59"/>
      <c r="I762" s="60"/>
    </row>
    <row r="763" spans="2:9" ht="15.75" customHeight="1" x14ac:dyDescent="0.2">
      <c r="B763" s="16"/>
      <c r="E763" s="59"/>
      <c r="F763" s="59"/>
      <c r="I763" s="60"/>
    </row>
    <row r="764" spans="2:9" ht="15.75" customHeight="1" x14ac:dyDescent="0.2">
      <c r="B764" s="16"/>
      <c r="E764" s="59"/>
      <c r="F764" s="59"/>
      <c r="I764" s="60"/>
    </row>
    <row r="765" spans="2:9" ht="15.75" customHeight="1" x14ac:dyDescent="0.2">
      <c r="B765" s="16"/>
      <c r="E765" s="59"/>
      <c r="F765" s="59"/>
      <c r="I765" s="60"/>
    </row>
    <row r="766" spans="2:9" ht="15.75" customHeight="1" x14ac:dyDescent="0.2">
      <c r="B766" s="16"/>
      <c r="E766" s="59"/>
      <c r="F766" s="59"/>
      <c r="I766" s="60"/>
    </row>
    <row r="767" spans="2:9" ht="15.75" customHeight="1" x14ac:dyDescent="0.2">
      <c r="B767" s="16"/>
      <c r="E767" s="59"/>
      <c r="F767" s="59"/>
      <c r="I767" s="60"/>
    </row>
    <row r="768" spans="2:9" ht="15.75" customHeight="1" x14ac:dyDescent="0.2">
      <c r="B768" s="16"/>
      <c r="E768" s="59"/>
      <c r="F768" s="59"/>
      <c r="I768" s="60"/>
    </row>
    <row r="769" spans="2:9" ht="15.75" customHeight="1" x14ac:dyDescent="0.2">
      <c r="B769" s="16"/>
      <c r="E769" s="59"/>
      <c r="F769" s="59"/>
      <c r="I769" s="60"/>
    </row>
    <row r="770" spans="2:9" ht="15.75" customHeight="1" x14ac:dyDescent="0.2">
      <c r="B770" s="16"/>
      <c r="E770" s="59"/>
      <c r="F770" s="59"/>
      <c r="I770" s="60"/>
    </row>
    <row r="771" spans="2:9" ht="15.75" customHeight="1" x14ac:dyDescent="0.2">
      <c r="B771" s="16"/>
      <c r="E771" s="59"/>
      <c r="F771" s="59"/>
      <c r="I771" s="60"/>
    </row>
    <row r="772" spans="2:9" ht="15.75" customHeight="1" x14ac:dyDescent="0.2">
      <c r="B772" s="16"/>
      <c r="E772" s="59"/>
      <c r="F772" s="59"/>
      <c r="I772" s="60"/>
    </row>
    <row r="773" spans="2:9" ht="15.75" customHeight="1" x14ac:dyDescent="0.2">
      <c r="B773" s="16"/>
      <c r="E773" s="59"/>
      <c r="F773" s="59"/>
      <c r="I773" s="60"/>
    </row>
    <row r="774" spans="2:9" ht="15.75" customHeight="1" x14ac:dyDescent="0.2">
      <c r="B774" s="16"/>
      <c r="E774" s="59"/>
      <c r="F774" s="59"/>
      <c r="I774" s="60"/>
    </row>
    <row r="775" spans="2:9" ht="15.75" customHeight="1" x14ac:dyDescent="0.2">
      <c r="B775" s="16"/>
      <c r="E775" s="59"/>
      <c r="F775" s="59"/>
      <c r="I775" s="60"/>
    </row>
    <row r="776" spans="2:9" ht="15.75" customHeight="1" x14ac:dyDescent="0.2">
      <c r="B776" s="16"/>
      <c r="E776" s="59"/>
      <c r="F776" s="59"/>
      <c r="I776" s="60"/>
    </row>
    <row r="777" spans="2:9" ht="15.75" customHeight="1" x14ac:dyDescent="0.2">
      <c r="B777" s="16"/>
      <c r="E777" s="59"/>
      <c r="F777" s="59"/>
      <c r="I777" s="60"/>
    </row>
    <row r="778" spans="2:9" ht="15.75" customHeight="1" x14ac:dyDescent="0.2">
      <c r="B778" s="16"/>
      <c r="E778" s="59"/>
      <c r="F778" s="59"/>
      <c r="I778" s="60"/>
    </row>
    <row r="779" spans="2:9" ht="15.75" customHeight="1" x14ac:dyDescent="0.2">
      <c r="B779" s="16"/>
      <c r="E779" s="59"/>
      <c r="F779" s="59"/>
      <c r="I779" s="60"/>
    </row>
    <row r="780" spans="2:9" ht="15.75" customHeight="1" x14ac:dyDescent="0.2">
      <c r="B780" s="16"/>
      <c r="E780" s="59"/>
      <c r="F780" s="59"/>
      <c r="I780" s="60"/>
    </row>
    <row r="781" spans="2:9" ht="15.75" customHeight="1" x14ac:dyDescent="0.2">
      <c r="B781" s="16"/>
      <c r="E781" s="59"/>
      <c r="F781" s="59"/>
      <c r="I781" s="60"/>
    </row>
    <row r="782" spans="2:9" ht="15.75" customHeight="1" x14ac:dyDescent="0.2">
      <c r="B782" s="16"/>
      <c r="E782" s="59"/>
      <c r="F782" s="59"/>
      <c r="I782" s="60"/>
    </row>
    <row r="783" spans="2:9" ht="15.75" customHeight="1" x14ac:dyDescent="0.2">
      <c r="B783" s="16"/>
      <c r="E783" s="59"/>
      <c r="F783" s="59"/>
      <c r="I783" s="60"/>
    </row>
    <row r="784" spans="2:9" ht="15.75" customHeight="1" x14ac:dyDescent="0.2">
      <c r="B784" s="16"/>
      <c r="E784" s="59"/>
      <c r="F784" s="59"/>
      <c r="I784" s="60"/>
    </row>
    <row r="785" spans="2:9" ht="15.75" customHeight="1" x14ac:dyDescent="0.2">
      <c r="B785" s="16"/>
      <c r="E785" s="59"/>
      <c r="F785" s="59"/>
      <c r="I785" s="60"/>
    </row>
    <row r="786" spans="2:9" ht="15.75" customHeight="1" x14ac:dyDescent="0.2">
      <c r="B786" s="16"/>
      <c r="E786" s="59"/>
      <c r="F786" s="59"/>
      <c r="I786" s="60"/>
    </row>
    <row r="787" spans="2:9" ht="15.75" customHeight="1" x14ac:dyDescent="0.2">
      <c r="B787" s="16"/>
      <c r="E787" s="59"/>
      <c r="F787" s="59"/>
      <c r="I787" s="60"/>
    </row>
    <row r="788" spans="2:9" ht="15.75" customHeight="1" x14ac:dyDescent="0.2">
      <c r="B788" s="16"/>
      <c r="E788" s="59"/>
      <c r="F788" s="59"/>
      <c r="I788" s="60"/>
    </row>
    <row r="789" spans="2:9" ht="15.75" customHeight="1" x14ac:dyDescent="0.2">
      <c r="B789" s="16"/>
      <c r="E789" s="59"/>
      <c r="F789" s="59"/>
      <c r="I789" s="60"/>
    </row>
    <row r="790" spans="2:9" ht="15.75" customHeight="1" x14ac:dyDescent="0.2">
      <c r="B790" s="16"/>
      <c r="E790" s="59"/>
      <c r="F790" s="59"/>
      <c r="I790" s="60"/>
    </row>
    <row r="791" spans="2:9" ht="15.75" customHeight="1" x14ac:dyDescent="0.2">
      <c r="B791" s="16"/>
      <c r="E791" s="59"/>
      <c r="F791" s="59"/>
      <c r="I791" s="60"/>
    </row>
    <row r="792" spans="2:9" ht="15.75" customHeight="1" x14ac:dyDescent="0.2">
      <c r="B792" s="16"/>
      <c r="E792" s="59"/>
      <c r="F792" s="59"/>
      <c r="I792" s="60"/>
    </row>
    <row r="793" spans="2:9" ht="15.75" customHeight="1" x14ac:dyDescent="0.2">
      <c r="B793" s="16"/>
      <c r="E793" s="59"/>
      <c r="F793" s="59"/>
      <c r="I793" s="60"/>
    </row>
    <row r="794" spans="2:9" ht="15.75" customHeight="1" x14ac:dyDescent="0.2">
      <c r="B794" s="16"/>
      <c r="E794" s="59"/>
      <c r="F794" s="59"/>
      <c r="I794" s="60"/>
    </row>
    <row r="795" spans="2:9" ht="15.75" customHeight="1" x14ac:dyDescent="0.2">
      <c r="B795" s="16"/>
      <c r="E795" s="59"/>
      <c r="F795" s="59"/>
      <c r="I795" s="60"/>
    </row>
    <row r="796" spans="2:9" ht="15.75" customHeight="1" x14ac:dyDescent="0.2">
      <c r="B796" s="16"/>
      <c r="E796" s="59"/>
      <c r="F796" s="59"/>
      <c r="I796" s="60"/>
    </row>
    <row r="797" spans="2:9" ht="15.75" customHeight="1" x14ac:dyDescent="0.2">
      <c r="B797" s="16"/>
      <c r="E797" s="59"/>
      <c r="F797" s="59"/>
      <c r="I797" s="60"/>
    </row>
    <row r="798" spans="2:9" ht="15.75" customHeight="1" x14ac:dyDescent="0.2">
      <c r="B798" s="16"/>
      <c r="E798" s="59"/>
      <c r="F798" s="59"/>
      <c r="I798" s="60"/>
    </row>
    <row r="799" spans="2:9" ht="15.75" customHeight="1" x14ac:dyDescent="0.2">
      <c r="B799" s="16"/>
      <c r="E799" s="59"/>
      <c r="F799" s="59"/>
      <c r="I799" s="60"/>
    </row>
    <row r="800" spans="2:9" ht="15.75" customHeight="1" x14ac:dyDescent="0.2">
      <c r="B800" s="16"/>
      <c r="E800" s="59"/>
      <c r="F800" s="59"/>
      <c r="I800" s="60"/>
    </row>
    <row r="801" spans="2:9" ht="15.75" customHeight="1" x14ac:dyDescent="0.2">
      <c r="B801" s="16"/>
      <c r="E801" s="59"/>
      <c r="F801" s="59"/>
      <c r="I801" s="60"/>
    </row>
    <row r="802" spans="2:9" ht="15.75" customHeight="1" x14ac:dyDescent="0.2">
      <c r="B802" s="16"/>
      <c r="E802" s="59"/>
      <c r="F802" s="59"/>
      <c r="I802" s="60"/>
    </row>
    <row r="803" spans="2:9" ht="15.75" customHeight="1" x14ac:dyDescent="0.2">
      <c r="B803" s="16"/>
      <c r="E803" s="59"/>
      <c r="F803" s="59"/>
      <c r="I803" s="60"/>
    </row>
    <row r="804" spans="2:9" ht="15.75" customHeight="1" x14ac:dyDescent="0.2">
      <c r="B804" s="16"/>
      <c r="E804" s="59"/>
      <c r="F804" s="59"/>
      <c r="I804" s="60"/>
    </row>
    <row r="805" spans="2:9" ht="15.75" customHeight="1" x14ac:dyDescent="0.2">
      <c r="B805" s="16"/>
      <c r="E805" s="59"/>
      <c r="F805" s="59"/>
      <c r="I805" s="60"/>
    </row>
    <row r="806" spans="2:9" ht="15.75" customHeight="1" x14ac:dyDescent="0.2">
      <c r="B806" s="16"/>
      <c r="E806" s="59"/>
      <c r="F806" s="59"/>
      <c r="I806" s="60"/>
    </row>
    <row r="807" spans="2:9" ht="15.75" customHeight="1" x14ac:dyDescent="0.2">
      <c r="B807" s="16"/>
      <c r="E807" s="59"/>
      <c r="F807" s="59"/>
      <c r="I807" s="60"/>
    </row>
    <row r="808" spans="2:9" ht="15.75" customHeight="1" x14ac:dyDescent="0.2">
      <c r="B808" s="16"/>
      <c r="E808" s="59"/>
      <c r="F808" s="59"/>
      <c r="I808" s="60"/>
    </row>
    <row r="809" spans="2:9" ht="15.75" customHeight="1" x14ac:dyDescent="0.2">
      <c r="B809" s="16"/>
      <c r="E809" s="59"/>
      <c r="F809" s="59"/>
      <c r="I809" s="60"/>
    </row>
    <row r="810" spans="2:9" ht="15.75" customHeight="1" x14ac:dyDescent="0.2">
      <c r="B810" s="16"/>
      <c r="E810" s="59"/>
      <c r="F810" s="59"/>
      <c r="I810" s="60"/>
    </row>
    <row r="811" spans="2:9" ht="15.75" customHeight="1" x14ac:dyDescent="0.2">
      <c r="B811" s="16"/>
      <c r="E811" s="59"/>
      <c r="F811" s="59"/>
      <c r="I811" s="60"/>
    </row>
    <row r="812" spans="2:9" ht="15.75" customHeight="1" x14ac:dyDescent="0.2">
      <c r="B812" s="16"/>
      <c r="E812" s="59"/>
      <c r="F812" s="59"/>
      <c r="I812" s="60"/>
    </row>
    <row r="813" spans="2:9" ht="15.75" customHeight="1" x14ac:dyDescent="0.2">
      <c r="B813" s="16"/>
      <c r="E813" s="59"/>
      <c r="F813" s="59"/>
      <c r="I813" s="60"/>
    </row>
    <row r="814" spans="2:9" ht="15.75" customHeight="1" x14ac:dyDescent="0.2">
      <c r="B814" s="16"/>
      <c r="E814" s="59"/>
      <c r="F814" s="59"/>
      <c r="I814" s="60"/>
    </row>
    <row r="815" spans="2:9" ht="15.75" customHeight="1" x14ac:dyDescent="0.2">
      <c r="B815" s="16"/>
      <c r="E815" s="59"/>
      <c r="F815" s="59"/>
      <c r="I815" s="60"/>
    </row>
    <row r="816" spans="2:9" ht="15.75" customHeight="1" x14ac:dyDescent="0.2">
      <c r="B816" s="16"/>
      <c r="E816" s="59"/>
      <c r="F816" s="59"/>
      <c r="I816" s="60"/>
    </row>
    <row r="817" spans="2:9" ht="15.75" customHeight="1" x14ac:dyDescent="0.2">
      <c r="B817" s="16"/>
      <c r="E817" s="59"/>
      <c r="F817" s="59"/>
      <c r="I817" s="60"/>
    </row>
    <row r="818" spans="2:9" ht="15.75" customHeight="1" x14ac:dyDescent="0.2">
      <c r="B818" s="16"/>
      <c r="E818" s="59"/>
      <c r="F818" s="59"/>
      <c r="I818" s="60"/>
    </row>
    <row r="819" spans="2:9" ht="15.75" customHeight="1" x14ac:dyDescent="0.2">
      <c r="B819" s="16"/>
      <c r="E819" s="59"/>
      <c r="F819" s="59"/>
      <c r="I819" s="60"/>
    </row>
    <row r="820" spans="2:9" ht="15.75" customHeight="1" x14ac:dyDescent="0.2">
      <c r="B820" s="16"/>
      <c r="E820" s="59"/>
      <c r="F820" s="59"/>
      <c r="I820" s="60"/>
    </row>
    <row r="821" spans="2:9" ht="15.75" customHeight="1" x14ac:dyDescent="0.2">
      <c r="B821" s="16"/>
      <c r="E821" s="59"/>
      <c r="F821" s="59"/>
      <c r="I821" s="60"/>
    </row>
    <row r="822" spans="2:9" ht="15.75" customHeight="1" x14ac:dyDescent="0.2">
      <c r="B822" s="16"/>
      <c r="E822" s="59"/>
      <c r="F822" s="59"/>
      <c r="I822" s="60"/>
    </row>
    <row r="823" spans="2:9" ht="15.75" customHeight="1" x14ac:dyDescent="0.2">
      <c r="B823" s="16"/>
      <c r="E823" s="59"/>
      <c r="F823" s="59"/>
      <c r="I823" s="60"/>
    </row>
    <row r="824" spans="2:9" ht="15.75" customHeight="1" x14ac:dyDescent="0.2">
      <c r="B824" s="16"/>
      <c r="E824" s="59"/>
      <c r="F824" s="59"/>
      <c r="I824" s="60"/>
    </row>
    <row r="825" spans="2:9" ht="15.75" customHeight="1" x14ac:dyDescent="0.2">
      <c r="B825" s="16"/>
      <c r="E825" s="59"/>
      <c r="F825" s="59"/>
      <c r="I825" s="60"/>
    </row>
    <row r="826" spans="2:9" ht="15.75" customHeight="1" x14ac:dyDescent="0.2">
      <c r="B826" s="16"/>
      <c r="E826" s="59"/>
      <c r="F826" s="59"/>
      <c r="I826" s="60"/>
    </row>
    <row r="827" spans="2:9" ht="15.75" customHeight="1" x14ac:dyDescent="0.2">
      <c r="B827" s="16"/>
      <c r="E827" s="59"/>
      <c r="F827" s="59"/>
      <c r="I827" s="60"/>
    </row>
    <row r="828" spans="2:9" ht="15.75" customHeight="1" x14ac:dyDescent="0.2">
      <c r="B828" s="16"/>
      <c r="E828" s="59"/>
      <c r="F828" s="59"/>
      <c r="I828" s="60"/>
    </row>
    <row r="829" spans="2:9" ht="15.75" customHeight="1" x14ac:dyDescent="0.2">
      <c r="B829" s="16"/>
      <c r="E829" s="59"/>
      <c r="F829" s="59"/>
      <c r="I829" s="60"/>
    </row>
    <row r="830" spans="2:9" ht="15.75" customHeight="1" x14ac:dyDescent="0.2">
      <c r="B830" s="16"/>
      <c r="E830" s="59"/>
      <c r="F830" s="59"/>
      <c r="I830" s="60"/>
    </row>
    <row r="831" spans="2:9" ht="15.75" customHeight="1" x14ac:dyDescent="0.2">
      <c r="B831" s="16"/>
      <c r="E831" s="59"/>
      <c r="F831" s="59"/>
      <c r="I831" s="60"/>
    </row>
    <row r="832" spans="2:9" ht="15.75" customHeight="1" x14ac:dyDescent="0.2">
      <c r="B832" s="16"/>
      <c r="E832" s="59"/>
      <c r="F832" s="59"/>
      <c r="I832" s="60"/>
    </row>
    <row r="833" spans="2:9" ht="15.75" customHeight="1" x14ac:dyDescent="0.2">
      <c r="B833" s="16"/>
      <c r="E833" s="59"/>
      <c r="F833" s="59"/>
      <c r="I833" s="60"/>
    </row>
    <row r="834" spans="2:9" ht="15.75" customHeight="1" x14ac:dyDescent="0.2">
      <c r="B834" s="16"/>
      <c r="E834" s="59"/>
      <c r="F834" s="59"/>
      <c r="I834" s="60"/>
    </row>
    <row r="835" spans="2:9" ht="15.75" customHeight="1" x14ac:dyDescent="0.2">
      <c r="B835" s="16"/>
      <c r="E835" s="59"/>
      <c r="F835" s="59"/>
      <c r="I835" s="60"/>
    </row>
    <row r="836" spans="2:9" ht="15.75" customHeight="1" x14ac:dyDescent="0.2">
      <c r="B836" s="16"/>
      <c r="E836" s="59"/>
      <c r="F836" s="59"/>
      <c r="I836" s="60"/>
    </row>
    <row r="837" spans="2:9" ht="15.75" customHeight="1" x14ac:dyDescent="0.2">
      <c r="B837" s="16"/>
      <c r="E837" s="59"/>
      <c r="F837" s="59"/>
      <c r="I837" s="60"/>
    </row>
    <row r="838" spans="2:9" ht="15.75" customHeight="1" x14ac:dyDescent="0.2">
      <c r="B838" s="16"/>
      <c r="E838" s="59"/>
      <c r="F838" s="59"/>
      <c r="I838" s="60"/>
    </row>
    <row r="839" spans="2:9" ht="15.75" customHeight="1" x14ac:dyDescent="0.2">
      <c r="B839" s="16"/>
      <c r="E839" s="59"/>
      <c r="F839" s="59"/>
      <c r="I839" s="60"/>
    </row>
    <row r="840" spans="2:9" ht="15.75" customHeight="1" x14ac:dyDescent="0.2">
      <c r="B840" s="16"/>
      <c r="E840" s="59"/>
      <c r="F840" s="59"/>
      <c r="I840" s="60"/>
    </row>
    <row r="841" spans="2:9" ht="15.75" customHeight="1" x14ac:dyDescent="0.2">
      <c r="B841" s="16"/>
      <c r="E841" s="59"/>
      <c r="F841" s="59"/>
      <c r="I841" s="60"/>
    </row>
    <row r="842" spans="2:9" ht="15.75" customHeight="1" x14ac:dyDescent="0.2">
      <c r="B842" s="16"/>
      <c r="E842" s="59"/>
      <c r="F842" s="59"/>
      <c r="I842" s="60"/>
    </row>
    <row r="843" spans="2:9" ht="15.75" customHeight="1" x14ac:dyDescent="0.2">
      <c r="B843" s="16"/>
      <c r="E843" s="59"/>
      <c r="F843" s="59"/>
      <c r="I843" s="60"/>
    </row>
    <row r="844" spans="2:9" ht="15.75" customHeight="1" x14ac:dyDescent="0.2">
      <c r="B844" s="16"/>
      <c r="E844" s="59"/>
      <c r="F844" s="59"/>
      <c r="I844" s="60"/>
    </row>
    <row r="845" spans="2:9" ht="15.75" customHeight="1" x14ac:dyDescent="0.2">
      <c r="B845" s="16"/>
      <c r="E845" s="59"/>
      <c r="F845" s="59"/>
      <c r="I845" s="60"/>
    </row>
    <row r="846" spans="2:9" ht="15.75" customHeight="1" x14ac:dyDescent="0.2">
      <c r="B846" s="16"/>
      <c r="E846" s="59"/>
      <c r="F846" s="59"/>
      <c r="I846" s="60"/>
    </row>
    <row r="847" spans="2:9" ht="15.75" customHeight="1" x14ac:dyDescent="0.2">
      <c r="B847" s="16"/>
      <c r="E847" s="59"/>
      <c r="F847" s="59"/>
      <c r="I847" s="60"/>
    </row>
    <row r="848" spans="2:9" ht="15.75" customHeight="1" x14ac:dyDescent="0.2">
      <c r="B848" s="16"/>
      <c r="E848" s="59"/>
      <c r="F848" s="59"/>
      <c r="I848" s="60"/>
    </row>
    <row r="849" spans="2:9" ht="15.75" customHeight="1" x14ac:dyDescent="0.2">
      <c r="B849" s="16"/>
      <c r="E849" s="59"/>
      <c r="F849" s="59"/>
      <c r="I849" s="60"/>
    </row>
    <row r="850" spans="2:9" ht="15.75" customHeight="1" x14ac:dyDescent="0.2">
      <c r="B850" s="16"/>
      <c r="E850" s="59"/>
      <c r="F850" s="59"/>
      <c r="I850" s="60"/>
    </row>
    <row r="851" spans="2:9" ht="15.75" customHeight="1" x14ac:dyDescent="0.2">
      <c r="B851" s="16"/>
      <c r="E851" s="59"/>
      <c r="F851" s="59"/>
      <c r="I851" s="60"/>
    </row>
    <row r="852" spans="2:9" ht="15.75" customHeight="1" x14ac:dyDescent="0.2">
      <c r="B852" s="16"/>
      <c r="E852" s="59"/>
      <c r="F852" s="59"/>
      <c r="I852" s="60"/>
    </row>
    <row r="853" spans="2:9" ht="15.75" customHeight="1" x14ac:dyDescent="0.2">
      <c r="B853" s="16"/>
      <c r="E853" s="59"/>
      <c r="F853" s="59"/>
      <c r="I853" s="60"/>
    </row>
    <row r="854" spans="2:9" ht="15.75" customHeight="1" x14ac:dyDescent="0.2">
      <c r="B854" s="16"/>
      <c r="E854" s="59"/>
      <c r="F854" s="59"/>
      <c r="I854" s="60"/>
    </row>
    <row r="855" spans="2:9" ht="15.75" customHeight="1" x14ac:dyDescent="0.2">
      <c r="B855" s="16"/>
      <c r="E855" s="59"/>
      <c r="F855" s="59"/>
      <c r="I855" s="60"/>
    </row>
    <row r="856" spans="2:9" ht="15.75" customHeight="1" x14ac:dyDescent="0.2">
      <c r="B856" s="16"/>
      <c r="E856" s="59"/>
      <c r="F856" s="59"/>
      <c r="I856" s="60"/>
    </row>
    <row r="857" spans="2:9" ht="15.75" customHeight="1" x14ac:dyDescent="0.2">
      <c r="B857" s="16"/>
      <c r="E857" s="59"/>
      <c r="F857" s="59"/>
      <c r="I857" s="60"/>
    </row>
    <row r="858" spans="2:9" ht="15.75" customHeight="1" x14ac:dyDescent="0.2">
      <c r="B858" s="16"/>
      <c r="E858" s="59"/>
      <c r="F858" s="59"/>
      <c r="I858" s="60"/>
    </row>
    <row r="859" spans="2:9" ht="15.75" customHeight="1" x14ac:dyDescent="0.2">
      <c r="B859" s="16"/>
      <c r="E859" s="59"/>
      <c r="F859" s="59"/>
      <c r="I859" s="60"/>
    </row>
    <row r="860" spans="2:9" ht="15.75" customHeight="1" x14ac:dyDescent="0.2">
      <c r="B860" s="16"/>
      <c r="E860" s="59"/>
      <c r="F860" s="59"/>
      <c r="I860" s="60"/>
    </row>
    <row r="861" spans="2:9" ht="15.75" customHeight="1" x14ac:dyDescent="0.2">
      <c r="B861" s="16"/>
      <c r="E861" s="59"/>
      <c r="F861" s="59"/>
      <c r="I861" s="60"/>
    </row>
    <row r="862" spans="2:9" ht="15.75" customHeight="1" x14ac:dyDescent="0.2">
      <c r="B862" s="16"/>
      <c r="E862" s="59"/>
      <c r="F862" s="59"/>
      <c r="I862" s="60"/>
    </row>
    <row r="863" spans="2:9" ht="15.75" customHeight="1" x14ac:dyDescent="0.2">
      <c r="B863" s="16"/>
      <c r="E863" s="59"/>
      <c r="F863" s="59"/>
      <c r="I863" s="60"/>
    </row>
    <row r="864" spans="2:9" ht="15.75" customHeight="1" x14ac:dyDescent="0.2">
      <c r="B864" s="16"/>
      <c r="E864" s="59"/>
      <c r="F864" s="59"/>
      <c r="I864" s="60"/>
    </row>
    <row r="865" spans="2:9" ht="15.75" customHeight="1" x14ac:dyDescent="0.2">
      <c r="B865" s="16"/>
      <c r="E865" s="59"/>
      <c r="F865" s="59"/>
      <c r="I865" s="60"/>
    </row>
    <row r="866" spans="2:9" ht="15.75" customHeight="1" x14ac:dyDescent="0.2">
      <c r="B866" s="16"/>
      <c r="E866" s="59"/>
      <c r="F866" s="59"/>
      <c r="I866" s="60"/>
    </row>
    <row r="867" spans="2:9" ht="15.75" customHeight="1" x14ac:dyDescent="0.2">
      <c r="B867" s="16"/>
      <c r="E867" s="59"/>
      <c r="F867" s="59"/>
      <c r="I867" s="60"/>
    </row>
    <row r="868" spans="2:9" ht="15.75" customHeight="1" x14ac:dyDescent="0.2">
      <c r="B868" s="16"/>
      <c r="E868" s="59"/>
      <c r="F868" s="59"/>
      <c r="I868" s="60"/>
    </row>
    <row r="869" spans="2:9" ht="15.75" customHeight="1" x14ac:dyDescent="0.2">
      <c r="B869" s="16"/>
      <c r="E869" s="59"/>
      <c r="F869" s="59"/>
      <c r="I869" s="60"/>
    </row>
    <row r="870" spans="2:9" ht="15.75" customHeight="1" x14ac:dyDescent="0.2">
      <c r="B870" s="16"/>
      <c r="E870" s="59"/>
      <c r="F870" s="59"/>
      <c r="I870" s="60"/>
    </row>
    <row r="871" spans="2:9" ht="15.75" customHeight="1" x14ac:dyDescent="0.2">
      <c r="B871" s="16"/>
      <c r="E871" s="59"/>
      <c r="F871" s="59"/>
      <c r="I871" s="60"/>
    </row>
    <row r="872" spans="2:9" ht="15.75" customHeight="1" x14ac:dyDescent="0.2">
      <c r="B872" s="16"/>
      <c r="E872" s="59"/>
      <c r="F872" s="59"/>
      <c r="I872" s="60"/>
    </row>
    <row r="873" spans="2:9" ht="15.75" customHeight="1" x14ac:dyDescent="0.2">
      <c r="B873" s="16"/>
      <c r="E873" s="59"/>
      <c r="F873" s="59"/>
      <c r="I873" s="60"/>
    </row>
    <row r="874" spans="2:9" ht="15.75" customHeight="1" x14ac:dyDescent="0.2">
      <c r="B874" s="16"/>
      <c r="E874" s="59"/>
      <c r="F874" s="59"/>
      <c r="I874" s="60"/>
    </row>
    <row r="875" spans="2:9" ht="15.75" customHeight="1" x14ac:dyDescent="0.2">
      <c r="B875" s="16"/>
      <c r="E875" s="59"/>
      <c r="F875" s="59"/>
      <c r="I875" s="60"/>
    </row>
    <row r="876" spans="2:9" ht="15.75" customHeight="1" x14ac:dyDescent="0.2">
      <c r="B876" s="16"/>
      <c r="E876" s="59"/>
      <c r="F876" s="59"/>
      <c r="I876" s="60"/>
    </row>
    <row r="877" spans="2:9" ht="15.75" customHeight="1" x14ac:dyDescent="0.2">
      <c r="B877" s="16"/>
      <c r="E877" s="59"/>
      <c r="F877" s="59"/>
      <c r="I877" s="60"/>
    </row>
    <row r="878" spans="2:9" ht="15.75" customHeight="1" x14ac:dyDescent="0.2">
      <c r="B878" s="16"/>
      <c r="E878" s="59"/>
      <c r="F878" s="59"/>
      <c r="I878" s="60"/>
    </row>
    <row r="879" spans="2:9" ht="15.75" customHeight="1" x14ac:dyDescent="0.2">
      <c r="B879" s="16"/>
      <c r="E879" s="59"/>
      <c r="F879" s="59"/>
      <c r="I879" s="60"/>
    </row>
    <row r="880" spans="2:9" ht="15.75" customHeight="1" x14ac:dyDescent="0.2">
      <c r="B880" s="16"/>
      <c r="E880" s="59"/>
      <c r="F880" s="59"/>
      <c r="I880" s="60"/>
    </row>
    <row r="881" spans="2:9" ht="15.75" customHeight="1" x14ac:dyDescent="0.2">
      <c r="B881" s="16"/>
      <c r="E881" s="59"/>
      <c r="F881" s="59"/>
      <c r="I881" s="60"/>
    </row>
    <row r="882" spans="2:9" ht="15.75" customHeight="1" x14ac:dyDescent="0.2">
      <c r="B882" s="16"/>
      <c r="E882" s="59"/>
      <c r="F882" s="59"/>
      <c r="I882" s="60"/>
    </row>
    <row r="883" spans="2:9" ht="15.75" customHeight="1" x14ac:dyDescent="0.2">
      <c r="B883" s="16"/>
      <c r="E883" s="59"/>
      <c r="F883" s="59"/>
      <c r="I883" s="60"/>
    </row>
    <row r="884" spans="2:9" ht="15.75" customHeight="1" x14ac:dyDescent="0.2">
      <c r="B884" s="16"/>
      <c r="E884" s="59"/>
      <c r="F884" s="59"/>
      <c r="I884" s="60"/>
    </row>
    <row r="885" spans="2:9" ht="15.75" customHeight="1" x14ac:dyDescent="0.2">
      <c r="B885" s="16"/>
      <c r="E885" s="59"/>
      <c r="F885" s="59"/>
      <c r="I885" s="60"/>
    </row>
    <row r="886" spans="2:9" ht="15.75" customHeight="1" x14ac:dyDescent="0.2">
      <c r="B886" s="16"/>
      <c r="E886" s="59"/>
      <c r="F886" s="59"/>
      <c r="I886" s="60"/>
    </row>
    <row r="887" spans="2:9" ht="15.75" customHeight="1" x14ac:dyDescent="0.2">
      <c r="B887" s="16"/>
      <c r="E887" s="59"/>
      <c r="F887" s="59"/>
      <c r="I887" s="60"/>
    </row>
    <row r="888" spans="2:9" ht="15.75" customHeight="1" x14ac:dyDescent="0.2">
      <c r="B888" s="16"/>
      <c r="E888" s="59"/>
      <c r="F888" s="59"/>
      <c r="I888" s="60"/>
    </row>
    <row r="889" spans="2:9" ht="15.75" customHeight="1" x14ac:dyDescent="0.2">
      <c r="B889" s="16"/>
      <c r="E889" s="59"/>
      <c r="F889" s="59"/>
      <c r="I889" s="60"/>
    </row>
    <row r="890" spans="2:9" ht="15.75" customHeight="1" x14ac:dyDescent="0.2">
      <c r="B890" s="16"/>
      <c r="E890" s="59"/>
      <c r="F890" s="59"/>
      <c r="I890" s="60"/>
    </row>
    <row r="891" spans="2:9" ht="15.75" customHeight="1" x14ac:dyDescent="0.2">
      <c r="B891" s="16"/>
      <c r="E891" s="59"/>
      <c r="F891" s="59"/>
      <c r="I891" s="60"/>
    </row>
    <row r="892" spans="2:9" ht="15.75" customHeight="1" x14ac:dyDescent="0.2">
      <c r="B892" s="16"/>
      <c r="E892" s="59"/>
      <c r="F892" s="59"/>
      <c r="I892" s="60"/>
    </row>
    <row r="893" spans="2:9" ht="15.75" customHeight="1" x14ac:dyDescent="0.2">
      <c r="B893" s="16"/>
      <c r="E893" s="59"/>
      <c r="F893" s="59"/>
      <c r="I893" s="60"/>
    </row>
    <row r="894" spans="2:9" ht="15.75" customHeight="1" x14ac:dyDescent="0.2">
      <c r="B894" s="16"/>
      <c r="E894" s="59"/>
      <c r="F894" s="59"/>
      <c r="I894" s="60"/>
    </row>
    <row r="895" spans="2:9" ht="15.75" customHeight="1" x14ac:dyDescent="0.2">
      <c r="B895" s="16"/>
      <c r="E895" s="59"/>
      <c r="F895" s="59"/>
      <c r="I895" s="60"/>
    </row>
    <row r="896" spans="2:9" ht="15.75" customHeight="1" x14ac:dyDescent="0.2">
      <c r="B896" s="16"/>
      <c r="E896" s="59"/>
      <c r="F896" s="59"/>
      <c r="I896" s="60"/>
    </row>
    <row r="897" spans="2:9" ht="15.75" customHeight="1" x14ac:dyDescent="0.2">
      <c r="B897" s="16"/>
      <c r="E897" s="59"/>
      <c r="F897" s="59"/>
      <c r="I897" s="60"/>
    </row>
    <row r="898" spans="2:9" ht="15.75" customHeight="1" x14ac:dyDescent="0.2">
      <c r="B898" s="16"/>
      <c r="E898" s="59"/>
      <c r="F898" s="59"/>
      <c r="I898" s="60"/>
    </row>
    <row r="899" spans="2:9" ht="15.75" customHeight="1" x14ac:dyDescent="0.2">
      <c r="B899" s="16"/>
      <c r="E899" s="59"/>
      <c r="F899" s="59"/>
      <c r="I899" s="60"/>
    </row>
    <row r="900" spans="2:9" ht="15.75" customHeight="1" x14ac:dyDescent="0.2">
      <c r="B900" s="16"/>
      <c r="E900" s="59"/>
      <c r="F900" s="59"/>
      <c r="I900" s="60"/>
    </row>
    <row r="901" spans="2:9" ht="15.75" customHeight="1" x14ac:dyDescent="0.2">
      <c r="B901" s="16"/>
      <c r="E901" s="59"/>
      <c r="F901" s="59"/>
      <c r="I901" s="60"/>
    </row>
    <row r="902" spans="2:9" ht="15.75" customHeight="1" x14ac:dyDescent="0.2">
      <c r="B902" s="16"/>
      <c r="E902" s="59"/>
      <c r="F902" s="59"/>
      <c r="I902" s="60"/>
    </row>
    <row r="903" spans="2:9" ht="15.75" customHeight="1" x14ac:dyDescent="0.2">
      <c r="B903" s="16"/>
      <c r="E903" s="59"/>
      <c r="F903" s="59"/>
      <c r="I903" s="60"/>
    </row>
    <row r="904" spans="2:9" ht="15.75" customHeight="1" x14ac:dyDescent="0.2">
      <c r="B904" s="16"/>
      <c r="E904" s="59"/>
      <c r="F904" s="59"/>
      <c r="I904" s="60"/>
    </row>
    <row r="905" spans="2:9" ht="15.75" customHeight="1" x14ac:dyDescent="0.2">
      <c r="B905" s="16"/>
      <c r="E905" s="59"/>
      <c r="F905" s="59"/>
      <c r="I905" s="60"/>
    </row>
    <row r="906" spans="2:9" ht="15.75" customHeight="1" x14ac:dyDescent="0.2">
      <c r="B906" s="16"/>
      <c r="E906" s="59"/>
      <c r="F906" s="59"/>
      <c r="I906" s="60"/>
    </row>
    <row r="907" spans="2:9" ht="15.75" customHeight="1" x14ac:dyDescent="0.2">
      <c r="B907" s="16"/>
      <c r="E907" s="59"/>
      <c r="F907" s="59"/>
      <c r="I907" s="60"/>
    </row>
    <row r="908" spans="2:9" ht="15.75" customHeight="1" x14ac:dyDescent="0.2">
      <c r="B908" s="16"/>
      <c r="E908" s="59"/>
      <c r="F908" s="59"/>
      <c r="I908" s="60"/>
    </row>
    <row r="909" spans="2:9" ht="15.75" customHeight="1" x14ac:dyDescent="0.2">
      <c r="B909" s="16"/>
      <c r="E909" s="59"/>
      <c r="F909" s="59"/>
      <c r="I909" s="60"/>
    </row>
    <row r="910" spans="2:9" ht="15.75" customHeight="1" x14ac:dyDescent="0.2">
      <c r="B910" s="16"/>
      <c r="E910" s="59"/>
      <c r="F910" s="59"/>
      <c r="I910" s="60"/>
    </row>
    <row r="911" spans="2:9" ht="15.75" customHeight="1" x14ac:dyDescent="0.2">
      <c r="B911" s="16"/>
      <c r="E911" s="59"/>
      <c r="F911" s="59"/>
      <c r="I911" s="60"/>
    </row>
    <row r="912" spans="2:9" ht="15.75" customHeight="1" x14ac:dyDescent="0.2">
      <c r="B912" s="16"/>
      <c r="E912" s="59"/>
      <c r="F912" s="59"/>
      <c r="I912" s="60"/>
    </row>
    <row r="913" spans="2:9" ht="15.75" customHeight="1" x14ac:dyDescent="0.2">
      <c r="B913" s="16"/>
      <c r="E913" s="59"/>
      <c r="F913" s="59"/>
      <c r="I913" s="60"/>
    </row>
    <row r="914" spans="2:9" ht="15.75" customHeight="1" x14ac:dyDescent="0.2">
      <c r="B914" s="16"/>
      <c r="E914" s="59"/>
      <c r="F914" s="59"/>
      <c r="I914" s="60"/>
    </row>
    <row r="915" spans="2:9" ht="15.75" customHeight="1" x14ac:dyDescent="0.2">
      <c r="B915" s="16"/>
      <c r="E915" s="59"/>
      <c r="F915" s="59"/>
      <c r="I915" s="60"/>
    </row>
    <row r="916" spans="2:9" ht="15.75" customHeight="1" x14ac:dyDescent="0.2">
      <c r="B916" s="16"/>
      <c r="E916" s="59"/>
      <c r="F916" s="59"/>
      <c r="I916" s="60"/>
    </row>
    <row r="917" spans="2:9" ht="15.75" customHeight="1" x14ac:dyDescent="0.2">
      <c r="B917" s="16"/>
      <c r="E917" s="59"/>
      <c r="F917" s="59"/>
      <c r="I917" s="60"/>
    </row>
    <row r="918" spans="2:9" ht="15.75" customHeight="1" x14ac:dyDescent="0.2">
      <c r="B918" s="16"/>
      <c r="E918" s="59"/>
      <c r="F918" s="59"/>
      <c r="I918" s="60"/>
    </row>
    <row r="919" spans="2:9" ht="15.75" customHeight="1" x14ac:dyDescent="0.2">
      <c r="B919" s="16"/>
      <c r="E919" s="59"/>
      <c r="F919" s="59"/>
      <c r="I919" s="60"/>
    </row>
    <row r="920" spans="2:9" ht="15.75" customHeight="1" x14ac:dyDescent="0.2">
      <c r="B920" s="16"/>
      <c r="E920" s="59"/>
      <c r="F920" s="59"/>
      <c r="I920" s="60"/>
    </row>
    <row r="921" spans="2:9" ht="15.75" customHeight="1" x14ac:dyDescent="0.2">
      <c r="B921" s="16"/>
      <c r="E921" s="59"/>
      <c r="F921" s="59"/>
      <c r="I921" s="60"/>
    </row>
    <row r="922" spans="2:9" ht="15.75" customHeight="1" x14ac:dyDescent="0.2">
      <c r="B922" s="16"/>
      <c r="E922" s="59"/>
      <c r="F922" s="59"/>
      <c r="I922" s="60"/>
    </row>
    <row r="923" spans="2:9" ht="15.75" customHeight="1" x14ac:dyDescent="0.2">
      <c r="B923" s="16"/>
      <c r="E923" s="59"/>
      <c r="F923" s="59"/>
      <c r="I923" s="60"/>
    </row>
    <row r="924" spans="2:9" ht="15.75" customHeight="1" x14ac:dyDescent="0.2">
      <c r="B924" s="16"/>
      <c r="E924" s="59"/>
      <c r="F924" s="59"/>
      <c r="I924" s="60"/>
    </row>
    <row r="925" spans="2:9" ht="15.75" customHeight="1" x14ac:dyDescent="0.2">
      <c r="B925" s="16"/>
      <c r="E925" s="59"/>
      <c r="F925" s="59"/>
      <c r="I925" s="60"/>
    </row>
    <row r="926" spans="2:9" ht="15.75" customHeight="1" x14ac:dyDescent="0.2">
      <c r="B926" s="16"/>
      <c r="E926" s="59"/>
      <c r="F926" s="59"/>
      <c r="I926" s="60"/>
    </row>
    <row r="927" spans="2:9" ht="15.75" customHeight="1" x14ac:dyDescent="0.2">
      <c r="B927" s="16"/>
      <c r="E927" s="59"/>
      <c r="F927" s="59"/>
      <c r="I927" s="60"/>
    </row>
    <row r="928" spans="2:9" ht="15.75" customHeight="1" x14ac:dyDescent="0.2">
      <c r="B928" s="16"/>
      <c r="E928" s="59"/>
      <c r="F928" s="59"/>
      <c r="I928" s="60"/>
    </row>
    <row r="929" spans="2:9" ht="15.75" customHeight="1" x14ac:dyDescent="0.2">
      <c r="B929" s="16"/>
      <c r="E929" s="59"/>
      <c r="F929" s="59"/>
      <c r="I929" s="60"/>
    </row>
    <row r="930" spans="2:9" ht="15.75" customHeight="1" x14ac:dyDescent="0.2">
      <c r="B930" s="16"/>
      <c r="E930" s="59"/>
      <c r="F930" s="59"/>
      <c r="I930" s="60"/>
    </row>
    <row r="931" spans="2:9" ht="15.75" customHeight="1" x14ac:dyDescent="0.2">
      <c r="B931" s="16"/>
      <c r="E931" s="59"/>
      <c r="F931" s="59"/>
      <c r="I931" s="60"/>
    </row>
    <row r="932" spans="2:9" ht="15.75" customHeight="1" x14ac:dyDescent="0.2">
      <c r="B932" s="16"/>
      <c r="E932" s="59"/>
      <c r="F932" s="59"/>
      <c r="I932" s="60"/>
    </row>
    <row r="933" spans="2:9" ht="15.75" customHeight="1" x14ac:dyDescent="0.2">
      <c r="B933" s="16"/>
      <c r="E933" s="59"/>
      <c r="F933" s="59"/>
      <c r="I933" s="60"/>
    </row>
    <row r="934" spans="2:9" ht="15.75" customHeight="1" x14ac:dyDescent="0.2">
      <c r="B934" s="16"/>
      <c r="E934" s="59"/>
      <c r="F934" s="59"/>
      <c r="I934" s="60"/>
    </row>
    <row r="935" spans="2:9" ht="15.75" customHeight="1" x14ac:dyDescent="0.2">
      <c r="B935" s="16"/>
      <c r="E935" s="59"/>
      <c r="F935" s="59"/>
      <c r="I935" s="60"/>
    </row>
    <row r="936" spans="2:9" ht="15.75" customHeight="1" x14ac:dyDescent="0.2">
      <c r="B936" s="16"/>
      <c r="E936" s="59"/>
      <c r="F936" s="59"/>
      <c r="I936" s="60"/>
    </row>
    <row r="937" spans="2:9" ht="15.75" customHeight="1" x14ac:dyDescent="0.2">
      <c r="B937" s="16"/>
      <c r="E937" s="59"/>
      <c r="F937" s="59"/>
      <c r="I937" s="60"/>
    </row>
    <row r="938" spans="2:9" ht="15.75" customHeight="1" x14ac:dyDescent="0.2">
      <c r="B938" s="16"/>
      <c r="E938" s="59"/>
      <c r="F938" s="59"/>
      <c r="I938" s="60"/>
    </row>
    <row r="939" spans="2:9" ht="15.75" customHeight="1" x14ac:dyDescent="0.2">
      <c r="B939" s="16"/>
      <c r="E939" s="59"/>
      <c r="F939" s="59"/>
      <c r="I939" s="60"/>
    </row>
    <row r="940" spans="2:9" ht="15.75" customHeight="1" x14ac:dyDescent="0.2">
      <c r="B940" s="16"/>
      <c r="E940" s="59"/>
      <c r="F940" s="59"/>
      <c r="I940" s="60"/>
    </row>
    <row r="941" spans="2:9" ht="15.75" customHeight="1" x14ac:dyDescent="0.2">
      <c r="B941" s="16"/>
      <c r="E941" s="59"/>
      <c r="F941" s="59"/>
      <c r="I941" s="60"/>
    </row>
    <row r="942" spans="2:9" ht="15.75" customHeight="1" x14ac:dyDescent="0.2">
      <c r="B942" s="16"/>
      <c r="E942" s="59"/>
      <c r="F942" s="59"/>
      <c r="I942" s="60"/>
    </row>
    <row r="943" spans="2:9" ht="15.75" customHeight="1" x14ac:dyDescent="0.2">
      <c r="B943" s="16"/>
      <c r="E943" s="59"/>
      <c r="F943" s="59"/>
      <c r="I943" s="60"/>
    </row>
    <row r="944" spans="2:9" ht="15.75" customHeight="1" x14ac:dyDescent="0.2">
      <c r="B944" s="16"/>
      <c r="E944" s="59"/>
      <c r="F944" s="59"/>
      <c r="I944" s="60"/>
    </row>
    <row r="945" spans="2:9" ht="15.75" customHeight="1" x14ac:dyDescent="0.2">
      <c r="B945" s="16"/>
      <c r="E945" s="59"/>
      <c r="F945" s="59"/>
      <c r="I945" s="60"/>
    </row>
    <row r="946" spans="2:9" ht="15.75" customHeight="1" x14ac:dyDescent="0.2">
      <c r="B946" s="16"/>
      <c r="E946" s="59"/>
      <c r="F946" s="59"/>
      <c r="I946" s="60"/>
    </row>
    <row r="947" spans="2:9" ht="15.75" customHeight="1" x14ac:dyDescent="0.2">
      <c r="B947" s="16"/>
      <c r="E947" s="59"/>
      <c r="F947" s="59"/>
      <c r="I947" s="60"/>
    </row>
    <row r="948" spans="2:9" ht="15.75" customHeight="1" x14ac:dyDescent="0.2">
      <c r="B948" s="16"/>
      <c r="E948" s="59"/>
      <c r="F948" s="59"/>
      <c r="I948" s="60"/>
    </row>
    <row r="949" spans="2:9" ht="15.75" customHeight="1" x14ac:dyDescent="0.2">
      <c r="B949" s="16"/>
      <c r="E949" s="59"/>
      <c r="F949" s="59"/>
      <c r="I949" s="60"/>
    </row>
    <row r="950" spans="2:9" ht="15.75" customHeight="1" x14ac:dyDescent="0.2">
      <c r="B950" s="16"/>
      <c r="E950" s="59"/>
      <c r="F950" s="59"/>
      <c r="I950" s="60"/>
    </row>
    <row r="951" spans="2:9" ht="15.75" customHeight="1" x14ac:dyDescent="0.2">
      <c r="B951" s="16"/>
      <c r="E951" s="59"/>
      <c r="F951" s="59"/>
      <c r="I951" s="60"/>
    </row>
    <row r="952" spans="2:9" ht="15.75" customHeight="1" x14ac:dyDescent="0.2">
      <c r="B952" s="16"/>
      <c r="E952" s="59"/>
      <c r="F952" s="59"/>
      <c r="I952" s="60"/>
    </row>
    <row r="953" spans="2:9" ht="15.75" customHeight="1" x14ac:dyDescent="0.2">
      <c r="B953" s="16"/>
      <c r="E953" s="59"/>
      <c r="F953" s="59"/>
      <c r="I953" s="60"/>
    </row>
    <row r="954" spans="2:9" ht="15.75" customHeight="1" x14ac:dyDescent="0.2">
      <c r="B954" s="16"/>
      <c r="E954" s="59"/>
      <c r="F954" s="59"/>
      <c r="I954" s="60"/>
    </row>
    <row r="955" spans="2:9" ht="15.75" customHeight="1" x14ac:dyDescent="0.2">
      <c r="B955" s="16"/>
      <c r="E955" s="59"/>
      <c r="F955" s="59"/>
      <c r="I955" s="60"/>
    </row>
    <row r="956" spans="2:9" ht="15.75" customHeight="1" x14ac:dyDescent="0.2">
      <c r="B956" s="16"/>
      <c r="E956" s="59"/>
      <c r="F956" s="59"/>
      <c r="I956" s="60"/>
    </row>
    <row r="957" spans="2:9" ht="15.75" customHeight="1" x14ac:dyDescent="0.2">
      <c r="B957" s="16"/>
      <c r="E957" s="59"/>
      <c r="F957" s="59"/>
      <c r="I957" s="60"/>
    </row>
    <row r="958" spans="2:9" ht="15.75" customHeight="1" x14ac:dyDescent="0.2">
      <c r="B958" s="16"/>
      <c r="E958" s="59"/>
      <c r="F958" s="59"/>
      <c r="I958" s="60"/>
    </row>
    <row r="959" spans="2:9" ht="15.75" customHeight="1" x14ac:dyDescent="0.2">
      <c r="B959" s="16"/>
      <c r="E959" s="59"/>
      <c r="F959" s="59"/>
      <c r="I959" s="60"/>
    </row>
    <row r="960" spans="2:9" ht="15.75" customHeight="1" x14ac:dyDescent="0.2">
      <c r="B960" s="16"/>
      <c r="E960" s="59"/>
      <c r="F960" s="59"/>
      <c r="I960" s="60"/>
    </row>
    <row r="961" spans="2:9" ht="15.75" customHeight="1" x14ac:dyDescent="0.2">
      <c r="B961" s="16"/>
      <c r="E961" s="59"/>
      <c r="F961" s="59"/>
      <c r="I961" s="60"/>
    </row>
    <row r="962" spans="2:9" ht="15.75" customHeight="1" x14ac:dyDescent="0.2">
      <c r="B962" s="16"/>
      <c r="E962" s="59"/>
      <c r="F962" s="59"/>
      <c r="I962" s="60"/>
    </row>
    <row r="963" spans="2:9" ht="15.75" customHeight="1" x14ac:dyDescent="0.2">
      <c r="B963" s="16"/>
      <c r="E963" s="59"/>
      <c r="F963" s="59"/>
      <c r="I963" s="60"/>
    </row>
    <row r="964" spans="2:9" ht="15.75" customHeight="1" x14ac:dyDescent="0.2">
      <c r="B964" s="16"/>
      <c r="E964" s="59"/>
      <c r="F964" s="59"/>
      <c r="I964" s="60"/>
    </row>
    <row r="965" spans="2:9" ht="15.75" customHeight="1" x14ac:dyDescent="0.2">
      <c r="B965" s="16"/>
      <c r="E965" s="59"/>
      <c r="F965" s="59"/>
      <c r="I965" s="60"/>
    </row>
    <row r="966" spans="2:9" ht="15.75" customHeight="1" x14ac:dyDescent="0.2">
      <c r="B966" s="16"/>
      <c r="E966" s="59"/>
      <c r="F966" s="59"/>
      <c r="I966" s="60"/>
    </row>
    <row r="967" spans="2:9" ht="15.75" customHeight="1" x14ac:dyDescent="0.2">
      <c r="B967" s="16"/>
      <c r="E967" s="59"/>
      <c r="F967" s="59"/>
      <c r="I967" s="60"/>
    </row>
    <row r="968" spans="2:9" ht="15.75" customHeight="1" x14ac:dyDescent="0.2">
      <c r="B968" s="16"/>
      <c r="E968" s="59"/>
      <c r="F968" s="59"/>
      <c r="I968" s="60"/>
    </row>
    <row r="969" spans="2:9" ht="15.75" customHeight="1" x14ac:dyDescent="0.2">
      <c r="B969" s="16"/>
      <c r="E969" s="59"/>
      <c r="F969" s="59"/>
      <c r="I969" s="60"/>
    </row>
    <row r="970" spans="2:9" ht="15.75" customHeight="1" x14ac:dyDescent="0.2">
      <c r="B970" s="16"/>
      <c r="E970" s="59"/>
      <c r="F970" s="59"/>
      <c r="I970" s="60"/>
    </row>
    <row r="971" spans="2:9" ht="15.75" customHeight="1" x14ac:dyDescent="0.2">
      <c r="B971" s="16"/>
      <c r="E971" s="59"/>
      <c r="F971" s="59"/>
      <c r="I971" s="60"/>
    </row>
    <row r="972" spans="2:9" ht="15.75" customHeight="1" x14ac:dyDescent="0.2">
      <c r="B972" s="16"/>
      <c r="E972" s="59"/>
      <c r="F972" s="59"/>
      <c r="I972" s="60"/>
    </row>
    <row r="973" spans="2:9" ht="15.75" customHeight="1" x14ac:dyDescent="0.2">
      <c r="B973" s="16"/>
      <c r="E973" s="59"/>
      <c r="F973" s="59"/>
      <c r="I973" s="60"/>
    </row>
    <row r="974" spans="2:9" ht="15.75" customHeight="1" x14ac:dyDescent="0.2">
      <c r="B974" s="16"/>
      <c r="E974" s="59"/>
      <c r="F974" s="59"/>
      <c r="I974" s="60"/>
    </row>
    <row r="975" spans="2:9" ht="15.75" customHeight="1" x14ac:dyDescent="0.2">
      <c r="B975" s="16"/>
      <c r="E975" s="59"/>
      <c r="F975" s="59"/>
      <c r="I975" s="60"/>
    </row>
    <row r="976" spans="2:9" ht="15.75" customHeight="1" x14ac:dyDescent="0.2">
      <c r="B976" s="16"/>
      <c r="E976" s="59"/>
      <c r="F976" s="59"/>
      <c r="I976" s="60"/>
    </row>
    <row r="977" spans="2:9" ht="15.75" customHeight="1" x14ac:dyDescent="0.2">
      <c r="B977" s="16"/>
      <c r="E977" s="59"/>
      <c r="F977" s="59"/>
      <c r="I977" s="60"/>
    </row>
    <row r="978" spans="2:9" ht="15.75" customHeight="1" x14ac:dyDescent="0.2">
      <c r="B978" s="16"/>
      <c r="E978" s="59"/>
      <c r="F978" s="59"/>
      <c r="I978" s="60"/>
    </row>
    <row r="979" spans="2:9" ht="15.75" customHeight="1" x14ac:dyDescent="0.2">
      <c r="B979" s="16"/>
      <c r="E979" s="59"/>
      <c r="F979" s="59"/>
      <c r="I979" s="60"/>
    </row>
    <row r="980" spans="2:9" ht="15.75" customHeight="1" x14ac:dyDescent="0.2">
      <c r="B980" s="16"/>
      <c r="E980" s="59"/>
      <c r="F980" s="59"/>
      <c r="I980" s="60"/>
    </row>
    <row r="981" spans="2:9" ht="15.75" customHeight="1" x14ac:dyDescent="0.2">
      <c r="B981" s="16"/>
      <c r="E981" s="59"/>
      <c r="F981" s="59"/>
      <c r="I981" s="60"/>
    </row>
    <row r="982" spans="2:9" ht="15.75" customHeight="1" x14ac:dyDescent="0.2">
      <c r="B982" s="16"/>
      <c r="E982" s="59"/>
      <c r="F982" s="59"/>
      <c r="I982" s="60"/>
    </row>
    <row r="983" spans="2:9" ht="15.75" customHeight="1" x14ac:dyDescent="0.2">
      <c r="B983" s="16"/>
      <c r="E983" s="59"/>
      <c r="F983" s="59"/>
      <c r="I983" s="60"/>
    </row>
    <row r="984" spans="2:9" ht="15.75" customHeight="1" x14ac:dyDescent="0.2">
      <c r="B984" s="16"/>
      <c r="E984" s="59"/>
      <c r="F984" s="59"/>
      <c r="I984" s="60"/>
    </row>
    <row r="985" spans="2:9" ht="15.75" customHeight="1" x14ac:dyDescent="0.2">
      <c r="B985" s="16"/>
      <c r="E985" s="59"/>
      <c r="F985" s="59"/>
      <c r="I985" s="60"/>
    </row>
    <row r="986" spans="2:9" ht="15.75" customHeight="1" x14ac:dyDescent="0.2">
      <c r="B986" s="16"/>
      <c r="E986" s="59"/>
      <c r="F986" s="59"/>
      <c r="I986" s="60"/>
    </row>
    <row r="987" spans="2:9" ht="15.75" customHeight="1" x14ac:dyDescent="0.2">
      <c r="B987" s="16"/>
      <c r="E987" s="59"/>
      <c r="F987" s="59"/>
      <c r="I987" s="60"/>
    </row>
    <row r="988" spans="2:9" ht="15.75" customHeight="1" x14ac:dyDescent="0.2">
      <c r="B988" s="16"/>
      <c r="E988" s="59"/>
      <c r="F988" s="59"/>
      <c r="I988" s="60"/>
    </row>
    <row r="989" spans="2:9" ht="15.75" customHeight="1" x14ac:dyDescent="0.2">
      <c r="B989" s="16"/>
      <c r="E989" s="59"/>
      <c r="F989" s="59"/>
      <c r="I989" s="60"/>
    </row>
    <row r="990" spans="2:9" ht="15.75" customHeight="1" x14ac:dyDescent="0.2">
      <c r="B990" s="16"/>
      <c r="E990" s="59"/>
      <c r="F990" s="59"/>
      <c r="I990" s="60"/>
    </row>
    <row r="991" spans="2:9" ht="15.75" customHeight="1" x14ac:dyDescent="0.2">
      <c r="B991" s="16"/>
      <c r="E991" s="59"/>
      <c r="F991" s="59"/>
      <c r="I991" s="60"/>
    </row>
    <row r="992" spans="2:9" ht="15.75" customHeight="1" x14ac:dyDescent="0.2">
      <c r="B992" s="16"/>
      <c r="E992" s="59"/>
      <c r="F992" s="59"/>
      <c r="I992" s="60"/>
    </row>
    <row r="993" spans="2:9" ht="15.75" customHeight="1" x14ac:dyDescent="0.2">
      <c r="B993" s="16"/>
      <c r="E993" s="59"/>
      <c r="F993" s="59"/>
      <c r="I993" s="60"/>
    </row>
    <row r="994" spans="2:9" ht="15.75" customHeight="1" x14ac:dyDescent="0.2">
      <c r="B994" s="16"/>
      <c r="E994" s="59"/>
      <c r="F994" s="59"/>
      <c r="I994" s="60"/>
    </row>
    <row r="995" spans="2:9" ht="15.75" customHeight="1" x14ac:dyDescent="0.2">
      <c r="B995" s="16"/>
      <c r="E995" s="59"/>
      <c r="F995" s="59"/>
      <c r="I995" s="60"/>
    </row>
    <row r="996" spans="2:9" ht="15.75" customHeight="1" x14ac:dyDescent="0.2">
      <c r="B996" s="16"/>
      <c r="E996" s="59"/>
      <c r="F996" s="59"/>
      <c r="I996" s="60"/>
    </row>
    <row r="997" spans="2:9" ht="15.75" customHeight="1" x14ac:dyDescent="0.2">
      <c r="B997" s="16"/>
      <c r="E997" s="59"/>
      <c r="F997" s="59"/>
      <c r="I997" s="60"/>
    </row>
    <row r="998" spans="2:9" ht="15.75" customHeight="1" x14ac:dyDescent="0.2">
      <c r="B998" s="16"/>
      <c r="E998" s="59"/>
      <c r="F998" s="59"/>
      <c r="I998" s="60"/>
    </row>
    <row r="999" spans="2:9" ht="15.75" customHeight="1" x14ac:dyDescent="0.2">
      <c r="B999" s="16"/>
      <c r="E999" s="59"/>
      <c r="F999" s="59"/>
      <c r="I999" s="60"/>
    </row>
    <row r="1000" spans="2:9" ht="15.75" customHeight="1" x14ac:dyDescent="0.2">
      <c r="B1000" s="16"/>
      <c r="E1000" s="59"/>
      <c r="F1000" s="59"/>
      <c r="I1000" s="60"/>
    </row>
  </sheetData>
  <mergeCells count="9">
    <mergeCell ref="A2:P2"/>
    <mergeCell ref="A45:E45"/>
    <mergeCell ref="V2:AK2"/>
    <mergeCell ref="AP2:AQ2"/>
    <mergeCell ref="AP3:AQ3"/>
    <mergeCell ref="AP4:AQ4"/>
    <mergeCell ref="AP5:AQ5"/>
    <mergeCell ref="AP6:AQ6"/>
    <mergeCell ref="V16:AK1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26" customWidth="1"/>
    <col min="2" max="2" width="14.5" customWidth="1"/>
    <col min="3" max="3" width="13.6640625" customWidth="1"/>
    <col min="4" max="4" width="12.1640625" customWidth="1"/>
    <col min="5" max="6" width="11.33203125" customWidth="1"/>
    <col min="7" max="7" width="14.5" customWidth="1"/>
    <col min="8" max="8" width="11.5" customWidth="1"/>
    <col min="9" max="9" width="11.6640625" customWidth="1"/>
    <col min="10" max="10" width="12.5" customWidth="1"/>
    <col min="11" max="11" width="12.6640625" customWidth="1"/>
    <col min="12" max="12" width="13" customWidth="1"/>
    <col min="13" max="13" width="12.1640625" customWidth="1"/>
    <col min="14" max="14" width="12" customWidth="1"/>
    <col min="15" max="16" width="13.1640625" customWidth="1"/>
    <col min="17" max="26" width="10" customWidth="1"/>
  </cols>
  <sheetData>
    <row r="1" spans="1:16" ht="45" customHeight="1" x14ac:dyDescent="0.2">
      <c r="A1" s="3" t="s">
        <v>107</v>
      </c>
      <c r="B1" s="4" t="s">
        <v>3</v>
      </c>
      <c r="C1" s="3" t="s">
        <v>4</v>
      </c>
      <c r="D1" s="3" t="s">
        <v>108</v>
      </c>
      <c r="E1" s="4" t="s">
        <v>109</v>
      </c>
      <c r="F1" s="4" t="s">
        <v>110</v>
      </c>
      <c r="G1" s="3" t="s">
        <v>111</v>
      </c>
      <c r="H1" s="3" t="s">
        <v>112</v>
      </c>
      <c r="I1" s="5" t="s">
        <v>113</v>
      </c>
      <c r="J1" s="5" t="s">
        <v>114</v>
      </c>
      <c r="K1" s="5" t="s">
        <v>12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17</v>
      </c>
    </row>
    <row r="2" spans="1:16" ht="31.5" customHeight="1" x14ac:dyDescent="0.2">
      <c r="A2" s="72" t="s">
        <v>22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3.5" customHeight="1" x14ac:dyDescent="0.2">
      <c r="A3" s="12" t="s">
        <v>25</v>
      </c>
      <c r="B3" s="13"/>
      <c r="C3" s="14"/>
      <c r="D3" s="15"/>
      <c r="E3" s="16"/>
      <c r="F3" s="16"/>
      <c r="G3" s="17"/>
      <c r="H3" s="18"/>
      <c r="I3" s="18"/>
      <c r="J3" s="18"/>
      <c r="K3" s="18"/>
      <c r="L3" s="14"/>
      <c r="M3" s="14"/>
      <c r="N3" s="14"/>
      <c r="O3" s="14"/>
      <c r="P3" s="14"/>
    </row>
    <row r="4" spans="1:16" ht="19.5" customHeight="1" x14ac:dyDescent="0.2">
      <c r="A4" s="23" t="s">
        <v>27</v>
      </c>
      <c r="B4" s="16">
        <f>'CRB Urban Water Summary Table'!B4</f>
        <v>276393</v>
      </c>
      <c r="C4" s="16">
        <f>'CRB Urban Water Summary Table'!C4</f>
        <v>386502</v>
      </c>
      <c r="D4" s="18">
        <f t="shared" ref="D4:D9" si="0">(C4-B4)/B4</f>
        <v>0.3983783959796377</v>
      </c>
      <c r="E4" s="16">
        <f>'CRB Urban Water Summary Table'!E4*1233.48</f>
        <v>71862544.799999997</v>
      </c>
      <c r="F4" s="16">
        <f>'CRB Urban Water Summary Table'!F4*1233.48</f>
        <v>68302721.519999996</v>
      </c>
      <c r="G4" s="18">
        <f t="shared" ref="G4:G9" si="1">(F4-E4)/E4</f>
        <v>-4.9536560247167884E-2</v>
      </c>
      <c r="H4" s="16">
        <f>'CRB Urban Water Summary Table'!H4*1233.48</f>
        <v>13036650.120000001</v>
      </c>
      <c r="I4" s="16">
        <f>'CRB Urban Water Summary Table'!I4*1233.48</f>
        <v>21434181.960000001</v>
      </c>
      <c r="J4" s="18">
        <f t="shared" ref="J4:J9" si="2">(I4-H4)/H4</f>
        <v>0.64414797994133777</v>
      </c>
      <c r="K4" s="18">
        <v>0.24</v>
      </c>
      <c r="L4" s="14">
        <f>'CRB Urban Water Summary Table'!L4*3.7854</f>
        <v>484.53120000000001</v>
      </c>
      <c r="M4" s="18">
        <f>'CRB Urban Water Summary Table'!M4</f>
        <v>-0.32</v>
      </c>
      <c r="N4" s="14">
        <f>'CRB Urban Water Summary Table'!N4*3.7854</f>
        <v>314.18819999999999</v>
      </c>
      <c r="O4" s="18">
        <f>(83-125)/125</f>
        <v>-0.33600000000000002</v>
      </c>
      <c r="P4" s="18">
        <v>0.71</v>
      </c>
    </row>
    <row r="5" spans="1:16" ht="21.75" customHeight="1" x14ac:dyDescent="0.2">
      <c r="A5" s="23" t="s">
        <v>32</v>
      </c>
      <c r="B5" s="16">
        <f>'CRB Urban Water Summary Table'!B5</f>
        <v>371335</v>
      </c>
      <c r="C5" s="16">
        <f>'CRB Urban Water Summary Table'!C5</f>
        <v>510054</v>
      </c>
      <c r="D5" s="18">
        <f t="shared" si="0"/>
        <v>0.37356834125520083</v>
      </c>
      <c r="E5" s="16">
        <f>'CRB Urban Water Summary Table'!E5*1233.48</f>
        <v>103232408.16</v>
      </c>
      <c r="F5" s="16">
        <f>'CRB Urban Water Summary Table'!F5*1233.48</f>
        <v>82484041.079999998</v>
      </c>
      <c r="G5" s="18">
        <f t="shared" si="1"/>
        <v>-0.20098695215791235</v>
      </c>
      <c r="H5" s="16">
        <f>'CRB Urban Water Summary Table'!H5*1233.48</f>
        <v>82418666.640000001</v>
      </c>
      <c r="I5" s="16">
        <f>'CRB Urban Water Summary Table'!I5*1233.48</f>
        <v>76475760</v>
      </c>
      <c r="J5" s="18">
        <f t="shared" si="2"/>
        <v>-7.2106318656649418E-2</v>
      </c>
      <c r="K5" s="18">
        <v>0.83</v>
      </c>
      <c r="L5" s="14">
        <f>'CRB Urban Water Summary Table'!L5*3.7854</f>
        <v>442.89179999999999</v>
      </c>
      <c r="M5" s="18">
        <f>'CRB Urban Water Summary Table'!M5</f>
        <v>-0.41791044776119401</v>
      </c>
      <c r="N5" s="14">
        <f>'CRB Urban Water Summary Table'!N5*3.7854</f>
        <v>280.11959999999999</v>
      </c>
      <c r="O5" s="18">
        <f>(74-126)/126</f>
        <v>-0.41269841269841268</v>
      </c>
      <c r="P5" s="18">
        <v>0.63</v>
      </c>
    </row>
    <row r="6" spans="1:16" ht="18.75" customHeight="1" x14ac:dyDescent="0.2">
      <c r="A6" s="23" t="s">
        <v>37</v>
      </c>
      <c r="B6" s="16">
        <f>'CRB Urban Water Summary Table'!B6</f>
        <v>1036000</v>
      </c>
      <c r="C6" s="16">
        <f>'CRB Urban Water Summary Table'!C6</f>
        <v>1332000</v>
      </c>
      <c r="D6" s="18">
        <f t="shared" si="0"/>
        <v>0.2857142857142857</v>
      </c>
      <c r="E6" s="16">
        <f>'CRB Urban Water Summary Table'!E6*1233.48</f>
        <v>316404888.72000003</v>
      </c>
      <c r="F6" s="16">
        <f>'CRB Urban Water Summary Table'!F6*1233.48</f>
        <v>265126658.16</v>
      </c>
      <c r="G6" s="18">
        <f t="shared" si="1"/>
        <v>-0.16206522840858598</v>
      </c>
      <c r="H6" s="16">
        <f>'CRB Urban Water Summary Table'!H6*1233.48</f>
        <v>200515742.28</v>
      </c>
      <c r="I6" s="16">
        <f>'CRB Urban Water Summary Table'!I6*1233.48</f>
        <v>178789225.56</v>
      </c>
      <c r="J6" s="18">
        <f t="shared" si="2"/>
        <v>-0.1083531720400342</v>
      </c>
      <c r="K6" s="18">
        <v>0.59</v>
      </c>
      <c r="L6" s="14">
        <f>'CRB Urban Water Summary Table'!L6*3.7854</f>
        <v>545.09760000000006</v>
      </c>
      <c r="M6" s="18">
        <f>'CRB Urban Water Summary Table'!M6</f>
        <v>-0.34841628959276016</v>
      </c>
      <c r="N6" s="14">
        <f>'CRB Urban Water Summary Table'!N6*3.7854</f>
        <v>189.27</v>
      </c>
      <c r="O6" s="18">
        <f>(50-86)/86</f>
        <v>-0.41860465116279072</v>
      </c>
      <c r="P6" s="18">
        <v>0.35</v>
      </c>
    </row>
    <row r="7" spans="1:16" ht="24" customHeight="1" x14ac:dyDescent="0.2">
      <c r="A7" s="23" t="s">
        <v>43</v>
      </c>
      <c r="B7" s="16">
        <f>'CRB Urban Water Summary Table'!B7</f>
        <v>118300</v>
      </c>
      <c r="C7" s="16">
        <f>'CRB Urban Water Summary Table'!C7</f>
        <v>136100</v>
      </c>
      <c r="D7" s="18">
        <f t="shared" si="0"/>
        <v>0.15046491969568893</v>
      </c>
      <c r="E7" s="16">
        <f>'CRB Urban Water Summary Table'!E7*1233.48</f>
        <v>38970567.119999997</v>
      </c>
      <c r="F7" s="16">
        <f>'CRB Urban Water Summary Table'!F7*1233.48</f>
        <v>28984313.039999999</v>
      </c>
      <c r="G7" s="18">
        <f t="shared" si="1"/>
        <v>-0.25625118693422799</v>
      </c>
      <c r="H7" s="16">
        <f>'CRB Urban Water Summary Table'!H7*1233.48</f>
        <v>19485283.559999999</v>
      </c>
      <c r="I7" s="16">
        <f>'CRB Urban Water Summary Table'!I7*1233.48</f>
        <v>14492156.52</v>
      </c>
      <c r="J7" s="18">
        <f t="shared" si="2"/>
        <v>-0.25625118693422799</v>
      </c>
      <c r="K7" s="18">
        <v>0.5</v>
      </c>
      <c r="L7" s="14">
        <f>'CRB Urban Water Summary Table'!L7*3.7854</f>
        <v>582.95159999999998</v>
      </c>
      <c r="M7" s="18">
        <f>'CRB Urban Water Summary Table'!M7</f>
        <v>-0.35294117647058826</v>
      </c>
      <c r="N7" s="14">
        <f>'CRB Urban Water Summary Table'!N7*3.7854</f>
        <v>287.69040000000001</v>
      </c>
      <c r="O7" s="18">
        <f>(76-134)/134</f>
        <v>-0.43283582089552236</v>
      </c>
      <c r="P7" s="18">
        <v>0.62</v>
      </c>
    </row>
    <row r="8" spans="1:16" ht="30" customHeight="1" x14ac:dyDescent="0.2">
      <c r="A8" s="38" t="s">
        <v>119</v>
      </c>
      <c r="B8" s="16">
        <f>'CRB Urban Water Summary Table'!B8</f>
        <v>60997</v>
      </c>
      <c r="C8" s="16">
        <f>'CRB Urban Water Summary Table'!C8</f>
        <v>86388</v>
      </c>
      <c r="D8" s="18">
        <f t="shared" si="0"/>
        <v>0.41626637375608638</v>
      </c>
      <c r="E8" s="16">
        <f>'CRB Urban Water Summary Table'!E8*1233.48</f>
        <v>10211980.92</v>
      </c>
      <c r="F8" s="16">
        <f>'CRB Urban Water Summary Table'!F8*1233.48</f>
        <v>11603346.359999999</v>
      </c>
      <c r="G8" s="18">
        <f t="shared" si="1"/>
        <v>0.13624833917139745</v>
      </c>
      <c r="H8" s="16">
        <f>'CRB Urban Water Summary Table'!H8*1233.48</f>
        <v>13227839.52</v>
      </c>
      <c r="I8" s="16">
        <f>'CRB Urban Water Summary Table'!I8*1233.48</f>
        <v>13171099.439999999</v>
      </c>
      <c r="J8" s="18">
        <f t="shared" si="2"/>
        <v>-4.2894442372249219E-3</v>
      </c>
      <c r="K8" s="18">
        <v>1</v>
      </c>
      <c r="L8" s="14">
        <f>'CRB Urban Water Summary Table'!L8*3.7854</f>
        <v>367.18380000000002</v>
      </c>
      <c r="M8" s="18">
        <f>'CRB Urban Water Summary Table'!M8</f>
        <v>-0.19834710743801653</v>
      </c>
      <c r="N8" s="14">
        <f>'CRB Urban Water Summary Table'!N8*3.7854</f>
        <v>276.33420000000001</v>
      </c>
      <c r="O8" s="18">
        <f>(73-93)/93</f>
        <v>-0.21505376344086022</v>
      </c>
      <c r="P8" s="18">
        <v>0.75</v>
      </c>
    </row>
    <row r="9" spans="1:16" ht="21.75" customHeight="1" x14ac:dyDescent="0.2">
      <c r="A9" s="23" t="s">
        <v>51</v>
      </c>
      <c r="B9" s="16">
        <f>'CRB Urban Water Summary Table'!B9</f>
        <v>79844</v>
      </c>
      <c r="C9" s="16">
        <f>'CRB Urban Water Summary Table'!C9</f>
        <v>109597</v>
      </c>
      <c r="D9" s="18">
        <f t="shared" si="0"/>
        <v>0.37263914633535394</v>
      </c>
      <c r="E9" s="16">
        <f>'CRB Urban Water Summary Table'!E9*1233.48</f>
        <v>28356933.824988432</v>
      </c>
      <c r="F9" s="16">
        <f>'CRB Urban Water Summary Table'!F9*1233.48</f>
        <v>27286435.782612301</v>
      </c>
      <c r="G9" s="18">
        <f t="shared" si="1"/>
        <v>-3.7750838965276159E-2</v>
      </c>
      <c r="H9" s="16">
        <f>'CRB Urban Water Summary Table'!H9*1233.48</f>
        <v>16730922.720000001</v>
      </c>
      <c r="I9" s="16">
        <f>'CRB Urban Water Summary Table'!I9*1233.48</f>
        <v>16634711.279999999</v>
      </c>
      <c r="J9" s="18">
        <f t="shared" si="2"/>
        <v>-5.7505160719552558E-3</v>
      </c>
      <c r="K9" s="18">
        <v>0.61</v>
      </c>
      <c r="L9" s="14">
        <f>'CRB Urban Water Summary Table'!L9*3.7854</f>
        <v>681.37200000000007</v>
      </c>
      <c r="M9" s="18">
        <f>'CRB Urban Water Summary Table'!M9</f>
        <v>-0.29961089494163423</v>
      </c>
      <c r="N9" s="14">
        <f>'CRB Urban Water Summary Table'!N9*3.7854</f>
        <v>401.25240000000002</v>
      </c>
      <c r="O9" s="18">
        <f>(106-157)/157</f>
        <v>-0.32484076433121017</v>
      </c>
      <c r="P9" s="18">
        <v>0.6</v>
      </c>
    </row>
    <row r="10" spans="1:16" ht="21" customHeight="1" x14ac:dyDescent="0.2">
      <c r="A10" s="12" t="s">
        <v>54</v>
      </c>
      <c r="B10" s="16"/>
      <c r="C10" s="16"/>
      <c r="D10" s="18"/>
      <c r="E10" s="16"/>
      <c r="F10" s="16"/>
      <c r="G10" s="18"/>
      <c r="H10" s="16"/>
      <c r="I10" s="16"/>
      <c r="J10" s="18"/>
      <c r="K10" s="18"/>
      <c r="L10" s="14"/>
      <c r="M10" s="18"/>
      <c r="N10" s="14"/>
      <c r="O10" s="14"/>
      <c r="P10" s="14"/>
    </row>
    <row r="11" spans="1:16" ht="30" customHeight="1" x14ac:dyDescent="0.2">
      <c r="A11" s="38" t="s">
        <v>55</v>
      </c>
      <c r="B11" s="16">
        <f>'CRB Urban Water Summary Table'!B11</f>
        <v>476285</v>
      </c>
      <c r="C11" s="16">
        <f>'CRB Urban Water Summary Table'!C11</f>
        <v>666777</v>
      </c>
      <c r="D11" s="18">
        <f t="shared" ref="D11:D12" si="3">(C11-B11)/B11</f>
        <v>0.39995380916887996</v>
      </c>
      <c r="E11" s="16">
        <f>'CRB Urban Water Summary Table'!E11*1233.48</f>
        <v>141839098.68000001</v>
      </c>
      <c r="F11" s="16">
        <f>'CRB Urban Water Summary Table'!F11*1233.48</f>
        <v>117798573.48</v>
      </c>
      <c r="G11" s="18">
        <f t="shared" ref="G11:G12" si="4">(F11-E11)/E11</f>
        <v>-0.16949152542372883</v>
      </c>
      <c r="H11" s="41">
        <v>0</v>
      </c>
      <c r="I11" s="16">
        <f>'CRB Urban Water Summary Table'!I11*1233.48</f>
        <v>22337089.32</v>
      </c>
      <c r="J11" s="18"/>
      <c r="K11" s="18">
        <v>0.22</v>
      </c>
      <c r="L11" s="14">
        <f>'CRB Urban Water Summary Table'!L11*3.7854</f>
        <v>484.53120000000001</v>
      </c>
      <c r="M11" s="18">
        <f>'CRB Urban Water Summary Table'!M11</f>
        <v>-0.40740740740740738</v>
      </c>
      <c r="N11" s="14">
        <f>'CRB Urban Water Summary Table'!N11*3.7854</f>
        <v>367.18380000000002</v>
      </c>
      <c r="O11" s="18">
        <f>(97-143)/143</f>
        <v>-0.32167832167832167</v>
      </c>
      <c r="P11" s="18">
        <v>0.69</v>
      </c>
    </row>
    <row r="12" spans="1:16" ht="30" customHeight="1" x14ac:dyDescent="0.2">
      <c r="A12" s="38" t="s">
        <v>58</v>
      </c>
      <c r="B12" s="16">
        <f>'CRB Urban Water Summary Table'!B12</f>
        <v>38468</v>
      </c>
      <c r="C12" s="16">
        <f>'CRB Urban Water Summary Table'!C12</f>
        <v>43278</v>
      </c>
      <c r="D12" s="18">
        <f t="shared" si="3"/>
        <v>0.12503899344910055</v>
      </c>
      <c r="E12" s="16">
        <f>'CRB Urban Water Summary Table'!E12*1233.48</f>
        <v>12820791.120000001</v>
      </c>
      <c r="F12" s="16">
        <f>'CRB Urban Water Summary Table'!F12*1233.48</f>
        <v>13542376.92</v>
      </c>
      <c r="G12" s="18">
        <f t="shared" si="4"/>
        <v>5.6282470656147686E-2</v>
      </c>
      <c r="H12" s="16">
        <f>'CRB Urban Water Summary Table'!H12*1233.48</f>
        <v>18838940.039999999</v>
      </c>
      <c r="I12" s="16">
        <f>'CRB Urban Water Summary Table'!I12*1233.48</f>
        <v>18736561.199999999</v>
      </c>
      <c r="J12" s="18">
        <f>(I12-H12)/H12</f>
        <v>-5.4344267661886915E-3</v>
      </c>
      <c r="K12" s="18">
        <v>1</v>
      </c>
      <c r="L12" s="14">
        <f>'CRB Urban Water Summary Table'!L12*3.7854</f>
        <v>855.50040000000001</v>
      </c>
      <c r="M12" s="18">
        <f>'CRB Urban Water Summary Table'!M12</f>
        <v>-6.2240663900414939E-2</v>
      </c>
      <c r="N12" s="14">
        <f>'CRB Urban Water Summary Table'!N12*3.7854</f>
        <v>257.40719999999999</v>
      </c>
      <c r="O12" s="18">
        <f>(68-106)/106</f>
        <v>-0.35849056603773582</v>
      </c>
      <c r="P12" s="18">
        <v>0.39</v>
      </c>
    </row>
    <row r="13" spans="1:16" ht="13.5" customHeight="1" x14ac:dyDescent="0.2">
      <c r="A13" s="12" t="s">
        <v>60</v>
      </c>
      <c r="B13" s="16"/>
      <c r="C13" s="16"/>
      <c r="D13" s="18"/>
      <c r="E13" s="16"/>
      <c r="F13" s="16"/>
      <c r="G13" s="18"/>
      <c r="H13" s="16"/>
      <c r="I13" s="16"/>
      <c r="J13" s="18"/>
      <c r="K13" s="18"/>
      <c r="L13" s="14"/>
      <c r="M13" s="18"/>
      <c r="N13" s="14"/>
      <c r="O13" s="14"/>
      <c r="P13" s="14"/>
    </row>
    <row r="14" spans="1:16" ht="21.75" customHeight="1" x14ac:dyDescent="0.2">
      <c r="A14" s="23" t="s">
        <v>61</v>
      </c>
      <c r="B14" s="16">
        <f>'CRB Urban Water Summary Table'!B14</f>
        <v>312192</v>
      </c>
      <c r="C14" s="16">
        <f>'CRB Urban Water Summary Table'!C14</f>
        <v>364982</v>
      </c>
      <c r="D14" s="18">
        <f t="shared" ref="D14:D15" si="5">(C14-B14)/B14</f>
        <v>0.16909465969659696</v>
      </c>
      <c r="E14" s="16">
        <f>'CRB Urban Water Summary Table'!E14*1233.48</f>
        <v>109950248.61</v>
      </c>
      <c r="F14" s="16">
        <f>'CRB Urban Water Summary Table'!F14*1233.48</f>
        <v>89868885.840000004</v>
      </c>
      <c r="G14" s="18">
        <f t="shared" ref="G14:G15" si="6">(F14-E14)/E14</f>
        <v>-0.1826404489655114</v>
      </c>
      <c r="H14" s="16">
        <f>'CRB Urban Water Summary Table'!H14*1233.48</f>
        <v>4356651.3600000003</v>
      </c>
      <c r="I14" s="16">
        <f>'CRB Urban Water Summary Table'!I14*1233.48</f>
        <v>12723346.200000001</v>
      </c>
      <c r="J14" s="18">
        <f t="shared" ref="J14:J15" si="7">(I14-H14)/H14</f>
        <v>1.9204416761041903</v>
      </c>
      <c r="K14" s="18">
        <v>0.14000000000000001</v>
      </c>
      <c r="L14" s="14">
        <f>'CRB Urban Water Summary Table'!L14*3.7854</f>
        <v>673.80119999999999</v>
      </c>
      <c r="M14" s="18">
        <f>'CRB Urban Water Summary Table'!M14</f>
        <v>-0.30196078431372547</v>
      </c>
      <c r="N14" s="14">
        <f>'CRB Urban Water Summary Table'!N14*3.7854</f>
        <v>427.75020000000001</v>
      </c>
      <c r="O14" s="18">
        <f>(113-152)/152</f>
        <v>-0.25657894736842107</v>
      </c>
      <c r="P14" s="18">
        <v>0.57999999999999996</v>
      </c>
    </row>
    <row r="15" spans="1:16" ht="24.75" customHeight="1" x14ac:dyDescent="0.2">
      <c r="A15" s="23" t="s">
        <v>63</v>
      </c>
      <c r="B15" s="16">
        <f>'CRB Urban Water Summary Table'!B15</f>
        <v>47800</v>
      </c>
      <c r="C15" s="16">
        <f>'CRB Urban Water Summary Table'!C15</f>
        <v>101000</v>
      </c>
      <c r="D15" s="18">
        <f t="shared" si="5"/>
        <v>1.112970711297071</v>
      </c>
      <c r="E15" s="16">
        <f>'CRB Urban Water Summary Table'!E15*1233.48</f>
        <v>28530996.805200003</v>
      </c>
      <c r="F15" s="16">
        <f>'CRB Urban Water Summary Table'!F15*1233.48</f>
        <v>32693387.400000002</v>
      </c>
      <c r="G15" s="18">
        <f t="shared" si="6"/>
        <v>0.14589012165328097</v>
      </c>
      <c r="H15" s="16">
        <f>'CRB Urban Water Summary Table'!H15*1233.48</f>
        <v>11779487.304</v>
      </c>
      <c r="I15" s="16">
        <f>'CRB Urban Water Summary Table'!I15*1233.48</f>
        <v>24229247.640000001</v>
      </c>
      <c r="J15" s="18">
        <f t="shared" si="7"/>
        <v>1.0569017152191671</v>
      </c>
      <c r="K15" s="18">
        <v>0.65</v>
      </c>
      <c r="L15" s="14">
        <f>'CRB Urban Water Summary Table'!L15*3.7854</f>
        <v>885.78359999999998</v>
      </c>
      <c r="M15" s="18">
        <f>'CRB Urban Water Summary Table'!M15</f>
        <v>-0.42926829268292682</v>
      </c>
      <c r="N15" s="14">
        <f>'CRB Urban Water Summary Table'!N15*3.7854</f>
        <v>673.80119999999999</v>
      </c>
      <c r="O15" s="18">
        <f>(178-217)/217</f>
        <v>-0.17972350230414746</v>
      </c>
      <c r="P15" s="18">
        <v>0.73</v>
      </c>
    </row>
    <row r="16" spans="1:16" ht="36" customHeight="1" x14ac:dyDescent="0.2">
      <c r="A16" s="8" t="s">
        <v>67</v>
      </c>
      <c r="B16" s="16"/>
      <c r="C16" s="16"/>
      <c r="D16" s="8"/>
      <c r="E16" s="16"/>
      <c r="F16" s="16"/>
      <c r="G16" s="8"/>
      <c r="H16" s="16"/>
      <c r="I16" s="16"/>
      <c r="J16" s="8"/>
      <c r="K16" s="8"/>
      <c r="L16" s="14"/>
      <c r="M16" s="18"/>
      <c r="N16" s="14"/>
      <c r="O16" s="8"/>
      <c r="P16" s="8"/>
    </row>
    <row r="17" spans="1:26" ht="21" customHeight="1" x14ac:dyDescent="0.2">
      <c r="A17" s="12" t="s">
        <v>69</v>
      </c>
      <c r="B17" s="16"/>
      <c r="C17" s="16"/>
      <c r="D17" s="44"/>
      <c r="E17" s="16"/>
      <c r="F17" s="16"/>
      <c r="G17" s="44"/>
      <c r="H17" s="16"/>
      <c r="I17" s="16"/>
      <c r="J17" s="18"/>
      <c r="K17" s="18"/>
      <c r="L17" s="14"/>
      <c r="M17" s="18"/>
      <c r="N17" s="14"/>
      <c r="O17" s="44"/>
      <c r="P17" s="44"/>
    </row>
    <row r="18" spans="1:26" ht="18.75" customHeight="1" x14ac:dyDescent="0.2">
      <c r="A18" s="50" t="s">
        <v>70</v>
      </c>
      <c r="B18" s="16">
        <f>'CRB Urban Water Summary Table'!B18</f>
        <v>36140</v>
      </c>
      <c r="C18" s="16">
        <f>'CRB Urban Water Summary Table'!C18</f>
        <v>80813</v>
      </c>
      <c r="D18" s="18">
        <f t="shared" ref="D18:D28" si="8">(C18-B18)/B18</f>
        <v>1.2361095738793582</v>
      </c>
      <c r="E18" s="16">
        <f>'CRB Urban Water Summary Table'!E18*1233.48</f>
        <v>9102342.311999999</v>
      </c>
      <c r="F18" s="16">
        <f>'CRB Urban Water Summary Table'!F18*1233.48</f>
        <v>17179909.440000001</v>
      </c>
      <c r="G18" s="18">
        <f t="shared" ref="G18:G28" si="9">(F18-E18)/E18</f>
        <v>0.8874163211101177</v>
      </c>
      <c r="H18" s="16">
        <f>'CRB Urban Water Summary Table'!H18*1233.48</f>
        <v>6835946.1600000001</v>
      </c>
      <c r="I18" s="16">
        <f>'CRB Urban Water Summary Table'!I18*1233.48</f>
        <v>9165989.8800000008</v>
      </c>
      <c r="J18" s="18">
        <f t="shared" ref="J18:J28" si="10">(I18-H18)/H18</f>
        <v>0.3408516780945508</v>
      </c>
      <c r="K18" s="18">
        <v>0.49</v>
      </c>
      <c r="L18" s="14">
        <f>'CRB Urban Water Summary Table'!L18*3.7854</f>
        <v>582.95159999999998</v>
      </c>
      <c r="M18" s="18">
        <f>'CRB Urban Water Summary Table'!M18</f>
        <v>-0.15384615384615385</v>
      </c>
      <c r="N18" s="14">
        <f>'CRB Urban Water Summary Table'!N18*3.7854</f>
        <v>370.9692</v>
      </c>
      <c r="O18" s="18">
        <f>(98-125)/125</f>
        <v>-0.216</v>
      </c>
      <c r="P18" s="18">
        <v>0.67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8.75" customHeight="1" x14ac:dyDescent="0.2">
      <c r="A19" s="23" t="s">
        <v>72</v>
      </c>
      <c r="B19" s="16">
        <f>'CRB Urban Water Summary Table'!B19</f>
        <v>179330</v>
      </c>
      <c r="C19" s="16">
        <f>'CRB Urban Water Summary Table'!C19</f>
        <v>265398</v>
      </c>
      <c r="D19" s="18">
        <f t="shared" si="8"/>
        <v>0.47994200635699547</v>
      </c>
      <c r="E19" s="16">
        <f>'CRB Urban Water Summary Table'!E19*1233.48</f>
        <v>54980335.758000001</v>
      </c>
      <c r="F19" s="16">
        <f>'CRB Urban Water Summary Table'!F19*1233.48</f>
        <v>83263600.439999998</v>
      </c>
      <c r="G19" s="18">
        <f t="shared" si="9"/>
        <v>0.51442509930261016</v>
      </c>
      <c r="H19" s="16">
        <f>'CRB Urban Water Summary Table'!H19*1233.48</f>
        <v>48004574.640000001</v>
      </c>
      <c r="I19" s="16">
        <f>'CRB Urban Water Summary Table'!I19*1233.48</f>
        <v>61223779.800000004</v>
      </c>
      <c r="J19" s="18">
        <f t="shared" si="10"/>
        <v>0.27537386299398742</v>
      </c>
      <c r="K19" s="18">
        <v>0.69</v>
      </c>
      <c r="L19" s="14">
        <f>'CRB Urban Water Summary Table'!L19*3.7854</f>
        <v>859.28579999999999</v>
      </c>
      <c r="M19" s="18">
        <f>'CRB Urban Water Summary Table'!M19</f>
        <v>2.2522522522522521E-2</v>
      </c>
      <c r="N19" s="14">
        <f>'CRB Urban Water Summary Table'!N19*3.7854</f>
        <v>461.81880000000001</v>
      </c>
      <c r="O19" s="18">
        <f>(122-137)/137</f>
        <v>-0.10948905109489052</v>
      </c>
      <c r="P19" s="18">
        <v>0.59</v>
      </c>
    </row>
    <row r="20" spans="1:26" ht="18.75" customHeight="1" x14ac:dyDescent="0.2">
      <c r="A20" s="23" t="s">
        <v>73</v>
      </c>
      <c r="B20" s="16">
        <f>'CRB Urban Water Summary Table'!B20</f>
        <v>109576</v>
      </c>
      <c r="C20" s="16">
        <f>'CRB Urban Water Summary Table'!C20</f>
        <v>263326</v>
      </c>
      <c r="D20" s="18">
        <f t="shared" si="8"/>
        <v>1.4031357231510551</v>
      </c>
      <c r="E20" s="16">
        <f>'CRB Urban Water Summary Table'!E20*1233.48</f>
        <v>32464354.833599996</v>
      </c>
      <c r="F20" s="16">
        <f>'CRB Urban Water Summary Table'!F20*1233.48</f>
        <v>66669594</v>
      </c>
      <c r="G20" s="18">
        <f t="shared" si="9"/>
        <v>1.0536244857389934</v>
      </c>
      <c r="H20" s="16">
        <f>'CRB Urban Water Summary Table'!H20*1233.48</f>
        <v>18283874.039999999</v>
      </c>
      <c r="I20" s="16">
        <f>'CRB Urban Water Summary Table'!I20*1233.48</f>
        <v>65459550.119999997</v>
      </c>
      <c r="J20" s="18">
        <f t="shared" si="10"/>
        <v>2.5801794508534037</v>
      </c>
      <c r="K20" s="18">
        <v>0.81</v>
      </c>
      <c r="L20" s="14">
        <f>'CRB Urban Water Summary Table'!L20*3.7854</f>
        <v>692.72820000000002</v>
      </c>
      <c r="M20" s="18">
        <f>'CRB Urban Water Summary Table'!M20</f>
        <v>-0.14485981308411214</v>
      </c>
      <c r="N20" s="14">
        <f>'CRB Urban Water Summary Table'!N20*3.7854</f>
        <v>507.24360000000001</v>
      </c>
      <c r="O20" s="18">
        <f>(134-161)/161</f>
        <v>-0.16770186335403728</v>
      </c>
      <c r="P20" s="18">
        <v>0.73</v>
      </c>
    </row>
    <row r="21" spans="1:26" ht="18.75" customHeight="1" x14ac:dyDescent="0.2">
      <c r="A21" s="23" t="s">
        <v>74</v>
      </c>
      <c r="B21" s="16">
        <f>'CRB Urban Water Summary Table'!B21</f>
        <v>218039</v>
      </c>
      <c r="C21" s="16">
        <f>'CRB Urban Water Summary Table'!C21</f>
        <v>231154</v>
      </c>
      <c r="D21" s="18">
        <f t="shared" si="8"/>
        <v>6.0149789716518604E-2</v>
      </c>
      <c r="E21" s="16">
        <f>'CRB Urban Water Summary Table'!E21*1233.48</f>
        <v>56406904.717200004</v>
      </c>
      <c r="F21" s="16">
        <f>'CRB Urban Water Summary Table'!F21*1233.48</f>
        <v>52014618.119999997</v>
      </c>
      <c r="G21" s="18">
        <f t="shared" si="9"/>
        <v>-7.7867889032753088E-2</v>
      </c>
      <c r="H21" s="16">
        <f>'CRB Urban Water Summary Table'!H21*1233.48</f>
        <v>52567217.160000004</v>
      </c>
      <c r="I21" s="16">
        <f>'CRB Urban Water Summary Table'!I21*1233.48</f>
        <v>51896204.039999999</v>
      </c>
      <c r="J21" s="18">
        <f t="shared" si="10"/>
        <v>-1.2764859093788954E-2</v>
      </c>
      <c r="K21" s="18">
        <v>0.89</v>
      </c>
      <c r="L21" s="14">
        <f>'CRB Urban Water Summary Table'!L21*3.7854</f>
        <v>617.02020000000005</v>
      </c>
      <c r="M21" s="18">
        <f>'CRB Urban Water Summary Table'!M21</f>
        <v>-0.12834224598930483</v>
      </c>
      <c r="N21" s="14">
        <f>'CRB Urban Water Summary Table'!N21*3.7854</f>
        <v>408.82319999999999</v>
      </c>
      <c r="O21" s="18">
        <f>(108-144)/144</f>
        <v>-0.25</v>
      </c>
      <c r="P21" s="18">
        <v>0.7</v>
      </c>
    </row>
    <row r="22" spans="1:26" ht="18.75" customHeight="1" x14ac:dyDescent="0.2">
      <c r="A22" s="23" t="s">
        <v>75</v>
      </c>
      <c r="B22" s="16">
        <f>'CRB Urban Water Summary Table'!B22</f>
        <v>426883</v>
      </c>
      <c r="C22" s="16">
        <f>'CRB Urban Water Summary Table'!C22</f>
        <v>508181</v>
      </c>
      <c r="D22" s="18">
        <f t="shared" si="8"/>
        <v>0.1904456256163867</v>
      </c>
      <c r="E22" s="16">
        <f>'CRB Urban Water Summary Table'!E22*1233.48</f>
        <v>112611037.65719999</v>
      </c>
      <c r="F22" s="16">
        <f>'CRB Urban Water Summary Table'!F22*1233.48</f>
        <v>114342362.52</v>
      </c>
      <c r="G22" s="18">
        <f t="shared" si="9"/>
        <v>1.5374379801652654E-2</v>
      </c>
      <c r="H22" s="16">
        <f>'CRB Urban Water Summary Table'!H22*1233.48</f>
        <v>98282452.920000002</v>
      </c>
      <c r="I22" s="16">
        <f>'CRB Urban Water Summary Table'!I22*1233.48</f>
        <v>97623774.599999994</v>
      </c>
      <c r="J22" s="18">
        <f t="shared" si="10"/>
        <v>-6.701891338997807E-3</v>
      </c>
      <c r="K22" s="18">
        <v>0.76</v>
      </c>
      <c r="L22" s="14">
        <f>'CRB Urban Water Summary Table'!L22*3.7854</f>
        <v>617.02020000000005</v>
      </c>
      <c r="M22" s="18">
        <f>'CRB Urban Water Summary Table'!M22</f>
        <v>-0.14659685863874344</v>
      </c>
      <c r="N22" s="14">
        <f>'CRB Urban Water Summary Table'!N22*3.7854</f>
        <v>401.25240000000002</v>
      </c>
      <c r="O22" s="18">
        <f>(106-134)/134</f>
        <v>-0.20895522388059701</v>
      </c>
      <c r="P22" s="18">
        <v>0.68</v>
      </c>
    </row>
    <row r="23" spans="1:26" ht="18.75" customHeight="1" x14ac:dyDescent="0.2">
      <c r="A23" s="23" t="s">
        <v>76</v>
      </c>
      <c r="B23" s="16">
        <f>'CRB Urban Water Summary Table'!B23</f>
        <v>99896</v>
      </c>
      <c r="C23" s="16">
        <f>'CRB Urban Water Summary Table'!C23</f>
        <v>163542</v>
      </c>
      <c r="D23" s="18">
        <f t="shared" si="8"/>
        <v>0.63712260751181227</v>
      </c>
      <c r="E23" s="16">
        <f>'CRB Urban Water Summary Table'!E23*1233.48</f>
        <v>23833880.295600001</v>
      </c>
      <c r="F23" s="16">
        <f>'CRB Urban Water Summary Table'!F23*1233.48</f>
        <v>39430655.160000004</v>
      </c>
      <c r="G23" s="18">
        <f t="shared" si="9"/>
        <v>0.6543951161523347</v>
      </c>
      <c r="H23" s="16">
        <f>'CRB Urban Water Summary Table'!H23*1233.48</f>
        <v>20374622.640000001</v>
      </c>
      <c r="I23" s="16">
        <f>'CRB Urban Water Summary Table'!I23*1233.48</f>
        <v>35363871.600000001</v>
      </c>
      <c r="J23" s="18">
        <f t="shared" si="10"/>
        <v>0.73568228599104013</v>
      </c>
      <c r="K23" s="18">
        <v>0.78</v>
      </c>
      <c r="L23" s="14">
        <f>'CRB Urban Water Summary Table'!L23*3.7854</f>
        <v>662.44500000000005</v>
      </c>
      <c r="M23" s="18">
        <f>'CRB Urban Water Summary Table'!M23</f>
        <v>1.1560693641618497E-2</v>
      </c>
      <c r="N23" s="14">
        <f>'CRB Urban Water Summary Table'!N23*3.7854</f>
        <v>458.03340000000003</v>
      </c>
      <c r="O23" s="18">
        <f>(121-105)/105</f>
        <v>0.15238095238095239</v>
      </c>
      <c r="P23" s="18">
        <v>0.68</v>
      </c>
    </row>
    <row r="24" spans="1:26" ht="18.75" customHeight="1" x14ac:dyDescent="0.2">
      <c r="A24" s="23" t="s">
        <v>78</v>
      </c>
      <c r="B24" s="16">
        <f>'CRB Urban Water Summary Table'!B24</f>
        <v>1331363</v>
      </c>
      <c r="C24" s="16">
        <f>'CRB Urban Water Summary Table'!C24</f>
        <v>1534330</v>
      </c>
      <c r="D24" s="18">
        <f t="shared" si="8"/>
        <v>0.15245053377628792</v>
      </c>
      <c r="E24" s="16">
        <f>'CRB Urban Water Summary Table'!E24*1233.48</f>
        <v>383753464.12080002</v>
      </c>
      <c r="F24" s="16">
        <f>'CRB Urban Water Summary Table'!F24*1233.48</f>
        <v>350944795.68000001</v>
      </c>
      <c r="G24" s="18">
        <f t="shared" si="9"/>
        <v>-8.5494129716760861E-2</v>
      </c>
      <c r="H24" s="16">
        <f>'CRB Urban Water Summary Table'!H24*1233.48</f>
        <v>353794134.48000002</v>
      </c>
      <c r="I24" s="16">
        <f>'CRB Urban Water Summary Table'!I24*1233.48</f>
        <v>356404178.16000003</v>
      </c>
      <c r="J24" s="18">
        <f t="shared" si="10"/>
        <v>7.3772949453675945E-3</v>
      </c>
      <c r="K24" s="18">
        <v>0.57999999999999996</v>
      </c>
      <c r="L24" s="14">
        <f>'CRB Urban Water Summary Table'!L24*3.7854</f>
        <v>628.37639999999999</v>
      </c>
      <c r="M24" s="18">
        <f>'CRB Urban Water Summary Table'!M24</f>
        <v>-0.20574162679425836</v>
      </c>
      <c r="N24" s="14">
        <f>'CRB Urban Water Summary Table'!N24*3.7854</f>
        <v>408.82319999999999</v>
      </c>
      <c r="O24" s="18">
        <f>(108-140)/140</f>
        <v>-0.22857142857142856</v>
      </c>
      <c r="P24" s="18">
        <v>0.65</v>
      </c>
    </row>
    <row r="25" spans="1:26" ht="18.75" customHeight="1" x14ac:dyDescent="0.2">
      <c r="A25" s="23" t="s">
        <v>79</v>
      </c>
      <c r="B25" s="16">
        <f>'CRB Urban Water Summary Table'!B25</f>
        <v>38591</v>
      </c>
      <c r="C25" s="16">
        <f>'CRB Urban Water Summary Table'!C25</f>
        <v>50494</v>
      </c>
      <c r="D25" s="18">
        <f t="shared" si="8"/>
        <v>0.30843979166126817</v>
      </c>
      <c r="E25" s="16">
        <f>'CRB Urban Water Summary Table'!E25*1233.48</f>
        <v>8224721.2919999994</v>
      </c>
      <c r="F25" s="16">
        <f>'CRB Urban Water Summary Table'!F25*1233.48</f>
        <v>8420622.5855999999</v>
      </c>
      <c r="G25" s="18">
        <f t="shared" si="9"/>
        <v>2.381859356019142E-2</v>
      </c>
      <c r="H25" s="16">
        <f>'CRB Urban Water Summary Table'!H25*1233.48</f>
        <v>1063259.76</v>
      </c>
      <c r="I25" s="16">
        <f>'CRB Urban Water Summary Table'!I25*1233.48</f>
        <v>3678237.36</v>
      </c>
      <c r="J25" s="18">
        <f t="shared" si="10"/>
        <v>2.4593967517401389</v>
      </c>
      <c r="K25" s="18">
        <v>0.31</v>
      </c>
      <c r="L25" s="14">
        <f>'CRB Urban Water Summary Table'!L25*3.7854</f>
        <v>458.03340000000003</v>
      </c>
      <c r="M25" s="18">
        <f>'CRB Urban Water Summary Table'!M25</f>
        <v>-0.21428571428571427</v>
      </c>
      <c r="N25" s="14">
        <f>'CRB Urban Water Summary Table'!N25*3.7854</f>
        <v>306.61740000000003</v>
      </c>
      <c r="O25" s="18">
        <f>(81-99)/99</f>
        <v>-0.18181818181818182</v>
      </c>
      <c r="P25" s="18">
        <v>0.65</v>
      </c>
    </row>
    <row r="26" spans="1:26" ht="18.75" customHeight="1" x14ac:dyDescent="0.2">
      <c r="A26" s="23" t="s">
        <v>80</v>
      </c>
      <c r="B26" s="16">
        <f>'CRB Urban Water Summary Table'!B26</f>
        <v>201302</v>
      </c>
      <c r="C26" s="16">
        <f>'CRB Urban Water Summary Table'!C26</f>
        <v>232771</v>
      </c>
      <c r="D26" s="18">
        <f t="shared" si="8"/>
        <v>0.15632730921699733</v>
      </c>
      <c r="E26" s="16">
        <f>'CRB Urban Water Summary Table'!E26*1233.48</f>
        <v>84356463.719999999</v>
      </c>
      <c r="F26" s="16">
        <f>'CRB Urban Water Summary Table'!F26*1233.48</f>
        <v>92027525.179200009</v>
      </c>
      <c r="G26" s="18">
        <f t="shared" si="9"/>
        <v>9.093626167950998E-2</v>
      </c>
      <c r="H26" s="16">
        <f>'CRB Urban Water Summary Table'!H26*1233.48</f>
        <v>51732151.200000003</v>
      </c>
      <c r="I26" s="16">
        <f>'CRB Urban Water Summary Table'!I26*1233.48</f>
        <v>109113640.8</v>
      </c>
      <c r="J26" s="18">
        <f t="shared" si="10"/>
        <v>1.1092036242250833</v>
      </c>
      <c r="K26" s="18">
        <v>0.88</v>
      </c>
      <c r="L26" s="14">
        <f>'CRB Urban Water Summary Table'!L26*3.7854</f>
        <v>1082.6243999999999</v>
      </c>
      <c r="M26" s="18">
        <f>'CRB Urban Water Summary Table'!M26</f>
        <v>-5.6105610561056105E-2</v>
      </c>
      <c r="N26" s="14">
        <f>'CRB Urban Water Summary Table'!N26*3.7854</f>
        <v>851.71500000000003</v>
      </c>
      <c r="O26" s="18">
        <f>(225-220)/220</f>
        <v>2.2727272727272728E-2</v>
      </c>
      <c r="P26" s="18">
        <v>0.72</v>
      </c>
    </row>
    <row r="27" spans="1:26" ht="18.75" customHeight="1" x14ac:dyDescent="0.2">
      <c r="A27" s="23" t="s">
        <v>81</v>
      </c>
      <c r="B27" s="16">
        <f>'CRB Urban Water Summary Table'!B27</f>
        <v>163765</v>
      </c>
      <c r="C27" s="16">
        <f>'CRB Urban Water Summary Table'!C27</f>
        <v>175868</v>
      </c>
      <c r="D27" s="18">
        <f t="shared" si="8"/>
        <v>7.3904680487283603E-2</v>
      </c>
      <c r="E27" s="16">
        <f>'CRB Urban Water Summary Table'!E27*1233.48</f>
        <v>70888292.956799999</v>
      </c>
      <c r="F27" s="16">
        <f>'CRB Urban Water Summary Table'!F27*1233.48</f>
        <v>55940784.960000001</v>
      </c>
      <c r="G27" s="18">
        <f t="shared" si="9"/>
        <v>-0.21086003588644958</v>
      </c>
      <c r="H27" s="16">
        <f>'CRB Urban Water Summary Table'!H27*1233.48</f>
        <v>77244218.040000007</v>
      </c>
      <c r="I27" s="16">
        <f>'CRB Urban Water Summary Table'!I27*1233.48</f>
        <v>45209508.960000001</v>
      </c>
      <c r="J27" s="18">
        <f t="shared" si="10"/>
        <v>-0.41471983137186019</v>
      </c>
      <c r="K27" s="18">
        <v>0.69</v>
      </c>
      <c r="L27" s="14">
        <f>'CRB Urban Water Summary Table'!L27*3.7854</f>
        <v>870.64200000000005</v>
      </c>
      <c r="M27" s="18">
        <f>'CRB Urban Water Summary Table'!M27</f>
        <v>-0.26517571884984026</v>
      </c>
      <c r="N27" s="14">
        <f>'CRB Urban Water Summary Table'!N27*3.7854</f>
        <v>435.32100000000003</v>
      </c>
      <c r="O27" s="18">
        <f>(115-163)/163</f>
        <v>-0.29447852760736198</v>
      </c>
      <c r="P27" s="18">
        <v>0.52</v>
      </c>
    </row>
    <row r="28" spans="1:26" ht="18.75" customHeight="1" x14ac:dyDescent="0.2">
      <c r="A28" s="23" t="s">
        <v>83</v>
      </c>
      <c r="B28" s="16">
        <f>'CRB Urban Water Summary Table'!B28</f>
        <v>635073</v>
      </c>
      <c r="C28" s="16">
        <f>'CRB Urban Water Summary Table'!C28</f>
        <v>743881</v>
      </c>
      <c r="D28" s="18">
        <f t="shared" si="8"/>
        <v>0.17133148472695264</v>
      </c>
      <c r="E28" s="16">
        <f>'CRB Urban Water Summary Table'!E28*1233.48</f>
        <v>136483698.56400001</v>
      </c>
      <c r="F28" s="16">
        <f>'CRB Urban Water Summary Table'!F28*1233.48</f>
        <v>112706768.04000001</v>
      </c>
      <c r="G28" s="18">
        <f t="shared" si="9"/>
        <v>-0.17421077223263048</v>
      </c>
      <c r="H28" s="16">
        <f>'CRB Urban Water Summary Table'!H28*1233.48</f>
        <v>85110.12</v>
      </c>
      <c r="I28" s="16">
        <f>'CRB Urban Water Summary Table'!I28*1233.48</f>
        <v>114603860.28</v>
      </c>
      <c r="J28" s="18">
        <f t="shared" si="10"/>
        <v>1345.536231884058</v>
      </c>
      <c r="K28" s="18">
        <v>0.82</v>
      </c>
      <c r="L28" s="14">
        <f>'CRB Urban Water Summary Table'!L28*3.7854</f>
        <v>416.39400000000001</v>
      </c>
      <c r="M28" s="18">
        <f>'CRB Urban Water Summary Table'!M28</f>
        <v>-0.29487179487179488</v>
      </c>
      <c r="N28" s="14">
        <f>'CRB Urban Water Summary Table'!N28*3.7854</f>
        <v>306.61740000000003</v>
      </c>
      <c r="O28" s="18">
        <f>(81-112)/112</f>
        <v>-0.2767857142857143</v>
      </c>
      <c r="P28" s="18">
        <v>0.73</v>
      </c>
    </row>
    <row r="29" spans="1:26" ht="13.5" customHeight="1" x14ac:dyDescent="0.2">
      <c r="A29" s="12" t="s">
        <v>84</v>
      </c>
      <c r="B29" s="16"/>
      <c r="C29" s="16"/>
      <c r="D29" s="17"/>
      <c r="E29" s="16"/>
      <c r="F29" s="16"/>
      <c r="G29" s="17"/>
      <c r="H29" s="16"/>
      <c r="I29" s="16"/>
      <c r="J29" s="18"/>
      <c r="K29" s="18"/>
      <c r="L29" s="14"/>
      <c r="M29" s="18"/>
      <c r="N29" s="14"/>
      <c r="O29" s="14"/>
      <c r="P29" s="14"/>
    </row>
    <row r="30" spans="1:26" ht="21.75" customHeight="1" x14ac:dyDescent="0.2">
      <c r="A30" s="23" t="s">
        <v>85</v>
      </c>
      <c r="B30" s="16">
        <f>'CRB Urban Water Summary Table'!B30</f>
        <v>464215</v>
      </c>
      <c r="C30" s="16">
        <f>'CRB Urban Water Summary Table'!C30</f>
        <v>870579</v>
      </c>
      <c r="D30" s="18">
        <f t="shared" ref="D30:D35" si="11">(C30-B30)/B30</f>
        <v>0.87537886539642196</v>
      </c>
      <c r="E30" s="16">
        <f>'CRB Urban Water Summary Table'!E30*1233.48</f>
        <v>102567562.44</v>
      </c>
      <c r="F30" s="16">
        <f>'CRB Urban Water Summary Table'!F30*1233.48</f>
        <v>96448268.159999996</v>
      </c>
      <c r="G30" s="18">
        <f t="shared" ref="G30:G35" si="12">(F30-E30)/E30</f>
        <v>-5.9661106634757627E-2</v>
      </c>
      <c r="H30" s="16">
        <f>'CRB Urban Water Summary Table'!H30*1233.48</f>
        <v>20764402.32</v>
      </c>
      <c r="I30" s="16">
        <f>'CRB Urban Water Summary Table'!I30*1233.48</f>
        <v>12211452</v>
      </c>
      <c r="J30" s="18">
        <f>(I30-H30)/H30</f>
        <v>-0.41190447903053345</v>
      </c>
      <c r="K30" s="18">
        <v>0.11</v>
      </c>
      <c r="L30" s="14">
        <f>'CRB Urban Water Summary Table'!L30*3.7854</f>
        <v>302.83199999999999</v>
      </c>
      <c r="M30" s="18">
        <f>'CRB Urban Water Summary Table'!M30</f>
        <v>-0.5</v>
      </c>
      <c r="N30" s="14">
        <f>'CRB Urban Water Summary Table'!N30*3.7854</f>
        <v>295.26120000000003</v>
      </c>
      <c r="O30" s="18">
        <f>(78-145)/145</f>
        <v>-0.46206896551724136</v>
      </c>
      <c r="P30" s="18">
        <v>0.94</v>
      </c>
    </row>
    <row r="31" spans="1:26" ht="21.75" customHeight="1" x14ac:dyDescent="0.2">
      <c r="A31" s="23" t="s">
        <v>88</v>
      </c>
      <c r="B31" s="16">
        <f>'CRB Urban Water Summary Table'!B31</f>
        <v>708200</v>
      </c>
      <c r="C31" s="16">
        <f>'CRB Urban Water Summary Table'!C31</f>
        <v>905816</v>
      </c>
      <c r="D31" s="18">
        <f t="shared" si="11"/>
        <v>0.27903981926009602</v>
      </c>
      <c r="E31" s="16">
        <f>'CRB Urban Water Summary Table'!E31*1233.48</f>
        <v>276266216.04000002</v>
      </c>
      <c r="F31" s="16">
        <f>'CRB Urban Water Summary Table'!F31*1233.48</f>
        <v>236951508</v>
      </c>
      <c r="G31" s="18">
        <f t="shared" si="12"/>
        <v>-0.14230733168730167</v>
      </c>
      <c r="H31" s="16">
        <f>'CRB Urban Water Summary Table'!H31*1233.48</f>
        <v>19653036.84</v>
      </c>
      <c r="I31" s="16">
        <f>'CRB Urban Water Summary Table'!I31*1233.48</f>
        <v>11618148.120000001</v>
      </c>
      <c r="J31" s="18"/>
      <c r="K31" s="18">
        <v>0.04</v>
      </c>
      <c r="L31" s="14">
        <f>'CRB Urban Water Summary Table'!L31*3.7854</f>
        <v>715.44060000000002</v>
      </c>
      <c r="M31" s="18">
        <f>'CRB Urban Water Summary Table'!M31</f>
        <v>-0.32978723404255317</v>
      </c>
      <c r="N31" s="14"/>
      <c r="O31" s="14"/>
      <c r="P31" s="14"/>
    </row>
    <row r="32" spans="1:26" ht="21.75" customHeight="1" x14ac:dyDescent="0.2">
      <c r="A32" s="23" t="s">
        <v>90</v>
      </c>
      <c r="B32" s="16">
        <f>'CRB Urban Water Summary Table'!B32</f>
        <v>459318</v>
      </c>
      <c r="C32" s="16">
        <f>'CRB Urban Water Summary Table'!C32</f>
        <v>472217</v>
      </c>
      <c r="D32" s="18">
        <f t="shared" si="11"/>
        <v>2.8082940359402418E-2</v>
      </c>
      <c r="E32" s="16">
        <f>'CRB Urban Water Summary Table'!E32*1233.48</f>
        <v>82164569.760000005</v>
      </c>
      <c r="F32" s="16">
        <f>'CRB Urban Water Summary Table'!F32*1233.48</f>
        <v>60077876.880000003</v>
      </c>
      <c r="G32" s="18">
        <f t="shared" si="12"/>
        <v>-0.26881042454812948</v>
      </c>
      <c r="H32" s="16">
        <f>'CRB Urban Water Summary Table'!H32*1233.48</f>
        <v>13560879.120000001</v>
      </c>
      <c r="I32" s="16">
        <f>'CRB Urban Water Summary Table'!I32*1233.48</f>
        <v>7049338.2000000002</v>
      </c>
      <c r="J32" s="18">
        <f t="shared" ref="J32:J35" si="13">(I32-H32)/H32</f>
        <v>-0.48017100236492632</v>
      </c>
      <c r="K32" s="18">
        <v>0.11</v>
      </c>
      <c r="L32" s="14">
        <f>'CRB Urban Water Summary Table'!L32*3.7854</f>
        <v>348.2568</v>
      </c>
      <c r="M32" s="18">
        <f>'CRB Urban Water Summary Table'!M32</f>
        <v>-0.35454545454545455</v>
      </c>
      <c r="N32" s="14">
        <f>'CRB Urban Water Summary Table'!N32*3.7854</f>
        <v>249.8364</v>
      </c>
      <c r="O32" s="18">
        <f>(66-91)/91</f>
        <v>-0.27472527472527475</v>
      </c>
      <c r="P32" s="18">
        <v>0.69</v>
      </c>
    </row>
    <row r="33" spans="1:16" ht="25.5" customHeight="1" x14ac:dyDescent="0.2">
      <c r="A33" s="38" t="s">
        <v>120</v>
      </c>
      <c r="B33" s="16">
        <f>'CRB Urban Water Summary Table'!B33</f>
        <v>3705600</v>
      </c>
      <c r="C33" s="16">
        <f>'CRB Urban Water Summary Table'!C33</f>
        <v>4041284</v>
      </c>
      <c r="D33" s="18">
        <f t="shared" si="11"/>
        <v>9.0588298791018998E-2</v>
      </c>
      <c r="E33" s="16">
        <f>'CRB Urban Water Summary Table'!E33*1233.48</f>
        <v>816053099.27999997</v>
      </c>
      <c r="F33" s="16">
        <f>'CRB Urban Water Summary Table'!F33*1233.48</f>
        <v>601433746.68000007</v>
      </c>
      <c r="G33" s="18">
        <f t="shared" si="12"/>
        <v>-0.26299679860214686</v>
      </c>
      <c r="H33" s="16">
        <f>'CRB Urban Water Summary Table'!H33*1233.48</f>
        <v>74319636.960000008</v>
      </c>
      <c r="I33" s="16">
        <f>'CRB Urban Water Summary Table'!I33*1233.48</f>
        <v>11741496.120000001</v>
      </c>
      <c r="J33" s="18">
        <f t="shared" si="13"/>
        <v>-0.84201354311890053</v>
      </c>
      <c r="K33" s="18">
        <v>0.02</v>
      </c>
      <c r="L33" s="14">
        <f>'CRB Urban Water Summary Table'!L33*3.7854</f>
        <v>408.82319999999999</v>
      </c>
      <c r="M33" s="18">
        <f>'CRB Urban Water Summary Table'!M33</f>
        <v>-0.32075471698113206</v>
      </c>
      <c r="N33" s="14">
        <f>'CRB Urban Water Summary Table'!N33*3.7854</f>
        <v>264.97800000000001</v>
      </c>
      <c r="O33" s="18">
        <f>(70-105)/105</f>
        <v>-0.33333333333333331</v>
      </c>
      <c r="P33" s="18">
        <v>0.65</v>
      </c>
    </row>
    <row r="34" spans="1:16" ht="27" customHeight="1" x14ac:dyDescent="0.2">
      <c r="A34" s="38" t="s">
        <v>95</v>
      </c>
      <c r="B34" s="16">
        <f>'CRB Urban Water Summary Table'!B34</f>
        <v>2846794</v>
      </c>
      <c r="C34" s="16">
        <f>'CRB Urban Water Summary Table'!C34</f>
        <v>3194688</v>
      </c>
      <c r="D34" s="18">
        <f t="shared" si="11"/>
        <v>0.12220554068892937</v>
      </c>
      <c r="E34" s="16">
        <f>'CRB Urban Water Summary Table'!E34*1233.48</f>
        <v>857690450.15999997</v>
      </c>
      <c r="F34" s="16">
        <f>'CRB Urban Water Summary Table'!F34*1233.48</f>
        <v>619789162.56000006</v>
      </c>
      <c r="G34" s="18">
        <f t="shared" si="12"/>
        <v>-0.27737429926568496</v>
      </c>
      <c r="H34" s="16">
        <f>'CRB Urban Water Summary Table'!H34*1233.48</f>
        <v>245191154.40000001</v>
      </c>
      <c r="I34" s="16">
        <f>'CRB Urban Water Summary Table'!I34*1233.48</f>
        <v>18229600.920000002</v>
      </c>
      <c r="J34" s="18">
        <f t="shared" si="13"/>
        <v>-0.92565147399134728</v>
      </c>
      <c r="K34" s="18">
        <v>0.03</v>
      </c>
      <c r="L34" s="14">
        <f>'CRB Urban Water Summary Table'!L34*3.7854</f>
        <v>529.95600000000002</v>
      </c>
      <c r="M34" s="18">
        <f>'CRB Urban Water Summary Table'!M34</f>
        <v>-0.3577981651376147</v>
      </c>
      <c r="N34" s="14">
        <f>'CRB Urban Water Summary Table'!N34*3.7854</f>
        <v>325.5444</v>
      </c>
      <c r="O34" s="18">
        <f>(86-135)/135</f>
        <v>-0.36296296296296299</v>
      </c>
      <c r="P34" s="18">
        <v>0.61</v>
      </c>
    </row>
    <row r="35" spans="1:16" ht="21.75" customHeight="1" x14ac:dyDescent="0.2">
      <c r="A35" s="23" t="s">
        <v>96</v>
      </c>
      <c r="B35" s="16">
        <f>'CRB Urban Water Summary Table'!B35</f>
        <v>2814481</v>
      </c>
      <c r="C35" s="16">
        <f>'CRB Urban Water Summary Table'!C35</f>
        <v>3254441</v>
      </c>
      <c r="D35" s="18">
        <f t="shared" si="11"/>
        <v>0.15632011727917156</v>
      </c>
      <c r="E35" s="16">
        <f>'CRB Urban Water Summary Table'!E35*1233.48</f>
        <v>856667895.24000001</v>
      </c>
      <c r="F35" s="16">
        <f>'CRB Urban Water Summary Table'!F35*1233.48</f>
        <v>571270226.75999999</v>
      </c>
      <c r="G35" s="18">
        <f t="shared" si="12"/>
        <v>-0.33314855157498852</v>
      </c>
      <c r="H35" s="16">
        <f>'CRB Urban Water Summary Table'!H35*1233.48</f>
        <v>181187110.68000001</v>
      </c>
      <c r="I35" s="16">
        <f>'CRB Urban Water Summary Table'!I35*1233.48</f>
        <v>321393081.84000003</v>
      </c>
      <c r="J35" s="18">
        <f t="shared" si="13"/>
        <v>0.77381868187976133</v>
      </c>
      <c r="K35" s="18">
        <v>0.48</v>
      </c>
      <c r="L35" s="14">
        <f>'CRB Urban Water Summary Table'!L35*3.7854</f>
        <v>480.74580000000003</v>
      </c>
      <c r="M35" s="18">
        <f>'CRB Urban Water Summary Table'!M35</f>
        <v>-0.42272727272727273</v>
      </c>
      <c r="N35" s="14">
        <f>'CRB Urban Water Summary Table'!N35*3.7854</f>
        <v>317.97360000000003</v>
      </c>
      <c r="O35" s="18">
        <f>(84-126)/126</f>
        <v>-0.33333333333333331</v>
      </c>
      <c r="P35" s="18">
        <v>0.6</v>
      </c>
    </row>
    <row r="36" spans="1:16" ht="13.5" customHeight="1" x14ac:dyDescent="0.2">
      <c r="A36" s="12" t="s">
        <v>98</v>
      </c>
      <c r="B36" s="16"/>
      <c r="C36" s="16"/>
      <c r="D36" s="17"/>
      <c r="E36" s="16"/>
      <c r="F36" s="16"/>
      <c r="G36" s="17"/>
      <c r="H36" s="16"/>
      <c r="I36" s="16"/>
      <c r="J36" s="18"/>
      <c r="K36" s="18"/>
      <c r="L36" s="14"/>
      <c r="M36" s="18"/>
      <c r="N36" s="14"/>
      <c r="O36" s="14"/>
      <c r="P36" s="14"/>
    </row>
    <row r="37" spans="1:16" ht="30" customHeight="1" x14ac:dyDescent="0.2">
      <c r="A37" s="38" t="s">
        <v>121</v>
      </c>
      <c r="B37" s="16">
        <f>'CRB Urban Water Summary Table'!B37</f>
        <v>1364248</v>
      </c>
      <c r="C37" s="16">
        <f>'CRB Urban Water Summary Table'!C37</f>
        <v>2300268</v>
      </c>
      <c r="D37" s="18">
        <f>(C37-B37)/B37</f>
        <v>0.68610692484064484</v>
      </c>
      <c r="E37" s="16">
        <f>'CRB Urban Water Summary Table'!E37*1233.48</f>
        <v>397158357.36000001</v>
      </c>
      <c r="F37" s="16">
        <f>'CRB Urban Water Summary Table'!F37*1233.48</f>
        <v>355813341.24000001</v>
      </c>
      <c r="G37" s="18">
        <f>(F37-E37)/E37</f>
        <v>-0.10410209266356506</v>
      </c>
      <c r="H37" s="16">
        <f>'CRB Urban Water Summary Table'!H37*1233.48</f>
        <v>343525413.48000002</v>
      </c>
      <c r="I37" s="16">
        <f>'CRB Urban Water Summary Table'!I37*1233.48</f>
        <v>304801542.36000001</v>
      </c>
      <c r="J37" s="18">
        <f>(I37-H37)/H37</f>
        <v>-0.11272490942581895</v>
      </c>
      <c r="K37" s="18">
        <v>0.92</v>
      </c>
      <c r="L37" s="14">
        <f>'CRB Urban Water Summary Table'!L37*3.7854</f>
        <v>423.96480000000003</v>
      </c>
      <c r="M37" s="18">
        <f>'CRB Urban Water Summary Table'!M37</f>
        <v>-0.46919431279620855</v>
      </c>
      <c r="N37" s="14"/>
      <c r="O37" s="14"/>
      <c r="P37" s="14"/>
    </row>
    <row r="38" spans="1:16" ht="13.5" customHeight="1" x14ac:dyDescent="0.2">
      <c r="A38" s="21"/>
      <c r="B38" s="16"/>
      <c r="C38" s="16"/>
      <c r="D38" s="17"/>
      <c r="E38" s="16"/>
      <c r="F38" s="16"/>
      <c r="G38" s="44"/>
      <c r="H38" s="44"/>
      <c r="I38" s="44"/>
      <c r="J38" s="18"/>
      <c r="K38" s="18"/>
      <c r="L38" s="44"/>
      <c r="M38" s="44"/>
      <c r="N38" s="44"/>
      <c r="O38" s="44"/>
      <c r="P38" s="44"/>
    </row>
    <row r="39" spans="1:16" ht="45" customHeight="1" x14ac:dyDescent="0.2">
      <c r="A39" s="3" t="s">
        <v>107</v>
      </c>
      <c r="B39" s="4" t="s">
        <v>3</v>
      </c>
      <c r="C39" s="3" t="s">
        <v>122</v>
      </c>
      <c r="D39" s="3" t="s">
        <v>5</v>
      </c>
      <c r="E39" s="4" t="s">
        <v>109</v>
      </c>
      <c r="F39" s="4" t="s">
        <v>110</v>
      </c>
      <c r="G39" s="3" t="s">
        <v>8</v>
      </c>
      <c r="H39" s="3" t="s">
        <v>112</v>
      </c>
      <c r="I39" s="5" t="s">
        <v>113</v>
      </c>
      <c r="J39" s="5" t="s">
        <v>11</v>
      </c>
      <c r="K39" s="5" t="s">
        <v>12</v>
      </c>
      <c r="L39" s="3" t="s">
        <v>115</v>
      </c>
      <c r="M39" s="3" t="s">
        <v>123</v>
      </c>
      <c r="N39" s="3" t="s">
        <v>117</v>
      </c>
      <c r="O39" s="3" t="s">
        <v>118</v>
      </c>
      <c r="P39" s="3" t="s">
        <v>17</v>
      </c>
    </row>
    <row r="40" spans="1:16" ht="15.75" customHeight="1" x14ac:dyDescent="0.2">
      <c r="A40" s="72" t="s">
        <v>101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</row>
    <row r="41" spans="1:16" ht="13.5" customHeight="1" x14ac:dyDescent="0.2">
      <c r="A41" s="23" t="s">
        <v>46</v>
      </c>
      <c r="B41" s="14">
        <f t="shared" ref="B41:I41" si="14">MEDIAN(B4:B37)</f>
        <v>294292.5</v>
      </c>
      <c r="C41" s="14">
        <f t="shared" si="14"/>
        <v>375742</v>
      </c>
      <c r="D41" s="18">
        <f t="shared" si="14"/>
        <v>0.28237705248719086</v>
      </c>
      <c r="E41" s="14">
        <f t="shared" si="14"/>
        <v>83260516.74000001</v>
      </c>
      <c r="F41" s="14">
        <f t="shared" si="14"/>
        <v>82873820.75999999</v>
      </c>
      <c r="G41" s="18">
        <f t="shared" si="14"/>
        <v>-8.1681009374756974E-2</v>
      </c>
      <c r="H41" s="14">
        <f t="shared" si="14"/>
        <v>20013829.740000002</v>
      </c>
      <c r="I41" s="14">
        <f t="shared" si="14"/>
        <v>23283168.48</v>
      </c>
      <c r="J41" s="18">
        <f t="shared" ref="J41:J42" si="15">(I41-H41)/H41</f>
        <v>0.16335397984653777</v>
      </c>
      <c r="K41" s="18">
        <f t="shared" ref="K41:P41" si="16">MEDIAN(K4:K37)</f>
        <v>0.6</v>
      </c>
      <c r="L41" s="14">
        <f t="shared" si="16"/>
        <v>582.95159999999998</v>
      </c>
      <c r="M41" s="18">
        <f t="shared" si="16"/>
        <v>-0.30078583962767985</v>
      </c>
      <c r="N41" s="14">
        <f t="shared" si="16"/>
        <v>346.36410000000001</v>
      </c>
      <c r="O41" s="18">
        <f t="shared" si="16"/>
        <v>-0.27575549450549453</v>
      </c>
      <c r="P41" s="18">
        <f t="shared" si="16"/>
        <v>0.66</v>
      </c>
    </row>
    <row r="42" spans="1:16" ht="13.5" customHeight="1" x14ac:dyDescent="0.2">
      <c r="A42" s="23" t="s">
        <v>50</v>
      </c>
      <c r="B42" s="24">
        <f t="shared" ref="B42:C42" si="17">SUM(B4:B37)</f>
        <v>18620428</v>
      </c>
      <c r="C42" s="14">
        <f t="shared" si="17"/>
        <v>23025729</v>
      </c>
      <c r="D42" s="18">
        <f>(C42-B42)/B42</f>
        <v>0.236584304077221</v>
      </c>
      <c r="E42" s="14">
        <f t="shared" ref="E42:F42" si="18">SUM(E4:E37)</f>
        <v>5223854105.2673883</v>
      </c>
      <c r="F42" s="14">
        <f t="shared" si="18"/>
        <v>4272416105.9874125</v>
      </c>
      <c r="G42" s="18">
        <f>(F42-E42)/E42</f>
        <v>-0.18213334065371559</v>
      </c>
      <c r="H42" s="14">
        <f t="shared" ref="H42:I42" si="19">SUM(H4:H37)</f>
        <v>2006859378.5039999</v>
      </c>
      <c r="I42" s="14">
        <f t="shared" si="19"/>
        <v>2035810634.2799997</v>
      </c>
      <c r="J42" s="18">
        <f t="shared" si="15"/>
        <v>1.442615067408525E-2</v>
      </c>
      <c r="K42" s="14"/>
      <c r="L42" s="44"/>
      <c r="M42" s="44"/>
      <c r="N42" s="44"/>
      <c r="O42" s="44"/>
      <c r="P42" s="44"/>
    </row>
    <row r="43" spans="1:16" ht="13.5" customHeight="1" x14ac:dyDescent="0.2">
      <c r="A43" s="21"/>
      <c r="B43" s="16"/>
      <c r="C43" s="44"/>
      <c r="D43" s="44"/>
      <c r="E43" s="16"/>
      <c r="F43" s="16"/>
      <c r="G43" s="44"/>
      <c r="H43" s="44"/>
      <c r="I43" s="44"/>
      <c r="J43" s="44"/>
      <c r="K43" s="44"/>
      <c r="L43" s="44"/>
      <c r="M43" s="44"/>
      <c r="N43" s="44"/>
      <c r="O43" s="44"/>
      <c r="P43" s="44"/>
    </row>
    <row r="44" spans="1:16" ht="15.75" customHeight="1" x14ac:dyDescent="0.2">
      <c r="A44" s="74" t="s">
        <v>102</v>
      </c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</row>
    <row r="45" spans="1:16" ht="13.5" customHeight="1" x14ac:dyDescent="0.2">
      <c r="A45" s="23" t="s">
        <v>46</v>
      </c>
      <c r="B45" s="14">
        <f t="shared" ref="B45:F45" si="20">MEDIAN(B4:B9,B11:B12,B14:B15)</f>
        <v>197346.5</v>
      </c>
      <c r="C45" s="14">
        <f t="shared" si="20"/>
        <v>250541</v>
      </c>
      <c r="D45" s="18">
        <f t="shared" si="20"/>
        <v>0.37310374379527739</v>
      </c>
      <c r="E45" s="14">
        <f t="shared" si="20"/>
        <v>55416555.959999993</v>
      </c>
      <c r="F45" s="14">
        <f t="shared" si="20"/>
        <v>50498054.459999993</v>
      </c>
      <c r="G45" s="18">
        <f>MEDIAN(G8:G41)</f>
        <v>-7.7867889032753088E-2</v>
      </c>
      <c r="H45" s="14">
        <f t="shared" ref="H45:I45" si="21">MEDIAN(H4:H9,H11:H12,H14:H15)</f>
        <v>14979381.120000001</v>
      </c>
      <c r="I45" s="14">
        <f t="shared" si="21"/>
        <v>20085371.579999998</v>
      </c>
      <c r="J45" s="18">
        <f t="shared" ref="J45:J46" si="22">(I45-H45)/H45</f>
        <v>0.34086791831357027</v>
      </c>
      <c r="K45" s="18">
        <f>AVERAGE(K4:K9,K11:K12,K14:K15)</f>
        <v>0.57800000000000007</v>
      </c>
      <c r="L45" s="14">
        <f>MEDIAN(L4:L9,L11:L12,L14:L15)</f>
        <v>564.02459999999996</v>
      </c>
      <c r="M45" s="18">
        <f t="shared" ref="M45:P45" si="23">AVERAGE(M4:M9,M11:M12,M14:M15)</f>
        <v>-0.31381030645086672</v>
      </c>
      <c r="N45" s="14">
        <f t="shared" si="23"/>
        <v>347.49971999999997</v>
      </c>
      <c r="O45" s="18">
        <f t="shared" si="23"/>
        <v>-0.32565047499174227</v>
      </c>
      <c r="P45" s="18">
        <f t="shared" si="23"/>
        <v>0.60499999999999987</v>
      </c>
    </row>
    <row r="46" spans="1:16" ht="13.5" customHeight="1" x14ac:dyDescent="0.2">
      <c r="A46" s="23" t="s">
        <v>50</v>
      </c>
      <c r="B46" s="24">
        <f t="shared" ref="B46:C46" si="24">SUM(B4:B9,B11:B12,B14:B15)</f>
        <v>2817614</v>
      </c>
      <c r="C46" s="24">
        <f t="shared" si="24"/>
        <v>3736678</v>
      </c>
      <c r="D46" s="18">
        <f>(C46-B46)/B46</f>
        <v>0.32618520492870917</v>
      </c>
      <c r="E46" s="24">
        <f t="shared" ref="E46:F46" si="25">SUM(E4:E9,E11:E12,E14:E15)</f>
        <v>862180458.76018846</v>
      </c>
      <c r="F46" s="24">
        <f t="shared" si="25"/>
        <v>737690739.58261228</v>
      </c>
      <c r="G46" s="18">
        <f>(F46-E46)/E46</f>
        <v>-0.14438940005273587</v>
      </c>
      <c r="H46" s="24">
        <f t="shared" ref="H46:I46" si="26">SUM(H4:H9,H11:H12,H14:H15)</f>
        <v>380390183.54400009</v>
      </c>
      <c r="I46" s="24">
        <f t="shared" si="26"/>
        <v>399023379.11999989</v>
      </c>
      <c r="J46" s="18">
        <f t="shared" si="22"/>
        <v>4.8984428048061017E-2</v>
      </c>
      <c r="K46" s="44"/>
      <c r="L46" s="44"/>
      <c r="M46" s="44"/>
      <c r="N46" s="44"/>
      <c r="O46" s="44"/>
      <c r="P46" s="44"/>
    </row>
    <row r="47" spans="1:16" ht="13.5" customHeight="1" x14ac:dyDescent="0.2">
      <c r="A47" s="23"/>
      <c r="B47" s="16"/>
      <c r="C47" s="44"/>
      <c r="D47" s="44"/>
      <c r="E47" s="16"/>
      <c r="F47" s="16"/>
      <c r="G47" s="44"/>
      <c r="H47" s="44"/>
      <c r="I47" s="44"/>
      <c r="J47" s="44"/>
      <c r="K47" s="44"/>
      <c r="L47" s="44"/>
      <c r="M47" s="44"/>
      <c r="N47" s="44"/>
      <c r="O47" s="44"/>
      <c r="P47" s="44"/>
    </row>
    <row r="48" spans="1:16" ht="15.75" customHeight="1" x14ac:dyDescent="0.2">
      <c r="A48" s="74" t="s">
        <v>103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</row>
    <row r="49" spans="1:16" ht="13.5" customHeight="1" x14ac:dyDescent="0.2">
      <c r="A49" s="23" t="s">
        <v>46</v>
      </c>
      <c r="B49" s="14">
        <f t="shared" ref="B49:F49" si="27">MEDIAN(B18:B28,B30:B35,B37)</f>
        <v>443100.5</v>
      </c>
      <c r="C49" s="14">
        <f t="shared" si="27"/>
        <v>490199</v>
      </c>
      <c r="D49" s="18">
        <f t="shared" si="27"/>
        <v>0.18088855517166968</v>
      </c>
      <c r="E49" s="14">
        <f t="shared" si="27"/>
        <v>93462013.079999998</v>
      </c>
      <c r="F49" s="14">
        <f t="shared" si="27"/>
        <v>94237896.66960001</v>
      </c>
      <c r="G49" s="18">
        <f>MEDIAN(G12:G45)</f>
        <v>-7.9774449203755038E-2</v>
      </c>
      <c r="H49" s="14">
        <f t="shared" ref="H49:I49" si="28">MEDIAN(H18:H28,H30:H35,H37)</f>
        <v>49868362.920000002</v>
      </c>
      <c r="I49" s="14">
        <f t="shared" si="28"/>
        <v>48552856.5</v>
      </c>
      <c r="J49" s="18">
        <f t="shared" ref="J49:J50" si="29">(I49-H49)/H49</f>
        <v>-2.6379579015063478E-2</v>
      </c>
      <c r="K49" s="18">
        <f t="shared" ref="K49:P49" si="30">MEDIAN(K18:K28,K30:K35,K37)</f>
        <v>0.63500000000000001</v>
      </c>
      <c r="L49" s="14">
        <f t="shared" si="30"/>
        <v>599.98590000000002</v>
      </c>
      <c r="M49" s="18">
        <f t="shared" si="30"/>
        <v>-0.23973071656777728</v>
      </c>
      <c r="N49" s="14">
        <f t="shared" si="30"/>
        <v>386.11080000000004</v>
      </c>
      <c r="O49" s="18">
        <f t="shared" si="30"/>
        <v>-0.23928571428571427</v>
      </c>
      <c r="P49" s="18">
        <f t="shared" si="30"/>
        <v>0.67500000000000004</v>
      </c>
    </row>
    <row r="50" spans="1:16" ht="13.5" customHeight="1" x14ac:dyDescent="0.2">
      <c r="A50" s="23" t="s">
        <v>50</v>
      </c>
      <c r="B50" s="16">
        <f t="shared" ref="B50:C50" si="31">SUM(B18:B28,B30:B35,B37)</f>
        <v>15802814</v>
      </c>
      <c r="C50" s="16">
        <f t="shared" si="31"/>
        <v>19289051</v>
      </c>
      <c r="D50" s="18">
        <f>(C50-B50)/B50</f>
        <v>0.22060862071780379</v>
      </c>
      <c r="E50" s="16">
        <f t="shared" ref="E50:F50" si="32">SUM(E18:E28,E30:E35,E37)</f>
        <v>4361673646.5071993</v>
      </c>
      <c r="F50" s="16">
        <f t="shared" si="32"/>
        <v>3534725366.4048004</v>
      </c>
      <c r="G50" s="18">
        <f>(F50-E50)/E50</f>
        <v>-0.18959425833352153</v>
      </c>
      <c r="H50" s="16">
        <f t="shared" ref="H50:I50" si="33">SUM(H18:H28,H30:H35,H37)</f>
        <v>1626469194.9600003</v>
      </c>
      <c r="I50" s="16">
        <f t="shared" si="33"/>
        <v>1636787255.1600003</v>
      </c>
      <c r="J50" s="18">
        <f t="shared" si="29"/>
        <v>6.3438399153042668E-3</v>
      </c>
      <c r="K50" s="44"/>
      <c r="L50" s="44"/>
      <c r="M50" s="44"/>
      <c r="N50" s="44"/>
      <c r="O50" s="44"/>
      <c r="P50" s="44"/>
    </row>
    <row r="51" spans="1:16" ht="13.5" customHeight="1" x14ac:dyDescent="0.2">
      <c r="A51" s="23"/>
      <c r="B51" s="16"/>
      <c r="C51" s="44"/>
      <c r="D51" s="44"/>
      <c r="E51" s="16"/>
      <c r="F51" s="16"/>
      <c r="G51" s="44"/>
      <c r="H51" s="44"/>
      <c r="I51" s="44"/>
      <c r="J51" s="44"/>
      <c r="K51" s="44"/>
      <c r="L51" s="44"/>
      <c r="M51" s="44"/>
      <c r="N51" s="44"/>
      <c r="O51" s="44"/>
      <c r="P51" s="44"/>
    </row>
    <row r="52" spans="1:16" ht="13.5" customHeight="1" x14ac:dyDescent="0.2">
      <c r="A52" s="23"/>
      <c r="B52" s="16"/>
      <c r="C52" s="44"/>
      <c r="D52" s="44"/>
      <c r="E52" s="16"/>
      <c r="F52" s="16"/>
      <c r="G52" s="44"/>
      <c r="H52" s="44"/>
      <c r="I52" s="44"/>
      <c r="J52" s="44"/>
      <c r="K52" s="44"/>
      <c r="L52" s="44"/>
      <c r="M52" s="44"/>
      <c r="N52" s="44"/>
      <c r="O52" s="44"/>
      <c r="P52" s="44"/>
    </row>
    <row r="53" spans="1:16" ht="15.75" customHeight="1" x14ac:dyDescent="0.2">
      <c r="A53" s="74" t="s">
        <v>104</v>
      </c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</row>
    <row r="54" spans="1:16" ht="13.5" customHeight="1" x14ac:dyDescent="0.2">
      <c r="A54" s="23" t="s">
        <v>46</v>
      </c>
      <c r="B54" s="16">
        <f t="shared" ref="B54:I54" si="34">MEDIAN(B6,B24,B33:B35,B37)</f>
        <v>2089364.5</v>
      </c>
      <c r="C54" s="16">
        <f t="shared" si="34"/>
        <v>2747478</v>
      </c>
      <c r="D54" s="18">
        <f t="shared" si="34"/>
        <v>0.15438532552772974</v>
      </c>
      <c r="E54" s="16">
        <f t="shared" si="34"/>
        <v>606605728.31999993</v>
      </c>
      <c r="F54" s="16">
        <f t="shared" si="34"/>
        <v>463541784</v>
      </c>
      <c r="G54" s="18">
        <f t="shared" si="34"/>
        <v>-0.21253101350536641</v>
      </c>
      <c r="H54" s="16">
        <f t="shared" si="34"/>
        <v>222853448.34</v>
      </c>
      <c r="I54" s="16">
        <f t="shared" si="34"/>
        <v>241795383.96000001</v>
      </c>
      <c r="J54" s="18">
        <f t="shared" ref="J54:J55" si="35">(I54-H54)/H54</f>
        <v>8.4997274043078441E-2</v>
      </c>
      <c r="K54" s="18">
        <f t="shared" ref="K54:P54" si="36">MEDIAN(K6,K24,K33:K35,K37)</f>
        <v>0.53</v>
      </c>
      <c r="L54" s="16">
        <f t="shared" si="36"/>
        <v>505.35090000000002</v>
      </c>
      <c r="M54" s="18">
        <f t="shared" si="36"/>
        <v>-0.3531072273651874</v>
      </c>
      <c r="N54" s="16">
        <f t="shared" si="36"/>
        <v>317.97360000000003</v>
      </c>
      <c r="O54" s="18">
        <f t="shared" si="36"/>
        <v>-0.33333333333333331</v>
      </c>
      <c r="P54" s="18">
        <f t="shared" si="36"/>
        <v>0.61</v>
      </c>
    </row>
    <row r="55" spans="1:16" ht="13.5" customHeight="1" x14ac:dyDescent="0.2">
      <c r="A55" s="23" t="s">
        <v>50</v>
      </c>
      <c r="B55" s="16">
        <f t="shared" ref="B55:C55" si="37">SUM(B6,B24,B33:B35,B37)</f>
        <v>13098486</v>
      </c>
      <c r="C55" s="16">
        <f t="shared" si="37"/>
        <v>15657011</v>
      </c>
      <c r="D55" s="18">
        <f>(C55-B55)/B55</f>
        <v>0.19532982666851725</v>
      </c>
      <c r="E55" s="16">
        <f t="shared" ref="E55:F55" si="38">SUM(E6,E24,E33:E35,E37)</f>
        <v>3627728154.8807998</v>
      </c>
      <c r="F55" s="16">
        <f t="shared" si="38"/>
        <v>2764377931.0799999</v>
      </c>
      <c r="G55" s="18">
        <f>(F55-E55)/E55</f>
        <v>-0.23798647168179773</v>
      </c>
      <c r="H55" s="16">
        <f t="shared" ref="H55:I55" si="39">SUM(H6,H24,H33:H35,H37)</f>
        <v>1398533192.28</v>
      </c>
      <c r="I55" s="16">
        <f t="shared" si="39"/>
        <v>1191359124.96</v>
      </c>
      <c r="J55" s="18">
        <f t="shared" si="35"/>
        <v>-0.14813668239239164</v>
      </c>
      <c r="K55" s="44"/>
      <c r="L55" s="44"/>
      <c r="M55" s="18"/>
      <c r="N55" s="44"/>
      <c r="O55" s="71"/>
      <c r="P55" s="71"/>
    </row>
    <row r="56" spans="1:16" ht="13.5" customHeight="1" x14ac:dyDescent="0.2">
      <c r="A56" s="23"/>
      <c r="B56" s="13"/>
      <c r="C56" s="44"/>
      <c r="D56" s="18"/>
      <c r="E56" s="16"/>
      <c r="F56" s="16"/>
      <c r="G56" s="18"/>
      <c r="H56" s="44"/>
      <c r="I56" s="44"/>
      <c r="J56" s="44"/>
      <c r="K56" s="44"/>
      <c r="L56" s="44"/>
      <c r="M56" s="18"/>
      <c r="N56" s="44"/>
      <c r="O56" s="71"/>
      <c r="P56" s="71"/>
    </row>
    <row r="57" spans="1:16" ht="15.75" customHeight="1" x14ac:dyDescent="0.2">
      <c r="A57" s="74" t="s">
        <v>105</v>
      </c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</row>
    <row r="58" spans="1:16" ht="13.5" customHeight="1" x14ac:dyDescent="0.2">
      <c r="A58" s="23" t="s">
        <v>46</v>
      </c>
      <c r="B58" s="16">
        <f t="shared" ref="B58:I58" si="40">MEDIAN(B4,B5,B7,B9,B11,B14,B19,B20,B21,B22,B23,B26,B27,B28,B30,B31,B32)</f>
        <v>276393</v>
      </c>
      <c r="C58" s="16">
        <f t="shared" si="40"/>
        <v>364982</v>
      </c>
      <c r="D58" s="18">
        <f t="shared" si="40"/>
        <v>0.27903981926009602</v>
      </c>
      <c r="E58" s="16">
        <f t="shared" si="40"/>
        <v>82164569.760000005</v>
      </c>
      <c r="F58" s="16">
        <f t="shared" si="40"/>
        <v>82484041.079999998</v>
      </c>
      <c r="G58" s="18">
        <f t="shared" si="40"/>
        <v>-7.7867889032753088E-2</v>
      </c>
      <c r="H58" s="16">
        <f t="shared" si="40"/>
        <v>19653036.84</v>
      </c>
      <c r="I58" s="16">
        <f t="shared" si="40"/>
        <v>35363871.600000001</v>
      </c>
      <c r="J58" s="18">
        <f t="shared" ref="J58:J59" si="41">(I58-H58)/H58</f>
        <v>0.79941002949852513</v>
      </c>
      <c r="K58" s="18">
        <f t="shared" ref="K58:P58" si="42">MEDIAN(K4,K5,K7,K9,K11,K14,K19,K20,K21,K22,K23,K26,K27,K28,K30,K31,K32)</f>
        <v>0.69</v>
      </c>
      <c r="L58" s="16">
        <f t="shared" si="42"/>
        <v>617.02020000000005</v>
      </c>
      <c r="M58" s="18">
        <f t="shared" si="42"/>
        <v>-0.29961089494163423</v>
      </c>
      <c r="N58" s="16">
        <f t="shared" si="42"/>
        <v>401.25240000000002</v>
      </c>
      <c r="O58" s="18">
        <f t="shared" si="42"/>
        <v>-0.27575549450549453</v>
      </c>
      <c r="P58" s="18">
        <f t="shared" si="42"/>
        <v>0.68500000000000005</v>
      </c>
    </row>
    <row r="59" spans="1:16" ht="13.5" customHeight="1" x14ac:dyDescent="0.2">
      <c r="A59" s="23" t="s">
        <v>50</v>
      </c>
      <c r="B59" s="16">
        <f t="shared" ref="B59:C59" si="43">SUM(B4,B5,B7,B9,B11,B14,B19,B20,B21,B22,B23,B26,B27,B28,B30,B31,B32)</f>
        <v>5299946</v>
      </c>
      <c r="C59" s="16">
        <f t="shared" si="43"/>
        <v>7006745</v>
      </c>
      <c r="D59" s="18">
        <f>(C59-B59)/B59</f>
        <v>0.32204082834051517</v>
      </c>
      <c r="E59" s="16">
        <f t="shared" ref="E59:F59" si="44">SUM(E4,E5,E7,E9,E11,E14,E19,E20,E21,E22,E23,E26,E27,E28,E30,E31,E32)</f>
        <v>1527235117.9373884</v>
      </c>
      <c r="F59" s="16">
        <f t="shared" si="44"/>
        <v>1424598532.2018123</v>
      </c>
      <c r="G59" s="18">
        <f>(F59-E59)/E59</f>
        <v>-6.7204181288204184E-2</v>
      </c>
      <c r="H59" s="16">
        <f t="shared" ref="H59:I59" si="45">SUM(H4,H5,H7,H9,H11,H14,H19,H20,H21,H22,H23,H26,H27,H28,H30,H31,H32)</f>
        <v>556580713.44000006</v>
      </c>
      <c r="I59" s="16">
        <f t="shared" si="45"/>
        <v>775470373.80000007</v>
      </c>
      <c r="J59" s="18">
        <f t="shared" si="41"/>
        <v>0.393275683246607</v>
      </c>
      <c r="K59" s="44"/>
      <c r="L59" s="44"/>
      <c r="M59" s="44"/>
      <c r="N59" s="44"/>
      <c r="O59" s="44"/>
      <c r="P59" s="44"/>
    </row>
    <row r="60" spans="1:16" ht="13.5" customHeight="1" x14ac:dyDescent="0.2">
      <c r="A60" s="21"/>
      <c r="B60" s="16"/>
      <c r="C60" s="44"/>
      <c r="D60" s="44"/>
      <c r="E60" s="16"/>
      <c r="F60" s="16"/>
      <c r="G60" s="44"/>
      <c r="H60" s="44"/>
      <c r="I60" s="44"/>
      <c r="J60" s="44"/>
      <c r="K60" s="44"/>
      <c r="L60" s="44"/>
      <c r="M60" s="44"/>
      <c r="N60" s="44"/>
      <c r="O60" s="44"/>
      <c r="P60" s="44"/>
    </row>
    <row r="61" spans="1:16" ht="15.75" customHeight="1" x14ac:dyDescent="0.2">
      <c r="A61" s="74" t="s">
        <v>106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</row>
    <row r="62" spans="1:16" ht="13.5" customHeight="1" x14ac:dyDescent="0.2">
      <c r="A62" s="23" t="s">
        <v>46</v>
      </c>
      <c r="B62" s="16">
        <f t="shared" ref="B62:I62" si="46">MEDIAN(B8,B12,B15,B18,B25)</f>
        <v>38591</v>
      </c>
      <c r="C62" s="16">
        <f t="shared" si="46"/>
        <v>80813</v>
      </c>
      <c r="D62" s="18">
        <f t="shared" si="46"/>
        <v>0.41626637375608638</v>
      </c>
      <c r="E62" s="16">
        <f t="shared" si="46"/>
        <v>10211980.92</v>
      </c>
      <c r="F62" s="16">
        <f t="shared" si="46"/>
        <v>13542376.92</v>
      </c>
      <c r="G62" s="18">
        <f t="shared" si="46"/>
        <v>0.13624833917139745</v>
      </c>
      <c r="H62" s="16">
        <f t="shared" si="46"/>
        <v>11779487.304</v>
      </c>
      <c r="I62" s="16">
        <f t="shared" si="46"/>
        <v>13171099.439999999</v>
      </c>
      <c r="J62" s="18">
        <f t="shared" ref="J62:J63" si="47">(I62-H62)/H62</f>
        <v>0.11813859976125154</v>
      </c>
      <c r="K62" s="18">
        <f t="shared" ref="K62:P62" si="48">MEDIAN(K8,K12,K15,K18,K25)</f>
        <v>0.65</v>
      </c>
      <c r="L62" s="16">
        <f t="shared" si="48"/>
        <v>582.95159999999998</v>
      </c>
      <c r="M62" s="18">
        <f t="shared" si="48"/>
        <v>-0.19834710743801653</v>
      </c>
      <c r="N62" s="16">
        <f t="shared" si="48"/>
        <v>306.61740000000003</v>
      </c>
      <c r="O62" s="18">
        <f t="shared" si="48"/>
        <v>-0.21505376344086022</v>
      </c>
      <c r="P62" s="18">
        <f t="shared" si="48"/>
        <v>0.67</v>
      </c>
    </row>
    <row r="63" spans="1:16" ht="13.5" customHeight="1" x14ac:dyDescent="0.2">
      <c r="A63" s="23" t="s">
        <v>50</v>
      </c>
      <c r="B63" s="16">
        <f t="shared" ref="B63:C63" si="49">SUM(B4,B7,B8,B9,B12,B14,B15,B18,B19,B20,B21,B23,B25,B26,B27,B32)</f>
        <v>2439951</v>
      </c>
      <c r="C63" s="16">
        <f t="shared" si="49"/>
        <v>3163430</v>
      </c>
      <c r="D63" s="18">
        <f>(C63-B63)/B63</f>
        <v>0.29651374146448023</v>
      </c>
      <c r="E63" s="16">
        <f t="shared" ref="E63:F63" si="50">SUM(E4,E7,E8,E9,E12,E14,E15,E18,E19,E20,E21,E23,E25,E26,E27,E32)</f>
        <v>723125928.84538829</v>
      </c>
      <c r="F63" s="16">
        <f t="shared" si="50"/>
        <v>747306653.62741244</v>
      </c>
      <c r="G63" s="18">
        <f>(F63-E63)/E63</f>
        <v>3.343916158646585E-2</v>
      </c>
      <c r="H63" s="16">
        <f t="shared" ref="H63:I63" si="51">SUM(H4,H7,H8,H9,H12,H14,H15,H18,H19,H20,H21,H23,H25,H26,H27,H32)</f>
        <v>387122517.384</v>
      </c>
      <c r="I63" s="16">
        <f t="shared" si="51"/>
        <v>509581425.00000006</v>
      </c>
      <c r="J63" s="18">
        <f t="shared" si="47"/>
        <v>0.31633114096158066</v>
      </c>
      <c r="K63" s="44"/>
      <c r="L63" s="44"/>
      <c r="M63" s="44"/>
      <c r="N63" s="44"/>
      <c r="O63" s="44"/>
      <c r="P63" s="44"/>
    </row>
    <row r="64" spans="1:16" ht="13.5" customHeight="1" x14ac:dyDescent="0.2">
      <c r="A64" s="21"/>
      <c r="B64" s="16"/>
      <c r="C64" s="44"/>
      <c r="D64" s="44"/>
      <c r="E64" s="16"/>
      <c r="F64" s="16"/>
      <c r="G64" s="44"/>
      <c r="H64" s="44"/>
      <c r="I64" s="44"/>
      <c r="J64" s="44"/>
      <c r="K64" s="44"/>
      <c r="L64" s="44"/>
      <c r="M64" s="44"/>
      <c r="N64" s="44"/>
      <c r="O64" s="44"/>
      <c r="P64" s="44"/>
    </row>
    <row r="65" spans="1:16" ht="13.5" customHeight="1" x14ac:dyDescent="0.2">
      <c r="A65" s="21"/>
      <c r="B65" s="16"/>
      <c r="C65" s="44"/>
      <c r="D65" s="44"/>
      <c r="E65" s="16"/>
      <c r="F65" s="16"/>
      <c r="G65" s="44"/>
      <c r="H65" s="44"/>
      <c r="I65" s="44"/>
      <c r="J65" s="44"/>
      <c r="K65" s="44"/>
      <c r="L65" s="44"/>
      <c r="M65" s="44"/>
      <c r="N65" s="44"/>
      <c r="O65" s="44"/>
      <c r="P65" s="44"/>
    </row>
    <row r="66" spans="1:16" ht="13.5" customHeight="1" x14ac:dyDescent="0.2">
      <c r="A66" s="21"/>
      <c r="B66" s="16"/>
      <c r="C66" s="44"/>
      <c r="D66" s="44"/>
      <c r="E66" s="16"/>
      <c r="F66" s="16"/>
      <c r="G66" s="44"/>
      <c r="H66" s="44"/>
      <c r="I66" s="44"/>
      <c r="J66" s="44"/>
      <c r="K66" s="44"/>
      <c r="L66" s="44"/>
      <c r="M66" s="44"/>
      <c r="N66" s="44"/>
      <c r="O66" s="44"/>
      <c r="P66" s="44"/>
    </row>
    <row r="67" spans="1:16" ht="13.5" customHeight="1" x14ac:dyDescent="0.2">
      <c r="A67" s="21"/>
      <c r="B67" s="16"/>
      <c r="C67" s="44"/>
      <c r="D67" s="44"/>
      <c r="E67" s="16"/>
      <c r="F67" s="16"/>
      <c r="G67" s="44"/>
      <c r="H67" s="44"/>
      <c r="I67" s="44"/>
      <c r="J67" s="44"/>
      <c r="K67" s="44"/>
      <c r="L67" s="44"/>
      <c r="M67" s="44"/>
      <c r="N67" s="44"/>
      <c r="O67" s="44"/>
      <c r="P67" s="44"/>
    </row>
    <row r="68" spans="1:16" ht="13.5" customHeight="1" x14ac:dyDescent="0.2">
      <c r="A68" s="21"/>
      <c r="B68" s="16"/>
      <c r="C68" s="44"/>
      <c r="D68" s="44"/>
      <c r="E68" s="16"/>
      <c r="F68" s="16"/>
      <c r="G68" s="44"/>
      <c r="H68" s="44"/>
      <c r="I68" s="44"/>
      <c r="J68" s="44"/>
      <c r="K68" s="44"/>
      <c r="L68" s="44"/>
      <c r="M68" s="44"/>
      <c r="N68" s="44"/>
      <c r="O68" s="44"/>
      <c r="P68" s="44"/>
    </row>
    <row r="69" spans="1:16" ht="13.5" customHeight="1" x14ac:dyDescent="0.2">
      <c r="A69" s="21"/>
      <c r="B69" s="16"/>
      <c r="C69" s="44"/>
      <c r="D69" s="44"/>
      <c r="E69" s="16"/>
      <c r="F69" s="16"/>
      <c r="G69" s="44"/>
      <c r="H69" s="44"/>
      <c r="I69" s="44"/>
      <c r="J69" s="44"/>
      <c r="K69" s="44"/>
      <c r="L69" s="44"/>
      <c r="M69" s="44"/>
      <c r="N69" s="44"/>
      <c r="O69" s="44"/>
      <c r="P69" s="44"/>
    </row>
    <row r="70" spans="1:16" ht="13.5" customHeight="1" x14ac:dyDescent="0.2">
      <c r="A70" s="21"/>
      <c r="B70" s="16"/>
      <c r="C70" s="44"/>
      <c r="D70" s="44"/>
      <c r="E70" s="16"/>
      <c r="F70" s="16"/>
      <c r="G70" s="44"/>
      <c r="H70" s="44"/>
      <c r="I70" s="44"/>
      <c r="J70" s="44"/>
      <c r="K70" s="44"/>
      <c r="L70" s="44"/>
      <c r="M70" s="44"/>
      <c r="N70" s="44"/>
      <c r="O70" s="44"/>
      <c r="P70" s="44"/>
    </row>
    <row r="71" spans="1:16" ht="13.5" customHeight="1" x14ac:dyDescent="0.2">
      <c r="A71" s="21"/>
      <c r="B71" s="16"/>
      <c r="C71" s="44"/>
      <c r="D71" s="44"/>
      <c r="E71" s="16"/>
      <c r="F71" s="16"/>
      <c r="G71" s="44"/>
      <c r="H71" s="44"/>
      <c r="I71" s="44"/>
      <c r="J71" s="44"/>
      <c r="K71" s="44"/>
      <c r="L71" s="44"/>
      <c r="M71" s="44"/>
      <c r="N71" s="44"/>
      <c r="O71" s="44"/>
      <c r="P71" s="44"/>
    </row>
    <row r="72" spans="1:16" ht="13.5" customHeight="1" x14ac:dyDescent="0.2">
      <c r="A72" s="21"/>
      <c r="B72" s="16"/>
      <c r="C72" s="44"/>
      <c r="D72" s="44"/>
      <c r="E72" s="16"/>
      <c r="F72" s="16"/>
      <c r="G72" s="44"/>
      <c r="H72" s="44"/>
      <c r="I72" s="44"/>
      <c r="J72" s="44"/>
      <c r="K72" s="44"/>
      <c r="L72" s="44"/>
      <c r="M72" s="44"/>
      <c r="N72" s="44"/>
      <c r="O72" s="44"/>
      <c r="P72" s="44"/>
    </row>
    <row r="73" spans="1:16" ht="13.5" customHeight="1" x14ac:dyDescent="0.2">
      <c r="A73" s="21"/>
      <c r="B73" s="16"/>
      <c r="C73" s="44"/>
      <c r="D73" s="44"/>
      <c r="E73" s="16"/>
      <c r="F73" s="16"/>
      <c r="G73" s="44"/>
      <c r="H73" s="44"/>
      <c r="I73" s="44"/>
      <c r="J73" s="44"/>
      <c r="K73" s="44"/>
      <c r="L73" s="44"/>
      <c r="M73" s="44"/>
      <c r="N73" s="44"/>
      <c r="O73" s="44"/>
      <c r="P73" s="44"/>
    </row>
    <row r="74" spans="1:16" ht="13.5" customHeight="1" x14ac:dyDescent="0.2">
      <c r="A74" s="21"/>
      <c r="B74" s="16"/>
      <c r="C74" s="44"/>
      <c r="D74" s="44"/>
      <c r="E74" s="16"/>
      <c r="F74" s="16"/>
      <c r="G74" s="44"/>
      <c r="H74" s="44"/>
      <c r="I74" s="44"/>
      <c r="J74" s="44"/>
      <c r="K74" s="44"/>
      <c r="L74" s="44"/>
      <c r="M74" s="44"/>
      <c r="N74" s="44"/>
      <c r="O74" s="44"/>
      <c r="P74" s="44"/>
    </row>
    <row r="75" spans="1:16" ht="13.5" customHeight="1" x14ac:dyDescent="0.2">
      <c r="A75" s="21"/>
      <c r="B75" s="16"/>
      <c r="C75" s="44"/>
      <c r="D75" s="44"/>
      <c r="E75" s="16"/>
      <c r="F75" s="16"/>
      <c r="G75" s="44"/>
      <c r="H75" s="44"/>
      <c r="I75" s="44"/>
      <c r="J75" s="44"/>
      <c r="K75" s="44"/>
      <c r="L75" s="44"/>
      <c r="M75" s="44"/>
      <c r="N75" s="44"/>
      <c r="O75" s="44"/>
      <c r="P75" s="44"/>
    </row>
    <row r="76" spans="1:16" ht="13.5" customHeight="1" x14ac:dyDescent="0.2">
      <c r="A76" s="21"/>
      <c r="B76" s="16"/>
      <c r="C76" s="44"/>
      <c r="D76" s="44"/>
      <c r="E76" s="16"/>
      <c r="F76" s="16"/>
      <c r="G76" s="44"/>
      <c r="H76" s="44"/>
      <c r="I76" s="44"/>
      <c r="J76" s="44"/>
      <c r="K76" s="44"/>
      <c r="L76" s="44"/>
      <c r="M76" s="44"/>
      <c r="N76" s="44"/>
      <c r="O76" s="44"/>
      <c r="P76" s="44"/>
    </row>
    <row r="77" spans="1:16" ht="13.5" customHeight="1" x14ac:dyDescent="0.2">
      <c r="A77" s="21"/>
      <c r="B77" s="16"/>
      <c r="C77" s="44"/>
      <c r="D77" s="44"/>
      <c r="E77" s="16"/>
      <c r="F77" s="16"/>
      <c r="G77" s="44"/>
      <c r="H77" s="44"/>
      <c r="I77" s="44"/>
      <c r="J77" s="44"/>
      <c r="K77" s="44"/>
      <c r="L77" s="44"/>
      <c r="M77" s="44"/>
      <c r="N77" s="44"/>
      <c r="O77" s="44"/>
      <c r="P77" s="44"/>
    </row>
    <row r="78" spans="1:16" ht="13.5" customHeight="1" x14ac:dyDescent="0.2">
      <c r="A78" s="21"/>
      <c r="B78" s="16"/>
      <c r="C78" s="44"/>
      <c r="D78" s="44"/>
      <c r="E78" s="16"/>
      <c r="F78" s="16"/>
      <c r="G78" s="44"/>
      <c r="H78" s="44"/>
      <c r="I78" s="44"/>
      <c r="J78" s="44"/>
      <c r="K78" s="44"/>
      <c r="L78" s="44"/>
      <c r="M78" s="44"/>
      <c r="N78" s="44"/>
      <c r="O78" s="44"/>
      <c r="P78" s="44"/>
    </row>
    <row r="79" spans="1:16" ht="13.5" customHeight="1" x14ac:dyDescent="0.2">
      <c r="A79" s="21"/>
      <c r="B79" s="16"/>
      <c r="C79" s="44"/>
      <c r="D79" s="44"/>
      <c r="E79" s="16"/>
      <c r="F79" s="16"/>
      <c r="G79" s="44"/>
      <c r="H79" s="44"/>
      <c r="I79" s="44"/>
      <c r="J79" s="44"/>
      <c r="K79" s="44"/>
      <c r="L79" s="44"/>
      <c r="M79" s="44"/>
      <c r="N79" s="44"/>
      <c r="O79" s="44"/>
      <c r="P79" s="44"/>
    </row>
    <row r="80" spans="1:16" ht="13.5" customHeight="1" x14ac:dyDescent="0.2">
      <c r="A80" s="21"/>
      <c r="B80" s="16"/>
      <c r="C80" s="44"/>
      <c r="D80" s="44"/>
      <c r="E80" s="16"/>
      <c r="F80" s="16"/>
      <c r="G80" s="44"/>
      <c r="H80" s="44"/>
      <c r="I80" s="44"/>
      <c r="J80" s="44"/>
      <c r="K80" s="44"/>
      <c r="L80" s="44"/>
      <c r="M80" s="44"/>
      <c r="N80" s="44"/>
      <c r="O80" s="44"/>
      <c r="P80" s="44"/>
    </row>
    <row r="81" spans="1:16" ht="13.5" customHeight="1" x14ac:dyDescent="0.2">
      <c r="A81" s="21"/>
      <c r="B81" s="16"/>
      <c r="C81" s="44"/>
      <c r="D81" s="44"/>
      <c r="E81" s="16"/>
      <c r="F81" s="16"/>
      <c r="G81" s="44"/>
      <c r="H81" s="44"/>
      <c r="I81" s="44"/>
      <c r="J81" s="44"/>
      <c r="K81" s="44"/>
      <c r="L81" s="44"/>
      <c r="M81" s="44"/>
      <c r="N81" s="44"/>
      <c r="O81" s="44"/>
      <c r="P81" s="44"/>
    </row>
    <row r="82" spans="1:16" ht="13.5" customHeight="1" x14ac:dyDescent="0.2">
      <c r="A82" s="21"/>
      <c r="B82" s="16"/>
      <c r="C82" s="44"/>
      <c r="D82" s="44"/>
      <c r="E82" s="16"/>
      <c r="F82" s="16"/>
      <c r="G82" s="44"/>
      <c r="H82" s="44"/>
      <c r="I82" s="44"/>
      <c r="J82" s="44"/>
      <c r="K82" s="44"/>
      <c r="L82" s="44"/>
      <c r="M82" s="44"/>
      <c r="N82" s="44"/>
      <c r="O82" s="44"/>
      <c r="P82" s="44"/>
    </row>
    <row r="83" spans="1:16" ht="13.5" customHeight="1" x14ac:dyDescent="0.2">
      <c r="A83" s="21"/>
      <c r="B83" s="16"/>
      <c r="C83" s="44"/>
      <c r="D83" s="44"/>
      <c r="E83" s="16"/>
      <c r="F83" s="16"/>
      <c r="G83" s="44"/>
      <c r="H83" s="44"/>
      <c r="I83" s="44"/>
      <c r="J83" s="44"/>
      <c r="K83" s="44"/>
      <c r="L83" s="44"/>
      <c r="M83" s="44"/>
      <c r="N83" s="44"/>
      <c r="O83" s="44"/>
      <c r="P83" s="44"/>
    </row>
    <row r="84" spans="1:16" ht="13.5" customHeight="1" x14ac:dyDescent="0.2">
      <c r="A84" s="21"/>
      <c r="B84" s="16"/>
      <c r="C84" s="44"/>
      <c r="D84" s="44"/>
      <c r="E84" s="16"/>
      <c r="F84" s="16"/>
      <c r="G84" s="44"/>
      <c r="H84" s="44"/>
      <c r="I84" s="44"/>
      <c r="J84" s="44"/>
      <c r="K84" s="44"/>
      <c r="L84" s="44"/>
      <c r="M84" s="44"/>
      <c r="N84" s="44"/>
      <c r="O84" s="44"/>
      <c r="P84" s="44"/>
    </row>
    <row r="85" spans="1:16" ht="13.5" customHeight="1" x14ac:dyDescent="0.2">
      <c r="A85" s="21"/>
      <c r="B85" s="16"/>
      <c r="C85" s="44"/>
      <c r="D85" s="44"/>
      <c r="E85" s="16"/>
      <c r="F85" s="16"/>
      <c r="G85" s="44"/>
      <c r="H85" s="44"/>
      <c r="I85" s="44"/>
      <c r="J85" s="44"/>
      <c r="K85" s="44"/>
      <c r="L85" s="44"/>
      <c r="M85" s="44"/>
      <c r="N85" s="44"/>
      <c r="O85" s="44"/>
      <c r="P85" s="44"/>
    </row>
    <row r="86" spans="1:16" ht="13.5" customHeight="1" x14ac:dyDescent="0.2">
      <c r="A86" s="21"/>
      <c r="B86" s="16"/>
      <c r="C86" s="44"/>
      <c r="D86" s="44"/>
      <c r="E86" s="16"/>
      <c r="F86" s="16"/>
      <c r="G86" s="44"/>
      <c r="H86" s="44"/>
      <c r="I86" s="44"/>
      <c r="J86" s="44"/>
      <c r="K86" s="44"/>
      <c r="L86" s="44"/>
      <c r="M86" s="44"/>
      <c r="N86" s="44"/>
      <c r="O86" s="44"/>
      <c r="P86" s="44"/>
    </row>
    <row r="87" spans="1:16" ht="13.5" customHeight="1" x14ac:dyDescent="0.2">
      <c r="A87" s="21"/>
      <c r="B87" s="16"/>
      <c r="C87" s="44"/>
      <c r="D87" s="44"/>
      <c r="E87" s="16"/>
      <c r="F87" s="16"/>
      <c r="G87" s="44"/>
      <c r="H87" s="44"/>
      <c r="I87" s="44"/>
      <c r="J87" s="44"/>
      <c r="K87" s="44"/>
      <c r="L87" s="44"/>
      <c r="M87" s="44"/>
      <c r="N87" s="44"/>
      <c r="O87" s="44"/>
      <c r="P87" s="44"/>
    </row>
    <row r="88" spans="1:16" ht="13.5" customHeight="1" x14ac:dyDescent="0.2">
      <c r="A88" s="21"/>
      <c r="B88" s="16"/>
      <c r="C88" s="44"/>
      <c r="D88" s="44"/>
      <c r="E88" s="16"/>
      <c r="F88" s="16"/>
      <c r="G88" s="44"/>
      <c r="H88" s="44"/>
      <c r="I88" s="44"/>
      <c r="J88" s="44"/>
      <c r="K88" s="44"/>
      <c r="L88" s="44"/>
      <c r="M88" s="44"/>
      <c r="N88" s="44"/>
      <c r="O88" s="44"/>
      <c r="P88" s="44"/>
    </row>
    <row r="89" spans="1:16" ht="13.5" customHeight="1" x14ac:dyDescent="0.2">
      <c r="A89" s="21"/>
      <c r="B89" s="16"/>
      <c r="C89" s="44"/>
      <c r="D89" s="44"/>
      <c r="E89" s="16"/>
      <c r="F89" s="16"/>
      <c r="G89" s="44"/>
      <c r="H89" s="44"/>
      <c r="I89" s="44"/>
      <c r="J89" s="44"/>
      <c r="K89" s="44"/>
      <c r="L89" s="44"/>
      <c r="M89" s="44"/>
      <c r="N89" s="44"/>
      <c r="O89" s="44"/>
      <c r="P89" s="44"/>
    </row>
    <row r="90" spans="1:16" ht="13.5" customHeight="1" x14ac:dyDescent="0.2">
      <c r="A90" s="21"/>
      <c r="B90" s="16"/>
      <c r="C90" s="44"/>
      <c r="D90" s="44"/>
      <c r="E90" s="16"/>
      <c r="F90" s="16"/>
      <c r="G90" s="44"/>
      <c r="H90" s="44"/>
      <c r="I90" s="44"/>
      <c r="J90" s="44"/>
      <c r="K90" s="44"/>
      <c r="L90" s="44"/>
      <c r="M90" s="44"/>
      <c r="N90" s="44"/>
      <c r="O90" s="44"/>
      <c r="P90" s="44"/>
    </row>
    <row r="91" spans="1:16" ht="13.5" customHeight="1" x14ac:dyDescent="0.2">
      <c r="A91" s="21"/>
      <c r="B91" s="16"/>
      <c r="C91" s="44"/>
      <c r="D91" s="44"/>
      <c r="E91" s="16"/>
      <c r="F91" s="16"/>
      <c r="G91" s="44"/>
      <c r="H91" s="44"/>
      <c r="I91" s="44"/>
      <c r="J91" s="44"/>
      <c r="K91" s="44"/>
      <c r="L91" s="44"/>
      <c r="M91" s="44"/>
      <c r="N91" s="44"/>
      <c r="O91" s="44"/>
      <c r="P91" s="44"/>
    </row>
    <row r="92" spans="1:16" ht="13.5" customHeight="1" x14ac:dyDescent="0.2">
      <c r="A92" s="21"/>
      <c r="B92" s="16"/>
      <c r="C92" s="44"/>
      <c r="D92" s="44"/>
      <c r="E92" s="16"/>
      <c r="F92" s="16"/>
      <c r="G92" s="44"/>
      <c r="H92" s="44"/>
      <c r="I92" s="44"/>
      <c r="J92" s="44"/>
      <c r="K92" s="44"/>
      <c r="L92" s="44"/>
      <c r="M92" s="44"/>
      <c r="N92" s="44"/>
      <c r="O92" s="44"/>
      <c r="P92" s="44"/>
    </row>
    <row r="93" spans="1:16" ht="13.5" customHeight="1" x14ac:dyDescent="0.2">
      <c r="A93" s="21"/>
      <c r="B93" s="16"/>
      <c r="C93" s="44"/>
      <c r="D93" s="44"/>
      <c r="E93" s="16"/>
      <c r="F93" s="16"/>
      <c r="G93" s="44"/>
      <c r="H93" s="44"/>
      <c r="I93" s="44"/>
      <c r="J93" s="44"/>
      <c r="K93" s="44"/>
      <c r="L93" s="44"/>
      <c r="M93" s="44"/>
      <c r="N93" s="44"/>
      <c r="O93" s="44"/>
      <c r="P93" s="44"/>
    </row>
    <row r="94" spans="1:16" ht="13.5" customHeight="1" x14ac:dyDescent="0.2">
      <c r="A94" s="21"/>
      <c r="B94" s="16"/>
      <c r="C94" s="44"/>
      <c r="D94" s="44"/>
      <c r="E94" s="16"/>
      <c r="F94" s="16"/>
      <c r="G94" s="44"/>
      <c r="H94" s="44"/>
      <c r="I94" s="44"/>
      <c r="J94" s="44"/>
      <c r="K94" s="44"/>
      <c r="L94" s="44"/>
      <c r="M94" s="44"/>
      <c r="N94" s="44"/>
      <c r="O94" s="44"/>
      <c r="P94" s="44"/>
    </row>
    <row r="95" spans="1:16" ht="13.5" customHeight="1" x14ac:dyDescent="0.2">
      <c r="A95" s="21"/>
      <c r="B95" s="16"/>
      <c r="C95" s="44"/>
      <c r="D95" s="44"/>
      <c r="E95" s="16"/>
      <c r="F95" s="16"/>
      <c r="G95" s="44"/>
      <c r="H95" s="44"/>
      <c r="I95" s="44"/>
      <c r="J95" s="44"/>
      <c r="K95" s="44"/>
      <c r="L95" s="44"/>
      <c r="M95" s="44"/>
      <c r="N95" s="44"/>
      <c r="O95" s="44"/>
      <c r="P95" s="44"/>
    </row>
    <row r="96" spans="1:16" ht="13.5" customHeight="1" x14ac:dyDescent="0.2">
      <c r="A96" s="21"/>
      <c r="B96" s="16"/>
      <c r="C96" s="44"/>
      <c r="D96" s="44"/>
      <c r="E96" s="16"/>
      <c r="F96" s="16"/>
      <c r="G96" s="44"/>
      <c r="H96" s="44"/>
      <c r="I96" s="44"/>
      <c r="J96" s="44"/>
      <c r="K96" s="44"/>
      <c r="L96" s="44"/>
      <c r="M96" s="44"/>
      <c r="N96" s="44"/>
      <c r="O96" s="44"/>
      <c r="P96" s="44"/>
    </row>
    <row r="97" spans="1:16" ht="13.5" customHeight="1" x14ac:dyDescent="0.2">
      <c r="A97" s="21"/>
      <c r="B97" s="16"/>
      <c r="C97" s="44"/>
      <c r="D97" s="44"/>
      <c r="E97" s="16"/>
      <c r="F97" s="16"/>
      <c r="G97" s="44"/>
      <c r="H97" s="44"/>
      <c r="I97" s="44"/>
      <c r="J97" s="44"/>
      <c r="K97" s="44"/>
      <c r="L97" s="44"/>
      <c r="M97" s="44"/>
      <c r="N97" s="44"/>
      <c r="O97" s="44"/>
      <c r="P97" s="44"/>
    </row>
    <row r="98" spans="1:16" ht="13.5" customHeight="1" x14ac:dyDescent="0.2">
      <c r="A98" s="21"/>
      <c r="B98" s="16"/>
      <c r="C98" s="44"/>
      <c r="D98" s="44"/>
      <c r="E98" s="16"/>
      <c r="F98" s="16"/>
      <c r="G98" s="44"/>
      <c r="H98" s="44"/>
      <c r="I98" s="44"/>
      <c r="J98" s="44"/>
      <c r="K98" s="44"/>
      <c r="L98" s="44"/>
      <c r="M98" s="44"/>
      <c r="N98" s="44"/>
      <c r="O98" s="44"/>
      <c r="P98" s="44"/>
    </row>
    <row r="99" spans="1:16" ht="13.5" customHeight="1" x14ac:dyDescent="0.2">
      <c r="A99" s="21"/>
      <c r="B99" s="16"/>
      <c r="C99" s="44"/>
      <c r="D99" s="44"/>
      <c r="E99" s="16"/>
      <c r="F99" s="16"/>
      <c r="G99" s="44"/>
      <c r="H99" s="44"/>
      <c r="I99" s="44"/>
      <c r="J99" s="44"/>
      <c r="K99" s="44"/>
      <c r="L99" s="44"/>
      <c r="M99" s="44"/>
      <c r="N99" s="44"/>
      <c r="O99" s="44"/>
      <c r="P99" s="44"/>
    </row>
    <row r="100" spans="1:16" ht="13.5" customHeight="1" x14ac:dyDescent="0.2">
      <c r="A100" s="21"/>
      <c r="B100" s="16"/>
      <c r="C100" s="44"/>
      <c r="D100" s="44"/>
      <c r="E100" s="16"/>
      <c r="F100" s="16"/>
      <c r="G100" s="44"/>
      <c r="H100" s="44"/>
      <c r="I100" s="44"/>
      <c r="J100" s="44"/>
      <c r="K100" s="44"/>
      <c r="L100" s="44"/>
      <c r="M100" s="44"/>
      <c r="N100" s="44"/>
      <c r="O100" s="44"/>
      <c r="P100" s="44"/>
    </row>
    <row r="101" spans="1:16" ht="13.5" customHeight="1" x14ac:dyDescent="0.2">
      <c r="A101" s="21"/>
      <c r="B101" s="16"/>
      <c r="C101" s="44"/>
      <c r="D101" s="44"/>
      <c r="E101" s="16"/>
      <c r="F101" s="16"/>
      <c r="G101" s="44"/>
      <c r="H101" s="44"/>
      <c r="I101" s="44"/>
      <c r="J101" s="44"/>
      <c r="K101" s="44"/>
      <c r="L101" s="44"/>
      <c r="M101" s="44"/>
      <c r="N101" s="44"/>
      <c r="O101" s="44"/>
      <c r="P101" s="44"/>
    </row>
    <row r="102" spans="1:16" ht="13.5" customHeight="1" x14ac:dyDescent="0.2">
      <c r="A102" s="21"/>
      <c r="B102" s="16"/>
      <c r="C102" s="44"/>
      <c r="D102" s="44"/>
      <c r="E102" s="16"/>
      <c r="F102" s="16"/>
      <c r="G102" s="44"/>
      <c r="H102" s="44"/>
      <c r="I102" s="44"/>
      <c r="J102" s="44"/>
      <c r="K102" s="44"/>
      <c r="L102" s="44"/>
      <c r="M102" s="44"/>
      <c r="N102" s="44"/>
      <c r="O102" s="44"/>
      <c r="P102" s="44"/>
    </row>
    <row r="103" spans="1:16" ht="13.5" customHeight="1" x14ac:dyDescent="0.2">
      <c r="A103" s="21"/>
      <c r="B103" s="16"/>
      <c r="C103" s="44"/>
      <c r="D103" s="44"/>
      <c r="E103" s="16"/>
      <c r="F103" s="16"/>
      <c r="G103" s="44"/>
      <c r="H103" s="44"/>
      <c r="I103" s="44"/>
      <c r="J103" s="44"/>
      <c r="K103" s="44"/>
      <c r="L103" s="44"/>
      <c r="M103" s="44"/>
      <c r="N103" s="44"/>
      <c r="O103" s="44"/>
      <c r="P103" s="44"/>
    </row>
    <row r="104" spans="1:16" ht="13.5" customHeight="1" x14ac:dyDescent="0.2">
      <c r="A104" s="21"/>
      <c r="B104" s="16"/>
      <c r="C104" s="44"/>
      <c r="D104" s="44"/>
      <c r="E104" s="16"/>
      <c r="F104" s="16"/>
      <c r="G104" s="44"/>
      <c r="H104" s="44"/>
      <c r="I104" s="44"/>
      <c r="J104" s="44"/>
      <c r="K104" s="44"/>
      <c r="L104" s="44"/>
      <c r="M104" s="44"/>
      <c r="N104" s="44"/>
      <c r="O104" s="44"/>
      <c r="P104" s="44"/>
    </row>
    <row r="105" spans="1:16" ht="13.5" customHeight="1" x14ac:dyDescent="0.2">
      <c r="A105" s="21"/>
      <c r="B105" s="16"/>
      <c r="C105" s="44"/>
      <c r="D105" s="44"/>
      <c r="E105" s="16"/>
      <c r="F105" s="16"/>
      <c r="G105" s="44"/>
      <c r="H105" s="44"/>
      <c r="I105" s="44"/>
      <c r="J105" s="44"/>
      <c r="K105" s="44"/>
      <c r="L105" s="44"/>
      <c r="M105" s="44"/>
      <c r="N105" s="44"/>
      <c r="O105" s="44"/>
      <c r="P105" s="44"/>
    </row>
    <row r="106" spans="1:16" ht="13.5" customHeight="1" x14ac:dyDescent="0.2">
      <c r="A106" s="21"/>
      <c r="B106" s="16"/>
      <c r="C106" s="44"/>
      <c r="D106" s="44"/>
      <c r="E106" s="16"/>
      <c r="F106" s="16"/>
      <c r="G106" s="44"/>
      <c r="H106" s="44"/>
      <c r="I106" s="44"/>
      <c r="J106" s="44"/>
      <c r="K106" s="44"/>
      <c r="L106" s="44"/>
      <c r="M106" s="44"/>
      <c r="N106" s="44"/>
      <c r="O106" s="44"/>
      <c r="P106" s="44"/>
    </row>
    <row r="107" spans="1:16" ht="13.5" customHeight="1" x14ac:dyDescent="0.2">
      <c r="A107" s="21"/>
      <c r="B107" s="16"/>
      <c r="C107" s="44"/>
      <c r="D107" s="44"/>
      <c r="E107" s="16"/>
      <c r="F107" s="16"/>
      <c r="G107" s="44"/>
      <c r="H107" s="44"/>
      <c r="I107" s="44"/>
      <c r="J107" s="44"/>
      <c r="K107" s="44"/>
      <c r="L107" s="44"/>
      <c r="M107" s="44"/>
      <c r="N107" s="44"/>
      <c r="O107" s="44"/>
      <c r="P107" s="44"/>
    </row>
    <row r="108" spans="1:16" ht="13.5" customHeight="1" x14ac:dyDescent="0.2">
      <c r="A108" s="21"/>
      <c r="B108" s="16"/>
      <c r="C108" s="44"/>
      <c r="D108" s="44"/>
      <c r="E108" s="16"/>
      <c r="F108" s="16"/>
      <c r="G108" s="44"/>
      <c r="H108" s="44"/>
      <c r="I108" s="44"/>
      <c r="J108" s="44"/>
      <c r="K108" s="44"/>
      <c r="L108" s="44"/>
      <c r="M108" s="44"/>
      <c r="N108" s="44"/>
      <c r="O108" s="44"/>
      <c r="P108" s="44"/>
    </row>
    <row r="109" spans="1:16" ht="13.5" customHeight="1" x14ac:dyDescent="0.2">
      <c r="A109" s="21"/>
      <c r="B109" s="16"/>
      <c r="C109" s="44"/>
      <c r="D109" s="44"/>
      <c r="E109" s="16"/>
      <c r="F109" s="16"/>
      <c r="G109" s="44"/>
      <c r="H109" s="44"/>
      <c r="I109" s="44"/>
      <c r="J109" s="44"/>
      <c r="K109" s="44"/>
      <c r="L109" s="44"/>
      <c r="M109" s="44"/>
      <c r="N109" s="44"/>
      <c r="O109" s="44"/>
      <c r="P109" s="44"/>
    </row>
    <row r="110" spans="1:16" ht="13.5" customHeight="1" x14ac:dyDescent="0.2">
      <c r="A110" s="21"/>
      <c r="B110" s="16"/>
      <c r="C110" s="44"/>
      <c r="D110" s="44"/>
      <c r="E110" s="16"/>
      <c r="F110" s="16"/>
      <c r="G110" s="44"/>
      <c r="H110" s="44"/>
      <c r="I110" s="44"/>
      <c r="J110" s="44"/>
      <c r="K110" s="44"/>
      <c r="L110" s="44"/>
      <c r="M110" s="44"/>
      <c r="N110" s="44"/>
      <c r="O110" s="44"/>
      <c r="P110" s="44"/>
    </row>
    <row r="111" spans="1:16" ht="13.5" customHeight="1" x14ac:dyDescent="0.2">
      <c r="A111" s="21"/>
      <c r="B111" s="16"/>
      <c r="C111" s="44"/>
      <c r="D111" s="44"/>
      <c r="E111" s="16"/>
      <c r="F111" s="16"/>
      <c r="G111" s="44"/>
      <c r="H111" s="44"/>
      <c r="I111" s="44"/>
      <c r="J111" s="44"/>
      <c r="K111" s="44"/>
      <c r="L111" s="44"/>
      <c r="M111" s="44"/>
      <c r="N111" s="44"/>
      <c r="O111" s="44"/>
      <c r="P111" s="44"/>
    </row>
    <row r="112" spans="1:16" ht="13.5" customHeight="1" x14ac:dyDescent="0.2">
      <c r="A112" s="21"/>
      <c r="B112" s="16"/>
      <c r="C112" s="44"/>
      <c r="D112" s="44"/>
      <c r="E112" s="16"/>
      <c r="F112" s="16"/>
      <c r="G112" s="44"/>
      <c r="H112" s="44"/>
      <c r="I112" s="44"/>
      <c r="J112" s="44"/>
      <c r="K112" s="44"/>
      <c r="L112" s="44"/>
      <c r="M112" s="44"/>
      <c r="N112" s="44"/>
      <c r="O112" s="44"/>
      <c r="P112" s="44"/>
    </row>
    <row r="113" spans="1:16" ht="13.5" customHeight="1" x14ac:dyDescent="0.2">
      <c r="A113" s="21"/>
      <c r="B113" s="16"/>
      <c r="C113" s="44"/>
      <c r="D113" s="44"/>
      <c r="E113" s="16"/>
      <c r="F113" s="16"/>
      <c r="G113" s="44"/>
      <c r="H113" s="44"/>
      <c r="I113" s="44"/>
      <c r="J113" s="44"/>
      <c r="K113" s="44"/>
      <c r="L113" s="44"/>
      <c r="M113" s="44"/>
      <c r="N113" s="44"/>
      <c r="O113" s="44"/>
      <c r="P113" s="44"/>
    </row>
    <row r="114" spans="1:16" ht="13.5" customHeight="1" x14ac:dyDescent="0.2">
      <c r="A114" s="21"/>
      <c r="B114" s="16"/>
      <c r="C114" s="44"/>
      <c r="D114" s="44"/>
      <c r="E114" s="16"/>
      <c r="F114" s="16"/>
      <c r="G114" s="44"/>
      <c r="H114" s="44"/>
      <c r="I114" s="44"/>
      <c r="J114" s="44"/>
      <c r="K114" s="44"/>
      <c r="L114" s="44"/>
      <c r="M114" s="44"/>
      <c r="N114" s="44"/>
      <c r="O114" s="44"/>
      <c r="P114" s="44"/>
    </row>
    <row r="115" spans="1:16" ht="13.5" customHeight="1" x14ac:dyDescent="0.2">
      <c r="A115" s="21"/>
      <c r="B115" s="16"/>
      <c r="C115" s="44"/>
      <c r="D115" s="44"/>
      <c r="E115" s="16"/>
      <c r="F115" s="16"/>
      <c r="G115" s="44"/>
      <c r="H115" s="44"/>
      <c r="I115" s="44"/>
      <c r="J115" s="44"/>
      <c r="K115" s="44"/>
      <c r="L115" s="44"/>
      <c r="M115" s="44"/>
      <c r="N115" s="44"/>
      <c r="O115" s="44"/>
      <c r="P115" s="44"/>
    </row>
    <row r="116" spans="1:16" ht="13.5" customHeight="1" x14ac:dyDescent="0.2">
      <c r="A116" s="21"/>
      <c r="B116" s="16"/>
      <c r="C116" s="44"/>
      <c r="D116" s="44"/>
      <c r="E116" s="16"/>
      <c r="F116" s="16"/>
      <c r="G116" s="44"/>
      <c r="H116" s="44"/>
      <c r="I116" s="44"/>
      <c r="J116" s="44"/>
      <c r="K116" s="44"/>
      <c r="L116" s="44"/>
      <c r="M116" s="44"/>
      <c r="N116" s="44"/>
      <c r="O116" s="44"/>
      <c r="P116" s="44"/>
    </row>
    <row r="117" spans="1:16" ht="13.5" customHeight="1" x14ac:dyDescent="0.2">
      <c r="A117" s="21"/>
      <c r="B117" s="16"/>
      <c r="C117" s="44"/>
      <c r="D117" s="44"/>
      <c r="E117" s="16"/>
      <c r="F117" s="16"/>
      <c r="G117" s="44"/>
      <c r="H117" s="44"/>
      <c r="I117" s="44"/>
      <c r="J117" s="44"/>
      <c r="K117" s="44"/>
      <c r="L117" s="44"/>
      <c r="M117" s="44"/>
      <c r="N117" s="44"/>
      <c r="O117" s="44"/>
      <c r="P117" s="44"/>
    </row>
    <row r="118" spans="1:16" ht="13.5" customHeight="1" x14ac:dyDescent="0.2">
      <c r="A118" s="21"/>
      <c r="B118" s="16"/>
      <c r="C118" s="44"/>
      <c r="D118" s="44"/>
      <c r="E118" s="16"/>
      <c r="F118" s="16"/>
      <c r="G118" s="44"/>
      <c r="H118" s="44"/>
      <c r="I118" s="44"/>
      <c r="J118" s="44"/>
      <c r="K118" s="44"/>
      <c r="L118" s="44"/>
      <c r="M118" s="44"/>
      <c r="N118" s="44"/>
      <c r="O118" s="44"/>
      <c r="P118" s="44"/>
    </row>
    <row r="119" spans="1:16" ht="13.5" customHeight="1" x14ac:dyDescent="0.2">
      <c r="A119" s="21"/>
      <c r="B119" s="16"/>
      <c r="C119" s="44"/>
      <c r="D119" s="44"/>
      <c r="E119" s="16"/>
      <c r="F119" s="16"/>
      <c r="G119" s="44"/>
      <c r="H119" s="44"/>
      <c r="I119" s="44"/>
      <c r="J119" s="44"/>
      <c r="K119" s="44"/>
      <c r="L119" s="44"/>
      <c r="M119" s="44"/>
      <c r="N119" s="44"/>
      <c r="O119" s="44"/>
      <c r="P119" s="44"/>
    </row>
    <row r="120" spans="1:16" ht="13.5" customHeight="1" x14ac:dyDescent="0.2">
      <c r="A120" s="21"/>
      <c r="B120" s="16"/>
      <c r="C120" s="44"/>
      <c r="D120" s="44"/>
      <c r="E120" s="16"/>
      <c r="F120" s="16"/>
      <c r="G120" s="44"/>
      <c r="H120" s="44"/>
      <c r="I120" s="44"/>
      <c r="J120" s="44"/>
      <c r="K120" s="44"/>
      <c r="L120" s="44"/>
      <c r="M120" s="44"/>
      <c r="N120" s="44"/>
      <c r="O120" s="44"/>
      <c r="P120" s="44"/>
    </row>
    <row r="121" spans="1:16" ht="13.5" customHeight="1" x14ac:dyDescent="0.2">
      <c r="A121" s="21"/>
      <c r="B121" s="16"/>
      <c r="C121" s="44"/>
      <c r="D121" s="44"/>
      <c r="E121" s="16"/>
      <c r="F121" s="16"/>
      <c r="G121" s="44"/>
      <c r="H121" s="44"/>
      <c r="I121" s="44"/>
      <c r="J121" s="44"/>
      <c r="K121" s="44"/>
      <c r="L121" s="44"/>
      <c r="M121" s="44"/>
      <c r="N121" s="44"/>
      <c r="O121" s="44"/>
      <c r="P121" s="44"/>
    </row>
    <row r="122" spans="1:16" ht="13.5" customHeight="1" x14ac:dyDescent="0.2">
      <c r="A122" s="21"/>
      <c r="B122" s="16"/>
      <c r="C122" s="44"/>
      <c r="D122" s="44"/>
      <c r="E122" s="16"/>
      <c r="F122" s="16"/>
      <c r="G122" s="44"/>
      <c r="H122" s="44"/>
      <c r="I122" s="44"/>
      <c r="J122" s="44"/>
      <c r="K122" s="44"/>
      <c r="L122" s="44"/>
      <c r="M122" s="44"/>
      <c r="N122" s="44"/>
      <c r="O122" s="44"/>
      <c r="P122" s="44"/>
    </row>
    <row r="123" spans="1:16" ht="13.5" customHeight="1" x14ac:dyDescent="0.2">
      <c r="A123" s="21"/>
      <c r="B123" s="16"/>
      <c r="C123" s="44"/>
      <c r="D123" s="44"/>
      <c r="E123" s="16"/>
      <c r="F123" s="16"/>
      <c r="G123" s="44"/>
      <c r="H123" s="44"/>
      <c r="I123" s="44"/>
      <c r="J123" s="44"/>
      <c r="K123" s="44"/>
      <c r="L123" s="44"/>
      <c r="M123" s="44"/>
      <c r="N123" s="44"/>
      <c r="O123" s="44"/>
      <c r="P123" s="44"/>
    </row>
    <row r="124" spans="1:16" ht="13.5" customHeight="1" x14ac:dyDescent="0.2">
      <c r="A124" s="21"/>
      <c r="B124" s="16"/>
      <c r="C124" s="44"/>
      <c r="D124" s="44"/>
      <c r="E124" s="16"/>
      <c r="F124" s="16"/>
      <c r="G124" s="44"/>
      <c r="H124" s="44"/>
      <c r="I124" s="44"/>
      <c r="J124" s="44"/>
      <c r="K124" s="44"/>
      <c r="L124" s="44"/>
      <c r="M124" s="44"/>
      <c r="N124" s="44"/>
      <c r="O124" s="44"/>
      <c r="P124" s="44"/>
    </row>
    <row r="125" spans="1:16" ht="13.5" customHeight="1" x14ac:dyDescent="0.2">
      <c r="A125" s="21"/>
      <c r="B125" s="16"/>
      <c r="C125" s="44"/>
      <c r="D125" s="44"/>
      <c r="E125" s="16"/>
      <c r="F125" s="16"/>
      <c r="G125" s="44"/>
      <c r="H125" s="44"/>
      <c r="I125" s="44"/>
      <c r="J125" s="44"/>
      <c r="K125" s="44"/>
      <c r="L125" s="44"/>
      <c r="M125" s="44"/>
      <c r="N125" s="44"/>
      <c r="O125" s="44"/>
      <c r="P125" s="44"/>
    </row>
    <row r="126" spans="1:16" ht="13.5" customHeight="1" x14ac:dyDescent="0.2">
      <c r="A126" s="21"/>
      <c r="B126" s="16"/>
      <c r="C126" s="44"/>
      <c r="D126" s="44"/>
      <c r="E126" s="16"/>
      <c r="F126" s="16"/>
      <c r="G126" s="44"/>
      <c r="H126" s="44"/>
      <c r="I126" s="44"/>
      <c r="J126" s="44"/>
      <c r="K126" s="44"/>
      <c r="L126" s="44"/>
      <c r="M126" s="44"/>
      <c r="N126" s="44"/>
      <c r="O126" s="44"/>
      <c r="P126" s="44"/>
    </row>
    <row r="127" spans="1:16" ht="13.5" customHeight="1" x14ac:dyDescent="0.2">
      <c r="A127" s="21"/>
      <c r="B127" s="16"/>
      <c r="C127" s="44"/>
      <c r="D127" s="44"/>
      <c r="E127" s="16"/>
      <c r="F127" s="16"/>
      <c r="G127" s="44"/>
      <c r="H127" s="44"/>
      <c r="I127" s="44"/>
      <c r="J127" s="44"/>
      <c r="K127" s="44"/>
      <c r="L127" s="44"/>
      <c r="M127" s="44"/>
      <c r="N127" s="44"/>
      <c r="O127" s="44"/>
      <c r="P127" s="44"/>
    </row>
    <row r="128" spans="1:16" ht="13.5" customHeight="1" x14ac:dyDescent="0.2">
      <c r="A128" s="21"/>
      <c r="B128" s="16"/>
      <c r="C128" s="44"/>
      <c r="D128" s="44"/>
      <c r="E128" s="16"/>
      <c r="F128" s="16"/>
      <c r="G128" s="44"/>
      <c r="H128" s="44"/>
      <c r="I128" s="44"/>
      <c r="J128" s="44"/>
      <c r="K128" s="44"/>
      <c r="L128" s="44"/>
      <c r="M128" s="44"/>
      <c r="N128" s="44"/>
      <c r="O128" s="44"/>
      <c r="P128" s="44"/>
    </row>
    <row r="129" spans="1:16" ht="13.5" customHeight="1" x14ac:dyDescent="0.2">
      <c r="A129" s="21"/>
      <c r="B129" s="16"/>
      <c r="C129" s="44"/>
      <c r="D129" s="44"/>
      <c r="E129" s="16"/>
      <c r="F129" s="16"/>
      <c r="G129" s="44"/>
      <c r="H129" s="44"/>
      <c r="I129" s="44"/>
      <c r="J129" s="44"/>
      <c r="K129" s="44"/>
      <c r="L129" s="44"/>
      <c r="M129" s="44"/>
      <c r="N129" s="44"/>
      <c r="O129" s="44"/>
      <c r="P129" s="44"/>
    </row>
    <row r="130" spans="1:16" ht="13.5" customHeight="1" x14ac:dyDescent="0.2">
      <c r="A130" s="21"/>
      <c r="B130" s="16"/>
      <c r="C130" s="44"/>
      <c r="D130" s="44"/>
      <c r="E130" s="16"/>
      <c r="F130" s="16"/>
      <c r="G130" s="44"/>
      <c r="H130" s="44"/>
      <c r="I130" s="44"/>
      <c r="J130" s="44"/>
      <c r="K130" s="44"/>
      <c r="L130" s="44"/>
      <c r="M130" s="44"/>
      <c r="N130" s="44"/>
      <c r="O130" s="44"/>
      <c r="P130" s="44"/>
    </row>
    <row r="131" spans="1:16" ht="13.5" customHeight="1" x14ac:dyDescent="0.2">
      <c r="A131" s="21"/>
      <c r="B131" s="16"/>
      <c r="C131" s="44"/>
      <c r="D131" s="44"/>
      <c r="E131" s="16"/>
      <c r="F131" s="16"/>
      <c r="G131" s="44"/>
      <c r="H131" s="44"/>
      <c r="I131" s="44"/>
      <c r="J131" s="44"/>
      <c r="K131" s="44"/>
      <c r="L131" s="44"/>
      <c r="M131" s="44"/>
      <c r="N131" s="44"/>
      <c r="O131" s="44"/>
      <c r="P131" s="44"/>
    </row>
    <row r="132" spans="1:16" ht="13.5" customHeight="1" x14ac:dyDescent="0.2">
      <c r="A132" s="21"/>
      <c r="B132" s="16"/>
      <c r="C132" s="44"/>
      <c r="D132" s="44"/>
      <c r="E132" s="16"/>
      <c r="F132" s="16"/>
      <c r="G132" s="44"/>
      <c r="H132" s="44"/>
      <c r="I132" s="44"/>
      <c r="J132" s="44"/>
      <c r="K132" s="44"/>
      <c r="L132" s="44"/>
      <c r="M132" s="44"/>
      <c r="N132" s="44"/>
      <c r="O132" s="44"/>
      <c r="P132" s="44"/>
    </row>
    <row r="133" spans="1:16" ht="13.5" customHeight="1" x14ac:dyDescent="0.2">
      <c r="A133" s="21"/>
      <c r="B133" s="16"/>
      <c r="C133" s="44"/>
      <c r="D133" s="44"/>
      <c r="E133" s="16"/>
      <c r="F133" s="16"/>
      <c r="G133" s="44"/>
      <c r="H133" s="44"/>
      <c r="I133" s="44"/>
      <c r="J133" s="44"/>
      <c r="K133" s="44"/>
      <c r="L133" s="44"/>
      <c r="M133" s="44"/>
      <c r="N133" s="44"/>
      <c r="O133" s="44"/>
      <c r="P133" s="44"/>
    </row>
    <row r="134" spans="1:16" ht="13.5" customHeight="1" x14ac:dyDescent="0.2">
      <c r="A134" s="21"/>
      <c r="B134" s="16"/>
      <c r="C134" s="44"/>
      <c r="D134" s="44"/>
      <c r="E134" s="16"/>
      <c r="F134" s="16"/>
      <c r="G134" s="44"/>
      <c r="H134" s="44"/>
      <c r="I134" s="44"/>
      <c r="J134" s="44"/>
      <c r="K134" s="44"/>
      <c r="L134" s="44"/>
      <c r="M134" s="44"/>
      <c r="N134" s="44"/>
      <c r="O134" s="44"/>
      <c r="P134" s="44"/>
    </row>
    <row r="135" spans="1:16" ht="13.5" customHeight="1" x14ac:dyDescent="0.2">
      <c r="A135" s="21"/>
      <c r="B135" s="16"/>
      <c r="C135" s="44"/>
      <c r="D135" s="44"/>
      <c r="E135" s="16"/>
      <c r="F135" s="16"/>
      <c r="G135" s="44"/>
      <c r="H135" s="44"/>
      <c r="I135" s="44"/>
      <c r="J135" s="44"/>
      <c r="K135" s="44"/>
      <c r="L135" s="44"/>
      <c r="M135" s="44"/>
      <c r="N135" s="44"/>
      <c r="O135" s="44"/>
      <c r="P135" s="44"/>
    </row>
    <row r="136" spans="1:16" ht="13.5" customHeight="1" x14ac:dyDescent="0.2">
      <c r="A136" s="21"/>
      <c r="B136" s="16"/>
      <c r="C136" s="44"/>
      <c r="D136" s="44"/>
      <c r="E136" s="16"/>
      <c r="F136" s="16"/>
      <c r="G136" s="44"/>
      <c r="H136" s="44"/>
      <c r="I136" s="44"/>
      <c r="J136" s="44"/>
      <c r="K136" s="44"/>
      <c r="L136" s="44"/>
      <c r="M136" s="44"/>
      <c r="N136" s="44"/>
      <c r="O136" s="44"/>
      <c r="P136" s="44"/>
    </row>
    <row r="137" spans="1:16" ht="13.5" customHeight="1" x14ac:dyDescent="0.2">
      <c r="A137" s="21"/>
      <c r="B137" s="16"/>
      <c r="C137" s="44"/>
      <c r="D137" s="44"/>
      <c r="E137" s="16"/>
      <c r="F137" s="16"/>
      <c r="G137" s="44"/>
      <c r="H137" s="44"/>
      <c r="I137" s="44"/>
      <c r="J137" s="44"/>
      <c r="K137" s="44"/>
      <c r="L137" s="44"/>
      <c r="M137" s="44"/>
      <c r="N137" s="44"/>
      <c r="O137" s="44"/>
      <c r="P137" s="44"/>
    </row>
    <row r="138" spans="1:16" ht="13.5" customHeight="1" x14ac:dyDescent="0.2">
      <c r="A138" s="21"/>
      <c r="B138" s="16"/>
      <c r="C138" s="44"/>
      <c r="D138" s="44"/>
      <c r="E138" s="16"/>
      <c r="F138" s="16"/>
      <c r="G138" s="44"/>
      <c r="H138" s="44"/>
      <c r="I138" s="44"/>
      <c r="J138" s="44"/>
      <c r="K138" s="44"/>
      <c r="L138" s="44"/>
      <c r="M138" s="44"/>
      <c r="N138" s="44"/>
      <c r="O138" s="44"/>
      <c r="P138" s="44"/>
    </row>
    <row r="139" spans="1:16" ht="13.5" customHeight="1" x14ac:dyDescent="0.2">
      <c r="A139" s="21"/>
      <c r="B139" s="16"/>
      <c r="C139" s="44"/>
      <c r="D139" s="44"/>
      <c r="E139" s="16"/>
      <c r="F139" s="16"/>
      <c r="G139" s="44"/>
      <c r="H139" s="44"/>
      <c r="I139" s="44"/>
      <c r="J139" s="44"/>
      <c r="K139" s="44"/>
      <c r="L139" s="44"/>
      <c r="M139" s="44"/>
      <c r="N139" s="44"/>
      <c r="O139" s="44"/>
      <c r="P139" s="44"/>
    </row>
    <row r="140" spans="1:16" ht="13.5" customHeight="1" x14ac:dyDescent="0.2">
      <c r="A140" s="21"/>
      <c r="B140" s="16"/>
      <c r="C140" s="44"/>
      <c r="D140" s="44"/>
      <c r="E140" s="16"/>
      <c r="F140" s="16"/>
      <c r="G140" s="44"/>
      <c r="H140" s="44"/>
      <c r="I140" s="44"/>
      <c r="J140" s="44"/>
      <c r="K140" s="44"/>
      <c r="L140" s="44"/>
      <c r="M140" s="44"/>
      <c r="N140" s="44"/>
      <c r="O140" s="44"/>
      <c r="P140" s="44"/>
    </row>
    <row r="141" spans="1:16" ht="13.5" customHeight="1" x14ac:dyDescent="0.2">
      <c r="A141" s="21"/>
      <c r="B141" s="16"/>
      <c r="C141" s="44"/>
      <c r="D141" s="44"/>
      <c r="E141" s="16"/>
      <c r="F141" s="16"/>
      <c r="G141" s="44"/>
      <c r="H141" s="44"/>
      <c r="I141" s="44"/>
      <c r="J141" s="44"/>
      <c r="K141" s="44"/>
      <c r="L141" s="44"/>
      <c r="M141" s="44"/>
      <c r="N141" s="44"/>
      <c r="O141" s="44"/>
      <c r="P141" s="44"/>
    </row>
    <row r="142" spans="1:16" ht="13.5" customHeight="1" x14ac:dyDescent="0.2">
      <c r="A142" s="21"/>
      <c r="B142" s="16"/>
      <c r="C142" s="44"/>
      <c r="D142" s="44"/>
      <c r="E142" s="16"/>
      <c r="F142" s="16"/>
      <c r="G142" s="44"/>
      <c r="H142" s="44"/>
      <c r="I142" s="44"/>
      <c r="J142" s="44"/>
      <c r="K142" s="44"/>
      <c r="L142" s="44"/>
      <c r="M142" s="44"/>
      <c r="N142" s="44"/>
      <c r="O142" s="44"/>
      <c r="P142" s="44"/>
    </row>
    <row r="143" spans="1:16" ht="13.5" customHeight="1" x14ac:dyDescent="0.2">
      <c r="A143" s="21"/>
      <c r="B143" s="16"/>
      <c r="C143" s="44"/>
      <c r="D143" s="44"/>
      <c r="E143" s="16"/>
      <c r="F143" s="16"/>
      <c r="G143" s="44"/>
      <c r="H143" s="44"/>
      <c r="I143" s="44"/>
      <c r="J143" s="44"/>
      <c r="K143" s="44"/>
      <c r="L143" s="44"/>
      <c r="M143" s="44"/>
      <c r="N143" s="44"/>
      <c r="O143" s="44"/>
      <c r="P143" s="44"/>
    </row>
    <row r="144" spans="1:16" ht="13.5" customHeight="1" x14ac:dyDescent="0.2">
      <c r="A144" s="21"/>
      <c r="B144" s="16"/>
      <c r="C144" s="44"/>
      <c r="D144" s="44"/>
      <c r="E144" s="16"/>
      <c r="F144" s="16"/>
      <c r="G144" s="44"/>
      <c r="H144" s="44"/>
      <c r="I144" s="44"/>
      <c r="J144" s="44"/>
      <c r="K144" s="44"/>
      <c r="L144" s="44"/>
      <c r="M144" s="44"/>
      <c r="N144" s="44"/>
      <c r="O144" s="44"/>
      <c r="P144" s="44"/>
    </row>
    <row r="145" spans="1:16" ht="13.5" customHeight="1" x14ac:dyDescent="0.2">
      <c r="A145" s="21"/>
      <c r="B145" s="16"/>
      <c r="C145" s="44"/>
      <c r="D145" s="44"/>
      <c r="E145" s="16"/>
      <c r="F145" s="16"/>
      <c r="G145" s="44"/>
      <c r="H145" s="44"/>
      <c r="I145" s="44"/>
      <c r="J145" s="44"/>
      <c r="K145" s="44"/>
      <c r="L145" s="44"/>
      <c r="M145" s="44"/>
      <c r="N145" s="44"/>
      <c r="O145" s="44"/>
      <c r="P145" s="44"/>
    </row>
    <row r="146" spans="1:16" ht="13.5" customHeight="1" x14ac:dyDescent="0.2">
      <c r="A146" s="21"/>
      <c r="B146" s="16"/>
      <c r="C146" s="44"/>
      <c r="D146" s="44"/>
      <c r="E146" s="16"/>
      <c r="F146" s="16"/>
      <c r="G146" s="44"/>
      <c r="H146" s="44"/>
      <c r="I146" s="44"/>
      <c r="J146" s="44"/>
      <c r="K146" s="44"/>
      <c r="L146" s="44"/>
      <c r="M146" s="44"/>
      <c r="N146" s="44"/>
      <c r="O146" s="44"/>
      <c r="P146" s="44"/>
    </row>
    <row r="147" spans="1:16" ht="13.5" customHeight="1" x14ac:dyDescent="0.2">
      <c r="A147" s="21"/>
      <c r="B147" s="16"/>
      <c r="C147" s="44"/>
      <c r="D147" s="44"/>
      <c r="E147" s="16"/>
      <c r="F147" s="16"/>
      <c r="G147" s="44"/>
      <c r="H147" s="44"/>
      <c r="I147" s="44"/>
      <c r="J147" s="44"/>
      <c r="K147" s="44"/>
      <c r="L147" s="44"/>
      <c r="M147" s="44"/>
      <c r="N147" s="44"/>
      <c r="O147" s="44"/>
      <c r="P147" s="44"/>
    </row>
    <row r="148" spans="1:16" ht="13.5" customHeight="1" x14ac:dyDescent="0.2">
      <c r="A148" s="21"/>
      <c r="B148" s="16"/>
      <c r="C148" s="44"/>
      <c r="D148" s="44"/>
      <c r="E148" s="16"/>
      <c r="F148" s="16"/>
      <c r="G148" s="44"/>
      <c r="H148" s="44"/>
      <c r="I148" s="44"/>
      <c r="J148" s="44"/>
      <c r="K148" s="44"/>
      <c r="L148" s="44"/>
      <c r="M148" s="44"/>
      <c r="N148" s="44"/>
      <c r="O148" s="44"/>
      <c r="P148" s="44"/>
    </row>
    <row r="149" spans="1:16" ht="13.5" customHeight="1" x14ac:dyDescent="0.2">
      <c r="A149" s="21"/>
      <c r="B149" s="16"/>
      <c r="C149" s="44"/>
      <c r="D149" s="44"/>
      <c r="E149" s="16"/>
      <c r="F149" s="16"/>
      <c r="G149" s="44"/>
      <c r="H149" s="44"/>
      <c r="I149" s="44"/>
      <c r="J149" s="44"/>
      <c r="K149" s="44"/>
      <c r="L149" s="44"/>
      <c r="M149" s="44"/>
      <c r="N149" s="44"/>
      <c r="O149" s="44"/>
      <c r="P149" s="44"/>
    </row>
    <row r="150" spans="1:16" ht="13.5" customHeight="1" x14ac:dyDescent="0.2">
      <c r="A150" s="21"/>
      <c r="B150" s="16"/>
      <c r="C150" s="44"/>
      <c r="D150" s="44"/>
      <c r="E150" s="16"/>
      <c r="F150" s="16"/>
      <c r="G150" s="44"/>
      <c r="H150" s="44"/>
      <c r="I150" s="44"/>
      <c r="J150" s="44"/>
      <c r="K150" s="44"/>
      <c r="L150" s="44"/>
      <c r="M150" s="44"/>
      <c r="N150" s="44"/>
      <c r="O150" s="44"/>
      <c r="P150" s="44"/>
    </row>
    <row r="151" spans="1:16" ht="13.5" customHeight="1" x14ac:dyDescent="0.2">
      <c r="A151" s="21"/>
      <c r="B151" s="16"/>
      <c r="C151" s="44"/>
      <c r="D151" s="44"/>
      <c r="E151" s="16"/>
      <c r="F151" s="16"/>
      <c r="G151" s="44"/>
      <c r="H151" s="44"/>
      <c r="I151" s="44"/>
      <c r="J151" s="44"/>
      <c r="K151" s="44"/>
      <c r="L151" s="44"/>
      <c r="M151" s="44"/>
      <c r="N151" s="44"/>
      <c r="O151" s="44"/>
      <c r="P151" s="44"/>
    </row>
    <row r="152" spans="1:16" ht="13.5" customHeight="1" x14ac:dyDescent="0.2">
      <c r="A152" s="21"/>
      <c r="B152" s="16"/>
      <c r="C152" s="44"/>
      <c r="D152" s="44"/>
      <c r="E152" s="16"/>
      <c r="F152" s="16"/>
      <c r="G152" s="44"/>
      <c r="H152" s="44"/>
      <c r="I152" s="44"/>
      <c r="J152" s="44"/>
      <c r="K152" s="44"/>
      <c r="L152" s="44"/>
      <c r="M152" s="44"/>
      <c r="N152" s="44"/>
      <c r="O152" s="44"/>
      <c r="P152" s="44"/>
    </row>
    <row r="153" spans="1:16" ht="13.5" customHeight="1" x14ac:dyDescent="0.2">
      <c r="A153" s="21"/>
      <c r="B153" s="16"/>
      <c r="C153" s="44"/>
      <c r="D153" s="44"/>
      <c r="E153" s="16"/>
      <c r="F153" s="16"/>
      <c r="G153" s="44"/>
      <c r="H153" s="44"/>
      <c r="I153" s="44"/>
      <c r="J153" s="44"/>
      <c r="K153" s="44"/>
      <c r="L153" s="44"/>
      <c r="M153" s="44"/>
      <c r="N153" s="44"/>
      <c r="O153" s="44"/>
      <c r="P153" s="44"/>
    </row>
    <row r="154" spans="1:16" ht="13.5" customHeight="1" x14ac:dyDescent="0.2">
      <c r="A154" s="21"/>
      <c r="B154" s="16"/>
      <c r="C154" s="44"/>
      <c r="D154" s="44"/>
      <c r="E154" s="16"/>
      <c r="F154" s="16"/>
      <c r="G154" s="44"/>
      <c r="H154" s="44"/>
      <c r="I154" s="44"/>
      <c r="J154" s="44"/>
      <c r="K154" s="44"/>
      <c r="L154" s="44"/>
      <c r="M154" s="44"/>
      <c r="N154" s="44"/>
      <c r="O154" s="44"/>
      <c r="P154" s="44"/>
    </row>
    <row r="155" spans="1:16" ht="13.5" customHeight="1" x14ac:dyDescent="0.2">
      <c r="A155" s="21"/>
      <c r="B155" s="16"/>
      <c r="C155" s="44"/>
      <c r="D155" s="44"/>
      <c r="E155" s="16"/>
      <c r="F155" s="16"/>
      <c r="G155" s="44"/>
      <c r="H155" s="44"/>
      <c r="I155" s="44"/>
      <c r="J155" s="44"/>
      <c r="K155" s="44"/>
      <c r="L155" s="44"/>
      <c r="M155" s="44"/>
      <c r="N155" s="44"/>
      <c r="O155" s="44"/>
      <c r="P155" s="44"/>
    </row>
    <row r="156" spans="1:16" ht="13.5" customHeight="1" x14ac:dyDescent="0.2">
      <c r="A156" s="21"/>
      <c r="B156" s="16"/>
      <c r="C156" s="44"/>
      <c r="D156" s="44"/>
      <c r="E156" s="16"/>
      <c r="F156" s="16"/>
      <c r="G156" s="44"/>
      <c r="H156" s="44"/>
      <c r="I156" s="44"/>
      <c r="J156" s="44"/>
      <c r="K156" s="44"/>
      <c r="L156" s="44"/>
      <c r="M156" s="44"/>
      <c r="N156" s="44"/>
      <c r="O156" s="44"/>
      <c r="P156" s="44"/>
    </row>
    <row r="157" spans="1:16" ht="13.5" customHeight="1" x14ac:dyDescent="0.2">
      <c r="A157" s="21"/>
      <c r="B157" s="16"/>
      <c r="C157" s="44"/>
      <c r="D157" s="44"/>
      <c r="E157" s="16"/>
      <c r="F157" s="16"/>
      <c r="G157" s="44"/>
      <c r="H157" s="44"/>
      <c r="I157" s="44"/>
      <c r="J157" s="44"/>
      <c r="K157" s="44"/>
      <c r="L157" s="44"/>
      <c r="M157" s="44"/>
      <c r="N157" s="44"/>
      <c r="O157" s="44"/>
      <c r="P157" s="44"/>
    </row>
    <row r="158" spans="1:16" ht="13.5" customHeight="1" x14ac:dyDescent="0.2">
      <c r="A158" s="21"/>
      <c r="B158" s="16"/>
      <c r="C158" s="44"/>
      <c r="D158" s="44"/>
      <c r="E158" s="16"/>
      <c r="F158" s="16"/>
      <c r="G158" s="44"/>
      <c r="H158" s="44"/>
      <c r="I158" s="44"/>
      <c r="J158" s="44"/>
      <c r="K158" s="44"/>
      <c r="L158" s="44"/>
      <c r="M158" s="44"/>
      <c r="N158" s="44"/>
      <c r="O158" s="44"/>
      <c r="P158" s="44"/>
    </row>
    <row r="159" spans="1:16" ht="13.5" customHeight="1" x14ac:dyDescent="0.2">
      <c r="A159" s="21"/>
      <c r="B159" s="16"/>
      <c r="C159" s="44"/>
      <c r="D159" s="44"/>
      <c r="E159" s="16"/>
      <c r="F159" s="16"/>
      <c r="G159" s="44"/>
      <c r="H159" s="44"/>
      <c r="I159" s="44"/>
      <c r="J159" s="44"/>
      <c r="K159" s="44"/>
      <c r="L159" s="44"/>
      <c r="M159" s="44"/>
      <c r="N159" s="44"/>
      <c r="O159" s="44"/>
      <c r="P159" s="44"/>
    </row>
    <row r="160" spans="1:16" ht="13.5" customHeight="1" x14ac:dyDescent="0.2">
      <c r="A160" s="21"/>
      <c r="B160" s="16"/>
      <c r="C160" s="44"/>
      <c r="D160" s="44"/>
      <c r="E160" s="16"/>
      <c r="F160" s="16"/>
      <c r="G160" s="44"/>
      <c r="H160" s="44"/>
      <c r="I160" s="44"/>
      <c r="J160" s="44"/>
      <c r="K160" s="44"/>
      <c r="L160" s="44"/>
      <c r="M160" s="44"/>
      <c r="N160" s="44"/>
      <c r="O160" s="44"/>
      <c r="P160" s="44"/>
    </row>
    <row r="161" spans="1:16" ht="13.5" customHeight="1" x14ac:dyDescent="0.2">
      <c r="A161" s="21"/>
      <c r="B161" s="16"/>
      <c r="C161" s="44"/>
      <c r="D161" s="44"/>
      <c r="E161" s="16"/>
      <c r="F161" s="16"/>
      <c r="G161" s="44"/>
      <c r="H161" s="44"/>
      <c r="I161" s="44"/>
      <c r="J161" s="44"/>
      <c r="K161" s="44"/>
      <c r="L161" s="44"/>
      <c r="M161" s="44"/>
      <c r="N161" s="44"/>
      <c r="O161" s="44"/>
      <c r="P161" s="44"/>
    </row>
    <row r="162" spans="1:16" ht="13.5" customHeight="1" x14ac:dyDescent="0.2">
      <c r="A162" s="21"/>
      <c r="B162" s="16"/>
      <c r="C162" s="44"/>
      <c r="D162" s="44"/>
      <c r="E162" s="16"/>
      <c r="F162" s="16"/>
      <c r="G162" s="44"/>
      <c r="H162" s="44"/>
      <c r="I162" s="44"/>
      <c r="J162" s="44"/>
      <c r="K162" s="44"/>
      <c r="L162" s="44"/>
      <c r="M162" s="44"/>
      <c r="N162" s="44"/>
      <c r="O162" s="44"/>
      <c r="P162" s="44"/>
    </row>
    <row r="163" spans="1:16" ht="13.5" customHeight="1" x14ac:dyDescent="0.2">
      <c r="A163" s="21"/>
      <c r="B163" s="16"/>
      <c r="C163" s="44"/>
      <c r="D163" s="44"/>
      <c r="E163" s="16"/>
      <c r="F163" s="16"/>
      <c r="G163" s="44"/>
      <c r="H163" s="44"/>
      <c r="I163" s="44"/>
      <c r="J163" s="44"/>
      <c r="K163" s="44"/>
      <c r="L163" s="44"/>
      <c r="M163" s="44"/>
      <c r="N163" s="44"/>
      <c r="O163" s="44"/>
      <c r="P163" s="44"/>
    </row>
    <row r="164" spans="1:16" ht="13.5" customHeight="1" x14ac:dyDescent="0.2">
      <c r="A164" s="21"/>
      <c r="B164" s="16"/>
      <c r="C164" s="44"/>
      <c r="D164" s="44"/>
      <c r="E164" s="16"/>
      <c r="F164" s="16"/>
      <c r="G164" s="44"/>
      <c r="H164" s="44"/>
      <c r="I164" s="44"/>
      <c r="J164" s="44"/>
      <c r="K164" s="44"/>
      <c r="L164" s="44"/>
      <c r="M164" s="44"/>
      <c r="N164" s="44"/>
      <c r="O164" s="44"/>
      <c r="P164" s="44"/>
    </row>
    <row r="165" spans="1:16" ht="13.5" customHeight="1" x14ac:dyDescent="0.2">
      <c r="A165" s="21"/>
      <c r="B165" s="16"/>
      <c r="C165" s="44"/>
      <c r="D165" s="44"/>
      <c r="E165" s="16"/>
      <c r="F165" s="16"/>
      <c r="G165" s="44"/>
      <c r="H165" s="44"/>
      <c r="I165" s="44"/>
      <c r="J165" s="44"/>
      <c r="K165" s="44"/>
      <c r="L165" s="44"/>
      <c r="M165" s="44"/>
      <c r="N165" s="44"/>
      <c r="O165" s="44"/>
      <c r="P165" s="44"/>
    </row>
    <row r="166" spans="1:16" ht="13.5" customHeight="1" x14ac:dyDescent="0.2">
      <c r="A166" s="21"/>
      <c r="B166" s="16"/>
      <c r="C166" s="44"/>
      <c r="D166" s="44"/>
      <c r="E166" s="16"/>
      <c r="F166" s="16"/>
      <c r="G166" s="44"/>
      <c r="H166" s="44"/>
      <c r="I166" s="44"/>
      <c r="J166" s="44"/>
      <c r="K166" s="44"/>
      <c r="L166" s="44"/>
      <c r="M166" s="44"/>
      <c r="N166" s="44"/>
      <c r="O166" s="44"/>
      <c r="P166" s="44"/>
    </row>
    <row r="167" spans="1:16" ht="13.5" customHeight="1" x14ac:dyDescent="0.2">
      <c r="A167" s="21"/>
      <c r="B167" s="16"/>
      <c r="C167" s="44"/>
      <c r="D167" s="44"/>
      <c r="E167" s="16"/>
      <c r="F167" s="16"/>
      <c r="G167" s="44"/>
      <c r="H167" s="44"/>
      <c r="I167" s="44"/>
      <c r="J167" s="44"/>
      <c r="K167" s="44"/>
      <c r="L167" s="44"/>
      <c r="M167" s="44"/>
      <c r="N167" s="44"/>
      <c r="O167" s="44"/>
      <c r="P167" s="44"/>
    </row>
    <row r="168" spans="1:16" ht="13.5" customHeight="1" x14ac:dyDescent="0.2">
      <c r="A168" s="21"/>
      <c r="B168" s="16"/>
      <c r="C168" s="44"/>
      <c r="D168" s="44"/>
      <c r="E168" s="16"/>
      <c r="F168" s="16"/>
      <c r="G168" s="44"/>
      <c r="H168" s="44"/>
      <c r="I168" s="44"/>
      <c r="J168" s="44"/>
      <c r="K168" s="44"/>
      <c r="L168" s="44"/>
      <c r="M168" s="44"/>
      <c r="N168" s="44"/>
      <c r="O168" s="44"/>
      <c r="P168" s="44"/>
    </row>
    <row r="169" spans="1:16" ht="13.5" customHeight="1" x14ac:dyDescent="0.2">
      <c r="A169" s="21"/>
      <c r="B169" s="16"/>
      <c r="C169" s="44"/>
      <c r="D169" s="44"/>
      <c r="E169" s="16"/>
      <c r="F169" s="16"/>
      <c r="G169" s="44"/>
      <c r="H169" s="44"/>
      <c r="I169" s="44"/>
      <c r="J169" s="44"/>
      <c r="K169" s="44"/>
      <c r="L169" s="44"/>
      <c r="M169" s="44"/>
      <c r="N169" s="44"/>
      <c r="O169" s="44"/>
      <c r="P169" s="44"/>
    </row>
    <row r="170" spans="1:16" ht="13.5" customHeight="1" x14ac:dyDescent="0.2">
      <c r="A170" s="21"/>
      <c r="B170" s="16"/>
      <c r="C170" s="44"/>
      <c r="D170" s="44"/>
      <c r="E170" s="16"/>
      <c r="F170" s="16"/>
      <c r="G170" s="44"/>
      <c r="H170" s="44"/>
      <c r="I170" s="44"/>
      <c r="J170" s="44"/>
      <c r="K170" s="44"/>
      <c r="L170" s="44"/>
      <c r="M170" s="44"/>
      <c r="N170" s="44"/>
      <c r="O170" s="44"/>
      <c r="P170" s="44"/>
    </row>
    <row r="171" spans="1:16" ht="13.5" customHeight="1" x14ac:dyDescent="0.2">
      <c r="A171" s="21"/>
      <c r="B171" s="16"/>
      <c r="C171" s="44"/>
      <c r="D171" s="44"/>
      <c r="E171" s="16"/>
      <c r="F171" s="16"/>
      <c r="G171" s="44"/>
      <c r="H171" s="44"/>
      <c r="I171" s="44"/>
      <c r="J171" s="44"/>
      <c r="K171" s="44"/>
      <c r="L171" s="44"/>
      <c r="M171" s="44"/>
      <c r="N171" s="44"/>
      <c r="O171" s="44"/>
      <c r="P171" s="44"/>
    </row>
    <row r="172" spans="1:16" ht="13.5" customHeight="1" x14ac:dyDescent="0.2">
      <c r="A172" s="21"/>
      <c r="B172" s="16"/>
      <c r="C172" s="44"/>
      <c r="D172" s="44"/>
      <c r="E172" s="16"/>
      <c r="F172" s="16"/>
      <c r="G172" s="44"/>
      <c r="H172" s="44"/>
      <c r="I172" s="44"/>
      <c r="J172" s="44"/>
      <c r="K172" s="44"/>
      <c r="L172" s="44"/>
      <c r="M172" s="44"/>
      <c r="N172" s="44"/>
      <c r="O172" s="44"/>
      <c r="P172" s="44"/>
    </row>
    <row r="173" spans="1:16" ht="13.5" customHeight="1" x14ac:dyDescent="0.2">
      <c r="A173" s="21"/>
      <c r="B173" s="16"/>
      <c r="C173" s="44"/>
      <c r="D173" s="44"/>
      <c r="E173" s="16"/>
      <c r="F173" s="16"/>
      <c r="G173" s="44"/>
      <c r="H173" s="44"/>
      <c r="I173" s="44"/>
      <c r="J173" s="44"/>
      <c r="K173" s="44"/>
      <c r="L173" s="44"/>
      <c r="M173" s="44"/>
      <c r="N173" s="44"/>
      <c r="O173" s="44"/>
      <c r="P173" s="44"/>
    </row>
    <row r="174" spans="1:16" ht="13.5" customHeight="1" x14ac:dyDescent="0.2">
      <c r="A174" s="21"/>
      <c r="B174" s="16"/>
      <c r="C174" s="44"/>
      <c r="D174" s="44"/>
      <c r="E174" s="16"/>
      <c r="F174" s="16"/>
      <c r="G174" s="44"/>
      <c r="H174" s="44"/>
      <c r="I174" s="44"/>
      <c r="J174" s="44"/>
      <c r="K174" s="44"/>
      <c r="L174" s="44"/>
      <c r="M174" s="44"/>
      <c r="N174" s="44"/>
      <c r="O174" s="44"/>
      <c r="P174" s="44"/>
    </row>
    <row r="175" spans="1:16" ht="13.5" customHeight="1" x14ac:dyDescent="0.2">
      <c r="A175" s="21"/>
      <c r="B175" s="16"/>
      <c r="C175" s="44"/>
      <c r="D175" s="44"/>
      <c r="E175" s="16"/>
      <c r="F175" s="16"/>
      <c r="G175" s="44"/>
      <c r="H175" s="44"/>
      <c r="I175" s="44"/>
      <c r="J175" s="44"/>
      <c r="K175" s="44"/>
      <c r="L175" s="44"/>
      <c r="M175" s="44"/>
      <c r="N175" s="44"/>
      <c r="O175" s="44"/>
      <c r="P175" s="44"/>
    </row>
    <row r="176" spans="1:16" ht="13.5" customHeight="1" x14ac:dyDescent="0.2">
      <c r="A176" s="21"/>
      <c r="B176" s="16"/>
      <c r="C176" s="44"/>
      <c r="D176" s="44"/>
      <c r="E176" s="16"/>
      <c r="F176" s="16"/>
      <c r="G176" s="44"/>
      <c r="H176" s="44"/>
      <c r="I176" s="44"/>
      <c r="J176" s="44"/>
      <c r="K176" s="44"/>
      <c r="L176" s="44"/>
      <c r="M176" s="44"/>
      <c r="N176" s="44"/>
      <c r="O176" s="44"/>
      <c r="P176" s="44"/>
    </row>
    <row r="177" spans="1:16" ht="13.5" customHeight="1" x14ac:dyDescent="0.2">
      <c r="A177" s="21"/>
      <c r="B177" s="16"/>
      <c r="C177" s="44"/>
      <c r="D177" s="44"/>
      <c r="E177" s="16"/>
      <c r="F177" s="16"/>
      <c r="G177" s="44"/>
      <c r="H177" s="44"/>
      <c r="I177" s="44"/>
      <c r="J177" s="44"/>
      <c r="K177" s="44"/>
      <c r="L177" s="44"/>
      <c r="M177" s="44"/>
      <c r="N177" s="44"/>
      <c r="O177" s="44"/>
      <c r="P177" s="44"/>
    </row>
    <row r="178" spans="1:16" ht="13.5" customHeight="1" x14ac:dyDescent="0.2">
      <c r="A178" s="21"/>
      <c r="B178" s="16"/>
      <c r="C178" s="44"/>
      <c r="D178" s="44"/>
      <c r="E178" s="16"/>
      <c r="F178" s="16"/>
      <c r="G178" s="44"/>
      <c r="H178" s="44"/>
      <c r="I178" s="44"/>
      <c r="J178" s="44"/>
      <c r="K178" s="44"/>
      <c r="L178" s="44"/>
      <c r="M178" s="44"/>
      <c r="N178" s="44"/>
      <c r="O178" s="44"/>
      <c r="P178" s="44"/>
    </row>
    <row r="179" spans="1:16" ht="13.5" customHeight="1" x14ac:dyDescent="0.2">
      <c r="A179" s="21"/>
      <c r="B179" s="16"/>
      <c r="C179" s="44"/>
      <c r="D179" s="44"/>
      <c r="E179" s="16"/>
      <c r="F179" s="16"/>
      <c r="G179" s="44"/>
      <c r="H179" s="44"/>
      <c r="I179" s="44"/>
      <c r="J179" s="44"/>
      <c r="K179" s="44"/>
      <c r="L179" s="44"/>
      <c r="M179" s="44"/>
      <c r="N179" s="44"/>
      <c r="O179" s="44"/>
      <c r="P179" s="44"/>
    </row>
    <row r="180" spans="1:16" ht="13.5" customHeight="1" x14ac:dyDescent="0.2">
      <c r="A180" s="21"/>
      <c r="B180" s="16"/>
      <c r="C180" s="44"/>
      <c r="D180" s="44"/>
      <c r="E180" s="16"/>
      <c r="F180" s="16"/>
      <c r="G180" s="44"/>
      <c r="H180" s="44"/>
      <c r="I180" s="44"/>
      <c r="J180" s="44"/>
      <c r="K180" s="44"/>
      <c r="L180" s="44"/>
      <c r="M180" s="44"/>
      <c r="N180" s="44"/>
      <c r="O180" s="44"/>
      <c r="P180" s="44"/>
    </row>
    <row r="181" spans="1:16" ht="13.5" customHeight="1" x14ac:dyDescent="0.2">
      <c r="A181" s="21"/>
      <c r="B181" s="16"/>
      <c r="C181" s="44"/>
      <c r="D181" s="44"/>
      <c r="E181" s="16"/>
      <c r="F181" s="16"/>
      <c r="G181" s="44"/>
      <c r="H181" s="44"/>
      <c r="I181" s="44"/>
      <c r="J181" s="44"/>
      <c r="K181" s="44"/>
      <c r="L181" s="44"/>
      <c r="M181" s="44"/>
      <c r="N181" s="44"/>
      <c r="O181" s="44"/>
      <c r="P181" s="44"/>
    </row>
    <row r="182" spans="1:16" ht="13.5" customHeight="1" x14ac:dyDescent="0.2">
      <c r="A182" s="21"/>
      <c r="B182" s="16"/>
      <c r="C182" s="44"/>
      <c r="D182" s="44"/>
      <c r="E182" s="16"/>
      <c r="F182" s="16"/>
      <c r="G182" s="44"/>
      <c r="H182" s="44"/>
      <c r="I182" s="44"/>
      <c r="J182" s="44"/>
      <c r="K182" s="44"/>
      <c r="L182" s="44"/>
      <c r="M182" s="44"/>
      <c r="N182" s="44"/>
      <c r="O182" s="44"/>
      <c r="P182" s="44"/>
    </row>
    <row r="183" spans="1:16" ht="13.5" customHeight="1" x14ac:dyDescent="0.2">
      <c r="A183" s="21"/>
      <c r="B183" s="16"/>
      <c r="C183" s="44"/>
      <c r="D183" s="44"/>
      <c r="E183" s="16"/>
      <c r="F183" s="16"/>
      <c r="G183" s="44"/>
      <c r="H183" s="44"/>
      <c r="I183" s="44"/>
      <c r="J183" s="44"/>
      <c r="K183" s="44"/>
      <c r="L183" s="44"/>
      <c r="M183" s="44"/>
      <c r="N183" s="44"/>
      <c r="O183" s="44"/>
      <c r="P183" s="44"/>
    </row>
    <row r="184" spans="1:16" ht="13.5" customHeight="1" x14ac:dyDescent="0.2">
      <c r="A184" s="21"/>
      <c r="B184" s="16"/>
      <c r="C184" s="44"/>
      <c r="D184" s="44"/>
      <c r="E184" s="16"/>
      <c r="F184" s="16"/>
      <c r="G184" s="44"/>
      <c r="H184" s="44"/>
      <c r="I184" s="44"/>
      <c r="J184" s="44"/>
      <c r="K184" s="44"/>
      <c r="L184" s="44"/>
      <c r="M184" s="44"/>
      <c r="N184" s="44"/>
      <c r="O184" s="44"/>
      <c r="P184" s="44"/>
    </row>
    <row r="185" spans="1:16" ht="13.5" customHeight="1" x14ac:dyDescent="0.2">
      <c r="A185" s="21"/>
      <c r="B185" s="16"/>
      <c r="C185" s="44"/>
      <c r="D185" s="44"/>
      <c r="E185" s="16"/>
      <c r="F185" s="16"/>
      <c r="G185" s="44"/>
      <c r="H185" s="44"/>
      <c r="I185" s="44"/>
      <c r="J185" s="44"/>
      <c r="K185" s="44"/>
      <c r="L185" s="44"/>
      <c r="M185" s="44"/>
      <c r="N185" s="44"/>
      <c r="O185" s="44"/>
      <c r="P185" s="44"/>
    </row>
    <row r="186" spans="1:16" ht="13.5" customHeight="1" x14ac:dyDescent="0.2">
      <c r="A186" s="21"/>
      <c r="B186" s="16"/>
      <c r="C186" s="44"/>
      <c r="D186" s="44"/>
      <c r="E186" s="16"/>
      <c r="F186" s="16"/>
      <c r="G186" s="44"/>
      <c r="H186" s="44"/>
      <c r="I186" s="44"/>
      <c r="J186" s="44"/>
      <c r="K186" s="44"/>
      <c r="L186" s="44"/>
      <c r="M186" s="44"/>
      <c r="N186" s="44"/>
      <c r="O186" s="44"/>
      <c r="P186" s="44"/>
    </row>
    <row r="187" spans="1:16" ht="13.5" customHeight="1" x14ac:dyDescent="0.2">
      <c r="A187" s="21"/>
      <c r="B187" s="16"/>
      <c r="C187" s="44"/>
      <c r="D187" s="44"/>
      <c r="E187" s="16"/>
      <c r="F187" s="16"/>
      <c r="G187" s="44"/>
      <c r="H187" s="44"/>
      <c r="I187" s="44"/>
      <c r="J187" s="44"/>
      <c r="K187" s="44"/>
      <c r="L187" s="44"/>
      <c r="M187" s="44"/>
      <c r="N187" s="44"/>
      <c r="O187" s="44"/>
      <c r="P187" s="44"/>
    </row>
    <row r="188" spans="1:16" ht="13.5" customHeight="1" x14ac:dyDescent="0.2">
      <c r="A188" s="21"/>
      <c r="B188" s="16"/>
      <c r="C188" s="44"/>
      <c r="D188" s="44"/>
      <c r="E188" s="16"/>
      <c r="F188" s="16"/>
      <c r="G188" s="44"/>
      <c r="H188" s="44"/>
      <c r="I188" s="44"/>
      <c r="J188" s="44"/>
      <c r="K188" s="44"/>
      <c r="L188" s="44"/>
      <c r="M188" s="44"/>
      <c r="N188" s="44"/>
      <c r="O188" s="44"/>
      <c r="P188" s="44"/>
    </row>
    <row r="189" spans="1:16" ht="13.5" customHeight="1" x14ac:dyDescent="0.2">
      <c r="A189" s="21"/>
      <c r="B189" s="16"/>
      <c r="C189" s="44"/>
      <c r="D189" s="44"/>
      <c r="E189" s="16"/>
      <c r="F189" s="16"/>
      <c r="G189" s="44"/>
      <c r="H189" s="44"/>
      <c r="I189" s="44"/>
      <c r="J189" s="44"/>
      <c r="K189" s="44"/>
      <c r="L189" s="44"/>
      <c r="M189" s="44"/>
      <c r="N189" s="44"/>
      <c r="O189" s="44"/>
      <c r="P189" s="44"/>
    </row>
    <row r="190" spans="1:16" ht="13.5" customHeight="1" x14ac:dyDescent="0.2">
      <c r="A190" s="21"/>
      <c r="B190" s="16"/>
      <c r="C190" s="44"/>
      <c r="D190" s="44"/>
      <c r="E190" s="16"/>
      <c r="F190" s="16"/>
      <c r="G190" s="44"/>
      <c r="H190" s="44"/>
      <c r="I190" s="44"/>
      <c r="J190" s="44"/>
      <c r="K190" s="44"/>
      <c r="L190" s="44"/>
      <c r="M190" s="44"/>
      <c r="N190" s="44"/>
      <c r="O190" s="44"/>
      <c r="P190" s="44"/>
    </row>
    <row r="191" spans="1:16" ht="13.5" customHeight="1" x14ac:dyDescent="0.2">
      <c r="A191" s="21"/>
      <c r="B191" s="16"/>
      <c r="C191" s="44"/>
      <c r="D191" s="44"/>
      <c r="E191" s="16"/>
      <c r="F191" s="16"/>
      <c r="G191" s="44"/>
      <c r="H191" s="44"/>
      <c r="I191" s="44"/>
      <c r="J191" s="44"/>
      <c r="K191" s="44"/>
      <c r="L191" s="44"/>
      <c r="M191" s="44"/>
      <c r="N191" s="44"/>
      <c r="O191" s="44"/>
      <c r="P191" s="44"/>
    </row>
    <row r="192" spans="1:16" ht="13.5" customHeight="1" x14ac:dyDescent="0.2">
      <c r="A192" s="21"/>
      <c r="B192" s="16"/>
      <c r="C192" s="44"/>
      <c r="D192" s="44"/>
      <c r="E192" s="16"/>
      <c r="F192" s="16"/>
      <c r="G192" s="44"/>
      <c r="H192" s="44"/>
      <c r="I192" s="44"/>
      <c r="J192" s="44"/>
      <c r="K192" s="44"/>
      <c r="L192" s="44"/>
      <c r="M192" s="44"/>
      <c r="N192" s="44"/>
      <c r="O192" s="44"/>
      <c r="P192" s="44"/>
    </row>
    <row r="193" spans="1:16" ht="13.5" customHeight="1" x14ac:dyDescent="0.2">
      <c r="A193" s="21"/>
      <c r="B193" s="16"/>
      <c r="C193" s="44"/>
      <c r="D193" s="44"/>
      <c r="E193" s="16"/>
      <c r="F193" s="16"/>
      <c r="G193" s="44"/>
      <c r="H193" s="44"/>
      <c r="I193" s="44"/>
      <c r="J193" s="44"/>
      <c r="K193" s="44"/>
      <c r="L193" s="44"/>
      <c r="M193" s="44"/>
      <c r="N193" s="44"/>
      <c r="O193" s="44"/>
      <c r="P193" s="44"/>
    </row>
    <row r="194" spans="1:16" ht="13.5" customHeight="1" x14ac:dyDescent="0.2">
      <c r="A194" s="21"/>
      <c r="B194" s="16"/>
      <c r="C194" s="44"/>
      <c r="D194" s="44"/>
      <c r="E194" s="16"/>
      <c r="F194" s="16"/>
      <c r="G194" s="44"/>
      <c r="H194" s="44"/>
      <c r="I194" s="44"/>
      <c r="J194" s="44"/>
      <c r="K194" s="44"/>
      <c r="L194" s="44"/>
      <c r="M194" s="44"/>
      <c r="N194" s="44"/>
      <c r="O194" s="44"/>
      <c r="P194" s="44"/>
    </row>
    <row r="195" spans="1:16" ht="13.5" customHeight="1" x14ac:dyDescent="0.2">
      <c r="A195" s="21"/>
      <c r="B195" s="16"/>
      <c r="C195" s="44"/>
      <c r="D195" s="44"/>
      <c r="E195" s="16"/>
      <c r="F195" s="16"/>
      <c r="G195" s="44"/>
      <c r="H195" s="44"/>
      <c r="I195" s="44"/>
      <c r="J195" s="44"/>
      <c r="K195" s="44"/>
      <c r="L195" s="44"/>
      <c r="M195" s="44"/>
      <c r="N195" s="44"/>
      <c r="O195" s="44"/>
      <c r="P195" s="44"/>
    </row>
    <row r="196" spans="1:16" ht="13.5" customHeight="1" x14ac:dyDescent="0.2">
      <c r="A196" s="21"/>
      <c r="B196" s="16"/>
      <c r="C196" s="44"/>
      <c r="D196" s="44"/>
      <c r="E196" s="16"/>
      <c r="F196" s="16"/>
      <c r="G196" s="44"/>
      <c r="H196" s="44"/>
      <c r="I196" s="44"/>
      <c r="J196" s="44"/>
      <c r="K196" s="44"/>
      <c r="L196" s="44"/>
      <c r="M196" s="44"/>
      <c r="N196" s="44"/>
      <c r="O196" s="44"/>
      <c r="P196" s="44"/>
    </row>
    <row r="197" spans="1:16" ht="13.5" customHeight="1" x14ac:dyDescent="0.2">
      <c r="A197" s="21"/>
      <c r="B197" s="16"/>
      <c r="C197" s="44"/>
      <c r="D197" s="44"/>
      <c r="E197" s="16"/>
      <c r="F197" s="16"/>
      <c r="G197" s="44"/>
      <c r="H197" s="44"/>
      <c r="I197" s="44"/>
      <c r="J197" s="44"/>
      <c r="K197" s="44"/>
      <c r="L197" s="44"/>
      <c r="M197" s="44"/>
      <c r="N197" s="44"/>
      <c r="O197" s="44"/>
      <c r="P197" s="44"/>
    </row>
    <row r="198" spans="1:16" ht="13.5" customHeight="1" x14ac:dyDescent="0.2">
      <c r="A198" s="21"/>
      <c r="B198" s="16"/>
      <c r="C198" s="44"/>
      <c r="D198" s="44"/>
      <c r="E198" s="16"/>
      <c r="F198" s="16"/>
      <c r="G198" s="44"/>
      <c r="H198" s="44"/>
      <c r="I198" s="44"/>
      <c r="J198" s="44"/>
      <c r="K198" s="44"/>
      <c r="L198" s="44"/>
      <c r="M198" s="44"/>
      <c r="N198" s="44"/>
      <c r="O198" s="44"/>
      <c r="P198" s="44"/>
    </row>
    <row r="199" spans="1:16" ht="13.5" customHeight="1" x14ac:dyDescent="0.2">
      <c r="A199" s="21"/>
      <c r="B199" s="16"/>
      <c r="C199" s="44"/>
      <c r="D199" s="44"/>
      <c r="E199" s="16"/>
      <c r="F199" s="16"/>
      <c r="G199" s="44"/>
      <c r="H199" s="44"/>
      <c r="I199" s="44"/>
      <c r="J199" s="44"/>
      <c r="K199" s="44"/>
      <c r="L199" s="44"/>
      <c r="M199" s="44"/>
      <c r="N199" s="44"/>
      <c r="O199" s="44"/>
      <c r="P199" s="44"/>
    </row>
    <row r="200" spans="1:16" ht="13.5" customHeight="1" x14ac:dyDescent="0.2">
      <c r="A200" s="21"/>
      <c r="B200" s="16"/>
      <c r="C200" s="44"/>
      <c r="D200" s="44"/>
      <c r="E200" s="16"/>
      <c r="F200" s="16"/>
      <c r="G200" s="44"/>
      <c r="H200" s="44"/>
      <c r="I200" s="44"/>
      <c r="J200" s="44"/>
      <c r="K200" s="44"/>
      <c r="L200" s="44"/>
      <c r="M200" s="44"/>
      <c r="N200" s="44"/>
      <c r="O200" s="44"/>
      <c r="P200" s="44"/>
    </row>
    <row r="201" spans="1:16" ht="13.5" customHeight="1" x14ac:dyDescent="0.2">
      <c r="A201" s="21"/>
      <c r="B201" s="16"/>
      <c r="C201" s="44"/>
      <c r="D201" s="44"/>
      <c r="E201" s="16"/>
      <c r="F201" s="16"/>
      <c r="G201" s="44"/>
      <c r="H201" s="44"/>
      <c r="I201" s="44"/>
      <c r="J201" s="44"/>
      <c r="K201" s="44"/>
      <c r="L201" s="44"/>
      <c r="M201" s="44"/>
      <c r="N201" s="44"/>
      <c r="O201" s="44"/>
      <c r="P201" s="44"/>
    </row>
    <row r="202" spans="1:16" ht="13.5" customHeight="1" x14ac:dyDescent="0.2">
      <c r="A202" s="21"/>
      <c r="B202" s="16"/>
      <c r="C202" s="44"/>
      <c r="D202" s="44"/>
      <c r="E202" s="16"/>
      <c r="F202" s="16"/>
      <c r="G202" s="44"/>
      <c r="H202" s="44"/>
      <c r="I202" s="44"/>
      <c r="J202" s="44"/>
      <c r="K202" s="44"/>
      <c r="L202" s="44"/>
      <c r="M202" s="44"/>
      <c r="N202" s="44"/>
      <c r="O202" s="44"/>
      <c r="P202" s="44"/>
    </row>
    <row r="203" spans="1:16" ht="13.5" customHeight="1" x14ac:dyDescent="0.2">
      <c r="A203" s="21"/>
      <c r="B203" s="16"/>
      <c r="C203" s="44"/>
      <c r="D203" s="44"/>
      <c r="E203" s="16"/>
      <c r="F203" s="16"/>
      <c r="G203" s="44"/>
      <c r="H203" s="44"/>
      <c r="I203" s="44"/>
      <c r="J203" s="44"/>
      <c r="K203" s="44"/>
      <c r="L203" s="44"/>
      <c r="M203" s="44"/>
      <c r="N203" s="44"/>
      <c r="O203" s="44"/>
      <c r="P203" s="44"/>
    </row>
    <row r="204" spans="1:16" ht="13.5" customHeight="1" x14ac:dyDescent="0.2">
      <c r="A204" s="21"/>
      <c r="B204" s="16"/>
      <c r="C204" s="44"/>
      <c r="D204" s="44"/>
      <c r="E204" s="16"/>
      <c r="F204" s="16"/>
      <c r="G204" s="44"/>
      <c r="H204" s="44"/>
      <c r="I204" s="44"/>
      <c r="J204" s="44"/>
      <c r="K204" s="44"/>
      <c r="L204" s="44"/>
      <c r="M204" s="44"/>
      <c r="N204" s="44"/>
      <c r="O204" s="44"/>
      <c r="P204" s="44"/>
    </row>
    <row r="205" spans="1:16" ht="13.5" customHeight="1" x14ac:dyDescent="0.2">
      <c r="A205" s="21"/>
      <c r="B205" s="16"/>
      <c r="C205" s="44"/>
      <c r="D205" s="44"/>
      <c r="E205" s="16"/>
      <c r="F205" s="16"/>
      <c r="G205" s="44"/>
      <c r="H205" s="44"/>
      <c r="I205" s="44"/>
      <c r="J205" s="44"/>
      <c r="K205" s="44"/>
      <c r="L205" s="44"/>
      <c r="M205" s="44"/>
      <c r="N205" s="44"/>
      <c r="O205" s="44"/>
      <c r="P205" s="44"/>
    </row>
    <row r="206" spans="1:16" ht="13.5" customHeight="1" x14ac:dyDescent="0.2">
      <c r="A206" s="21"/>
      <c r="B206" s="16"/>
      <c r="C206" s="44"/>
      <c r="D206" s="44"/>
      <c r="E206" s="16"/>
      <c r="F206" s="16"/>
      <c r="G206" s="44"/>
      <c r="H206" s="44"/>
      <c r="I206" s="44"/>
      <c r="J206" s="44"/>
      <c r="K206" s="44"/>
      <c r="L206" s="44"/>
      <c r="M206" s="44"/>
      <c r="N206" s="44"/>
      <c r="O206" s="44"/>
      <c r="P206" s="44"/>
    </row>
    <row r="207" spans="1:16" ht="13.5" customHeight="1" x14ac:dyDescent="0.2">
      <c r="A207" s="21"/>
      <c r="B207" s="16"/>
      <c r="C207" s="44"/>
      <c r="D207" s="44"/>
      <c r="E207" s="16"/>
      <c r="F207" s="16"/>
      <c r="G207" s="44"/>
      <c r="H207" s="44"/>
      <c r="I207" s="44"/>
      <c r="J207" s="44"/>
      <c r="K207" s="44"/>
      <c r="L207" s="44"/>
      <c r="M207" s="44"/>
      <c r="N207" s="44"/>
      <c r="O207" s="44"/>
      <c r="P207" s="44"/>
    </row>
    <row r="208" spans="1:16" ht="13.5" customHeight="1" x14ac:dyDescent="0.2">
      <c r="A208" s="21"/>
      <c r="B208" s="16"/>
      <c r="C208" s="44"/>
      <c r="D208" s="44"/>
      <c r="E208" s="16"/>
      <c r="F208" s="16"/>
      <c r="G208" s="44"/>
      <c r="H208" s="44"/>
      <c r="I208" s="44"/>
      <c r="J208" s="44"/>
      <c r="K208" s="44"/>
      <c r="L208" s="44"/>
      <c r="M208" s="44"/>
      <c r="N208" s="44"/>
      <c r="O208" s="44"/>
      <c r="P208" s="44"/>
    </row>
    <row r="209" spans="1:16" ht="13.5" customHeight="1" x14ac:dyDescent="0.2">
      <c r="A209" s="21"/>
      <c r="B209" s="16"/>
      <c r="C209" s="44"/>
      <c r="D209" s="44"/>
      <c r="E209" s="16"/>
      <c r="F209" s="16"/>
      <c r="G209" s="44"/>
      <c r="H209" s="44"/>
      <c r="I209" s="44"/>
      <c r="J209" s="44"/>
      <c r="K209" s="44"/>
      <c r="L209" s="44"/>
      <c r="M209" s="44"/>
      <c r="N209" s="44"/>
      <c r="O209" s="44"/>
      <c r="P209" s="44"/>
    </row>
    <row r="210" spans="1:16" ht="13.5" customHeight="1" x14ac:dyDescent="0.2">
      <c r="A210" s="21"/>
      <c r="B210" s="16"/>
      <c r="C210" s="44"/>
      <c r="D210" s="44"/>
      <c r="E210" s="16"/>
      <c r="F210" s="16"/>
      <c r="G210" s="44"/>
      <c r="H210" s="44"/>
      <c r="I210" s="44"/>
      <c r="J210" s="44"/>
      <c r="K210" s="44"/>
      <c r="L210" s="44"/>
      <c r="M210" s="44"/>
      <c r="N210" s="44"/>
      <c r="O210" s="44"/>
      <c r="P210" s="44"/>
    </row>
    <row r="211" spans="1:16" ht="13.5" customHeight="1" x14ac:dyDescent="0.2">
      <c r="A211" s="21"/>
      <c r="B211" s="16"/>
      <c r="C211" s="44"/>
      <c r="D211" s="44"/>
      <c r="E211" s="16"/>
      <c r="F211" s="16"/>
      <c r="G211" s="44"/>
      <c r="H211" s="44"/>
      <c r="I211" s="44"/>
      <c r="J211" s="44"/>
      <c r="K211" s="44"/>
      <c r="L211" s="44"/>
      <c r="M211" s="44"/>
      <c r="N211" s="44"/>
      <c r="O211" s="44"/>
      <c r="P211" s="44"/>
    </row>
    <row r="212" spans="1:16" ht="13.5" customHeight="1" x14ac:dyDescent="0.2">
      <c r="A212" s="21"/>
      <c r="B212" s="16"/>
      <c r="C212" s="44"/>
      <c r="D212" s="44"/>
      <c r="E212" s="16"/>
      <c r="F212" s="16"/>
      <c r="G212" s="44"/>
      <c r="H212" s="44"/>
      <c r="I212" s="44"/>
      <c r="J212" s="44"/>
      <c r="K212" s="44"/>
      <c r="L212" s="44"/>
      <c r="M212" s="44"/>
      <c r="N212" s="44"/>
      <c r="O212" s="44"/>
      <c r="P212" s="44"/>
    </row>
    <row r="213" spans="1:16" ht="13.5" customHeight="1" x14ac:dyDescent="0.2">
      <c r="A213" s="21"/>
      <c r="B213" s="16"/>
      <c r="C213" s="44"/>
      <c r="D213" s="44"/>
      <c r="E213" s="16"/>
      <c r="F213" s="16"/>
      <c r="G213" s="44"/>
      <c r="H213" s="44"/>
      <c r="I213" s="44"/>
      <c r="J213" s="44"/>
      <c r="K213" s="44"/>
      <c r="L213" s="44"/>
      <c r="M213" s="44"/>
      <c r="N213" s="44"/>
      <c r="O213" s="44"/>
      <c r="P213" s="44"/>
    </row>
    <row r="214" spans="1:16" ht="13.5" customHeight="1" x14ac:dyDescent="0.2">
      <c r="A214" s="21"/>
      <c r="B214" s="16"/>
      <c r="C214" s="44"/>
      <c r="D214" s="44"/>
      <c r="E214" s="16"/>
      <c r="F214" s="16"/>
      <c r="G214" s="44"/>
      <c r="H214" s="44"/>
      <c r="I214" s="44"/>
      <c r="J214" s="44"/>
      <c r="K214" s="44"/>
      <c r="L214" s="44"/>
      <c r="M214" s="44"/>
      <c r="N214" s="44"/>
      <c r="O214" s="44"/>
      <c r="P214" s="44"/>
    </row>
    <row r="215" spans="1:16" ht="13.5" customHeight="1" x14ac:dyDescent="0.2">
      <c r="A215" s="21"/>
      <c r="B215" s="16"/>
      <c r="C215" s="44"/>
      <c r="D215" s="44"/>
      <c r="E215" s="16"/>
      <c r="F215" s="16"/>
      <c r="G215" s="44"/>
      <c r="H215" s="44"/>
      <c r="I215" s="44"/>
      <c r="J215" s="44"/>
      <c r="K215" s="44"/>
      <c r="L215" s="44"/>
      <c r="M215" s="44"/>
      <c r="N215" s="44"/>
      <c r="O215" s="44"/>
      <c r="P215" s="44"/>
    </row>
    <row r="216" spans="1:16" ht="13.5" customHeight="1" x14ac:dyDescent="0.2">
      <c r="A216" s="21"/>
      <c r="B216" s="16"/>
      <c r="C216" s="44"/>
      <c r="D216" s="44"/>
      <c r="E216" s="16"/>
      <c r="F216" s="16"/>
      <c r="G216" s="44"/>
      <c r="H216" s="44"/>
      <c r="I216" s="44"/>
      <c r="J216" s="44"/>
      <c r="K216" s="44"/>
      <c r="L216" s="44"/>
      <c r="M216" s="44"/>
      <c r="N216" s="44"/>
      <c r="O216" s="44"/>
      <c r="P216" s="44"/>
    </row>
    <row r="217" spans="1:16" ht="13.5" customHeight="1" x14ac:dyDescent="0.2">
      <c r="A217" s="21"/>
      <c r="B217" s="16"/>
      <c r="C217" s="44"/>
      <c r="D217" s="44"/>
      <c r="E217" s="16"/>
      <c r="F217" s="16"/>
      <c r="G217" s="44"/>
      <c r="H217" s="44"/>
      <c r="I217" s="44"/>
      <c r="J217" s="44"/>
      <c r="K217" s="44"/>
      <c r="L217" s="44"/>
      <c r="M217" s="44"/>
      <c r="N217" s="44"/>
      <c r="O217" s="44"/>
      <c r="P217" s="44"/>
    </row>
    <row r="218" spans="1:16" ht="13.5" customHeight="1" x14ac:dyDescent="0.2">
      <c r="A218" s="21"/>
      <c r="B218" s="16"/>
      <c r="C218" s="44"/>
      <c r="D218" s="44"/>
      <c r="E218" s="16"/>
      <c r="F218" s="16"/>
      <c r="G218" s="44"/>
      <c r="H218" s="44"/>
      <c r="I218" s="44"/>
      <c r="J218" s="44"/>
      <c r="K218" s="44"/>
      <c r="L218" s="44"/>
      <c r="M218" s="44"/>
      <c r="N218" s="44"/>
      <c r="O218" s="44"/>
      <c r="P218" s="44"/>
    </row>
    <row r="219" spans="1:16" ht="13.5" customHeight="1" x14ac:dyDescent="0.2">
      <c r="A219" s="21"/>
      <c r="B219" s="16"/>
      <c r="C219" s="44"/>
      <c r="D219" s="44"/>
      <c r="E219" s="16"/>
      <c r="F219" s="16"/>
      <c r="G219" s="44"/>
      <c r="H219" s="44"/>
      <c r="I219" s="44"/>
      <c r="J219" s="44"/>
      <c r="K219" s="44"/>
      <c r="L219" s="44"/>
      <c r="M219" s="44"/>
      <c r="N219" s="44"/>
      <c r="O219" s="44"/>
      <c r="P219" s="44"/>
    </row>
    <row r="220" spans="1:16" ht="13.5" customHeight="1" x14ac:dyDescent="0.2">
      <c r="A220" s="21"/>
      <c r="B220" s="16"/>
      <c r="C220" s="44"/>
      <c r="D220" s="44"/>
      <c r="E220" s="16"/>
      <c r="F220" s="16"/>
      <c r="G220" s="44"/>
      <c r="H220" s="44"/>
      <c r="I220" s="44"/>
      <c r="J220" s="44"/>
      <c r="K220" s="44"/>
      <c r="L220" s="44"/>
      <c r="M220" s="44"/>
      <c r="N220" s="44"/>
      <c r="O220" s="44"/>
      <c r="P220" s="44"/>
    </row>
    <row r="221" spans="1:16" ht="13.5" customHeight="1" x14ac:dyDescent="0.2">
      <c r="A221" s="21"/>
      <c r="B221" s="16"/>
      <c r="C221" s="44"/>
      <c r="D221" s="44"/>
      <c r="E221" s="16"/>
      <c r="F221" s="16"/>
      <c r="G221" s="44"/>
      <c r="H221" s="44"/>
      <c r="I221" s="44"/>
      <c r="J221" s="44"/>
      <c r="K221" s="44"/>
      <c r="L221" s="44"/>
      <c r="M221" s="44"/>
      <c r="N221" s="44"/>
      <c r="O221" s="44"/>
      <c r="P221" s="44"/>
    </row>
    <row r="222" spans="1:16" ht="13.5" customHeight="1" x14ac:dyDescent="0.2">
      <c r="A222" s="21"/>
      <c r="B222" s="16"/>
      <c r="C222" s="44"/>
      <c r="D222" s="44"/>
      <c r="E222" s="16"/>
      <c r="F222" s="16"/>
      <c r="G222" s="44"/>
      <c r="H222" s="44"/>
      <c r="I222" s="44"/>
      <c r="J222" s="44"/>
      <c r="K222" s="44"/>
      <c r="L222" s="44"/>
      <c r="M222" s="44"/>
      <c r="N222" s="44"/>
      <c r="O222" s="44"/>
      <c r="P222" s="44"/>
    </row>
    <row r="223" spans="1:16" ht="13.5" customHeight="1" x14ac:dyDescent="0.2">
      <c r="A223" s="21"/>
      <c r="B223" s="16"/>
      <c r="C223" s="44"/>
      <c r="D223" s="44"/>
      <c r="E223" s="16"/>
      <c r="F223" s="16"/>
      <c r="G223" s="44"/>
      <c r="H223" s="44"/>
      <c r="I223" s="44"/>
      <c r="J223" s="44"/>
      <c r="K223" s="44"/>
      <c r="L223" s="44"/>
      <c r="M223" s="44"/>
      <c r="N223" s="44"/>
      <c r="O223" s="44"/>
      <c r="P223" s="44"/>
    </row>
    <row r="224" spans="1:16" ht="13.5" customHeight="1" x14ac:dyDescent="0.2">
      <c r="A224" s="21"/>
      <c r="B224" s="16"/>
      <c r="C224" s="44"/>
      <c r="D224" s="44"/>
      <c r="E224" s="16"/>
      <c r="F224" s="16"/>
      <c r="G224" s="44"/>
      <c r="H224" s="44"/>
      <c r="I224" s="44"/>
      <c r="J224" s="44"/>
      <c r="K224" s="44"/>
      <c r="L224" s="44"/>
      <c r="M224" s="44"/>
      <c r="N224" s="44"/>
      <c r="O224" s="44"/>
      <c r="P224" s="44"/>
    </row>
    <row r="225" spans="1:16" ht="13.5" customHeight="1" x14ac:dyDescent="0.2">
      <c r="A225" s="21"/>
      <c r="B225" s="16"/>
      <c r="C225" s="44"/>
      <c r="D225" s="44"/>
      <c r="E225" s="16"/>
      <c r="F225" s="16"/>
      <c r="G225" s="44"/>
      <c r="H225" s="44"/>
      <c r="I225" s="44"/>
      <c r="J225" s="44"/>
      <c r="K225" s="44"/>
      <c r="L225" s="44"/>
      <c r="M225" s="44"/>
      <c r="N225" s="44"/>
      <c r="O225" s="44"/>
      <c r="P225" s="44"/>
    </row>
    <row r="226" spans="1:16" ht="13.5" customHeight="1" x14ac:dyDescent="0.2">
      <c r="A226" s="21"/>
      <c r="B226" s="16"/>
      <c r="C226" s="44"/>
      <c r="D226" s="44"/>
      <c r="E226" s="16"/>
      <c r="F226" s="16"/>
      <c r="G226" s="44"/>
      <c r="H226" s="44"/>
      <c r="I226" s="44"/>
      <c r="J226" s="44"/>
      <c r="K226" s="44"/>
      <c r="L226" s="44"/>
      <c r="M226" s="44"/>
      <c r="N226" s="44"/>
      <c r="O226" s="44"/>
      <c r="P226" s="44"/>
    </row>
    <row r="227" spans="1:16" ht="13.5" customHeight="1" x14ac:dyDescent="0.2">
      <c r="A227" s="21"/>
      <c r="B227" s="16"/>
      <c r="C227" s="44"/>
      <c r="D227" s="44"/>
      <c r="E227" s="16"/>
      <c r="F227" s="16"/>
      <c r="G227" s="44"/>
      <c r="H227" s="44"/>
      <c r="I227" s="44"/>
      <c r="J227" s="44"/>
      <c r="K227" s="44"/>
      <c r="L227" s="44"/>
      <c r="M227" s="44"/>
      <c r="N227" s="44"/>
      <c r="O227" s="44"/>
      <c r="P227" s="44"/>
    </row>
    <row r="228" spans="1:16" ht="13.5" customHeight="1" x14ac:dyDescent="0.2">
      <c r="A228" s="21"/>
      <c r="B228" s="16"/>
      <c r="C228" s="44"/>
      <c r="D228" s="44"/>
      <c r="E228" s="16"/>
      <c r="F228" s="16"/>
      <c r="G228" s="44"/>
      <c r="H228" s="44"/>
      <c r="I228" s="44"/>
      <c r="J228" s="44"/>
      <c r="K228" s="44"/>
      <c r="L228" s="44"/>
      <c r="M228" s="44"/>
      <c r="N228" s="44"/>
      <c r="O228" s="44"/>
      <c r="P228" s="44"/>
    </row>
    <row r="229" spans="1:16" ht="13.5" customHeight="1" x14ac:dyDescent="0.2">
      <c r="A229" s="21"/>
      <c r="B229" s="16"/>
      <c r="C229" s="44"/>
      <c r="D229" s="44"/>
      <c r="E229" s="16"/>
      <c r="F229" s="16"/>
      <c r="G229" s="44"/>
      <c r="H229" s="44"/>
      <c r="I229" s="44"/>
      <c r="J229" s="44"/>
      <c r="K229" s="44"/>
      <c r="L229" s="44"/>
      <c r="M229" s="44"/>
      <c r="N229" s="44"/>
      <c r="O229" s="44"/>
      <c r="P229" s="44"/>
    </row>
    <row r="230" spans="1:16" ht="13.5" customHeight="1" x14ac:dyDescent="0.2">
      <c r="A230" s="21"/>
      <c r="B230" s="16"/>
      <c r="C230" s="44"/>
      <c r="D230" s="44"/>
      <c r="E230" s="16"/>
      <c r="F230" s="16"/>
      <c r="G230" s="44"/>
      <c r="H230" s="44"/>
      <c r="I230" s="44"/>
      <c r="J230" s="44"/>
      <c r="K230" s="44"/>
      <c r="L230" s="44"/>
      <c r="M230" s="44"/>
      <c r="N230" s="44"/>
      <c r="O230" s="44"/>
      <c r="P230" s="44"/>
    </row>
    <row r="231" spans="1:16" ht="13.5" customHeight="1" x14ac:dyDescent="0.2">
      <c r="A231" s="21"/>
      <c r="B231" s="16"/>
      <c r="C231" s="44"/>
      <c r="D231" s="44"/>
      <c r="E231" s="16"/>
      <c r="F231" s="16"/>
      <c r="G231" s="44"/>
      <c r="H231" s="44"/>
      <c r="I231" s="44"/>
      <c r="J231" s="44"/>
      <c r="K231" s="44"/>
      <c r="L231" s="44"/>
      <c r="M231" s="44"/>
      <c r="N231" s="44"/>
      <c r="O231" s="44"/>
      <c r="P231" s="44"/>
    </row>
    <row r="232" spans="1:16" ht="13.5" customHeight="1" x14ac:dyDescent="0.2">
      <c r="A232" s="21"/>
      <c r="B232" s="16"/>
      <c r="C232" s="44"/>
      <c r="D232" s="44"/>
      <c r="E232" s="16"/>
      <c r="F232" s="16"/>
      <c r="G232" s="44"/>
      <c r="H232" s="44"/>
      <c r="I232" s="44"/>
      <c r="J232" s="44"/>
      <c r="K232" s="44"/>
      <c r="L232" s="44"/>
      <c r="M232" s="44"/>
      <c r="N232" s="44"/>
      <c r="O232" s="44"/>
      <c r="P232" s="44"/>
    </row>
    <row r="233" spans="1:16" ht="13.5" customHeight="1" x14ac:dyDescent="0.2">
      <c r="A233" s="21"/>
      <c r="B233" s="16"/>
      <c r="C233" s="44"/>
      <c r="D233" s="44"/>
      <c r="E233" s="16"/>
      <c r="F233" s="16"/>
      <c r="G233" s="44"/>
      <c r="H233" s="44"/>
      <c r="I233" s="44"/>
      <c r="J233" s="44"/>
      <c r="K233" s="44"/>
      <c r="L233" s="44"/>
      <c r="M233" s="44"/>
      <c r="N233" s="44"/>
      <c r="O233" s="44"/>
      <c r="P233" s="44"/>
    </row>
    <row r="234" spans="1:16" ht="13.5" customHeight="1" x14ac:dyDescent="0.2">
      <c r="A234" s="21"/>
      <c r="B234" s="16"/>
      <c r="C234" s="44"/>
      <c r="D234" s="44"/>
      <c r="E234" s="16"/>
      <c r="F234" s="16"/>
      <c r="G234" s="44"/>
      <c r="H234" s="44"/>
      <c r="I234" s="44"/>
      <c r="J234" s="44"/>
      <c r="K234" s="44"/>
      <c r="L234" s="44"/>
      <c r="M234" s="44"/>
      <c r="N234" s="44"/>
      <c r="O234" s="44"/>
      <c r="P234" s="44"/>
    </row>
    <row r="235" spans="1:16" ht="13.5" customHeight="1" x14ac:dyDescent="0.2">
      <c r="A235" s="21"/>
      <c r="B235" s="16"/>
      <c r="C235" s="44"/>
      <c r="D235" s="44"/>
      <c r="E235" s="16"/>
      <c r="F235" s="16"/>
      <c r="G235" s="44"/>
      <c r="H235" s="44"/>
      <c r="I235" s="44"/>
      <c r="J235" s="44"/>
      <c r="K235" s="44"/>
      <c r="L235" s="44"/>
      <c r="M235" s="44"/>
      <c r="N235" s="44"/>
      <c r="O235" s="44"/>
      <c r="P235" s="44"/>
    </row>
    <row r="236" spans="1:16" ht="13.5" customHeight="1" x14ac:dyDescent="0.2">
      <c r="A236" s="21"/>
      <c r="B236" s="16"/>
      <c r="C236" s="44"/>
      <c r="D236" s="44"/>
      <c r="E236" s="16"/>
      <c r="F236" s="16"/>
      <c r="G236" s="44"/>
      <c r="H236" s="44"/>
      <c r="I236" s="44"/>
      <c r="J236" s="44"/>
      <c r="K236" s="44"/>
      <c r="L236" s="44"/>
      <c r="M236" s="44"/>
      <c r="N236" s="44"/>
      <c r="O236" s="44"/>
      <c r="P236" s="44"/>
    </row>
    <row r="237" spans="1:16" ht="13.5" customHeight="1" x14ac:dyDescent="0.2">
      <c r="A237" s="21"/>
      <c r="B237" s="16"/>
      <c r="C237" s="44"/>
      <c r="D237" s="44"/>
      <c r="E237" s="16"/>
      <c r="F237" s="16"/>
      <c r="G237" s="44"/>
      <c r="H237" s="44"/>
      <c r="I237" s="44"/>
      <c r="J237" s="44"/>
      <c r="K237" s="44"/>
      <c r="L237" s="44"/>
      <c r="M237" s="44"/>
      <c r="N237" s="44"/>
      <c r="O237" s="44"/>
      <c r="P237" s="44"/>
    </row>
    <row r="238" spans="1:16" ht="13.5" customHeight="1" x14ac:dyDescent="0.2">
      <c r="A238" s="21"/>
      <c r="B238" s="16"/>
      <c r="C238" s="44"/>
      <c r="D238" s="44"/>
      <c r="E238" s="16"/>
      <c r="F238" s="16"/>
      <c r="G238" s="44"/>
      <c r="H238" s="44"/>
      <c r="I238" s="44"/>
      <c r="J238" s="44"/>
      <c r="K238" s="44"/>
      <c r="L238" s="44"/>
      <c r="M238" s="44"/>
      <c r="N238" s="44"/>
      <c r="O238" s="44"/>
      <c r="P238" s="44"/>
    </row>
    <row r="239" spans="1:16" ht="13.5" customHeight="1" x14ac:dyDescent="0.2">
      <c r="A239" s="21"/>
      <c r="B239" s="16"/>
      <c r="C239" s="44"/>
      <c r="D239" s="44"/>
      <c r="E239" s="16"/>
      <c r="F239" s="16"/>
      <c r="G239" s="44"/>
      <c r="H239" s="44"/>
      <c r="I239" s="44"/>
      <c r="J239" s="44"/>
      <c r="K239" s="44"/>
      <c r="L239" s="44"/>
      <c r="M239" s="44"/>
      <c r="N239" s="44"/>
      <c r="O239" s="44"/>
      <c r="P239" s="44"/>
    </row>
    <row r="240" spans="1:16" ht="13.5" customHeight="1" x14ac:dyDescent="0.2">
      <c r="A240" s="21"/>
      <c r="B240" s="16"/>
      <c r="C240" s="44"/>
      <c r="D240" s="44"/>
      <c r="E240" s="16"/>
      <c r="F240" s="16"/>
      <c r="G240" s="44"/>
      <c r="H240" s="44"/>
      <c r="I240" s="44"/>
      <c r="J240" s="44"/>
      <c r="K240" s="44"/>
      <c r="L240" s="44"/>
      <c r="M240" s="44"/>
      <c r="N240" s="44"/>
      <c r="O240" s="44"/>
      <c r="P240" s="44"/>
    </row>
    <row r="241" spans="1:16" ht="13.5" customHeight="1" x14ac:dyDescent="0.2">
      <c r="A241" s="21"/>
      <c r="B241" s="16"/>
      <c r="C241" s="44"/>
      <c r="D241" s="44"/>
      <c r="E241" s="16"/>
      <c r="F241" s="16"/>
      <c r="G241" s="44"/>
      <c r="H241" s="44"/>
      <c r="I241" s="44"/>
      <c r="J241" s="44"/>
      <c r="K241" s="44"/>
      <c r="L241" s="44"/>
      <c r="M241" s="44"/>
      <c r="N241" s="44"/>
      <c r="O241" s="44"/>
      <c r="P241" s="44"/>
    </row>
    <row r="242" spans="1:16" ht="13.5" customHeight="1" x14ac:dyDescent="0.2">
      <c r="A242" s="21"/>
      <c r="B242" s="16"/>
      <c r="C242" s="44"/>
      <c r="D242" s="44"/>
      <c r="E242" s="16"/>
      <c r="F242" s="16"/>
      <c r="G242" s="44"/>
      <c r="H242" s="44"/>
      <c r="I242" s="44"/>
      <c r="J242" s="44"/>
      <c r="K242" s="44"/>
      <c r="L242" s="44"/>
      <c r="M242" s="44"/>
      <c r="N242" s="44"/>
      <c r="O242" s="44"/>
      <c r="P242" s="44"/>
    </row>
    <row r="243" spans="1:16" ht="13.5" customHeight="1" x14ac:dyDescent="0.2">
      <c r="A243" s="21"/>
      <c r="B243" s="16"/>
      <c r="C243" s="44"/>
      <c r="D243" s="44"/>
      <c r="E243" s="16"/>
      <c r="F243" s="16"/>
      <c r="G243" s="44"/>
      <c r="H243" s="44"/>
      <c r="I243" s="44"/>
      <c r="J243" s="44"/>
      <c r="K243" s="44"/>
      <c r="L243" s="44"/>
      <c r="M243" s="44"/>
      <c r="N243" s="44"/>
      <c r="O243" s="44"/>
      <c r="P243" s="44"/>
    </row>
    <row r="244" spans="1:16" ht="13.5" customHeight="1" x14ac:dyDescent="0.2">
      <c r="A244" s="21"/>
      <c r="B244" s="16"/>
      <c r="C244" s="44"/>
      <c r="D244" s="44"/>
      <c r="E244" s="16"/>
      <c r="F244" s="16"/>
      <c r="G244" s="44"/>
      <c r="H244" s="44"/>
      <c r="I244" s="44"/>
      <c r="J244" s="44"/>
      <c r="K244" s="44"/>
      <c r="L244" s="44"/>
      <c r="M244" s="44"/>
      <c r="N244" s="44"/>
      <c r="O244" s="44"/>
      <c r="P244" s="44"/>
    </row>
    <row r="245" spans="1:16" ht="13.5" customHeight="1" x14ac:dyDescent="0.2">
      <c r="A245" s="21"/>
      <c r="B245" s="16"/>
      <c r="C245" s="44"/>
      <c r="D245" s="44"/>
      <c r="E245" s="16"/>
      <c r="F245" s="16"/>
      <c r="G245" s="44"/>
      <c r="H245" s="44"/>
      <c r="I245" s="44"/>
      <c r="J245" s="44"/>
      <c r="K245" s="44"/>
      <c r="L245" s="44"/>
      <c r="M245" s="44"/>
      <c r="N245" s="44"/>
      <c r="O245" s="44"/>
      <c r="P245" s="44"/>
    </row>
    <row r="246" spans="1:16" ht="13.5" customHeight="1" x14ac:dyDescent="0.2">
      <c r="A246" s="21"/>
      <c r="B246" s="16"/>
      <c r="C246" s="44"/>
      <c r="D246" s="44"/>
      <c r="E246" s="16"/>
      <c r="F246" s="16"/>
      <c r="G246" s="44"/>
      <c r="H246" s="44"/>
      <c r="I246" s="44"/>
      <c r="J246" s="44"/>
      <c r="K246" s="44"/>
      <c r="L246" s="44"/>
      <c r="M246" s="44"/>
      <c r="N246" s="44"/>
      <c r="O246" s="44"/>
      <c r="P246" s="44"/>
    </row>
    <row r="247" spans="1:16" ht="13.5" customHeight="1" x14ac:dyDescent="0.2">
      <c r="A247" s="21"/>
      <c r="B247" s="16"/>
      <c r="C247" s="44"/>
      <c r="D247" s="44"/>
      <c r="E247" s="16"/>
      <c r="F247" s="16"/>
      <c r="G247" s="44"/>
      <c r="H247" s="44"/>
      <c r="I247" s="44"/>
      <c r="J247" s="44"/>
      <c r="K247" s="44"/>
      <c r="L247" s="44"/>
      <c r="M247" s="44"/>
      <c r="N247" s="44"/>
      <c r="O247" s="44"/>
      <c r="P247" s="44"/>
    </row>
    <row r="248" spans="1:16" ht="13.5" customHeight="1" x14ac:dyDescent="0.2">
      <c r="A248" s="21"/>
      <c r="B248" s="16"/>
      <c r="C248" s="44"/>
      <c r="D248" s="44"/>
      <c r="E248" s="16"/>
      <c r="F248" s="16"/>
      <c r="G248" s="44"/>
      <c r="H248" s="44"/>
      <c r="I248" s="44"/>
      <c r="J248" s="44"/>
      <c r="K248" s="44"/>
      <c r="L248" s="44"/>
      <c r="M248" s="44"/>
      <c r="N248" s="44"/>
      <c r="O248" s="44"/>
      <c r="P248" s="44"/>
    </row>
    <row r="249" spans="1:16" ht="13.5" customHeight="1" x14ac:dyDescent="0.2">
      <c r="A249" s="21"/>
      <c r="B249" s="16"/>
      <c r="C249" s="44"/>
      <c r="D249" s="44"/>
      <c r="E249" s="16"/>
      <c r="F249" s="16"/>
      <c r="G249" s="44"/>
      <c r="H249" s="44"/>
      <c r="I249" s="44"/>
      <c r="J249" s="44"/>
      <c r="K249" s="44"/>
      <c r="L249" s="44"/>
      <c r="M249" s="44"/>
      <c r="N249" s="44"/>
      <c r="O249" s="44"/>
      <c r="P249" s="44"/>
    </row>
    <row r="250" spans="1:16" ht="13.5" customHeight="1" x14ac:dyDescent="0.2">
      <c r="A250" s="21"/>
      <c r="B250" s="16"/>
      <c r="C250" s="44"/>
      <c r="D250" s="44"/>
      <c r="E250" s="16"/>
      <c r="F250" s="16"/>
      <c r="G250" s="44"/>
      <c r="H250" s="44"/>
      <c r="I250" s="44"/>
      <c r="J250" s="44"/>
      <c r="K250" s="44"/>
      <c r="L250" s="44"/>
      <c r="M250" s="44"/>
      <c r="N250" s="44"/>
      <c r="O250" s="44"/>
      <c r="P250" s="44"/>
    </row>
    <row r="251" spans="1:16" ht="13.5" customHeight="1" x14ac:dyDescent="0.2">
      <c r="A251" s="21"/>
      <c r="B251" s="16"/>
      <c r="C251" s="44"/>
      <c r="D251" s="44"/>
      <c r="E251" s="16"/>
      <c r="F251" s="16"/>
      <c r="G251" s="44"/>
      <c r="H251" s="44"/>
      <c r="I251" s="44"/>
      <c r="J251" s="44"/>
      <c r="K251" s="44"/>
      <c r="L251" s="44"/>
      <c r="M251" s="44"/>
      <c r="N251" s="44"/>
      <c r="O251" s="44"/>
      <c r="P251" s="44"/>
    </row>
    <row r="252" spans="1:16" ht="13.5" customHeight="1" x14ac:dyDescent="0.2">
      <c r="A252" s="21"/>
      <c r="B252" s="16"/>
      <c r="C252" s="44"/>
      <c r="D252" s="44"/>
      <c r="E252" s="16"/>
      <c r="F252" s="16"/>
      <c r="G252" s="44"/>
      <c r="H252" s="44"/>
      <c r="I252" s="44"/>
      <c r="J252" s="44"/>
      <c r="K252" s="44"/>
      <c r="L252" s="44"/>
      <c r="M252" s="44"/>
      <c r="N252" s="44"/>
      <c r="O252" s="44"/>
      <c r="P252" s="44"/>
    </row>
    <row r="253" spans="1:16" ht="13.5" customHeight="1" x14ac:dyDescent="0.2">
      <c r="A253" s="21"/>
      <c r="B253" s="16"/>
      <c r="C253" s="44"/>
      <c r="D253" s="44"/>
      <c r="E253" s="16"/>
      <c r="F253" s="16"/>
      <c r="G253" s="44"/>
      <c r="H253" s="44"/>
      <c r="I253" s="44"/>
      <c r="J253" s="44"/>
      <c r="K253" s="44"/>
      <c r="L253" s="44"/>
      <c r="M253" s="44"/>
      <c r="N253" s="44"/>
      <c r="O253" s="44"/>
      <c r="P253" s="44"/>
    </row>
    <row r="254" spans="1:16" ht="13.5" customHeight="1" x14ac:dyDescent="0.2">
      <c r="A254" s="21"/>
      <c r="B254" s="16"/>
      <c r="C254" s="44"/>
      <c r="D254" s="44"/>
      <c r="E254" s="16"/>
      <c r="F254" s="16"/>
      <c r="G254" s="44"/>
      <c r="H254" s="44"/>
      <c r="I254" s="44"/>
      <c r="J254" s="44"/>
      <c r="K254" s="44"/>
      <c r="L254" s="44"/>
      <c r="M254" s="44"/>
      <c r="N254" s="44"/>
      <c r="O254" s="44"/>
      <c r="P254" s="44"/>
    </row>
    <row r="255" spans="1:16" ht="13.5" customHeight="1" x14ac:dyDescent="0.2">
      <c r="A255" s="21"/>
      <c r="B255" s="16"/>
      <c r="C255" s="44"/>
      <c r="D255" s="44"/>
      <c r="E255" s="16"/>
      <c r="F255" s="16"/>
      <c r="G255" s="44"/>
      <c r="H255" s="44"/>
      <c r="I255" s="44"/>
      <c r="J255" s="44"/>
      <c r="K255" s="44"/>
      <c r="L255" s="44"/>
      <c r="M255" s="44"/>
      <c r="N255" s="44"/>
      <c r="O255" s="44"/>
      <c r="P255" s="44"/>
    </row>
    <row r="256" spans="1:16" ht="13.5" customHeight="1" x14ac:dyDescent="0.2">
      <c r="A256" s="21"/>
      <c r="B256" s="16"/>
      <c r="C256" s="44"/>
      <c r="D256" s="44"/>
      <c r="E256" s="16"/>
      <c r="F256" s="16"/>
      <c r="G256" s="44"/>
      <c r="H256" s="44"/>
      <c r="I256" s="44"/>
      <c r="J256" s="44"/>
      <c r="K256" s="44"/>
      <c r="L256" s="44"/>
      <c r="M256" s="44"/>
      <c r="N256" s="44"/>
      <c r="O256" s="44"/>
      <c r="P256" s="44"/>
    </row>
    <row r="257" spans="1:16" ht="13.5" customHeight="1" x14ac:dyDescent="0.2">
      <c r="A257" s="21"/>
      <c r="B257" s="16"/>
      <c r="C257" s="44"/>
      <c r="D257" s="44"/>
      <c r="E257" s="16"/>
      <c r="F257" s="16"/>
      <c r="G257" s="44"/>
      <c r="H257" s="44"/>
      <c r="I257" s="44"/>
      <c r="J257" s="44"/>
      <c r="K257" s="44"/>
      <c r="L257" s="44"/>
      <c r="M257" s="44"/>
      <c r="N257" s="44"/>
      <c r="O257" s="44"/>
      <c r="P257" s="44"/>
    </row>
    <row r="258" spans="1:16" ht="13.5" customHeight="1" x14ac:dyDescent="0.2">
      <c r="A258" s="21"/>
      <c r="B258" s="16"/>
      <c r="C258" s="44"/>
      <c r="D258" s="44"/>
      <c r="E258" s="16"/>
      <c r="F258" s="16"/>
      <c r="G258" s="44"/>
      <c r="H258" s="44"/>
      <c r="I258" s="44"/>
      <c r="J258" s="44"/>
      <c r="K258" s="44"/>
      <c r="L258" s="44"/>
      <c r="M258" s="44"/>
      <c r="N258" s="44"/>
      <c r="O258" s="44"/>
      <c r="P258" s="44"/>
    </row>
    <row r="259" spans="1:16" ht="13.5" customHeight="1" x14ac:dyDescent="0.2">
      <c r="A259" s="21"/>
      <c r="B259" s="16"/>
      <c r="C259" s="44"/>
      <c r="D259" s="44"/>
      <c r="E259" s="16"/>
      <c r="F259" s="16"/>
      <c r="G259" s="44"/>
      <c r="H259" s="44"/>
      <c r="I259" s="44"/>
      <c r="J259" s="44"/>
      <c r="K259" s="44"/>
      <c r="L259" s="44"/>
      <c r="M259" s="44"/>
      <c r="N259" s="44"/>
      <c r="O259" s="44"/>
      <c r="P259" s="44"/>
    </row>
    <row r="260" spans="1:16" ht="13.5" customHeight="1" x14ac:dyDescent="0.2">
      <c r="A260" s="21"/>
      <c r="B260" s="16"/>
      <c r="C260" s="44"/>
      <c r="D260" s="44"/>
      <c r="E260" s="16"/>
      <c r="F260" s="16"/>
      <c r="G260" s="44"/>
      <c r="H260" s="44"/>
      <c r="I260" s="44"/>
      <c r="J260" s="44"/>
      <c r="K260" s="44"/>
      <c r="L260" s="44"/>
      <c r="M260" s="44"/>
      <c r="N260" s="44"/>
      <c r="O260" s="44"/>
      <c r="P260" s="44"/>
    </row>
    <row r="261" spans="1:16" ht="13.5" customHeight="1" x14ac:dyDescent="0.2">
      <c r="A261" s="21"/>
      <c r="B261" s="16"/>
      <c r="C261" s="44"/>
      <c r="D261" s="44"/>
      <c r="E261" s="16"/>
      <c r="F261" s="16"/>
      <c r="G261" s="44"/>
      <c r="H261" s="44"/>
      <c r="I261" s="44"/>
      <c r="J261" s="44"/>
      <c r="K261" s="44"/>
      <c r="L261" s="44"/>
      <c r="M261" s="44"/>
      <c r="N261" s="44"/>
      <c r="O261" s="44"/>
      <c r="P261" s="44"/>
    </row>
    <row r="262" spans="1:16" ht="13.5" customHeight="1" x14ac:dyDescent="0.2">
      <c r="A262" s="21"/>
      <c r="B262" s="16"/>
      <c r="C262" s="44"/>
      <c r="D262" s="44"/>
      <c r="E262" s="16"/>
      <c r="F262" s="16"/>
      <c r="G262" s="44"/>
      <c r="H262" s="44"/>
      <c r="I262" s="44"/>
      <c r="J262" s="44"/>
      <c r="K262" s="44"/>
      <c r="L262" s="44"/>
      <c r="M262" s="44"/>
      <c r="N262" s="44"/>
      <c r="O262" s="44"/>
      <c r="P262" s="44"/>
    </row>
    <row r="263" spans="1:16" ht="13.5" customHeight="1" x14ac:dyDescent="0.2">
      <c r="A263" s="21"/>
      <c r="B263" s="16"/>
      <c r="C263" s="44"/>
      <c r="D263" s="44"/>
      <c r="E263" s="16"/>
      <c r="F263" s="16"/>
      <c r="G263" s="44"/>
      <c r="H263" s="44"/>
      <c r="I263" s="44"/>
      <c r="J263" s="44"/>
      <c r="K263" s="44"/>
      <c r="L263" s="44"/>
      <c r="M263" s="44"/>
      <c r="N263" s="44"/>
      <c r="O263" s="44"/>
      <c r="P263" s="44"/>
    </row>
    <row r="264" spans="1:16" ht="13.5" customHeight="1" x14ac:dyDescent="0.2">
      <c r="B264" s="16"/>
      <c r="E264" s="59"/>
      <c r="F264" s="59"/>
      <c r="I264" s="60"/>
    </row>
    <row r="265" spans="1:16" ht="13.5" customHeight="1" x14ac:dyDescent="0.2">
      <c r="B265" s="16"/>
      <c r="E265" s="59"/>
      <c r="F265" s="59"/>
      <c r="I265" s="60"/>
    </row>
    <row r="266" spans="1:16" ht="13.5" customHeight="1" x14ac:dyDescent="0.2">
      <c r="B266" s="16"/>
      <c r="E266" s="59"/>
      <c r="F266" s="59"/>
      <c r="I266" s="60"/>
    </row>
    <row r="267" spans="1:16" ht="13.5" customHeight="1" x14ac:dyDescent="0.2">
      <c r="B267" s="16"/>
      <c r="E267" s="59"/>
      <c r="F267" s="59"/>
      <c r="I267" s="60"/>
    </row>
    <row r="268" spans="1:16" ht="13.5" customHeight="1" x14ac:dyDescent="0.2">
      <c r="B268" s="16"/>
      <c r="E268" s="59"/>
      <c r="F268" s="59"/>
      <c r="I268" s="60"/>
    </row>
    <row r="269" spans="1:16" ht="13.5" customHeight="1" x14ac:dyDescent="0.2">
      <c r="B269" s="16"/>
      <c r="E269" s="59"/>
      <c r="F269" s="59"/>
      <c r="I269" s="60"/>
    </row>
    <row r="270" spans="1:16" ht="13.5" customHeight="1" x14ac:dyDescent="0.2">
      <c r="B270" s="16"/>
      <c r="E270" s="59"/>
      <c r="F270" s="59"/>
      <c r="I270" s="60"/>
    </row>
    <row r="271" spans="1:16" ht="13.5" customHeight="1" x14ac:dyDescent="0.2">
      <c r="B271" s="16"/>
      <c r="E271" s="59"/>
      <c r="F271" s="59"/>
      <c r="I271" s="60"/>
    </row>
    <row r="272" spans="1:16" ht="13.5" customHeight="1" x14ac:dyDescent="0.2">
      <c r="B272" s="16"/>
      <c r="E272" s="59"/>
      <c r="F272" s="59"/>
      <c r="I272" s="60"/>
    </row>
    <row r="273" spans="2:9" ht="13.5" customHeight="1" x14ac:dyDescent="0.2">
      <c r="B273" s="16"/>
      <c r="E273" s="59"/>
      <c r="F273" s="59"/>
      <c r="I273" s="60"/>
    </row>
    <row r="274" spans="2:9" ht="13.5" customHeight="1" x14ac:dyDescent="0.2">
      <c r="B274" s="16"/>
      <c r="E274" s="59"/>
      <c r="F274" s="59"/>
      <c r="I274" s="60"/>
    </row>
    <row r="275" spans="2:9" ht="13.5" customHeight="1" x14ac:dyDescent="0.2">
      <c r="B275" s="16"/>
      <c r="E275" s="59"/>
      <c r="F275" s="59"/>
      <c r="I275" s="60"/>
    </row>
    <row r="276" spans="2:9" ht="13.5" customHeight="1" x14ac:dyDescent="0.2">
      <c r="B276" s="16"/>
      <c r="E276" s="59"/>
      <c r="F276" s="59"/>
      <c r="I276" s="60"/>
    </row>
    <row r="277" spans="2:9" ht="13.5" customHeight="1" x14ac:dyDescent="0.2">
      <c r="B277" s="16"/>
      <c r="E277" s="59"/>
      <c r="F277" s="59"/>
      <c r="I277" s="60"/>
    </row>
    <row r="278" spans="2:9" ht="13.5" customHeight="1" x14ac:dyDescent="0.2">
      <c r="B278" s="16"/>
      <c r="E278" s="59"/>
      <c r="F278" s="59"/>
      <c r="I278" s="60"/>
    </row>
    <row r="279" spans="2:9" ht="13.5" customHeight="1" x14ac:dyDescent="0.2">
      <c r="B279" s="16"/>
      <c r="E279" s="59"/>
      <c r="F279" s="59"/>
      <c r="I279" s="60"/>
    </row>
    <row r="280" spans="2:9" ht="13.5" customHeight="1" x14ac:dyDescent="0.2">
      <c r="B280" s="16"/>
      <c r="E280" s="59"/>
      <c r="F280" s="59"/>
      <c r="I280" s="60"/>
    </row>
    <row r="281" spans="2:9" ht="13.5" customHeight="1" x14ac:dyDescent="0.2">
      <c r="B281" s="16"/>
      <c r="E281" s="59"/>
      <c r="F281" s="59"/>
      <c r="I281" s="60"/>
    </row>
    <row r="282" spans="2:9" ht="13.5" customHeight="1" x14ac:dyDescent="0.2">
      <c r="B282" s="16"/>
      <c r="E282" s="59"/>
      <c r="F282" s="59"/>
      <c r="I282" s="60"/>
    </row>
    <row r="283" spans="2:9" ht="13.5" customHeight="1" x14ac:dyDescent="0.2">
      <c r="B283" s="16"/>
      <c r="E283" s="59"/>
      <c r="F283" s="59"/>
      <c r="I283" s="60"/>
    </row>
    <row r="284" spans="2:9" ht="13.5" customHeight="1" x14ac:dyDescent="0.2">
      <c r="B284" s="16"/>
      <c r="E284" s="59"/>
      <c r="F284" s="59"/>
      <c r="I284" s="60"/>
    </row>
    <row r="285" spans="2:9" ht="13.5" customHeight="1" x14ac:dyDescent="0.2">
      <c r="B285" s="16"/>
      <c r="E285" s="59"/>
      <c r="F285" s="59"/>
      <c r="I285" s="60"/>
    </row>
    <row r="286" spans="2:9" ht="13.5" customHeight="1" x14ac:dyDescent="0.2">
      <c r="B286" s="16"/>
      <c r="E286" s="59"/>
      <c r="F286" s="59"/>
      <c r="I286" s="60"/>
    </row>
    <row r="287" spans="2:9" ht="13.5" customHeight="1" x14ac:dyDescent="0.2">
      <c r="B287" s="16"/>
      <c r="E287" s="59"/>
      <c r="F287" s="59"/>
      <c r="I287" s="60"/>
    </row>
    <row r="288" spans="2:9" ht="13.5" customHeight="1" x14ac:dyDescent="0.2">
      <c r="B288" s="16"/>
      <c r="E288" s="59"/>
      <c r="F288" s="59"/>
      <c r="I288" s="60"/>
    </row>
    <row r="289" spans="2:9" ht="13.5" customHeight="1" x14ac:dyDescent="0.2">
      <c r="B289" s="16"/>
      <c r="E289" s="59"/>
      <c r="F289" s="59"/>
      <c r="I289" s="60"/>
    </row>
    <row r="290" spans="2:9" ht="13.5" customHeight="1" x14ac:dyDescent="0.2">
      <c r="B290" s="16"/>
      <c r="E290" s="59"/>
      <c r="F290" s="59"/>
      <c r="I290" s="60"/>
    </row>
    <row r="291" spans="2:9" ht="13.5" customHeight="1" x14ac:dyDescent="0.2">
      <c r="B291" s="16"/>
      <c r="E291" s="59"/>
      <c r="F291" s="59"/>
      <c r="I291" s="60"/>
    </row>
    <row r="292" spans="2:9" ht="13.5" customHeight="1" x14ac:dyDescent="0.2">
      <c r="B292" s="16"/>
      <c r="E292" s="59"/>
      <c r="F292" s="59"/>
      <c r="I292" s="60"/>
    </row>
    <row r="293" spans="2:9" ht="13.5" customHeight="1" x14ac:dyDescent="0.2">
      <c r="B293" s="16"/>
      <c r="E293" s="59"/>
      <c r="F293" s="59"/>
      <c r="I293" s="60"/>
    </row>
    <row r="294" spans="2:9" ht="13.5" customHeight="1" x14ac:dyDescent="0.2">
      <c r="B294" s="16"/>
      <c r="E294" s="59"/>
      <c r="F294" s="59"/>
      <c r="I294" s="60"/>
    </row>
    <row r="295" spans="2:9" ht="13.5" customHeight="1" x14ac:dyDescent="0.2">
      <c r="B295" s="16"/>
      <c r="E295" s="59"/>
      <c r="F295" s="59"/>
      <c r="I295" s="60"/>
    </row>
    <row r="296" spans="2:9" ht="13.5" customHeight="1" x14ac:dyDescent="0.2">
      <c r="B296" s="16"/>
      <c r="E296" s="59"/>
      <c r="F296" s="59"/>
      <c r="I296" s="60"/>
    </row>
    <row r="297" spans="2:9" ht="13.5" customHeight="1" x14ac:dyDescent="0.2">
      <c r="B297" s="16"/>
      <c r="E297" s="59"/>
      <c r="F297" s="59"/>
      <c r="I297" s="60"/>
    </row>
    <row r="298" spans="2:9" ht="13.5" customHeight="1" x14ac:dyDescent="0.2">
      <c r="B298" s="16"/>
      <c r="E298" s="59"/>
      <c r="F298" s="59"/>
      <c r="I298" s="60"/>
    </row>
    <row r="299" spans="2:9" ht="13.5" customHeight="1" x14ac:dyDescent="0.2">
      <c r="B299" s="16"/>
      <c r="E299" s="59"/>
      <c r="F299" s="59"/>
      <c r="I299" s="60"/>
    </row>
    <row r="300" spans="2:9" ht="13.5" customHeight="1" x14ac:dyDescent="0.2">
      <c r="B300" s="16"/>
      <c r="E300" s="59"/>
      <c r="F300" s="59"/>
      <c r="I300" s="60"/>
    </row>
    <row r="301" spans="2:9" ht="13.5" customHeight="1" x14ac:dyDescent="0.2">
      <c r="B301" s="16"/>
      <c r="E301" s="59"/>
      <c r="F301" s="59"/>
      <c r="I301" s="60"/>
    </row>
    <row r="302" spans="2:9" ht="13.5" customHeight="1" x14ac:dyDescent="0.2">
      <c r="B302" s="16"/>
      <c r="E302" s="59"/>
      <c r="F302" s="59"/>
      <c r="I302" s="60"/>
    </row>
    <row r="303" spans="2:9" ht="13.5" customHeight="1" x14ac:dyDescent="0.2">
      <c r="B303" s="16"/>
      <c r="E303" s="59"/>
      <c r="F303" s="59"/>
      <c r="I303" s="60"/>
    </row>
    <row r="304" spans="2:9" ht="13.5" customHeight="1" x14ac:dyDescent="0.2">
      <c r="B304" s="16"/>
      <c r="E304" s="59"/>
      <c r="F304" s="59"/>
      <c r="I304" s="60"/>
    </row>
    <row r="305" spans="2:9" ht="13.5" customHeight="1" x14ac:dyDescent="0.2">
      <c r="B305" s="16"/>
      <c r="E305" s="59"/>
      <c r="F305" s="59"/>
      <c r="I305" s="60"/>
    </row>
    <row r="306" spans="2:9" ht="13.5" customHeight="1" x14ac:dyDescent="0.2">
      <c r="B306" s="16"/>
      <c r="E306" s="59"/>
      <c r="F306" s="59"/>
      <c r="I306" s="60"/>
    </row>
    <row r="307" spans="2:9" ht="13.5" customHeight="1" x14ac:dyDescent="0.2">
      <c r="B307" s="16"/>
      <c r="E307" s="59"/>
      <c r="F307" s="59"/>
      <c r="I307" s="60"/>
    </row>
    <row r="308" spans="2:9" ht="13.5" customHeight="1" x14ac:dyDescent="0.2">
      <c r="B308" s="16"/>
      <c r="E308" s="59"/>
      <c r="F308" s="59"/>
      <c r="I308" s="60"/>
    </row>
    <row r="309" spans="2:9" ht="13.5" customHeight="1" x14ac:dyDescent="0.2">
      <c r="B309" s="16"/>
      <c r="E309" s="59"/>
      <c r="F309" s="59"/>
      <c r="I309" s="60"/>
    </row>
    <row r="310" spans="2:9" ht="13.5" customHeight="1" x14ac:dyDescent="0.2">
      <c r="B310" s="16"/>
      <c r="E310" s="59"/>
      <c r="F310" s="59"/>
      <c r="I310" s="60"/>
    </row>
    <row r="311" spans="2:9" ht="13.5" customHeight="1" x14ac:dyDescent="0.2">
      <c r="B311" s="16"/>
      <c r="E311" s="59"/>
      <c r="F311" s="59"/>
      <c r="I311" s="60"/>
    </row>
    <row r="312" spans="2:9" ht="13.5" customHeight="1" x14ac:dyDescent="0.2">
      <c r="B312" s="16"/>
      <c r="E312" s="59"/>
      <c r="F312" s="59"/>
      <c r="I312" s="60"/>
    </row>
    <row r="313" spans="2:9" ht="13.5" customHeight="1" x14ac:dyDescent="0.2">
      <c r="B313" s="16"/>
      <c r="E313" s="59"/>
      <c r="F313" s="59"/>
      <c r="I313" s="60"/>
    </row>
    <row r="314" spans="2:9" ht="13.5" customHeight="1" x14ac:dyDescent="0.2">
      <c r="B314" s="16"/>
      <c r="E314" s="59"/>
      <c r="F314" s="59"/>
      <c r="I314" s="60"/>
    </row>
    <row r="315" spans="2:9" ht="13.5" customHeight="1" x14ac:dyDescent="0.2">
      <c r="B315" s="16"/>
      <c r="E315" s="59"/>
      <c r="F315" s="59"/>
      <c r="I315" s="60"/>
    </row>
    <row r="316" spans="2:9" ht="13.5" customHeight="1" x14ac:dyDescent="0.2">
      <c r="B316" s="16"/>
      <c r="E316" s="59"/>
      <c r="F316" s="59"/>
      <c r="I316" s="60"/>
    </row>
    <row r="317" spans="2:9" ht="13.5" customHeight="1" x14ac:dyDescent="0.2">
      <c r="B317" s="16"/>
      <c r="E317" s="59"/>
      <c r="F317" s="59"/>
      <c r="I317" s="60"/>
    </row>
    <row r="318" spans="2:9" ht="13.5" customHeight="1" x14ac:dyDescent="0.2">
      <c r="B318" s="16"/>
      <c r="E318" s="59"/>
      <c r="F318" s="59"/>
      <c r="I318" s="60"/>
    </row>
    <row r="319" spans="2:9" ht="13.5" customHeight="1" x14ac:dyDescent="0.2">
      <c r="B319" s="16"/>
      <c r="E319" s="59"/>
      <c r="F319" s="59"/>
      <c r="I319" s="60"/>
    </row>
    <row r="320" spans="2:9" ht="13.5" customHeight="1" x14ac:dyDescent="0.2">
      <c r="B320" s="16"/>
      <c r="E320" s="59"/>
      <c r="F320" s="59"/>
      <c r="I320" s="60"/>
    </row>
    <row r="321" spans="2:9" ht="13.5" customHeight="1" x14ac:dyDescent="0.2">
      <c r="B321" s="16"/>
      <c r="E321" s="59"/>
      <c r="F321" s="59"/>
      <c r="I321" s="60"/>
    </row>
    <row r="322" spans="2:9" ht="13.5" customHeight="1" x14ac:dyDescent="0.2">
      <c r="B322" s="16"/>
      <c r="E322" s="59"/>
      <c r="F322" s="59"/>
      <c r="I322" s="60"/>
    </row>
    <row r="323" spans="2:9" ht="13.5" customHeight="1" x14ac:dyDescent="0.2">
      <c r="B323" s="16"/>
      <c r="E323" s="59"/>
      <c r="F323" s="59"/>
      <c r="I323" s="60"/>
    </row>
    <row r="324" spans="2:9" ht="13.5" customHeight="1" x14ac:dyDescent="0.2">
      <c r="B324" s="16"/>
      <c r="E324" s="59"/>
      <c r="F324" s="59"/>
      <c r="I324" s="60"/>
    </row>
    <row r="325" spans="2:9" ht="13.5" customHeight="1" x14ac:dyDescent="0.2">
      <c r="B325" s="16"/>
      <c r="E325" s="59"/>
      <c r="F325" s="59"/>
      <c r="I325" s="60"/>
    </row>
    <row r="326" spans="2:9" ht="13.5" customHeight="1" x14ac:dyDescent="0.2">
      <c r="B326" s="16"/>
      <c r="E326" s="59"/>
      <c r="F326" s="59"/>
      <c r="I326" s="60"/>
    </row>
    <row r="327" spans="2:9" ht="13.5" customHeight="1" x14ac:dyDescent="0.2">
      <c r="B327" s="16"/>
      <c r="E327" s="59"/>
      <c r="F327" s="59"/>
      <c r="I327" s="60"/>
    </row>
    <row r="328" spans="2:9" ht="13.5" customHeight="1" x14ac:dyDescent="0.2">
      <c r="B328" s="16"/>
      <c r="E328" s="59"/>
      <c r="F328" s="59"/>
      <c r="I328" s="60"/>
    </row>
    <row r="329" spans="2:9" ht="13.5" customHeight="1" x14ac:dyDescent="0.2">
      <c r="B329" s="16"/>
      <c r="E329" s="59"/>
      <c r="F329" s="59"/>
      <c r="I329" s="60"/>
    </row>
    <row r="330" spans="2:9" ht="13.5" customHeight="1" x14ac:dyDescent="0.2">
      <c r="B330" s="16"/>
      <c r="E330" s="59"/>
      <c r="F330" s="59"/>
      <c r="I330" s="60"/>
    </row>
    <row r="331" spans="2:9" ht="13.5" customHeight="1" x14ac:dyDescent="0.2">
      <c r="B331" s="16"/>
      <c r="E331" s="59"/>
      <c r="F331" s="59"/>
      <c r="I331" s="60"/>
    </row>
    <row r="332" spans="2:9" ht="13.5" customHeight="1" x14ac:dyDescent="0.2">
      <c r="B332" s="16"/>
      <c r="E332" s="59"/>
      <c r="F332" s="59"/>
      <c r="I332" s="60"/>
    </row>
    <row r="333" spans="2:9" ht="13.5" customHeight="1" x14ac:dyDescent="0.2">
      <c r="B333" s="16"/>
      <c r="E333" s="59"/>
      <c r="F333" s="59"/>
      <c r="I333" s="60"/>
    </row>
    <row r="334" spans="2:9" ht="13.5" customHeight="1" x14ac:dyDescent="0.2">
      <c r="B334" s="16"/>
      <c r="E334" s="59"/>
      <c r="F334" s="59"/>
      <c r="I334" s="60"/>
    </row>
    <row r="335" spans="2:9" ht="13.5" customHeight="1" x14ac:dyDescent="0.2">
      <c r="B335" s="16"/>
      <c r="E335" s="59"/>
      <c r="F335" s="59"/>
      <c r="I335" s="60"/>
    </row>
    <row r="336" spans="2:9" ht="13.5" customHeight="1" x14ac:dyDescent="0.2">
      <c r="B336" s="16"/>
      <c r="E336" s="59"/>
      <c r="F336" s="59"/>
      <c r="I336" s="60"/>
    </row>
    <row r="337" spans="2:9" ht="13.5" customHeight="1" x14ac:dyDescent="0.2">
      <c r="B337" s="16"/>
      <c r="E337" s="59"/>
      <c r="F337" s="59"/>
      <c r="I337" s="60"/>
    </row>
    <row r="338" spans="2:9" ht="13.5" customHeight="1" x14ac:dyDescent="0.2">
      <c r="B338" s="16"/>
      <c r="E338" s="59"/>
      <c r="F338" s="59"/>
      <c r="I338" s="60"/>
    </row>
    <row r="339" spans="2:9" ht="13.5" customHeight="1" x14ac:dyDescent="0.2">
      <c r="B339" s="16"/>
      <c r="E339" s="59"/>
      <c r="F339" s="59"/>
      <c r="I339" s="60"/>
    </row>
    <row r="340" spans="2:9" ht="13.5" customHeight="1" x14ac:dyDescent="0.2">
      <c r="B340" s="16"/>
      <c r="E340" s="59"/>
      <c r="F340" s="59"/>
      <c r="I340" s="60"/>
    </row>
    <row r="341" spans="2:9" ht="13.5" customHeight="1" x14ac:dyDescent="0.2">
      <c r="B341" s="16"/>
      <c r="E341" s="59"/>
      <c r="F341" s="59"/>
      <c r="I341" s="60"/>
    </row>
    <row r="342" spans="2:9" ht="13.5" customHeight="1" x14ac:dyDescent="0.2">
      <c r="B342" s="16"/>
      <c r="E342" s="59"/>
      <c r="F342" s="59"/>
      <c r="I342" s="60"/>
    </row>
    <row r="343" spans="2:9" ht="13.5" customHeight="1" x14ac:dyDescent="0.2">
      <c r="B343" s="16"/>
      <c r="E343" s="59"/>
      <c r="F343" s="59"/>
      <c r="I343" s="60"/>
    </row>
    <row r="344" spans="2:9" ht="13.5" customHeight="1" x14ac:dyDescent="0.2">
      <c r="B344" s="16"/>
      <c r="E344" s="59"/>
      <c r="F344" s="59"/>
      <c r="I344" s="60"/>
    </row>
    <row r="345" spans="2:9" ht="13.5" customHeight="1" x14ac:dyDescent="0.2">
      <c r="B345" s="16"/>
      <c r="E345" s="59"/>
      <c r="F345" s="59"/>
      <c r="I345" s="60"/>
    </row>
    <row r="346" spans="2:9" ht="13.5" customHeight="1" x14ac:dyDescent="0.2">
      <c r="B346" s="16"/>
      <c r="E346" s="59"/>
      <c r="F346" s="59"/>
      <c r="I346" s="60"/>
    </row>
    <row r="347" spans="2:9" ht="13.5" customHeight="1" x14ac:dyDescent="0.2">
      <c r="B347" s="16"/>
      <c r="E347" s="59"/>
      <c r="F347" s="59"/>
      <c r="I347" s="60"/>
    </row>
    <row r="348" spans="2:9" ht="13.5" customHeight="1" x14ac:dyDescent="0.2">
      <c r="B348" s="16"/>
      <c r="E348" s="59"/>
      <c r="F348" s="59"/>
      <c r="I348" s="60"/>
    </row>
    <row r="349" spans="2:9" ht="13.5" customHeight="1" x14ac:dyDescent="0.2">
      <c r="B349" s="16"/>
      <c r="E349" s="59"/>
      <c r="F349" s="59"/>
      <c r="I349" s="60"/>
    </row>
    <row r="350" spans="2:9" ht="13.5" customHeight="1" x14ac:dyDescent="0.2">
      <c r="B350" s="16"/>
      <c r="E350" s="59"/>
      <c r="F350" s="59"/>
      <c r="I350" s="60"/>
    </row>
    <row r="351" spans="2:9" ht="13.5" customHeight="1" x14ac:dyDescent="0.2">
      <c r="B351" s="16"/>
      <c r="E351" s="59"/>
      <c r="F351" s="59"/>
      <c r="I351" s="60"/>
    </row>
    <row r="352" spans="2:9" ht="13.5" customHeight="1" x14ac:dyDescent="0.2">
      <c r="B352" s="16"/>
      <c r="E352" s="59"/>
      <c r="F352" s="59"/>
      <c r="I352" s="60"/>
    </row>
    <row r="353" spans="2:9" ht="13.5" customHeight="1" x14ac:dyDescent="0.2">
      <c r="B353" s="16"/>
      <c r="E353" s="59"/>
      <c r="F353" s="59"/>
      <c r="I353" s="60"/>
    </row>
    <row r="354" spans="2:9" ht="13.5" customHeight="1" x14ac:dyDescent="0.2">
      <c r="B354" s="16"/>
      <c r="E354" s="59"/>
      <c r="F354" s="59"/>
      <c r="I354" s="60"/>
    </row>
    <row r="355" spans="2:9" ht="13.5" customHeight="1" x14ac:dyDescent="0.2">
      <c r="B355" s="16"/>
      <c r="E355" s="59"/>
      <c r="F355" s="59"/>
      <c r="I355" s="60"/>
    </row>
    <row r="356" spans="2:9" ht="13.5" customHeight="1" x14ac:dyDescent="0.2">
      <c r="B356" s="16"/>
      <c r="E356" s="59"/>
      <c r="F356" s="59"/>
      <c r="I356" s="60"/>
    </row>
    <row r="357" spans="2:9" ht="13.5" customHeight="1" x14ac:dyDescent="0.2">
      <c r="B357" s="16"/>
      <c r="E357" s="59"/>
      <c r="F357" s="59"/>
      <c r="I357" s="60"/>
    </row>
    <row r="358" spans="2:9" ht="13.5" customHeight="1" x14ac:dyDescent="0.2">
      <c r="B358" s="16"/>
      <c r="E358" s="59"/>
      <c r="F358" s="59"/>
      <c r="I358" s="60"/>
    </row>
    <row r="359" spans="2:9" ht="13.5" customHeight="1" x14ac:dyDescent="0.2">
      <c r="B359" s="16"/>
      <c r="E359" s="59"/>
      <c r="F359" s="59"/>
      <c r="I359" s="60"/>
    </row>
    <row r="360" spans="2:9" ht="13.5" customHeight="1" x14ac:dyDescent="0.2">
      <c r="B360" s="16"/>
      <c r="E360" s="59"/>
      <c r="F360" s="59"/>
      <c r="I360" s="60"/>
    </row>
    <row r="361" spans="2:9" ht="13.5" customHeight="1" x14ac:dyDescent="0.2">
      <c r="B361" s="16"/>
      <c r="E361" s="59"/>
      <c r="F361" s="59"/>
      <c r="I361" s="60"/>
    </row>
    <row r="362" spans="2:9" ht="13.5" customHeight="1" x14ac:dyDescent="0.2">
      <c r="B362" s="16"/>
      <c r="E362" s="59"/>
      <c r="F362" s="59"/>
      <c r="I362" s="60"/>
    </row>
    <row r="363" spans="2:9" ht="13.5" customHeight="1" x14ac:dyDescent="0.2">
      <c r="B363" s="16"/>
      <c r="E363" s="59"/>
      <c r="F363" s="59"/>
      <c r="I363" s="60"/>
    </row>
    <row r="364" spans="2:9" ht="13.5" customHeight="1" x14ac:dyDescent="0.2">
      <c r="B364" s="16"/>
      <c r="E364" s="59"/>
      <c r="F364" s="59"/>
      <c r="I364" s="60"/>
    </row>
    <row r="365" spans="2:9" ht="13.5" customHeight="1" x14ac:dyDescent="0.2">
      <c r="B365" s="16"/>
      <c r="E365" s="59"/>
      <c r="F365" s="59"/>
      <c r="I365" s="60"/>
    </row>
    <row r="366" spans="2:9" ht="13.5" customHeight="1" x14ac:dyDescent="0.2">
      <c r="B366" s="16"/>
      <c r="E366" s="59"/>
      <c r="F366" s="59"/>
      <c r="I366" s="60"/>
    </row>
    <row r="367" spans="2:9" ht="13.5" customHeight="1" x14ac:dyDescent="0.2">
      <c r="B367" s="16"/>
      <c r="E367" s="59"/>
      <c r="F367" s="59"/>
      <c r="I367" s="60"/>
    </row>
    <row r="368" spans="2:9" ht="13.5" customHeight="1" x14ac:dyDescent="0.2">
      <c r="B368" s="16"/>
      <c r="E368" s="59"/>
      <c r="F368" s="59"/>
      <c r="I368" s="60"/>
    </row>
    <row r="369" spans="2:9" ht="13.5" customHeight="1" x14ac:dyDescent="0.2">
      <c r="B369" s="16"/>
      <c r="E369" s="59"/>
      <c r="F369" s="59"/>
      <c r="I369" s="60"/>
    </row>
    <row r="370" spans="2:9" ht="13.5" customHeight="1" x14ac:dyDescent="0.2">
      <c r="B370" s="16"/>
      <c r="E370" s="59"/>
      <c r="F370" s="59"/>
      <c r="I370" s="60"/>
    </row>
    <row r="371" spans="2:9" ht="13.5" customHeight="1" x14ac:dyDescent="0.2">
      <c r="B371" s="16"/>
      <c r="E371" s="59"/>
      <c r="F371" s="59"/>
      <c r="I371" s="60"/>
    </row>
    <row r="372" spans="2:9" ht="13.5" customHeight="1" x14ac:dyDescent="0.2">
      <c r="B372" s="16"/>
      <c r="E372" s="59"/>
      <c r="F372" s="59"/>
      <c r="I372" s="60"/>
    </row>
    <row r="373" spans="2:9" ht="13.5" customHeight="1" x14ac:dyDescent="0.2">
      <c r="B373" s="16"/>
      <c r="E373" s="59"/>
      <c r="F373" s="59"/>
      <c r="I373" s="60"/>
    </row>
    <row r="374" spans="2:9" ht="13.5" customHeight="1" x14ac:dyDescent="0.2">
      <c r="B374" s="16"/>
      <c r="E374" s="59"/>
      <c r="F374" s="59"/>
      <c r="I374" s="60"/>
    </row>
    <row r="375" spans="2:9" ht="13.5" customHeight="1" x14ac:dyDescent="0.2">
      <c r="B375" s="16"/>
      <c r="E375" s="59"/>
      <c r="F375" s="59"/>
      <c r="I375" s="60"/>
    </row>
    <row r="376" spans="2:9" ht="13.5" customHeight="1" x14ac:dyDescent="0.2">
      <c r="B376" s="16"/>
      <c r="E376" s="59"/>
      <c r="F376" s="59"/>
      <c r="I376" s="60"/>
    </row>
    <row r="377" spans="2:9" ht="13.5" customHeight="1" x14ac:dyDescent="0.2">
      <c r="B377" s="16"/>
      <c r="E377" s="59"/>
      <c r="F377" s="59"/>
      <c r="I377" s="60"/>
    </row>
    <row r="378" spans="2:9" ht="13.5" customHeight="1" x14ac:dyDescent="0.2">
      <c r="B378" s="16"/>
      <c r="E378" s="59"/>
      <c r="F378" s="59"/>
      <c r="I378" s="60"/>
    </row>
    <row r="379" spans="2:9" ht="13.5" customHeight="1" x14ac:dyDescent="0.2">
      <c r="B379" s="16"/>
      <c r="E379" s="59"/>
      <c r="F379" s="59"/>
      <c r="I379" s="60"/>
    </row>
    <row r="380" spans="2:9" ht="13.5" customHeight="1" x14ac:dyDescent="0.2">
      <c r="B380" s="16"/>
      <c r="E380" s="59"/>
      <c r="F380" s="59"/>
      <c r="I380" s="60"/>
    </row>
    <row r="381" spans="2:9" ht="13.5" customHeight="1" x14ac:dyDescent="0.2">
      <c r="B381" s="16"/>
      <c r="E381" s="59"/>
      <c r="F381" s="59"/>
      <c r="I381" s="60"/>
    </row>
    <row r="382" spans="2:9" ht="13.5" customHeight="1" x14ac:dyDescent="0.2">
      <c r="B382" s="16"/>
      <c r="E382" s="59"/>
      <c r="F382" s="59"/>
      <c r="I382" s="60"/>
    </row>
    <row r="383" spans="2:9" ht="13.5" customHeight="1" x14ac:dyDescent="0.2">
      <c r="B383" s="16"/>
      <c r="E383" s="59"/>
      <c r="F383" s="59"/>
      <c r="I383" s="60"/>
    </row>
    <row r="384" spans="2:9" ht="13.5" customHeight="1" x14ac:dyDescent="0.2">
      <c r="B384" s="16"/>
      <c r="E384" s="59"/>
      <c r="F384" s="59"/>
      <c r="I384" s="60"/>
    </row>
    <row r="385" spans="2:9" ht="13.5" customHeight="1" x14ac:dyDescent="0.2">
      <c r="B385" s="16"/>
      <c r="E385" s="59"/>
      <c r="F385" s="59"/>
      <c r="I385" s="60"/>
    </row>
    <row r="386" spans="2:9" ht="13.5" customHeight="1" x14ac:dyDescent="0.2">
      <c r="B386" s="16"/>
      <c r="E386" s="59"/>
      <c r="F386" s="59"/>
      <c r="I386" s="60"/>
    </row>
    <row r="387" spans="2:9" ht="13.5" customHeight="1" x14ac:dyDescent="0.2">
      <c r="B387" s="16"/>
      <c r="E387" s="59"/>
      <c r="F387" s="59"/>
      <c r="I387" s="60"/>
    </row>
    <row r="388" spans="2:9" ht="13.5" customHeight="1" x14ac:dyDescent="0.2">
      <c r="B388" s="16"/>
      <c r="E388" s="59"/>
      <c r="F388" s="59"/>
      <c r="I388" s="60"/>
    </row>
    <row r="389" spans="2:9" ht="13.5" customHeight="1" x14ac:dyDescent="0.2">
      <c r="B389" s="16"/>
      <c r="E389" s="59"/>
      <c r="F389" s="59"/>
      <c r="I389" s="60"/>
    </row>
    <row r="390" spans="2:9" ht="13.5" customHeight="1" x14ac:dyDescent="0.2">
      <c r="B390" s="16"/>
      <c r="E390" s="59"/>
      <c r="F390" s="59"/>
      <c r="I390" s="60"/>
    </row>
    <row r="391" spans="2:9" ht="13.5" customHeight="1" x14ac:dyDescent="0.2">
      <c r="B391" s="16"/>
      <c r="E391" s="59"/>
      <c r="F391" s="59"/>
      <c r="I391" s="60"/>
    </row>
    <row r="392" spans="2:9" ht="13.5" customHeight="1" x14ac:dyDescent="0.2">
      <c r="B392" s="16"/>
      <c r="E392" s="59"/>
      <c r="F392" s="59"/>
      <c r="I392" s="60"/>
    </row>
    <row r="393" spans="2:9" ht="13.5" customHeight="1" x14ac:dyDescent="0.2">
      <c r="B393" s="16"/>
      <c r="E393" s="59"/>
      <c r="F393" s="59"/>
      <c r="I393" s="60"/>
    </row>
    <row r="394" spans="2:9" ht="13.5" customHeight="1" x14ac:dyDescent="0.2">
      <c r="B394" s="16"/>
      <c r="E394" s="59"/>
      <c r="F394" s="59"/>
      <c r="I394" s="60"/>
    </row>
    <row r="395" spans="2:9" ht="13.5" customHeight="1" x14ac:dyDescent="0.2">
      <c r="B395" s="16"/>
      <c r="E395" s="59"/>
      <c r="F395" s="59"/>
      <c r="I395" s="60"/>
    </row>
    <row r="396" spans="2:9" ht="13.5" customHeight="1" x14ac:dyDescent="0.2">
      <c r="B396" s="16"/>
      <c r="E396" s="59"/>
      <c r="F396" s="59"/>
      <c r="I396" s="60"/>
    </row>
    <row r="397" spans="2:9" ht="13.5" customHeight="1" x14ac:dyDescent="0.2">
      <c r="B397" s="16"/>
      <c r="E397" s="59"/>
      <c r="F397" s="59"/>
      <c r="I397" s="60"/>
    </row>
    <row r="398" spans="2:9" ht="13.5" customHeight="1" x14ac:dyDescent="0.2">
      <c r="B398" s="16"/>
      <c r="E398" s="59"/>
      <c r="F398" s="59"/>
      <c r="I398" s="60"/>
    </row>
    <row r="399" spans="2:9" ht="13.5" customHeight="1" x14ac:dyDescent="0.2">
      <c r="B399" s="16"/>
      <c r="E399" s="59"/>
      <c r="F399" s="59"/>
      <c r="I399" s="60"/>
    </row>
    <row r="400" spans="2:9" ht="13.5" customHeight="1" x14ac:dyDescent="0.2">
      <c r="B400" s="16"/>
      <c r="E400" s="59"/>
      <c r="F400" s="59"/>
      <c r="I400" s="60"/>
    </row>
    <row r="401" spans="2:9" ht="13.5" customHeight="1" x14ac:dyDescent="0.2">
      <c r="B401" s="16"/>
      <c r="E401" s="59"/>
      <c r="F401" s="59"/>
      <c r="I401" s="60"/>
    </row>
    <row r="402" spans="2:9" ht="13.5" customHeight="1" x14ac:dyDescent="0.2">
      <c r="B402" s="16"/>
      <c r="E402" s="59"/>
      <c r="F402" s="59"/>
      <c r="I402" s="60"/>
    </row>
    <row r="403" spans="2:9" ht="13.5" customHeight="1" x14ac:dyDescent="0.2">
      <c r="B403" s="16"/>
      <c r="E403" s="59"/>
      <c r="F403" s="59"/>
      <c r="I403" s="60"/>
    </row>
    <row r="404" spans="2:9" ht="13.5" customHeight="1" x14ac:dyDescent="0.2">
      <c r="B404" s="16"/>
      <c r="E404" s="59"/>
      <c r="F404" s="59"/>
      <c r="I404" s="60"/>
    </row>
    <row r="405" spans="2:9" ht="13.5" customHeight="1" x14ac:dyDescent="0.2">
      <c r="B405" s="16"/>
      <c r="E405" s="59"/>
      <c r="F405" s="59"/>
      <c r="I405" s="60"/>
    </row>
    <row r="406" spans="2:9" ht="13.5" customHeight="1" x14ac:dyDescent="0.2">
      <c r="B406" s="16"/>
      <c r="E406" s="59"/>
      <c r="F406" s="59"/>
      <c r="I406" s="60"/>
    </row>
    <row r="407" spans="2:9" ht="13.5" customHeight="1" x14ac:dyDescent="0.2">
      <c r="B407" s="16"/>
      <c r="E407" s="59"/>
      <c r="F407" s="59"/>
      <c r="I407" s="60"/>
    </row>
    <row r="408" spans="2:9" ht="13.5" customHeight="1" x14ac:dyDescent="0.2">
      <c r="B408" s="16"/>
      <c r="E408" s="59"/>
      <c r="F408" s="59"/>
      <c r="I408" s="60"/>
    </row>
    <row r="409" spans="2:9" ht="13.5" customHeight="1" x14ac:dyDescent="0.2">
      <c r="B409" s="16"/>
      <c r="E409" s="59"/>
      <c r="F409" s="59"/>
      <c r="I409" s="60"/>
    </row>
    <row r="410" spans="2:9" ht="13.5" customHeight="1" x14ac:dyDescent="0.2">
      <c r="B410" s="16"/>
      <c r="E410" s="59"/>
      <c r="F410" s="59"/>
      <c r="I410" s="60"/>
    </row>
    <row r="411" spans="2:9" ht="13.5" customHeight="1" x14ac:dyDescent="0.2">
      <c r="B411" s="16"/>
      <c r="E411" s="59"/>
      <c r="F411" s="59"/>
      <c r="I411" s="60"/>
    </row>
    <row r="412" spans="2:9" ht="13.5" customHeight="1" x14ac:dyDescent="0.2">
      <c r="B412" s="16"/>
      <c r="E412" s="59"/>
      <c r="F412" s="59"/>
      <c r="I412" s="60"/>
    </row>
    <row r="413" spans="2:9" ht="13.5" customHeight="1" x14ac:dyDescent="0.2">
      <c r="B413" s="16"/>
      <c r="E413" s="59"/>
      <c r="F413" s="59"/>
      <c r="I413" s="60"/>
    </row>
    <row r="414" spans="2:9" ht="13.5" customHeight="1" x14ac:dyDescent="0.2">
      <c r="B414" s="16"/>
      <c r="E414" s="59"/>
      <c r="F414" s="59"/>
      <c r="I414" s="60"/>
    </row>
    <row r="415" spans="2:9" ht="13.5" customHeight="1" x14ac:dyDescent="0.2">
      <c r="B415" s="16"/>
      <c r="E415" s="59"/>
      <c r="F415" s="59"/>
      <c r="I415" s="60"/>
    </row>
    <row r="416" spans="2:9" ht="13.5" customHeight="1" x14ac:dyDescent="0.2">
      <c r="B416" s="16"/>
      <c r="E416" s="59"/>
      <c r="F416" s="59"/>
      <c r="I416" s="60"/>
    </row>
    <row r="417" spans="2:9" ht="13.5" customHeight="1" x14ac:dyDescent="0.2">
      <c r="B417" s="16"/>
      <c r="E417" s="59"/>
      <c r="F417" s="59"/>
      <c r="I417" s="60"/>
    </row>
    <row r="418" spans="2:9" ht="13.5" customHeight="1" x14ac:dyDescent="0.2">
      <c r="B418" s="16"/>
      <c r="E418" s="59"/>
      <c r="F418" s="59"/>
      <c r="I418" s="60"/>
    </row>
    <row r="419" spans="2:9" ht="13.5" customHeight="1" x14ac:dyDescent="0.2">
      <c r="B419" s="16"/>
      <c r="E419" s="59"/>
      <c r="F419" s="59"/>
      <c r="I419" s="60"/>
    </row>
    <row r="420" spans="2:9" ht="13.5" customHeight="1" x14ac:dyDescent="0.2">
      <c r="B420" s="16"/>
      <c r="E420" s="59"/>
      <c r="F420" s="59"/>
      <c r="I420" s="60"/>
    </row>
    <row r="421" spans="2:9" ht="13.5" customHeight="1" x14ac:dyDescent="0.2">
      <c r="B421" s="16"/>
      <c r="E421" s="59"/>
      <c r="F421" s="59"/>
      <c r="I421" s="60"/>
    </row>
    <row r="422" spans="2:9" ht="13.5" customHeight="1" x14ac:dyDescent="0.2">
      <c r="B422" s="16"/>
      <c r="E422" s="59"/>
      <c r="F422" s="59"/>
      <c r="I422" s="60"/>
    </row>
    <row r="423" spans="2:9" ht="13.5" customHeight="1" x14ac:dyDescent="0.2">
      <c r="B423" s="16"/>
      <c r="E423" s="59"/>
      <c r="F423" s="59"/>
      <c r="I423" s="60"/>
    </row>
    <row r="424" spans="2:9" ht="13.5" customHeight="1" x14ac:dyDescent="0.2">
      <c r="B424" s="16"/>
      <c r="E424" s="59"/>
      <c r="F424" s="59"/>
      <c r="I424" s="60"/>
    </row>
    <row r="425" spans="2:9" ht="13.5" customHeight="1" x14ac:dyDescent="0.2">
      <c r="B425" s="16"/>
      <c r="E425" s="59"/>
      <c r="F425" s="59"/>
      <c r="I425" s="60"/>
    </row>
    <row r="426" spans="2:9" ht="13.5" customHeight="1" x14ac:dyDescent="0.2">
      <c r="B426" s="16"/>
      <c r="E426" s="59"/>
      <c r="F426" s="59"/>
      <c r="I426" s="60"/>
    </row>
    <row r="427" spans="2:9" ht="13.5" customHeight="1" x14ac:dyDescent="0.2">
      <c r="B427" s="16"/>
      <c r="E427" s="59"/>
      <c r="F427" s="59"/>
      <c r="I427" s="60"/>
    </row>
    <row r="428" spans="2:9" ht="13.5" customHeight="1" x14ac:dyDescent="0.2">
      <c r="B428" s="16"/>
      <c r="E428" s="59"/>
      <c r="F428" s="59"/>
      <c r="I428" s="60"/>
    </row>
    <row r="429" spans="2:9" ht="13.5" customHeight="1" x14ac:dyDescent="0.2">
      <c r="B429" s="16"/>
      <c r="E429" s="59"/>
      <c r="F429" s="59"/>
      <c r="I429" s="60"/>
    </row>
    <row r="430" spans="2:9" ht="13.5" customHeight="1" x14ac:dyDescent="0.2">
      <c r="B430" s="16"/>
      <c r="E430" s="59"/>
      <c r="F430" s="59"/>
      <c r="I430" s="60"/>
    </row>
    <row r="431" spans="2:9" ht="13.5" customHeight="1" x14ac:dyDescent="0.2">
      <c r="B431" s="16"/>
      <c r="E431" s="59"/>
      <c r="F431" s="59"/>
      <c r="I431" s="60"/>
    </row>
    <row r="432" spans="2:9" ht="13.5" customHeight="1" x14ac:dyDescent="0.2">
      <c r="B432" s="16"/>
      <c r="E432" s="59"/>
      <c r="F432" s="59"/>
      <c r="I432" s="60"/>
    </row>
    <row r="433" spans="2:9" ht="13.5" customHeight="1" x14ac:dyDescent="0.2">
      <c r="B433" s="16"/>
      <c r="E433" s="59"/>
      <c r="F433" s="59"/>
      <c r="I433" s="60"/>
    </row>
    <row r="434" spans="2:9" ht="13.5" customHeight="1" x14ac:dyDescent="0.2">
      <c r="B434" s="16"/>
      <c r="E434" s="59"/>
      <c r="F434" s="59"/>
      <c r="I434" s="60"/>
    </row>
    <row r="435" spans="2:9" ht="13.5" customHeight="1" x14ac:dyDescent="0.2">
      <c r="B435" s="16"/>
      <c r="E435" s="59"/>
      <c r="F435" s="59"/>
      <c r="I435" s="60"/>
    </row>
    <row r="436" spans="2:9" ht="13.5" customHeight="1" x14ac:dyDescent="0.2">
      <c r="B436" s="16"/>
      <c r="E436" s="59"/>
      <c r="F436" s="59"/>
      <c r="I436" s="60"/>
    </row>
    <row r="437" spans="2:9" ht="13.5" customHeight="1" x14ac:dyDescent="0.2">
      <c r="B437" s="16"/>
      <c r="E437" s="59"/>
      <c r="F437" s="59"/>
      <c r="I437" s="60"/>
    </row>
    <row r="438" spans="2:9" ht="13.5" customHeight="1" x14ac:dyDescent="0.2">
      <c r="B438" s="16"/>
      <c r="E438" s="59"/>
      <c r="F438" s="59"/>
      <c r="I438" s="60"/>
    </row>
    <row r="439" spans="2:9" ht="13.5" customHeight="1" x14ac:dyDescent="0.2">
      <c r="B439" s="16"/>
      <c r="E439" s="59"/>
      <c r="F439" s="59"/>
      <c r="I439" s="60"/>
    </row>
    <row r="440" spans="2:9" ht="13.5" customHeight="1" x14ac:dyDescent="0.2">
      <c r="B440" s="16"/>
      <c r="E440" s="59"/>
      <c r="F440" s="59"/>
      <c r="I440" s="60"/>
    </row>
    <row r="441" spans="2:9" ht="13.5" customHeight="1" x14ac:dyDescent="0.2">
      <c r="B441" s="16"/>
      <c r="E441" s="59"/>
      <c r="F441" s="59"/>
      <c r="I441" s="60"/>
    </row>
    <row r="442" spans="2:9" ht="13.5" customHeight="1" x14ac:dyDescent="0.2">
      <c r="B442" s="16"/>
      <c r="E442" s="59"/>
      <c r="F442" s="59"/>
      <c r="I442" s="60"/>
    </row>
    <row r="443" spans="2:9" ht="13.5" customHeight="1" x14ac:dyDescent="0.2">
      <c r="B443" s="16"/>
      <c r="E443" s="59"/>
      <c r="F443" s="59"/>
      <c r="I443" s="60"/>
    </row>
    <row r="444" spans="2:9" ht="13.5" customHeight="1" x14ac:dyDescent="0.2">
      <c r="B444" s="16"/>
      <c r="E444" s="59"/>
      <c r="F444" s="59"/>
      <c r="I444" s="60"/>
    </row>
    <row r="445" spans="2:9" ht="13.5" customHeight="1" x14ac:dyDescent="0.2">
      <c r="B445" s="16"/>
      <c r="E445" s="59"/>
      <c r="F445" s="59"/>
      <c r="I445" s="60"/>
    </row>
    <row r="446" spans="2:9" ht="13.5" customHeight="1" x14ac:dyDescent="0.2">
      <c r="B446" s="16"/>
      <c r="E446" s="59"/>
      <c r="F446" s="59"/>
      <c r="I446" s="60"/>
    </row>
    <row r="447" spans="2:9" ht="13.5" customHeight="1" x14ac:dyDescent="0.2">
      <c r="B447" s="16"/>
      <c r="E447" s="59"/>
      <c r="F447" s="59"/>
      <c r="I447" s="60"/>
    </row>
    <row r="448" spans="2:9" ht="13.5" customHeight="1" x14ac:dyDescent="0.2">
      <c r="B448" s="16"/>
      <c r="E448" s="59"/>
      <c r="F448" s="59"/>
      <c r="I448" s="60"/>
    </row>
    <row r="449" spans="2:9" ht="13.5" customHeight="1" x14ac:dyDescent="0.2">
      <c r="B449" s="16"/>
      <c r="E449" s="59"/>
      <c r="F449" s="59"/>
      <c r="I449" s="60"/>
    </row>
    <row r="450" spans="2:9" ht="13.5" customHeight="1" x14ac:dyDescent="0.2">
      <c r="B450" s="16"/>
      <c r="E450" s="59"/>
      <c r="F450" s="59"/>
      <c r="I450" s="60"/>
    </row>
    <row r="451" spans="2:9" ht="13.5" customHeight="1" x14ac:dyDescent="0.2">
      <c r="B451" s="16"/>
      <c r="E451" s="59"/>
      <c r="F451" s="59"/>
      <c r="I451" s="60"/>
    </row>
    <row r="452" spans="2:9" ht="13.5" customHeight="1" x14ac:dyDescent="0.2">
      <c r="B452" s="16"/>
      <c r="E452" s="59"/>
      <c r="F452" s="59"/>
      <c r="I452" s="60"/>
    </row>
    <row r="453" spans="2:9" ht="13.5" customHeight="1" x14ac:dyDescent="0.2">
      <c r="B453" s="16"/>
      <c r="E453" s="59"/>
      <c r="F453" s="59"/>
      <c r="I453" s="60"/>
    </row>
    <row r="454" spans="2:9" ht="13.5" customHeight="1" x14ac:dyDescent="0.2">
      <c r="B454" s="16"/>
      <c r="E454" s="59"/>
      <c r="F454" s="59"/>
      <c r="I454" s="60"/>
    </row>
    <row r="455" spans="2:9" ht="13.5" customHeight="1" x14ac:dyDescent="0.2">
      <c r="B455" s="16"/>
      <c r="E455" s="59"/>
      <c r="F455" s="59"/>
      <c r="I455" s="60"/>
    </row>
    <row r="456" spans="2:9" ht="13.5" customHeight="1" x14ac:dyDescent="0.2">
      <c r="B456" s="16"/>
      <c r="E456" s="59"/>
      <c r="F456" s="59"/>
      <c r="I456" s="60"/>
    </row>
    <row r="457" spans="2:9" ht="13.5" customHeight="1" x14ac:dyDescent="0.2">
      <c r="B457" s="16"/>
      <c r="E457" s="59"/>
      <c r="F457" s="59"/>
      <c r="I457" s="60"/>
    </row>
    <row r="458" spans="2:9" ht="13.5" customHeight="1" x14ac:dyDescent="0.2">
      <c r="B458" s="16"/>
      <c r="E458" s="59"/>
      <c r="F458" s="59"/>
      <c r="I458" s="60"/>
    </row>
    <row r="459" spans="2:9" ht="13.5" customHeight="1" x14ac:dyDescent="0.2">
      <c r="B459" s="16"/>
      <c r="E459" s="59"/>
      <c r="F459" s="59"/>
      <c r="I459" s="60"/>
    </row>
    <row r="460" spans="2:9" ht="13.5" customHeight="1" x14ac:dyDescent="0.2">
      <c r="B460" s="16"/>
      <c r="E460" s="59"/>
      <c r="F460" s="59"/>
      <c r="I460" s="60"/>
    </row>
    <row r="461" spans="2:9" ht="13.5" customHeight="1" x14ac:dyDescent="0.2">
      <c r="B461" s="16"/>
      <c r="E461" s="59"/>
      <c r="F461" s="59"/>
      <c r="I461" s="60"/>
    </row>
    <row r="462" spans="2:9" ht="13.5" customHeight="1" x14ac:dyDescent="0.2">
      <c r="B462" s="16"/>
      <c r="E462" s="59"/>
      <c r="F462" s="59"/>
      <c r="I462" s="60"/>
    </row>
    <row r="463" spans="2:9" ht="13.5" customHeight="1" x14ac:dyDescent="0.2">
      <c r="B463" s="16"/>
      <c r="E463" s="59"/>
      <c r="F463" s="59"/>
      <c r="I463" s="60"/>
    </row>
    <row r="464" spans="2:9" ht="13.5" customHeight="1" x14ac:dyDescent="0.2">
      <c r="B464" s="16"/>
      <c r="E464" s="59"/>
      <c r="F464" s="59"/>
      <c r="I464" s="60"/>
    </row>
    <row r="465" spans="2:9" ht="13.5" customHeight="1" x14ac:dyDescent="0.2">
      <c r="B465" s="16"/>
      <c r="E465" s="59"/>
      <c r="F465" s="59"/>
      <c r="I465" s="60"/>
    </row>
    <row r="466" spans="2:9" ht="13.5" customHeight="1" x14ac:dyDescent="0.2">
      <c r="B466" s="16"/>
      <c r="E466" s="59"/>
      <c r="F466" s="59"/>
      <c r="I466" s="60"/>
    </row>
    <row r="467" spans="2:9" ht="13.5" customHeight="1" x14ac:dyDescent="0.2">
      <c r="B467" s="16"/>
      <c r="E467" s="59"/>
      <c r="F467" s="59"/>
      <c r="I467" s="60"/>
    </row>
    <row r="468" spans="2:9" ht="13.5" customHeight="1" x14ac:dyDescent="0.2">
      <c r="B468" s="16"/>
      <c r="E468" s="59"/>
      <c r="F468" s="59"/>
      <c r="I468" s="60"/>
    </row>
    <row r="469" spans="2:9" ht="13.5" customHeight="1" x14ac:dyDescent="0.2">
      <c r="B469" s="16"/>
      <c r="E469" s="59"/>
      <c r="F469" s="59"/>
      <c r="I469" s="60"/>
    </row>
    <row r="470" spans="2:9" ht="13.5" customHeight="1" x14ac:dyDescent="0.2">
      <c r="B470" s="16"/>
      <c r="E470" s="59"/>
      <c r="F470" s="59"/>
      <c r="I470" s="60"/>
    </row>
    <row r="471" spans="2:9" ht="13.5" customHeight="1" x14ac:dyDescent="0.2">
      <c r="B471" s="16"/>
      <c r="E471" s="59"/>
      <c r="F471" s="59"/>
      <c r="I471" s="60"/>
    </row>
    <row r="472" spans="2:9" ht="13.5" customHeight="1" x14ac:dyDescent="0.2">
      <c r="B472" s="16"/>
      <c r="E472" s="59"/>
      <c r="F472" s="59"/>
      <c r="I472" s="60"/>
    </row>
    <row r="473" spans="2:9" ht="13.5" customHeight="1" x14ac:dyDescent="0.2">
      <c r="B473" s="16"/>
      <c r="E473" s="59"/>
      <c r="F473" s="59"/>
      <c r="I473" s="60"/>
    </row>
    <row r="474" spans="2:9" ht="13.5" customHeight="1" x14ac:dyDescent="0.2">
      <c r="B474" s="16"/>
      <c r="E474" s="59"/>
      <c r="F474" s="59"/>
      <c r="I474" s="60"/>
    </row>
    <row r="475" spans="2:9" ht="13.5" customHeight="1" x14ac:dyDescent="0.2">
      <c r="B475" s="16"/>
      <c r="E475" s="59"/>
      <c r="F475" s="59"/>
      <c r="I475" s="60"/>
    </row>
    <row r="476" spans="2:9" ht="13.5" customHeight="1" x14ac:dyDescent="0.2">
      <c r="B476" s="16"/>
      <c r="E476" s="59"/>
      <c r="F476" s="59"/>
      <c r="I476" s="60"/>
    </row>
    <row r="477" spans="2:9" ht="13.5" customHeight="1" x14ac:dyDescent="0.2">
      <c r="B477" s="16"/>
      <c r="E477" s="59"/>
      <c r="F477" s="59"/>
      <c r="I477" s="60"/>
    </row>
    <row r="478" spans="2:9" ht="13.5" customHeight="1" x14ac:dyDescent="0.2">
      <c r="B478" s="16"/>
      <c r="E478" s="59"/>
      <c r="F478" s="59"/>
      <c r="I478" s="60"/>
    </row>
    <row r="479" spans="2:9" ht="13.5" customHeight="1" x14ac:dyDescent="0.2">
      <c r="B479" s="16"/>
      <c r="E479" s="59"/>
      <c r="F479" s="59"/>
      <c r="I479" s="60"/>
    </row>
    <row r="480" spans="2:9" ht="13.5" customHeight="1" x14ac:dyDescent="0.2">
      <c r="B480" s="16"/>
      <c r="E480" s="59"/>
      <c r="F480" s="59"/>
      <c r="I480" s="60"/>
    </row>
    <row r="481" spans="2:9" ht="13.5" customHeight="1" x14ac:dyDescent="0.2">
      <c r="B481" s="16"/>
      <c r="E481" s="59"/>
      <c r="F481" s="59"/>
      <c r="I481" s="60"/>
    </row>
    <row r="482" spans="2:9" ht="13.5" customHeight="1" x14ac:dyDescent="0.2">
      <c r="B482" s="16"/>
      <c r="E482" s="59"/>
      <c r="F482" s="59"/>
      <c r="I482" s="60"/>
    </row>
    <row r="483" spans="2:9" ht="13.5" customHeight="1" x14ac:dyDescent="0.2">
      <c r="B483" s="16"/>
      <c r="E483" s="59"/>
      <c r="F483" s="59"/>
      <c r="I483" s="60"/>
    </row>
    <row r="484" spans="2:9" ht="13.5" customHeight="1" x14ac:dyDescent="0.2">
      <c r="B484" s="16"/>
      <c r="E484" s="59"/>
      <c r="F484" s="59"/>
      <c r="I484" s="60"/>
    </row>
    <row r="485" spans="2:9" ht="13.5" customHeight="1" x14ac:dyDescent="0.2">
      <c r="B485" s="16"/>
      <c r="E485" s="59"/>
      <c r="F485" s="59"/>
      <c r="I485" s="60"/>
    </row>
    <row r="486" spans="2:9" ht="13.5" customHeight="1" x14ac:dyDescent="0.2">
      <c r="B486" s="16"/>
      <c r="E486" s="59"/>
      <c r="F486" s="59"/>
      <c r="I486" s="60"/>
    </row>
    <row r="487" spans="2:9" ht="13.5" customHeight="1" x14ac:dyDescent="0.2">
      <c r="B487" s="16"/>
      <c r="E487" s="59"/>
      <c r="F487" s="59"/>
      <c r="I487" s="60"/>
    </row>
    <row r="488" spans="2:9" ht="13.5" customHeight="1" x14ac:dyDescent="0.2">
      <c r="B488" s="16"/>
      <c r="E488" s="59"/>
      <c r="F488" s="59"/>
      <c r="I488" s="60"/>
    </row>
    <row r="489" spans="2:9" ht="13.5" customHeight="1" x14ac:dyDescent="0.2">
      <c r="B489" s="16"/>
      <c r="E489" s="59"/>
      <c r="F489" s="59"/>
      <c r="I489" s="60"/>
    </row>
    <row r="490" spans="2:9" ht="13.5" customHeight="1" x14ac:dyDescent="0.2">
      <c r="B490" s="16"/>
      <c r="E490" s="59"/>
      <c r="F490" s="59"/>
      <c r="I490" s="60"/>
    </row>
    <row r="491" spans="2:9" ht="13.5" customHeight="1" x14ac:dyDescent="0.2">
      <c r="B491" s="16"/>
      <c r="E491" s="59"/>
      <c r="F491" s="59"/>
      <c r="I491" s="60"/>
    </row>
    <row r="492" spans="2:9" ht="13.5" customHeight="1" x14ac:dyDescent="0.2">
      <c r="B492" s="16"/>
      <c r="E492" s="59"/>
      <c r="F492" s="59"/>
      <c r="I492" s="60"/>
    </row>
    <row r="493" spans="2:9" ht="13.5" customHeight="1" x14ac:dyDescent="0.2">
      <c r="B493" s="16"/>
      <c r="E493" s="59"/>
      <c r="F493" s="59"/>
      <c r="I493" s="60"/>
    </row>
    <row r="494" spans="2:9" ht="13.5" customHeight="1" x14ac:dyDescent="0.2">
      <c r="B494" s="16"/>
      <c r="E494" s="59"/>
      <c r="F494" s="59"/>
      <c r="I494" s="60"/>
    </row>
    <row r="495" spans="2:9" ht="13.5" customHeight="1" x14ac:dyDescent="0.2">
      <c r="B495" s="16"/>
      <c r="E495" s="59"/>
      <c r="F495" s="59"/>
      <c r="I495" s="60"/>
    </row>
    <row r="496" spans="2:9" ht="13.5" customHeight="1" x14ac:dyDescent="0.2">
      <c r="B496" s="16"/>
      <c r="E496" s="59"/>
      <c r="F496" s="59"/>
      <c r="I496" s="60"/>
    </row>
    <row r="497" spans="2:9" ht="13.5" customHeight="1" x14ac:dyDescent="0.2">
      <c r="B497" s="16"/>
      <c r="E497" s="59"/>
      <c r="F497" s="59"/>
      <c r="I497" s="60"/>
    </row>
    <row r="498" spans="2:9" ht="13.5" customHeight="1" x14ac:dyDescent="0.2">
      <c r="B498" s="16"/>
      <c r="E498" s="59"/>
      <c r="F498" s="59"/>
      <c r="I498" s="60"/>
    </row>
    <row r="499" spans="2:9" ht="13.5" customHeight="1" x14ac:dyDescent="0.2">
      <c r="B499" s="16"/>
      <c r="E499" s="59"/>
      <c r="F499" s="59"/>
      <c r="I499" s="60"/>
    </row>
    <row r="500" spans="2:9" ht="13.5" customHeight="1" x14ac:dyDescent="0.2">
      <c r="B500" s="16"/>
      <c r="E500" s="59"/>
      <c r="F500" s="59"/>
      <c r="I500" s="60"/>
    </row>
    <row r="501" spans="2:9" ht="13.5" customHeight="1" x14ac:dyDescent="0.2">
      <c r="B501" s="16"/>
      <c r="E501" s="59"/>
      <c r="F501" s="59"/>
      <c r="I501" s="60"/>
    </row>
    <row r="502" spans="2:9" ht="13.5" customHeight="1" x14ac:dyDescent="0.2">
      <c r="B502" s="16"/>
      <c r="E502" s="59"/>
      <c r="F502" s="59"/>
      <c r="I502" s="60"/>
    </row>
    <row r="503" spans="2:9" ht="13.5" customHeight="1" x14ac:dyDescent="0.2">
      <c r="B503" s="16"/>
      <c r="E503" s="59"/>
      <c r="F503" s="59"/>
      <c r="I503" s="60"/>
    </row>
    <row r="504" spans="2:9" ht="13.5" customHeight="1" x14ac:dyDescent="0.2">
      <c r="B504" s="16"/>
      <c r="E504" s="59"/>
      <c r="F504" s="59"/>
      <c r="I504" s="60"/>
    </row>
    <row r="505" spans="2:9" ht="13.5" customHeight="1" x14ac:dyDescent="0.2">
      <c r="B505" s="16"/>
      <c r="E505" s="59"/>
      <c r="F505" s="59"/>
      <c r="I505" s="60"/>
    </row>
    <row r="506" spans="2:9" ht="13.5" customHeight="1" x14ac:dyDescent="0.2">
      <c r="B506" s="16"/>
      <c r="E506" s="59"/>
      <c r="F506" s="59"/>
      <c r="I506" s="60"/>
    </row>
    <row r="507" spans="2:9" ht="13.5" customHeight="1" x14ac:dyDescent="0.2">
      <c r="B507" s="16"/>
      <c r="E507" s="59"/>
      <c r="F507" s="59"/>
      <c r="I507" s="60"/>
    </row>
    <row r="508" spans="2:9" ht="13.5" customHeight="1" x14ac:dyDescent="0.2">
      <c r="B508" s="16"/>
      <c r="E508" s="59"/>
      <c r="F508" s="59"/>
      <c r="I508" s="60"/>
    </row>
    <row r="509" spans="2:9" ht="13.5" customHeight="1" x14ac:dyDescent="0.2">
      <c r="B509" s="16"/>
      <c r="E509" s="59"/>
      <c r="F509" s="59"/>
      <c r="I509" s="60"/>
    </row>
    <row r="510" spans="2:9" ht="13.5" customHeight="1" x14ac:dyDescent="0.2">
      <c r="B510" s="16"/>
      <c r="E510" s="59"/>
      <c r="F510" s="59"/>
      <c r="I510" s="60"/>
    </row>
    <row r="511" spans="2:9" ht="13.5" customHeight="1" x14ac:dyDescent="0.2">
      <c r="B511" s="16"/>
      <c r="E511" s="59"/>
      <c r="F511" s="59"/>
      <c r="I511" s="60"/>
    </row>
    <row r="512" spans="2:9" ht="13.5" customHeight="1" x14ac:dyDescent="0.2">
      <c r="B512" s="16"/>
      <c r="E512" s="59"/>
      <c r="F512" s="59"/>
      <c r="I512" s="60"/>
    </row>
    <row r="513" spans="2:9" ht="13.5" customHeight="1" x14ac:dyDescent="0.2">
      <c r="B513" s="16"/>
      <c r="E513" s="59"/>
      <c r="F513" s="59"/>
      <c r="I513" s="60"/>
    </row>
    <row r="514" spans="2:9" ht="13.5" customHeight="1" x14ac:dyDescent="0.2">
      <c r="B514" s="16"/>
      <c r="E514" s="59"/>
      <c r="F514" s="59"/>
      <c r="I514" s="60"/>
    </row>
    <row r="515" spans="2:9" ht="13.5" customHeight="1" x14ac:dyDescent="0.2">
      <c r="B515" s="16"/>
      <c r="E515" s="59"/>
      <c r="F515" s="59"/>
      <c r="I515" s="60"/>
    </row>
    <row r="516" spans="2:9" ht="13.5" customHeight="1" x14ac:dyDescent="0.2">
      <c r="B516" s="16"/>
      <c r="E516" s="59"/>
      <c r="F516" s="59"/>
      <c r="I516" s="60"/>
    </row>
    <row r="517" spans="2:9" ht="13.5" customHeight="1" x14ac:dyDescent="0.2">
      <c r="B517" s="16"/>
      <c r="E517" s="59"/>
      <c r="F517" s="59"/>
      <c r="I517" s="60"/>
    </row>
    <row r="518" spans="2:9" ht="13.5" customHeight="1" x14ac:dyDescent="0.2">
      <c r="B518" s="16"/>
      <c r="E518" s="59"/>
      <c r="F518" s="59"/>
      <c r="I518" s="60"/>
    </row>
    <row r="519" spans="2:9" ht="13.5" customHeight="1" x14ac:dyDescent="0.2">
      <c r="B519" s="16"/>
      <c r="E519" s="59"/>
      <c r="F519" s="59"/>
      <c r="I519" s="60"/>
    </row>
    <row r="520" spans="2:9" ht="13.5" customHeight="1" x14ac:dyDescent="0.2">
      <c r="B520" s="16"/>
      <c r="E520" s="59"/>
      <c r="F520" s="59"/>
      <c r="I520" s="60"/>
    </row>
    <row r="521" spans="2:9" ht="13.5" customHeight="1" x14ac:dyDescent="0.2">
      <c r="B521" s="16"/>
      <c r="E521" s="59"/>
      <c r="F521" s="59"/>
      <c r="I521" s="60"/>
    </row>
    <row r="522" spans="2:9" ht="13.5" customHeight="1" x14ac:dyDescent="0.2">
      <c r="B522" s="16"/>
      <c r="E522" s="59"/>
      <c r="F522" s="59"/>
      <c r="I522" s="60"/>
    </row>
    <row r="523" spans="2:9" ht="13.5" customHeight="1" x14ac:dyDescent="0.2">
      <c r="B523" s="16"/>
      <c r="E523" s="59"/>
      <c r="F523" s="59"/>
      <c r="I523" s="60"/>
    </row>
    <row r="524" spans="2:9" ht="13.5" customHeight="1" x14ac:dyDescent="0.2">
      <c r="B524" s="16"/>
      <c r="E524" s="59"/>
      <c r="F524" s="59"/>
      <c r="I524" s="60"/>
    </row>
    <row r="525" spans="2:9" ht="13.5" customHeight="1" x14ac:dyDescent="0.2">
      <c r="B525" s="16"/>
      <c r="E525" s="59"/>
      <c r="F525" s="59"/>
      <c r="I525" s="60"/>
    </row>
    <row r="526" spans="2:9" ht="13.5" customHeight="1" x14ac:dyDescent="0.2">
      <c r="B526" s="16"/>
      <c r="E526" s="59"/>
      <c r="F526" s="59"/>
      <c r="I526" s="60"/>
    </row>
    <row r="527" spans="2:9" ht="13.5" customHeight="1" x14ac:dyDescent="0.2">
      <c r="B527" s="16"/>
      <c r="E527" s="59"/>
      <c r="F527" s="59"/>
      <c r="I527" s="60"/>
    </row>
    <row r="528" spans="2:9" ht="13.5" customHeight="1" x14ac:dyDescent="0.2">
      <c r="B528" s="16"/>
      <c r="E528" s="59"/>
      <c r="F528" s="59"/>
      <c r="I528" s="60"/>
    </row>
    <row r="529" spans="2:9" ht="13.5" customHeight="1" x14ac:dyDescent="0.2">
      <c r="B529" s="16"/>
      <c r="E529" s="59"/>
      <c r="F529" s="59"/>
      <c r="I529" s="60"/>
    </row>
    <row r="530" spans="2:9" ht="13.5" customHeight="1" x14ac:dyDescent="0.2">
      <c r="B530" s="16"/>
      <c r="E530" s="59"/>
      <c r="F530" s="59"/>
      <c r="I530" s="60"/>
    </row>
    <row r="531" spans="2:9" ht="13.5" customHeight="1" x14ac:dyDescent="0.2">
      <c r="B531" s="16"/>
      <c r="E531" s="59"/>
      <c r="F531" s="59"/>
      <c r="I531" s="60"/>
    </row>
    <row r="532" spans="2:9" ht="13.5" customHeight="1" x14ac:dyDescent="0.2">
      <c r="B532" s="16"/>
      <c r="E532" s="59"/>
      <c r="F532" s="59"/>
      <c r="I532" s="60"/>
    </row>
    <row r="533" spans="2:9" ht="13.5" customHeight="1" x14ac:dyDescent="0.2">
      <c r="B533" s="16"/>
      <c r="E533" s="59"/>
      <c r="F533" s="59"/>
      <c r="I533" s="60"/>
    </row>
    <row r="534" spans="2:9" ht="13.5" customHeight="1" x14ac:dyDescent="0.2">
      <c r="B534" s="16"/>
      <c r="E534" s="59"/>
      <c r="F534" s="59"/>
      <c r="I534" s="60"/>
    </row>
    <row r="535" spans="2:9" ht="13.5" customHeight="1" x14ac:dyDescent="0.2">
      <c r="B535" s="16"/>
      <c r="E535" s="59"/>
      <c r="F535" s="59"/>
      <c r="I535" s="60"/>
    </row>
    <row r="536" spans="2:9" ht="13.5" customHeight="1" x14ac:dyDescent="0.2">
      <c r="B536" s="16"/>
      <c r="E536" s="59"/>
      <c r="F536" s="59"/>
      <c r="I536" s="60"/>
    </row>
    <row r="537" spans="2:9" ht="13.5" customHeight="1" x14ac:dyDescent="0.2">
      <c r="B537" s="16"/>
      <c r="E537" s="59"/>
      <c r="F537" s="59"/>
      <c r="I537" s="60"/>
    </row>
    <row r="538" spans="2:9" ht="13.5" customHeight="1" x14ac:dyDescent="0.2">
      <c r="B538" s="16"/>
      <c r="E538" s="59"/>
      <c r="F538" s="59"/>
      <c r="I538" s="60"/>
    </row>
    <row r="539" spans="2:9" ht="13.5" customHeight="1" x14ac:dyDescent="0.2">
      <c r="B539" s="16"/>
      <c r="E539" s="59"/>
      <c r="F539" s="59"/>
      <c r="I539" s="60"/>
    </row>
    <row r="540" spans="2:9" ht="13.5" customHeight="1" x14ac:dyDescent="0.2">
      <c r="B540" s="16"/>
      <c r="E540" s="59"/>
      <c r="F540" s="59"/>
      <c r="I540" s="60"/>
    </row>
    <row r="541" spans="2:9" ht="13.5" customHeight="1" x14ac:dyDescent="0.2">
      <c r="B541" s="16"/>
      <c r="E541" s="59"/>
      <c r="F541" s="59"/>
      <c r="I541" s="60"/>
    </row>
    <row r="542" spans="2:9" ht="13.5" customHeight="1" x14ac:dyDescent="0.2">
      <c r="B542" s="16"/>
      <c r="E542" s="59"/>
      <c r="F542" s="59"/>
      <c r="I542" s="60"/>
    </row>
    <row r="543" spans="2:9" ht="13.5" customHeight="1" x14ac:dyDescent="0.2">
      <c r="B543" s="16"/>
      <c r="E543" s="59"/>
      <c r="F543" s="59"/>
      <c r="I543" s="60"/>
    </row>
    <row r="544" spans="2:9" ht="13.5" customHeight="1" x14ac:dyDescent="0.2">
      <c r="B544" s="16"/>
      <c r="E544" s="59"/>
      <c r="F544" s="59"/>
      <c r="I544" s="60"/>
    </row>
    <row r="545" spans="2:9" ht="13.5" customHeight="1" x14ac:dyDescent="0.2">
      <c r="B545" s="16"/>
      <c r="E545" s="59"/>
      <c r="F545" s="59"/>
      <c r="I545" s="60"/>
    </row>
    <row r="546" spans="2:9" ht="13.5" customHeight="1" x14ac:dyDescent="0.2">
      <c r="B546" s="16"/>
      <c r="E546" s="59"/>
      <c r="F546" s="59"/>
      <c r="I546" s="60"/>
    </row>
    <row r="547" spans="2:9" ht="13.5" customHeight="1" x14ac:dyDescent="0.2">
      <c r="B547" s="16"/>
      <c r="E547" s="59"/>
      <c r="F547" s="59"/>
      <c r="I547" s="60"/>
    </row>
    <row r="548" spans="2:9" ht="13.5" customHeight="1" x14ac:dyDescent="0.2">
      <c r="B548" s="16"/>
      <c r="E548" s="59"/>
      <c r="F548" s="59"/>
      <c r="I548" s="60"/>
    </row>
    <row r="549" spans="2:9" ht="13.5" customHeight="1" x14ac:dyDescent="0.2">
      <c r="B549" s="16"/>
      <c r="E549" s="59"/>
      <c r="F549" s="59"/>
      <c r="I549" s="60"/>
    </row>
    <row r="550" spans="2:9" ht="13.5" customHeight="1" x14ac:dyDescent="0.2">
      <c r="B550" s="16"/>
      <c r="E550" s="59"/>
      <c r="F550" s="59"/>
      <c r="I550" s="60"/>
    </row>
    <row r="551" spans="2:9" ht="13.5" customHeight="1" x14ac:dyDescent="0.2">
      <c r="B551" s="16"/>
      <c r="E551" s="59"/>
      <c r="F551" s="59"/>
      <c r="I551" s="60"/>
    </row>
    <row r="552" spans="2:9" ht="13.5" customHeight="1" x14ac:dyDescent="0.2">
      <c r="B552" s="16"/>
      <c r="E552" s="59"/>
      <c r="F552" s="59"/>
      <c r="I552" s="60"/>
    </row>
    <row r="553" spans="2:9" ht="13.5" customHeight="1" x14ac:dyDescent="0.2">
      <c r="B553" s="16"/>
      <c r="E553" s="59"/>
      <c r="F553" s="59"/>
      <c r="I553" s="60"/>
    </row>
    <row r="554" spans="2:9" ht="13.5" customHeight="1" x14ac:dyDescent="0.2">
      <c r="B554" s="16"/>
      <c r="E554" s="59"/>
      <c r="F554" s="59"/>
      <c r="I554" s="60"/>
    </row>
    <row r="555" spans="2:9" ht="13.5" customHeight="1" x14ac:dyDescent="0.2">
      <c r="B555" s="16"/>
      <c r="E555" s="59"/>
      <c r="F555" s="59"/>
      <c r="I555" s="60"/>
    </row>
    <row r="556" spans="2:9" ht="13.5" customHeight="1" x14ac:dyDescent="0.2">
      <c r="B556" s="16"/>
      <c r="E556" s="59"/>
      <c r="F556" s="59"/>
      <c r="I556" s="60"/>
    </row>
    <row r="557" spans="2:9" ht="13.5" customHeight="1" x14ac:dyDescent="0.2">
      <c r="B557" s="16"/>
      <c r="E557" s="59"/>
      <c r="F557" s="59"/>
      <c r="I557" s="60"/>
    </row>
    <row r="558" spans="2:9" ht="13.5" customHeight="1" x14ac:dyDescent="0.2">
      <c r="B558" s="16"/>
      <c r="E558" s="59"/>
      <c r="F558" s="59"/>
      <c r="I558" s="60"/>
    </row>
    <row r="559" spans="2:9" ht="13.5" customHeight="1" x14ac:dyDescent="0.2">
      <c r="B559" s="16"/>
      <c r="E559" s="59"/>
      <c r="F559" s="59"/>
      <c r="I559" s="60"/>
    </row>
    <row r="560" spans="2:9" ht="13.5" customHeight="1" x14ac:dyDescent="0.2">
      <c r="B560" s="16"/>
      <c r="E560" s="59"/>
      <c r="F560" s="59"/>
      <c r="I560" s="60"/>
    </row>
    <row r="561" spans="2:9" ht="13.5" customHeight="1" x14ac:dyDescent="0.2">
      <c r="B561" s="16"/>
      <c r="E561" s="59"/>
      <c r="F561" s="59"/>
      <c r="I561" s="60"/>
    </row>
    <row r="562" spans="2:9" ht="13.5" customHeight="1" x14ac:dyDescent="0.2">
      <c r="B562" s="16"/>
      <c r="E562" s="59"/>
      <c r="F562" s="59"/>
      <c r="I562" s="60"/>
    </row>
    <row r="563" spans="2:9" ht="13.5" customHeight="1" x14ac:dyDescent="0.2">
      <c r="B563" s="16"/>
      <c r="E563" s="59"/>
      <c r="F563" s="59"/>
      <c r="I563" s="60"/>
    </row>
    <row r="564" spans="2:9" ht="13.5" customHeight="1" x14ac:dyDescent="0.2">
      <c r="B564" s="16"/>
      <c r="E564" s="59"/>
      <c r="F564" s="59"/>
      <c r="I564" s="60"/>
    </row>
    <row r="565" spans="2:9" ht="13.5" customHeight="1" x14ac:dyDescent="0.2">
      <c r="B565" s="16"/>
      <c r="E565" s="59"/>
      <c r="F565" s="59"/>
      <c r="I565" s="60"/>
    </row>
    <row r="566" spans="2:9" ht="13.5" customHeight="1" x14ac:dyDescent="0.2">
      <c r="B566" s="16"/>
      <c r="E566" s="59"/>
      <c r="F566" s="59"/>
      <c r="I566" s="60"/>
    </row>
    <row r="567" spans="2:9" ht="13.5" customHeight="1" x14ac:dyDescent="0.2">
      <c r="B567" s="16"/>
      <c r="E567" s="59"/>
      <c r="F567" s="59"/>
      <c r="I567" s="60"/>
    </row>
    <row r="568" spans="2:9" ht="13.5" customHeight="1" x14ac:dyDescent="0.2">
      <c r="B568" s="16"/>
      <c r="E568" s="59"/>
      <c r="F568" s="59"/>
      <c r="I568" s="60"/>
    </row>
    <row r="569" spans="2:9" ht="13.5" customHeight="1" x14ac:dyDescent="0.2">
      <c r="B569" s="16"/>
      <c r="E569" s="59"/>
      <c r="F569" s="59"/>
      <c r="I569" s="60"/>
    </row>
    <row r="570" spans="2:9" ht="13.5" customHeight="1" x14ac:dyDescent="0.2">
      <c r="B570" s="16"/>
      <c r="E570" s="59"/>
      <c r="F570" s="59"/>
      <c r="I570" s="60"/>
    </row>
    <row r="571" spans="2:9" ht="13.5" customHeight="1" x14ac:dyDescent="0.2">
      <c r="B571" s="16"/>
      <c r="E571" s="59"/>
      <c r="F571" s="59"/>
      <c r="I571" s="60"/>
    </row>
    <row r="572" spans="2:9" ht="13.5" customHeight="1" x14ac:dyDescent="0.2">
      <c r="B572" s="16"/>
      <c r="E572" s="59"/>
      <c r="F572" s="59"/>
      <c r="I572" s="60"/>
    </row>
    <row r="573" spans="2:9" ht="13.5" customHeight="1" x14ac:dyDescent="0.2">
      <c r="B573" s="16"/>
      <c r="E573" s="59"/>
      <c r="F573" s="59"/>
      <c r="I573" s="60"/>
    </row>
    <row r="574" spans="2:9" ht="13.5" customHeight="1" x14ac:dyDescent="0.2">
      <c r="B574" s="16"/>
      <c r="E574" s="59"/>
      <c r="F574" s="59"/>
      <c r="I574" s="60"/>
    </row>
    <row r="575" spans="2:9" ht="13.5" customHeight="1" x14ac:dyDescent="0.2">
      <c r="B575" s="16"/>
      <c r="E575" s="59"/>
      <c r="F575" s="59"/>
      <c r="I575" s="60"/>
    </row>
    <row r="576" spans="2:9" ht="13.5" customHeight="1" x14ac:dyDescent="0.2">
      <c r="B576" s="16"/>
      <c r="E576" s="59"/>
      <c r="F576" s="59"/>
      <c r="I576" s="60"/>
    </row>
    <row r="577" spans="2:9" ht="13.5" customHeight="1" x14ac:dyDescent="0.2">
      <c r="B577" s="16"/>
      <c r="E577" s="59"/>
      <c r="F577" s="59"/>
      <c r="I577" s="60"/>
    </row>
    <row r="578" spans="2:9" ht="13.5" customHeight="1" x14ac:dyDescent="0.2">
      <c r="B578" s="16"/>
      <c r="E578" s="59"/>
      <c r="F578" s="59"/>
      <c r="I578" s="60"/>
    </row>
    <row r="579" spans="2:9" ht="13.5" customHeight="1" x14ac:dyDescent="0.2">
      <c r="B579" s="16"/>
      <c r="E579" s="59"/>
      <c r="F579" s="59"/>
      <c r="I579" s="60"/>
    </row>
    <row r="580" spans="2:9" ht="13.5" customHeight="1" x14ac:dyDescent="0.2">
      <c r="B580" s="16"/>
      <c r="E580" s="59"/>
      <c r="F580" s="59"/>
      <c r="I580" s="60"/>
    </row>
    <row r="581" spans="2:9" ht="13.5" customHeight="1" x14ac:dyDescent="0.2">
      <c r="B581" s="16"/>
      <c r="E581" s="59"/>
      <c r="F581" s="59"/>
      <c r="I581" s="60"/>
    </row>
    <row r="582" spans="2:9" ht="13.5" customHeight="1" x14ac:dyDescent="0.2">
      <c r="B582" s="16"/>
      <c r="E582" s="59"/>
      <c r="F582" s="59"/>
      <c r="I582" s="60"/>
    </row>
    <row r="583" spans="2:9" ht="13.5" customHeight="1" x14ac:dyDescent="0.2">
      <c r="B583" s="16"/>
      <c r="E583" s="59"/>
      <c r="F583" s="59"/>
      <c r="I583" s="60"/>
    </row>
    <row r="584" spans="2:9" ht="13.5" customHeight="1" x14ac:dyDescent="0.2">
      <c r="B584" s="16"/>
      <c r="E584" s="59"/>
      <c r="F584" s="59"/>
      <c r="I584" s="60"/>
    </row>
    <row r="585" spans="2:9" ht="13.5" customHeight="1" x14ac:dyDescent="0.2">
      <c r="B585" s="16"/>
      <c r="E585" s="59"/>
      <c r="F585" s="59"/>
      <c r="I585" s="60"/>
    </row>
    <row r="586" spans="2:9" ht="13.5" customHeight="1" x14ac:dyDescent="0.2">
      <c r="B586" s="16"/>
      <c r="E586" s="59"/>
      <c r="F586" s="59"/>
      <c r="I586" s="60"/>
    </row>
    <row r="587" spans="2:9" ht="13.5" customHeight="1" x14ac:dyDescent="0.2">
      <c r="B587" s="16"/>
      <c r="E587" s="59"/>
      <c r="F587" s="59"/>
      <c r="I587" s="60"/>
    </row>
    <row r="588" spans="2:9" ht="13.5" customHeight="1" x14ac:dyDescent="0.2">
      <c r="B588" s="16"/>
      <c r="E588" s="59"/>
      <c r="F588" s="59"/>
      <c r="I588" s="60"/>
    </row>
    <row r="589" spans="2:9" ht="13.5" customHeight="1" x14ac:dyDescent="0.2">
      <c r="B589" s="16"/>
      <c r="E589" s="59"/>
      <c r="F589" s="59"/>
      <c r="I589" s="60"/>
    </row>
    <row r="590" spans="2:9" ht="13.5" customHeight="1" x14ac:dyDescent="0.2">
      <c r="B590" s="16"/>
      <c r="E590" s="59"/>
      <c r="F590" s="59"/>
      <c r="I590" s="60"/>
    </row>
    <row r="591" spans="2:9" ht="13.5" customHeight="1" x14ac:dyDescent="0.2">
      <c r="B591" s="16"/>
      <c r="E591" s="59"/>
      <c r="F591" s="59"/>
      <c r="I591" s="60"/>
    </row>
    <row r="592" spans="2:9" ht="13.5" customHeight="1" x14ac:dyDescent="0.2">
      <c r="B592" s="16"/>
      <c r="E592" s="59"/>
      <c r="F592" s="59"/>
      <c r="I592" s="60"/>
    </row>
    <row r="593" spans="2:9" ht="13.5" customHeight="1" x14ac:dyDescent="0.2">
      <c r="B593" s="16"/>
      <c r="E593" s="59"/>
      <c r="F593" s="59"/>
      <c r="I593" s="60"/>
    </row>
    <row r="594" spans="2:9" ht="13.5" customHeight="1" x14ac:dyDescent="0.2">
      <c r="B594" s="16"/>
      <c r="E594" s="59"/>
      <c r="F594" s="59"/>
      <c r="I594" s="60"/>
    </row>
    <row r="595" spans="2:9" ht="13.5" customHeight="1" x14ac:dyDescent="0.2">
      <c r="B595" s="16"/>
      <c r="E595" s="59"/>
      <c r="F595" s="59"/>
      <c r="I595" s="60"/>
    </row>
    <row r="596" spans="2:9" ht="13.5" customHeight="1" x14ac:dyDescent="0.2">
      <c r="B596" s="16"/>
      <c r="E596" s="59"/>
      <c r="F596" s="59"/>
      <c r="I596" s="60"/>
    </row>
    <row r="597" spans="2:9" ht="13.5" customHeight="1" x14ac:dyDescent="0.2">
      <c r="B597" s="16"/>
      <c r="E597" s="59"/>
      <c r="F597" s="59"/>
      <c r="I597" s="60"/>
    </row>
    <row r="598" spans="2:9" ht="13.5" customHeight="1" x14ac:dyDescent="0.2">
      <c r="B598" s="16"/>
      <c r="E598" s="59"/>
      <c r="F598" s="59"/>
      <c r="I598" s="60"/>
    </row>
    <row r="599" spans="2:9" ht="13.5" customHeight="1" x14ac:dyDescent="0.2">
      <c r="B599" s="16"/>
      <c r="E599" s="59"/>
      <c r="F599" s="59"/>
      <c r="I599" s="60"/>
    </row>
    <row r="600" spans="2:9" ht="13.5" customHeight="1" x14ac:dyDescent="0.2">
      <c r="B600" s="16"/>
      <c r="E600" s="59"/>
      <c r="F600" s="59"/>
      <c r="I600" s="60"/>
    </row>
    <row r="601" spans="2:9" ht="13.5" customHeight="1" x14ac:dyDescent="0.2">
      <c r="B601" s="16"/>
      <c r="E601" s="59"/>
      <c r="F601" s="59"/>
      <c r="I601" s="60"/>
    </row>
    <row r="602" spans="2:9" ht="13.5" customHeight="1" x14ac:dyDescent="0.2">
      <c r="B602" s="16"/>
      <c r="E602" s="59"/>
      <c r="F602" s="59"/>
      <c r="I602" s="60"/>
    </row>
    <row r="603" spans="2:9" ht="13.5" customHeight="1" x14ac:dyDescent="0.2">
      <c r="B603" s="16"/>
      <c r="E603" s="59"/>
      <c r="F603" s="59"/>
      <c r="I603" s="60"/>
    </row>
    <row r="604" spans="2:9" ht="13.5" customHeight="1" x14ac:dyDescent="0.2">
      <c r="B604" s="16"/>
      <c r="E604" s="59"/>
      <c r="F604" s="59"/>
      <c r="I604" s="60"/>
    </row>
    <row r="605" spans="2:9" ht="13.5" customHeight="1" x14ac:dyDescent="0.2">
      <c r="B605" s="16"/>
      <c r="E605" s="59"/>
      <c r="F605" s="59"/>
      <c r="I605" s="60"/>
    </row>
    <row r="606" spans="2:9" ht="13.5" customHeight="1" x14ac:dyDescent="0.2">
      <c r="B606" s="16"/>
      <c r="E606" s="59"/>
      <c r="F606" s="59"/>
      <c r="I606" s="60"/>
    </row>
    <row r="607" spans="2:9" ht="13.5" customHeight="1" x14ac:dyDescent="0.2">
      <c r="B607" s="16"/>
      <c r="E607" s="59"/>
      <c r="F607" s="59"/>
      <c r="I607" s="60"/>
    </row>
    <row r="608" spans="2:9" ht="13.5" customHeight="1" x14ac:dyDescent="0.2">
      <c r="B608" s="16"/>
      <c r="E608" s="59"/>
      <c r="F608" s="59"/>
      <c r="I608" s="60"/>
    </row>
    <row r="609" spans="2:9" ht="13.5" customHeight="1" x14ac:dyDescent="0.2">
      <c r="B609" s="16"/>
      <c r="E609" s="59"/>
      <c r="F609" s="59"/>
      <c r="I609" s="60"/>
    </row>
    <row r="610" spans="2:9" ht="13.5" customHeight="1" x14ac:dyDescent="0.2">
      <c r="B610" s="16"/>
      <c r="E610" s="59"/>
      <c r="F610" s="59"/>
      <c r="I610" s="60"/>
    </row>
    <row r="611" spans="2:9" ht="13.5" customHeight="1" x14ac:dyDescent="0.2">
      <c r="B611" s="16"/>
      <c r="E611" s="59"/>
      <c r="F611" s="59"/>
      <c r="I611" s="60"/>
    </row>
    <row r="612" spans="2:9" ht="13.5" customHeight="1" x14ac:dyDescent="0.2">
      <c r="B612" s="16"/>
      <c r="E612" s="59"/>
      <c r="F612" s="59"/>
      <c r="I612" s="60"/>
    </row>
    <row r="613" spans="2:9" ht="13.5" customHeight="1" x14ac:dyDescent="0.2">
      <c r="B613" s="16"/>
      <c r="E613" s="59"/>
      <c r="F613" s="59"/>
      <c r="I613" s="60"/>
    </row>
    <row r="614" spans="2:9" ht="13.5" customHeight="1" x14ac:dyDescent="0.2">
      <c r="B614" s="16"/>
      <c r="E614" s="59"/>
      <c r="F614" s="59"/>
      <c r="I614" s="60"/>
    </row>
    <row r="615" spans="2:9" ht="13.5" customHeight="1" x14ac:dyDescent="0.2">
      <c r="B615" s="16"/>
      <c r="E615" s="59"/>
      <c r="F615" s="59"/>
      <c r="I615" s="60"/>
    </row>
    <row r="616" spans="2:9" ht="13.5" customHeight="1" x14ac:dyDescent="0.2">
      <c r="B616" s="16"/>
      <c r="E616" s="59"/>
      <c r="F616" s="59"/>
      <c r="I616" s="60"/>
    </row>
    <row r="617" spans="2:9" ht="13.5" customHeight="1" x14ac:dyDescent="0.2">
      <c r="B617" s="16"/>
      <c r="E617" s="59"/>
      <c r="F617" s="59"/>
      <c r="I617" s="60"/>
    </row>
    <row r="618" spans="2:9" ht="13.5" customHeight="1" x14ac:dyDescent="0.2">
      <c r="B618" s="16"/>
      <c r="E618" s="59"/>
      <c r="F618" s="59"/>
      <c r="I618" s="60"/>
    </row>
    <row r="619" spans="2:9" ht="13.5" customHeight="1" x14ac:dyDescent="0.2">
      <c r="B619" s="16"/>
      <c r="E619" s="59"/>
      <c r="F619" s="59"/>
      <c r="I619" s="60"/>
    </row>
    <row r="620" spans="2:9" ht="13.5" customHeight="1" x14ac:dyDescent="0.2">
      <c r="B620" s="16"/>
      <c r="E620" s="59"/>
      <c r="F620" s="59"/>
      <c r="I620" s="60"/>
    </row>
    <row r="621" spans="2:9" ht="13.5" customHeight="1" x14ac:dyDescent="0.2">
      <c r="B621" s="16"/>
      <c r="E621" s="59"/>
      <c r="F621" s="59"/>
      <c r="I621" s="60"/>
    </row>
    <row r="622" spans="2:9" ht="13.5" customHeight="1" x14ac:dyDescent="0.2">
      <c r="B622" s="16"/>
      <c r="E622" s="59"/>
      <c r="F622" s="59"/>
      <c r="I622" s="60"/>
    </row>
    <row r="623" spans="2:9" ht="13.5" customHeight="1" x14ac:dyDescent="0.2">
      <c r="B623" s="16"/>
      <c r="E623" s="59"/>
      <c r="F623" s="59"/>
      <c r="I623" s="60"/>
    </row>
    <row r="624" spans="2:9" ht="13.5" customHeight="1" x14ac:dyDescent="0.2">
      <c r="B624" s="16"/>
      <c r="E624" s="59"/>
      <c r="F624" s="59"/>
      <c r="I624" s="60"/>
    </row>
    <row r="625" spans="2:9" ht="13.5" customHeight="1" x14ac:dyDescent="0.2">
      <c r="B625" s="16"/>
      <c r="E625" s="59"/>
      <c r="F625" s="59"/>
      <c r="I625" s="60"/>
    </row>
    <row r="626" spans="2:9" ht="13.5" customHeight="1" x14ac:dyDescent="0.2">
      <c r="B626" s="16"/>
      <c r="E626" s="59"/>
      <c r="F626" s="59"/>
      <c r="I626" s="60"/>
    </row>
    <row r="627" spans="2:9" ht="13.5" customHeight="1" x14ac:dyDescent="0.2">
      <c r="B627" s="16"/>
      <c r="E627" s="59"/>
      <c r="F627" s="59"/>
      <c r="I627" s="60"/>
    </row>
    <row r="628" spans="2:9" ht="13.5" customHeight="1" x14ac:dyDescent="0.2">
      <c r="B628" s="16"/>
      <c r="E628" s="59"/>
      <c r="F628" s="59"/>
      <c r="I628" s="60"/>
    </row>
    <row r="629" spans="2:9" ht="13.5" customHeight="1" x14ac:dyDescent="0.2">
      <c r="B629" s="16"/>
      <c r="E629" s="59"/>
      <c r="F629" s="59"/>
      <c r="I629" s="60"/>
    </row>
    <row r="630" spans="2:9" ht="13.5" customHeight="1" x14ac:dyDescent="0.2">
      <c r="B630" s="16"/>
      <c r="E630" s="59"/>
      <c r="F630" s="59"/>
      <c r="I630" s="60"/>
    </row>
    <row r="631" spans="2:9" ht="13.5" customHeight="1" x14ac:dyDescent="0.2">
      <c r="B631" s="16"/>
      <c r="E631" s="59"/>
      <c r="F631" s="59"/>
      <c r="I631" s="60"/>
    </row>
    <row r="632" spans="2:9" ht="13.5" customHeight="1" x14ac:dyDescent="0.2">
      <c r="B632" s="16"/>
      <c r="E632" s="59"/>
      <c r="F632" s="59"/>
      <c r="I632" s="60"/>
    </row>
    <row r="633" spans="2:9" ht="13.5" customHeight="1" x14ac:dyDescent="0.2">
      <c r="B633" s="16"/>
      <c r="E633" s="59"/>
      <c r="F633" s="59"/>
      <c r="I633" s="60"/>
    </row>
    <row r="634" spans="2:9" ht="13.5" customHeight="1" x14ac:dyDescent="0.2">
      <c r="B634" s="16"/>
      <c r="E634" s="59"/>
      <c r="F634" s="59"/>
      <c r="I634" s="60"/>
    </row>
    <row r="635" spans="2:9" ht="13.5" customHeight="1" x14ac:dyDescent="0.2">
      <c r="B635" s="16"/>
      <c r="E635" s="59"/>
      <c r="F635" s="59"/>
      <c r="I635" s="60"/>
    </row>
    <row r="636" spans="2:9" ht="13.5" customHeight="1" x14ac:dyDescent="0.2">
      <c r="B636" s="16"/>
      <c r="E636" s="59"/>
      <c r="F636" s="59"/>
      <c r="I636" s="60"/>
    </row>
    <row r="637" spans="2:9" ht="13.5" customHeight="1" x14ac:dyDescent="0.2">
      <c r="B637" s="16"/>
      <c r="E637" s="59"/>
      <c r="F637" s="59"/>
      <c r="I637" s="60"/>
    </row>
    <row r="638" spans="2:9" ht="13.5" customHeight="1" x14ac:dyDescent="0.2">
      <c r="B638" s="16"/>
      <c r="E638" s="59"/>
      <c r="F638" s="59"/>
      <c r="I638" s="60"/>
    </row>
    <row r="639" spans="2:9" ht="13.5" customHeight="1" x14ac:dyDescent="0.2">
      <c r="B639" s="16"/>
      <c r="E639" s="59"/>
      <c r="F639" s="59"/>
      <c r="I639" s="60"/>
    </row>
    <row r="640" spans="2:9" ht="13.5" customHeight="1" x14ac:dyDescent="0.2">
      <c r="B640" s="16"/>
      <c r="E640" s="59"/>
      <c r="F640" s="59"/>
      <c r="I640" s="60"/>
    </row>
    <row r="641" spans="2:9" ht="13.5" customHeight="1" x14ac:dyDescent="0.2">
      <c r="B641" s="16"/>
      <c r="E641" s="59"/>
      <c r="F641" s="59"/>
      <c r="I641" s="60"/>
    </row>
    <row r="642" spans="2:9" ht="13.5" customHeight="1" x14ac:dyDescent="0.2">
      <c r="B642" s="16"/>
      <c r="E642" s="59"/>
      <c r="F642" s="59"/>
      <c r="I642" s="60"/>
    </row>
    <row r="643" spans="2:9" ht="13.5" customHeight="1" x14ac:dyDescent="0.2">
      <c r="B643" s="16"/>
      <c r="E643" s="59"/>
      <c r="F643" s="59"/>
      <c r="I643" s="60"/>
    </row>
    <row r="644" spans="2:9" ht="13.5" customHeight="1" x14ac:dyDescent="0.2">
      <c r="B644" s="16"/>
      <c r="E644" s="59"/>
      <c r="F644" s="59"/>
      <c r="I644" s="60"/>
    </row>
    <row r="645" spans="2:9" ht="13.5" customHeight="1" x14ac:dyDescent="0.2">
      <c r="B645" s="16"/>
      <c r="E645" s="59"/>
      <c r="F645" s="59"/>
      <c r="I645" s="60"/>
    </row>
    <row r="646" spans="2:9" ht="13.5" customHeight="1" x14ac:dyDescent="0.2">
      <c r="B646" s="16"/>
      <c r="E646" s="59"/>
      <c r="F646" s="59"/>
      <c r="I646" s="60"/>
    </row>
    <row r="647" spans="2:9" ht="13.5" customHeight="1" x14ac:dyDescent="0.2">
      <c r="B647" s="16"/>
      <c r="E647" s="59"/>
      <c r="F647" s="59"/>
      <c r="I647" s="60"/>
    </row>
    <row r="648" spans="2:9" ht="13.5" customHeight="1" x14ac:dyDescent="0.2">
      <c r="B648" s="16"/>
      <c r="E648" s="59"/>
      <c r="F648" s="59"/>
      <c r="I648" s="60"/>
    </row>
    <row r="649" spans="2:9" ht="13.5" customHeight="1" x14ac:dyDescent="0.2">
      <c r="B649" s="16"/>
      <c r="E649" s="59"/>
      <c r="F649" s="59"/>
      <c r="I649" s="60"/>
    </row>
    <row r="650" spans="2:9" ht="13.5" customHeight="1" x14ac:dyDescent="0.2">
      <c r="B650" s="16"/>
      <c r="E650" s="59"/>
      <c r="F650" s="59"/>
      <c r="I650" s="60"/>
    </row>
    <row r="651" spans="2:9" ht="13.5" customHeight="1" x14ac:dyDescent="0.2">
      <c r="B651" s="16"/>
      <c r="E651" s="59"/>
      <c r="F651" s="59"/>
      <c r="I651" s="60"/>
    </row>
    <row r="652" spans="2:9" ht="13.5" customHeight="1" x14ac:dyDescent="0.2">
      <c r="B652" s="16"/>
      <c r="E652" s="59"/>
      <c r="F652" s="59"/>
      <c r="I652" s="60"/>
    </row>
    <row r="653" spans="2:9" ht="13.5" customHeight="1" x14ac:dyDescent="0.2">
      <c r="B653" s="16"/>
      <c r="E653" s="59"/>
      <c r="F653" s="59"/>
      <c r="I653" s="60"/>
    </row>
    <row r="654" spans="2:9" ht="13.5" customHeight="1" x14ac:dyDescent="0.2">
      <c r="B654" s="16"/>
      <c r="E654" s="59"/>
      <c r="F654" s="59"/>
      <c r="I654" s="60"/>
    </row>
    <row r="655" spans="2:9" ht="13.5" customHeight="1" x14ac:dyDescent="0.2">
      <c r="B655" s="16"/>
      <c r="E655" s="59"/>
      <c r="F655" s="59"/>
      <c r="I655" s="60"/>
    </row>
    <row r="656" spans="2:9" ht="13.5" customHeight="1" x14ac:dyDescent="0.2">
      <c r="B656" s="16"/>
      <c r="E656" s="59"/>
      <c r="F656" s="59"/>
      <c r="I656" s="60"/>
    </row>
    <row r="657" spans="2:9" ht="13.5" customHeight="1" x14ac:dyDescent="0.2">
      <c r="B657" s="16"/>
      <c r="E657" s="59"/>
      <c r="F657" s="59"/>
      <c r="I657" s="60"/>
    </row>
    <row r="658" spans="2:9" ht="13.5" customHeight="1" x14ac:dyDescent="0.2">
      <c r="B658" s="16"/>
      <c r="E658" s="59"/>
      <c r="F658" s="59"/>
      <c r="I658" s="60"/>
    </row>
    <row r="659" spans="2:9" ht="13.5" customHeight="1" x14ac:dyDescent="0.2">
      <c r="B659" s="16"/>
      <c r="E659" s="59"/>
      <c r="F659" s="59"/>
      <c r="I659" s="60"/>
    </row>
    <row r="660" spans="2:9" ht="13.5" customHeight="1" x14ac:dyDescent="0.2">
      <c r="B660" s="16"/>
      <c r="E660" s="59"/>
      <c r="F660" s="59"/>
      <c r="I660" s="60"/>
    </row>
    <row r="661" spans="2:9" ht="13.5" customHeight="1" x14ac:dyDescent="0.2">
      <c r="B661" s="16"/>
      <c r="E661" s="59"/>
      <c r="F661" s="59"/>
      <c r="I661" s="60"/>
    </row>
    <row r="662" spans="2:9" ht="13.5" customHeight="1" x14ac:dyDescent="0.2">
      <c r="B662" s="16"/>
      <c r="E662" s="59"/>
      <c r="F662" s="59"/>
      <c r="I662" s="60"/>
    </row>
    <row r="663" spans="2:9" ht="13.5" customHeight="1" x14ac:dyDescent="0.2">
      <c r="B663" s="16"/>
      <c r="E663" s="59"/>
      <c r="F663" s="59"/>
      <c r="I663" s="60"/>
    </row>
    <row r="664" spans="2:9" ht="13.5" customHeight="1" x14ac:dyDescent="0.2">
      <c r="B664" s="16"/>
      <c r="E664" s="59"/>
      <c r="F664" s="59"/>
      <c r="I664" s="60"/>
    </row>
    <row r="665" spans="2:9" ht="13.5" customHeight="1" x14ac:dyDescent="0.2">
      <c r="B665" s="16"/>
      <c r="E665" s="59"/>
      <c r="F665" s="59"/>
      <c r="I665" s="60"/>
    </row>
    <row r="666" spans="2:9" ht="13.5" customHeight="1" x14ac:dyDescent="0.2">
      <c r="B666" s="16"/>
      <c r="E666" s="59"/>
      <c r="F666" s="59"/>
      <c r="I666" s="60"/>
    </row>
    <row r="667" spans="2:9" ht="13.5" customHeight="1" x14ac:dyDescent="0.2">
      <c r="B667" s="16"/>
      <c r="E667" s="59"/>
      <c r="F667" s="59"/>
      <c r="I667" s="60"/>
    </row>
    <row r="668" spans="2:9" ht="13.5" customHeight="1" x14ac:dyDescent="0.2">
      <c r="B668" s="16"/>
      <c r="E668" s="59"/>
      <c r="F668" s="59"/>
      <c r="I668" s="60"/>
    </row>
    <row r="669" spans="2:9" ht="13.5" customHeight="1" x14ac:dyDescent="0.2">
      <c r="B669" s="16"/>
      <c r="E669" s="59"/>
      <c r="F669" s="59"/>
      <c r="I669" s="60"/>
    </row>
    <row r="670" spans="2:9" ht="13.5" customHeight="1" x14ac:dyDescent="0.2">
      <c r="B670" s="16"/>
      <c r="E670" s="59"/>
      <c r="F670" s="59"/>
      <c r="I670" s="60"/>
    </row>
    <row r="671" spans="2:9" ht="13.5" customHeight="1" x14ac:dyDescent="0.2">
      <c r="B671" s="16"/>
      <c r="E671" s="59"/>
      <c r="F671" s="59"/>
      <c r="I671" s="60"/>
    </row>
    <row r="672" spans="2:9" ht="13.5" customHeight="1" x14ac:dyDescent="0.2">
      <c r="B672" s="16"/>
      <c r="E672" s="59"/>
      <c r="F672" s="59"/>
      <c r="I672" s="60"/>
    </row>
    <row r="673" spans="2:9" ht="13.5" customHeight="1" x14ac:dyDescent="0.2">
      <c r="B673" s="16"/>
      <c r="E673" s="59"/>
      <c r="F673" s="59"/>
      <c r="I673" s="60"/>
    </row>
    <row r="674" spans="2:9" ht="13.5" customHeight="1" x14ac:dyDescent="0.2">
      <c r="B674" s="16"/>
      <c r="E674" s="59"/>
      <c r="F674" s="59"/>
      <c r="I674" s="60"/>
    </row>
    <row r="675" spans="2:9" ht="13.5" customHeight="1" x14ac:dyDescent="0.2">
      <c r="B675" s="16"/>
      <c r="E675" s="59"/>
      <c r="F675" s="59"/>
      <c r="I675" s="60"/>
    </row>
    <row r="676" spans="2:9" ht="13.5" customHeight="1" x14ac:dyDescent="0.2">
      <c r="B676" s="16"/>
      <c r="E676" s="59"/>
      <c r="F676" s="59"/>
      <c r="I676" s="60"/>
    </row>
    <row r="677" spans="2:9" ht="13.5" customHeight="1" x14ac:dyDescent="0.2">
      <c r="B677" s="16"/>
      <c r="E677" s="59"/>
      <c r="F677" s="59"/>
      <c r="I677" s="60"/>
    </row>
    <row r="678" spans="2:9" ht="13.5" customHeight="1" x14ac:dyDescent="0.2">
      <c r="B678" s="16"/>
      <c r="E678" s="59"/>
      <c r="F678" s="59"/>
      <c r="I678" s="60"/>
    </row>
    <row r="679" spans="2:9" ht="13.5" customHeight="1" x14ac:dyDescent="0.2">
      <c r="B679" s="16"/>
      <c r="E679" s="59"/>
      <c r="F679" s="59"/>
      <c r="I679" s="60"/>
    </row>
    <row r="680" spans="2:9" ht="13.5" customHeight="1" x14ac:dyDescent="0.2">
      <c r="B680" s="16"/>
      <c r="E680" s="59"/>
      <c r="F680" s="59"/>
      <c r="I680" s="60"/>
    </row>
    <row r="681" spans="2:9" ht="13.5" customHeight="1" x14ac:dyDescent="0.2">
      <c r="B681" s="16"/>
      <c r="E681" s="59"/>
      <c r="F681" s="59"/>
      <c r="I681" s="60"/>
    </row>
    <row r="682" spans="2:9" ht="13.5" customHeight="1" x14ac:dyDescent="0.2">
      <c r="B682" s="16"/>
      <c r="E682" s="59"/>
      <c r="F682" s="59"/>
      <c r="I682" s="60"/>
    </row>
    <row r="683" spans="2:9" ht="13.5" customHeight="1" x14ac:dyDescent="0.2">
      <c r="B683" s="16"/>
      <c r="E683" s="59"/>
      <c r="F683" s="59"/>
      <c r="I683" s="60"/>
    </row>
    <row r="684" spans="2:9" ht="13.5" customHeight="1" x14ac:dyDescent="0.2">
      <c r="B684" s="16"/>
      <c r="E684" s="59"/>
      <c r="F684" s="59"/>
      <c r="I684" s="60"/>
    </row>
    <row r="685" spans="2:9" ht="13.5" customHeight="1" x14ac:dyDescent="0.2">
      <c r="B685" s="16"/>
      <c r="E685" s="59"/>
      <c r="F685" s="59"/>
      <c r="I685" s="60"/>
    </row>
    <row r="686" spans="2:9" ht="13.5" customHeight="1" x14ac:dyDescent="0.2">
      <c r="B686" s="16"/>
      <c r="E686" s="59"/>
      <c r="F686" s="59"/>
      <c r="I686" s="60"/>
    </row>
    <row r="687" spans="2:9" ht="13.5" customHeight="1" x14ac:dyDescent="0.2">
      <c r="B687" s="16"/>
      <c r="E687" s="59"/>
      <c r="F687" s="59"/>
      <c r="I687" s="60"/>
    </row>
    <row r="688" spans="2:9" ht="13.5" customHeight="1" x14ac:dyDescent="0.2">
      <c r="B688" s="16"/>
      <c r="E688" s="59"/>
      <c r="F688" s="59"/>
      <c r="I688" s="60"/>
    </row>
    <row r="689" spans="2:9" ht="13.5" customHeight="1" x14ac:dyDescent="0.2">
      <c r="B689" s="16"/>
      <c r="E689" s="59"/>
      <c r="F689" s="59"/>
      <c r="I689" s="60"/>
    </row>
    <row r="690" spans="2:9" ht="13.5" customHeight="1" x14ac:dyDescent="0.2">
      <c r="B690" s="16"/>
      <c r="E690" s="59"/>
      <c r="F690" s="59"/>
      <c r="I690" s="60"/>
    </row>
    <row r="691" spans="2:9" ht="13.5" customHeight="1" x14ac:dyDescent="0.2">
      <c r="B691" s="16"/>
      <c r="E691" s="59"/>
      <c r="F691" s="59"/>
      <c r="I691" s="60"/>
    </row>
    <row r="692" spans="2:9" ht="13.5" customHeight="1" x14ac:dyDescent="0.2">
      <c r="B692" s="16"/>
      <c r="E692" s="59"/>
      <c r="F692" s="59"/>
      <c r="I692" s="60"/>
    </row>
    <row r="693" spans="2:9" ht="13.5" customHeight="1" x14ac:dyDescent="0.2">
      <c r="B693" s="16"/>
      <c r="E693" s="59"/>
      <c r="F693" s="59"/>
      <c r="I693" s="60"/>
    </row>
    <row r="694" spans="2:9" ht="13.5" customHeight="1" x14ac:dyDescent="0.2">
      <c r="B694" s="16"/>
      <c r="E694" s="59"/>
      <c r="F694" s="59"/>
      <c r="I694" s="60"/>
    </row>
    <row r="695" spans="2:9" ht="13.5" customHeight="1" x14ac:dyDescent="0.2">
      <c r="B695" s="16"/>
      <c r="E695" s="59"/>
      <c r="F695" s="59"/>
      <c r="I695" s="60"/>
    </row>
    <row r="696" spans="2:9" ht="13.5" customHeight="1" x14ac:dyDescent="0.2">
      <c r="B696" s="16"/>
      <c r="E696" s="59"/>
      <c r="F696" s="59"/>
      <c r="I696" s="60"/>
    </row>
    <row r="697" spans="2:9" ht="13.5" customHeight="1" x14ac:dyDescent="0.2">
      <c r="B697" s="16"/>
      <c r="E697" s="59"/>
      <c r="F697" s="59"/>
      <c r="I697" s="60"/>
    </row>
    <row r="698" spans="2:9" ht="13.5" customHeight="1" x14ac:dyDescent="0.2">
      <c r="B698" s="16"/>
      <c r="E698" s="59"/>
      <c r="F698" s="59"/>
      <c r="I698" s="60"/>
    </row>
    <row r="699" spans="2:9" ht="13.5" customHeight="1" x14ac:dyDescent="0.2">
      <c r="B699" s="16"/>
      <c r="E699" s="59"/>
      <c r="F699" s="59"/>
      <c r="I699" s="60"/>
    </row>
    <row r="700" spans="2:9" ht="13.5" customHeight="1" x14ac:dyDescent="0.2">
      <c r="B700" s="16"/>
      <c r="E700" s="59"/>
      <c r="F700" s="59"/>
      <c r="I700" s="60"/>
    </row>
    <row r="701" spans="2:9" ht="13.5" customHeight="1" x14ac:dyDescent="0.2">
      <c r="B701" s="16"/>
      <c r="E701" s="59"/>
      <c r="F701" s="59"/>
      <c r="I701" s="60"/>
    </row>
    <row r="702" spans="2:9" ht="13.5" customHeight="1" x14ac:dyDescent="0.2">
      <c r="B702" s="16"/>
      <c r="E702" s="59"/>
      <c r="F702" s="59"/>
      <c r="I702" s="60"/>
    </row>
    <row r="703" spans="2:9" ht="13.5" customHeight="1" x14ac:dyDescent="0.2">
      <c r="B703" s="16"/>
      <c r="E703" s="59"/>
      <c r="F703" s="59"/>
      <c r="I703" s="60"/>
    </row>
    <row r="704" spans="2:9" ht="13.5" customHeight="1" x14ac:dyDescent="0.2">
      <c r="B704" s="16"/>
      <c r="E704" s="59"/>
      <c r="F704" s="59"/>
      <c r="I704" s="60"/>
    </row>
    <row r="705" spans="2:9" ht="13.5" customHeight="1" x14ac:dyDescent="0.2">
      <c r="B705" s="16"/>
      <c r="E705" s="59"/>
      <c r="F705" s="59"/>
      <c r="I705" s="60"/>
    </row>
    <row r="706" spans="2:9" ht="13.5" customHeight="1" x14ac:dyDescent="0.2">
      <c r="B706" s="16"/>
      <c r="E706" s="59"/>
      <c r="F706" s="59"/>
      <c r="I706" s="60"/>
    </row>
    <row r="707" spans="2:9" ht="13.5" customHeight="1" x14ac:dyDescent="0.2">
      <c r="B707" s="16"/>
      <c r="E707" s="59"/>
      <c r="F707" s="59"/>
      <c r="I707" s="60"/>
    </row>
    <row r="708" spans="2:9" ht="13.5" customHeight="1" x14ac:dyDescent="0.2">
      <c r="B708" s="16"/>
      <c r="E708" s="59"/>
      <c r="F708" s="59"/>
      <c r="I708" s="60"/>
    </row>
    <row r="709" spans="2:9" ht="13.5" customHeight="1" x14ac:dyDescent="0.2">
      <c r="B709" s="16"/>
      <c r="E709" s="59"/>
      <c r="F709" s="59"/>
      <c r="I709" s="60"/>
    </row>
    <row r="710" spans="2:9" ht="13.5" customHeight="1" x14ac:dyDescent="0.2">
      <c r="B710" s="16"/>
      <c r="E710" s="59"/>
      <c r="F710" s="59"/>
      <c r="I710" s="60"/>
    </row>
    <row r="711" spans="2:9" ht="13.5" customHeight="1" x14ac:dyDescent="0.2">
      <c r="B711" s="16"/>
      <c r="E711" s="59"/>
      <c r="F711" s="59"/>
      <c r="I711" s="60"/>
    </row>
    <row r="712" spans="2:9" ht="13.5" customHeight="1" x14ac:dyDescent="0.2">
      <c r="B712" s="16"/>
      <c r="E712" s="59"/>
      <c r="F712" s="59"/>
      <c r="I712" s="60"/>
    </row>
    <row r="713" spans="2:9" ht="13.5" customHeight="1" x14ac:dyDescent="0.2">
      <c r="B713" s="16"/>
      <c r="E713" s="59"/>
      <c r="F713" s="59"/>
      <c r="I713" s="60"/>
    </row>
    <row r="714" spans="2:9" ht="13.5" customHeight="1" x14ac:dyDescent="0.2">
      <c r="B714" s="16"/>
      <c r="E714" s="59"/>
      <c r="F714" s="59"/>
      <c r="I714" s="60"/>
    </row>
    <row r="715" spans="2:9" ht="13.5" customHeight="1" x14ac:dyDescent="0.2">
      <c r="B715" s="16"/>
      <c r="E715" s="59"/>
      <c r="F715" s="59"/>
      <c r="I715" s="60"/>
    </row>
    <row r="716" spans="2:9" ht="13.5" customHeight="1" x14ac:dyDescent="0.2">
      <c r="B716" s="16"/>
      <c r="E716" s="59"/>
      <c r="F716" s="59"/>
      <c r="I716" s="60"/>
    </row>
    <row r="717" spans="2:9" ht="13.5" customHeight="1" x14ac:dyDescent="0.2">
      <c r="B717" s="16"/>
      <c r="E717" s="59"/>
      <c r="F717" s="59"/>
      <c r="I717" s="60"/>
    </row>
    <row r="718" spans="2:9" ht="13.5" customHeight="1" x14ac:dyDescent="0.2">
      <c r="B718" s="16"/>
      <c r="E718" s="59"/>
      <c r="F718" s="59"/>
      <c r="I718" s="60"/>
    </row>
    <row r="719" spans="2:9" ht="13.5" customHeight="1" x14ac:dyDescent="0.2">
      <c r="B719" s="16"/>
      <c r="E719" s="59"/>
      <c r="F719" s="59"/>
      <c r="I719" s="60"/>
    </row>
    <row r="720" spans="2:9" ht="13.5" customHeight="1" x14ac:dyDescent="0.2">
      <c r="B720" s="16"/>
      <c r="E720" s="59"/>
      <c r="F720" s="59"/>
      <c r="I720" s="60"/>
    </row>
    <row r="721" spans="2:9" ht="13.5" customHeight="1" x14ac:dyDescent="0.2">
      <c r="B721" s="16"/>
      <c r="E721" s="59"/>
      <c r="F721" s="59"/>
      <c r="I721" s="60"/>
    </row>
    <row r="722" spans="2:9" ht="13.5" customHeight="1" x14ac:dyDescent="0.2">
      <c r="B722" s="16"/>
      <c r="E722" s="59"/>
      <c r="F722" s="59"/>
      <c r="I722" s="60"/>
    </row>
    <row r="723" spans="2:9" ht="13.5" customHeight="1" x14ac:dyDescent="0.2">
      <c r="B723" s="16"/>
      <c r="E723" s="59"/>
      <c r="F723" s="59"/>
      <c r="I723" s="60"/>
    </row>
    <row r="724" spans="2:9" ht="13.5" customHeight="1" x14ac:dyDescent="0.2">
      <c r="B724" s="16"/>
      <c r="E724" s="59"/>
      <c r="F724" s="59"/>
      <c r="I724" s="60"/>
    </row>
    <row r="725" spans="2:9" ht="13.5" customHeight="1" x14ac:dyDescent="0.2">
      <c r="B725" s="16"/>
      <c r="E725" s="59"/>
      <c r="F725" s="59"/>
      <c r="I725" s="60"/>
    </row>
    <row r="726" spans="2:9" ht="13.5" customHeight="1" x14ac:dyDescent="0.2">
      <c r="B726" s="16"/>
      <c r="E726" s="59"/>
      <c r="F726" s="59"/>
      <c r="I726" s="60"/>
    </row>
    <row r="727" spans="2:9" ht="13.5" customHeight="1" x14ac:dyDescent="0.2">
      <c r="B727" s="16"/>
      <c r="E727" s="59"/>
      <c r="F727" s="59"/>
      <c r="I727" s="60"/>
    </row>
    <row r="728" spans="2:9" ht="13.5" customHeight="1" x14ac:dyDescent="0.2">
      <c r="B728" s="16"/>
      <c r="E728" s="59"/>
      <c r="F728" s="59"/>
      <c r="I728" s="60"/>
    </row>
    <row r="729" spans="2:9" ht="13.5" customHeight="1" x14ac:dyDescent="0.2">
      <c r="B729" s="16"/>
      <c r="E729" s="59"/>
      <c r="F729" s="59"/>
      <c r="I729" s="60"/>
    </row>
    <row r="730" spans="2:9" ht="13.5" customHeight="1" x14ac:dyDescent="0.2">
      <c r="B730" s="16"/>
      <c r="E730" s="59"/>
      <c r="F730" s="59"/>
      <c r="I730" s="60"/>
    </row>
    <row r="731" spans="2:9" ht="13.5" customHeight="1" x14ac:dyDescent="0.2">
      <c r="B731" s="16"/>
      <c r="E731" s="59"/>
      <c r="F731" s="59"/>
      <c r="I731" s="60"/>
    </row>
    <row r="732" spans="2:9" ht="13.5" customHeight="1" x14ac:dyDescent="0.2">
      <c r="B732" s="16"/>
      <c r="E732" s="59"/>
      <c r="F732" s="59"/>
      <c r="I732" s="60"/>
    </row>
    <row r="733" spans="2:9" ht="13.5" customHeight="1" x14ac:dyDescent="0.2">
      <c r="B733" s="16"/>
      <c r="E733" s="59"/>
      <c r="F733" s="59"/>
      <c r="I733" s="60"/>
    </row>
    <row r="734" spans="2:9" ht="13.5" customHeight="1" x14ac:dyDescent="0.2">
      <c r="B734" s="16"/>
      <c r="E734" s="59"/>
      <c r="F734" s="59"/>
      <c r="I734" s="60"/>
    </row>
    <row r="735" spans="2:9" ht="13.5" customHeight="1" x14ac:dyDescent="0.2">
      <c r="B735" s="16"/>
      <c r="E735" s="59"/>
      <c r="F735" s="59"/>
      <c r="I735" s="60"/>
    </row>
    <row r="736" spans="2:9" ht="13.5" customHeight="1" x14ac:dyDescent="0.2">
      <c r="B736" s="16"/>
      <c r="E736" s="59"/>
      <c r="F736" s="59"/>
      <c r="I736" s="60"/>
    </row>
    <row r="737" spans="2:9" ht="13.5" customHeight="1" x14ac:dyDescent="0.2">
      <c r="B737" s="16"/>
      <c r="E737" s="59"/>
      <c r="F737" s="59"/>
      <c r="I737" s="60"/>
    </row>
    <row r="738" spans="2:9" ht="13.5" customHeight="1" x14ac:dyDescent="0.2">
      <c r="B738" s="16"/>
      <c r="E738" s="59"/>
      <c r="F738" s="59"/>
      <c r="I738" s="60"/>
    </row>
    <row r="739" spans="2:9" ht="13.5" customHeight="1" x14ac:dyDescent="0.2">
      <c r="B739" s="16"/>
      <c r="E739" s="59"/>
      <c r="F739" s="59"/>
      <c r="I739" s="60"/>
    </row>
    <row r="740" spans="2:9" ht="13.5" customHeight="1" x14ac:dyDescent="0.2">
      <c r="B740" s="16"/>
      <c r="E740" s="59"/>
      <c r="F740" s="59"/>
      <c r="I740" s="60"/>
    </row>
    <row r="741" spans="2:9" ht="13.5" customHeight="1" x14ac:dyDescent="0.2">
      <c r="B741" s="16"/>
      <c r="E741" s="59"/>
      <c r="F741" s="59"/>
      <c r="I741" s="60"/>
    </row>
    <row r="742" spans="2:9" ht="13.5" customHeight="1" x14ac:dyDescent="0.2">
      <c r="B742" s="16"/>
      <c r="E742" s="59"/>
      <c r="F742" s="59"/>
      <c r="I742" s="60"/>
    </row>
    <row r="743" spans="2:9" ht="13.5" customHeight="1" x14ac:dyDescent="0.2">
      <c r="B743" s="16"/>
      <c r="E743" s="59"/>
      <c r="F743" s="59"/>
      <c r="I743" s="60"/>
    </row>
    <row r="744" spans="2:9" ht="13.5" customHeight="1" x14ac:dyDescent="0.2">
      <c r="B744" s="16"/>
      <c r="E744" s="59"/>
      <c r="F744" s="59"/>
      <c r="I744" s="60"/>
    </row>
    <row r="745" spans="2:9" ht="13.5" customHeight="1" x14ac:dyDescent="0.2">
      <c r="B745" s="16"/>
      <c r="E745" s="59"/>
      <c r="F745" s="59"/>
      <c r="I745" s="60"/>
    </row>
    <row r="746" spans="2:9" ht="13.5" customHeight="1" x14ac:dyDescent="0.2">
      <c r="B746" s="16"/>
      <c r="E746" s="59"/>
      <c r="F746" s="59"/>
      <c r="I746" s="60"/>
    </row>
    <row r="747" spans="2:9" ht="13.5" customHeight="1" x14ac:dyDescent="0.2">
      <c r="B747" s="16"/>
      <c r="E747" s="59"/>
      <c r="F747" s="59"/>
      <c r="I747" s="60"/>
    </row>
    <row r="748" spans="2:9" ht="13.5" customHeight="1" x14ac:dyDescent="0.2">
      <c r="B748" s="16"/>
      <c r="E748" s="59"/>
      <c r="F748" s="59"/>
      <c r="I748" s="60"/>
    </row>
    <row r="749" spans="2:9" ht="13.5" customHeight="1" x14ac:dyDescent="0.2">
      <c r="B749" s="16"/>
      <c r="E749" s="59"/>
      <c r="F749" s="59"/>
      <c r="I749" s="60"/>
    </row>
    <row r="750" spans="2:9" ht="13.5" customHeight="1" x14ac:dyDescent="0.2">
      <c r="B750" s="16"/>
      <c r="E750" s="59"/>
      <c r="F750" s="59"/>
      <c r="I750" s="60"/>
    </row>
    <row r="751" spans="2:9" ht="13.5" customHeight="1" x14ac:dyDescent="0.2">
      <c r="B751" s="16"/>
      <c r="E751" s="59"/>
      <c r="F751" s="59"/>
      <c r="I751" s="60"/>
    </row>
    <row r="752" spans="2:9" ht="13.5" customHeight="1" x14ac:dyDescent="0.2">
      <c r="B752" s="16"/>
      <c r="E752" s="59"/>
      <c r="F752" s="59"/>
      <c r="I752" s="60"/>
    </row>
    <row r="753" spans="2:9" ht="13.5" customHeight="1" x14ac:dyDescent="0.2">
      <c r="B753" s="16"/>
      <c r="E753" s="59"/>
      <c r="F753" s="59"/>
      <c r="I753" s="60"/>
    </row>
    <row r="754" spans="2:9" ht="13.5" customHeight="1" x14ac:dyDescent="0.2">
      <c r="B754" s="16"/>
      <c r="E754" s="59"/>
      <c r="F754" s="59"/>
      <c r="I754" s="60"/>
    </row>
    <row r="755" spans="2:9" ht="13.5" customHeight="1" x14ac:dyDescent="0.2">
      <c r="B755" s="16"/>
      <c r="E755" s="59"/>
      <c r="F755" s="59"/>
      <c r="I755" s="60"/>
    </row>
    <row r="756" spans="2:9" ht="13.5" customHeight="1" x14ac:dyDescent="0.2">
      <c r="B756" s="16"/>
      <c r="E756" s="59"/>
      <c r="F756" s="59"/>
      <c r="I756" s="60"/>
    </row>
    <row r="757" spans="2:9" ht="13.5" customHeight="1" x14ac:dyDescent="0.2">
      <c r="B757" s="16"/>
      <c r="E757" s="59"/>
      <c r="F757" s="59"/>
      <c r="I757" s="60"/>
    </row>
    <row r="758" spans="2:9" ht="13.5" customHeight="1" x14ac:dyDescent="0.2">
      <c r="B758" s="16"/>
      <c r="E758" s="59"/>
      <c r="F758" s="59"/>
      <c r="I758" s="60"/>
    </row>
    <row r="759" spans="2:9" ht="13.5" customHeight="1" x14ac:dyDescent="0.2">
      <c r="B759" s="16"/>
      <c r="E759" s="59"/>
      <c r="F759" s="59"/>
      <c r="I759" s="60"/>
    </row>
    <row r="760" spans="2:9" ht="13.5" customHeight="1" x14ac:dyDescent="0.2">
      <c r="B760" s="16"/>
      <c r="E760" s="59"/>
      <c r="F760" s="59"/>
      <c r="I760" s="60"/>
    </row>
    <row r="761" spans="2:9" ht="13.5" customHeight="1" x14ac:dyDescent="0.2">
      <c r="B761" s="16"/>
      <c r="E761" s="59"/>
      <c r="F761" s="59"/>
      <c r="I761" s="60"/>
    </row>
    <row r="762" spans="2:9" ht="13.5" customHeight="1" x14ac:dyDescent="0.2">
      <c r="B762" s="16"/>
      <c r="E762" s="59"/>
      <c r="F762" s="59"/>
      <c r="I762" s="60"/>
    </row>
    <row r="763" spans="2:9" ht="13.5" customHeight="1" x14ac:dyDescent="0.2">
      <c r="B763" s="16"/>
      <c r="E763" s="59"/>
      <c r="F763" s="59"/>
      <c r="I763" s="60"/>
    </row>
    <row r="764" spans="2:9" ht="13.5" customHeight="1" x14ac:dyDescent="0.2">
      <c r="B764" s="16"/>
      <c r="E764" s="59"/>
      <c r="F764" s="59"/>
      <c r="I764" s="60"/>
    </row>
    <row r="765" spans="2:9" ht="13.5" customHeight="1" x14ac:dyDescent="0.2">
      <c r="B765" s="16"/>
      <c r="E765" s="59"/>
      <c r="F765" s="59"/>
      <c r="I765" s="60"/>
    </row>
    <row r="766" spans="2:9" ht="13.5" customHeight="1" x14ac:dyDescent="0.2">
      <c r="B766" s="16"/>
      <c r="E766" s="59"/>
      <c r="F766" s="59"/>
      <c r="I766" s="60"/>
    </row>
    <row r="767" spans="2:9" ht="13.5" customHeight="1" x14ac:dyDescent="0.2">
      <c r="B767" s="16"/>
      <c r="E767" s="59"/>
      <c r="F767" s="59"/>
      <c r="I767" s="60"/>
    </row>
    <row r="768" spans="2:9" ht="13.5" customHeight="1" x14ac:dyDescent="0.2">
      <c r="B768" s="16"/>
      <c r="E768" s="59"/>
      <c r="F768" s="59"/>
      <c r="I768" s="60"/>
    </row>
    <row r="769" spans="2:9" ht="13.5" customHeight="1" x14ac:dyDescent="0.2">
      <c r="B769" s="16"/>
      <c r="E769" s="59"/>
      <c r="F769" s="59"/>
      <c r="I769" s="60"/>
    </row>
    <row r="770" spans="2:9" ht="13.5" customHeight="1" x14ac:dyDescent="0.2">
      <c r="B770" s="16"/>
      <c r="E770" s="59"/>
      <c r="F770" s="59"/>
      <c r="I770" s="60"/>
    </row>
    <row r="771" spans="2:9" ht="13.5" customHeight="1" x14ac:dyDescent="0.2">
      <c r="B771" s="16"/>
      <c r="E771" s="59"/>
      <c r="F771" s="59"/>
      <c r="I771" s="60"/>
    </row>
    <row r="772" spans="2:9" ht="13.5" customHeight="1" x14ac:dyDescent="0.2">
      <c r="B772" s="16"/>
      <c r="E772" s="59"/>
      <c r="F772" s="59"/>
      <c r="I772" s="60"/>
    </row>
    <row r="773" spans="2:9" ht="13.5" customHeight="1" x14ac:dyDescent="0.2">
      <c r="B773" s="16"/>
      <c r="E773" s="59"/>
      <c r="F773" s="59"/>
      <c r="I773" s="60"/>
    </row>
    <row r="774" spans="2:9" ht="13.5" customHeight="1" x14ac:dyDescent="0.2">
      <c r="B774" s="16"/>
      <c r="E774" s="59"/>
      <c r="F774" s="59"/>
      <c r="I774" s="60"/>
    </row>
    <row r="775" spans="2:9" ht="13.5" customHeight="1" x14ac:dyDescent="0.2">
      <c r="B775" s="16"/>
      <c r="E775" s="59"/>
      <c r="F775" s="59"/>
      <c r="I775" s="60"/>
    </row>
    <row r="776" spans="2:9" ht="13.5" customHeight="1" x14ac:dyDescent="0.2">
      <c r="B776" s="16"/>
      <c r="E776" s="59"/>
      <c r="F776" s="59"/>
      <c r="I776" s="60"/>
    </row>
    <row r="777" spans="2:9" ht="13.5" customHeight="1" x14ac:dyDescent="0.2">
      <c r="B777" s="16"/>
      <c r="E777" s="59"/>
      <c r="F777" s="59"/>
      <c r="I777" s="60"/>
    </row>
    <row r="778" spans="2:9" ht="13.5" customHeight="1" x14ac:dyDescent="0.2">
      <c r="B778" s="16"/>
      <c r="E778" s="59"/>
      <c r="F778" s="59"/>
      <c r="I778" s="60"/>
    </row>
    <row r="779" spans="2:9" ht="13.5" customHeight="1" x14ac:dyDescent="0.2">
      <c r="B779" s="16"/>
      <c r="E779" s="59"/>
      <c r="F779" s="59"/>
      <c r="I779" s="60"/>
    </row>
    <row r="780" spans="2:9" ht="13.5" customHeight="1" x14ac:dyDescent="0.2">
      <c r="B780" s="16"/>
      <c r="E780" s="59"/>
      <c r="F780" s="59"/>
      <c r="I780" s="60"/>
    </row>
    <row r="781" spans="2:9" ht="13.5" customHeight="1" x14ac:dyDescent="0.2">
      <c r="B781" s="16"/>
      <c r="E781" s="59"/>
      <c r="F781" s="59"/>
      <c r="I781" s="60"/>
    </row>
    <row r="782" spans="2:9" ht="13.5" customHeight="1" x14ac:dyDescent="0.2">
      <c r="B782" s="16"/>
      <c r="E782" s="59"/>
      <c r="F782" s="59"/>
      <c r="I782" s="60"/>
    </row>
    <row r="783" spans="2:9" ht="13.5" customHeight="1" x14ac:dyDescent="0.2">
      <c r="B783" s="16"/>
      <c r="E783" s="59"/>
      <c r="F783" s="59"/>
      <c r="I783" s="60"/>
    </row>
    <row r="784" spans="2:9" ht="13.5" customHeight="1" x14ac:dyDescent="0.2">
      <c r="B784" s="16"/>
      <c r="E784" s="59"/>
      <c r="F784" s="59"/>
      <c r="I784" s="60"/>
    </row>
    <row r="785" spans="2:9" ht="13.5" customHeight="1" x14ac:dyDescent="0.2">
      <c r="B785" s="16"/>
      <c r="E785" s="59"/>
      <c r="F785" s="59"/>
      <c r="I785" s="60"/>
    </row>
    <row r="786" spans="2:9" ht="13.5" customHeight="1" x14ac:dyDescent="0.2">
      <c r="B786" s="16"/>
      <c r="E786" s="59"/>
      <c r="F786" s="59"/>
      <c r="I786" s="60"/>
    </row>
    <row r="787" spans="2:9" ht="13.5" customHeight="1" x14ac:dyDescent="0.2">
      <c r="B787" s="16"/>
      <c r="E787" s="59"/>
      <c r="F787" s="59"/>
      <c r="I787" s="60"/>
    </row>
    <row r="788" spans="2:9" ht="13.5" customHeight="1" x14ac:dyDescent="0.2">
      <c r="B788" s="16"/>
      <c r="E788" s="59"/>
      <c r="F788" s="59"/>
      <c r="I788" s="60"/>
    </row>
    <row r="789" spans="2:9" ht="13.5" customHeight="1" x14ac:dyDescent="0.2">
      <c r="B789" s="16"/>
      <c r="E789" s="59"/>
      <c r="F789" s="59"/>
      <c r="I789" s="60"/>
    </row>
    <row r="790" spans="2:9" ht="13.5" customHeight="1" x14ac:dyDescent="0.2">
      <c r="B790" s="16"/>
      <c r="E790" s="59"/>
      <c r="F790" s="59"/>
      <c r="I790" s="60"/>
    </row>
    <row r="791" spans="2:9" ht="13.5" customHeight="1" x14ac:dyDescent="0.2">
      <c r="B791" s="16"/>
      <c r="E791" s="59"/>
      <c r="F791" s="59"/>
      <c r="I791" s="60"/>
    </row>
    <row r="792" spans="2:9" ht="13.5" customHeight="1" x14ac:dyDescent="0.2">
      <c r="B792" s="16"/>
      <c r="E792" s="59"/>
      <c r="F792" s="59"/>
      <c r="I792" s="60"/>
    </row>
    <row r="793" spans="2:9" ht="13.5" customHeight="1" x14ac:dyDescent="0.2">
      <c r="B793" s="16"/>
      <c r="E793" s="59"/>
      <c r="F793" s="59"/>
      <c r="I793" s="60"/>
    </row>
    <row r="794" spans="2:9" ht="13.5" customHeight="1" x14ac:dyDescent="0.2">
      <c r="B794" s="16"/>
      <c r="E794" s="59"/>
      <c r="F794" s="59"/>
      <c r="I794" s="60"/>
    </row>
    <row r="795" spans="2:9" ht="13.5" customHeight="1" x14ac:dyDescent="0.2">
      <c r="B795" s="16"/>
      <c r="E795" s="59"/>
      <c r="F795" s="59"/>
      <c r="I795" s="60"/>
    </row>
    <row r="796" spans="2:9" ht="13.5" customHeight="1" x14ac:dyDescent="0.2">
      <c r="B796" s="16"/>
      <c r="E796" s="59"/>
      <c r="F796" s="59"/>
      <c r="I796" s="60"/>
    </row>
    <row r="797" spans="2:9" ht="13.5" customHeight="1" x14ac:dyDescent="0.2">
      <c r="B797" s="16"/>
      <c r="E797" s="59"/>
      <c r="F797" s="59"/>
      <c r="I797" s="60"/>
    </row>
    <row r="798" spans="2:9" ht="13.5" customHeight="1" x14ac:dyDescent="0.2">
      <c r="B798" s="16"/>
      <c r="E798" s="59"/>
      <c r="F798" s="59"/>
      <c r="I798" s="60"/>
    </row>
    <row r="799" spans="2:9" ht="13.5" customHeight="1" x14ac:dyDescent="0.2">
      <c r="B799" s="16"/>
      <c r="E799" s="59"/>
      <c r="F799" s="59"/>
      <c r="I799" s="60"/>
    </row>
    <row r="800" spans="2:9" ht="13.5" customHeight="1" x14ac:dyDescent="0.2">
      <c r="B800" s="16"/>
      <c r="E800" s="59"/>
      <c r="F800" s="59"/>
      <c r="I800" s="60"/>
    </row>
    <row r="801" spans="2:9" ht="13.5" customHeight="1" x14ac:dyDescent="0.2">
      <c r="B801" s="16"/>
      <c r="E801" s="59"/>
      <c r="F801" s="59"/>
      <c r="I801" s="60"/>
    </row>
    <row r="802" spans="2:9" ht="13.5" customHeight="1" x14ac:dyDescent="0.2">
      <c r="B802" s="16"/>
      <c r="E802" s="59"/>
      <c r="F802" s="59"/>
      <c r="I802" s="60"/>
    </row>
    <row r="803" spans="2:9" ht="13.5" customHeight="1" x14ac:dyDescent="0.2">
      <c r="B803" s="16"/>
      <c r="E803" s="59"/>
      <c r="F803" s="59"/>
      <c r="I803" s="60"/>
    </row>
    <row r="804" spans="2:9" ht="13.5" customHeight="1" x14ac:dyDescent="0.2">
      <c r="B804" s="16"/>
      <c r="E804" s="59"/>
      <c r="F804" s="59"/>
      <c r="I804" s="60"/>
    </row>
    <row r="805" spans="2:9" ht="13.5" customHeight="1" x14ac:dyDescent="0.2">
      <c r="B805" s="16"/>
      <c r="E805" s="59"/>
      <c r="F805" s="59"/>
      <c r="I805" s="60"/>
    </row>
    <row r="806" spans="2:9" ht="13.5" customHeight="1" x14ac:dyDescent="0.2">
      <c r="B806" s="16"/>
      <c r="E806" s="59"/>
      <c r="F806" s="59"/>
      <c r="I806" s="60"/>
    </row>
    <row r="807" spans="2:9" ht="13.5" customHeight="1" x14ac:dyDescent="0.2">
      <c r="B807" s="16"/>
      <c r="E807" s="59"/>
      <c r="F807" s="59"/>
      <c r="I807" s="60"/>
    </row>
    <row r="808" spans="2:9" ht="13.5" customHeight="1" x14ac:dyDescent="0.2">
      <c r="B808" s="16"/>
      <c r="E808" s="59"/>
      <c r="F808" s="59"/>
      <c r="I808" s="60"/>
    </row>
    <row r="809" spans="2:9" ht="13.5" customHeight="1" x14ac:dyDescent="0.2">
      <c r="B809" s="16"/>
      <c r="E809" s="59"/>
      <c r="F809" s="59"/>
      <c r="I809" s="60"/>
    </row>
    <row r="810" spans="2:9" ht="13.5" customHeight="1" x14ac:dyDescent="0.2">
      <c r="B810" s="16"/>
      <c r="E810" s="59"/>
      <c r="F810" s="59"/>
      <c r="I810" s="60"/>
    </row>
    <row r="811" spans="2:9" ht="13.5" customHeight="1" x14ac:dyDescent="0.2">
      <c r="B811" s="16"/>
      <c r="E811" s="59"/>
      <c r="F811" s="59"/>
      <c r="I811" s="60"/>
    </row>
    <row r="812" spans="2:9" ht="13.5" customHeight="1" x14ac:dyDescent="0.2">
      <c r="B812" s="16"/>
      <c r="E812" s="59"/>
      <c r="F812" s="59"/>
      <c r="I812" s="60"/>
    </row>
    <row r="813" spans="2:9" ht="13.5" customHeight="1" x14ac:dyDescent="0.2">
      <c r="B813" s="16"/>
      <c r="E813" s="59"/>
      <c r="F813" s="59"/>
      <c r="I813" s="60"/>
    </row>
    <row r="814" spans="2:9" ht="13.5" customHeight="1" x14ac:dyDescent="0.2">
      <c r="B814" s="16"/>
      <c r="E814" s="59"/>
      <c r="F814" s="59"/>
      <c r="I814" s="60"/>
    </row>
    <row r="815" spans="2:9" ht="13.5" customHeight="1" x14ac:dyDescent="0.2">
      <c r="B815" s="16"/>
      <c r="E815" s="59"/>
      <c r="F815" s="59"/>
      <c r="I815" s="60"/>
    </row>
    <row r="816" spans="2:9" ht="13.5" customHeight="1" x14ac:dyDescent="0.2">
      <c r="B816" s="16"/>
      <c r="E816" s="59"/>
      <c r="F816" s="59"/>
      <c r="I816" s="60"/>
    </row>
    <row r="817" spans="2:9" ht="13.5" customHeight="1" x14ac:dyDescent="0.2">
      <c r="B817" s="16"/>
      <c r="E817" s="59"/>
      <c r="F817" s="59"/>
      <c r="I817" s="60"/>
    </row>
    <row r="818" spans="2:9" ht="13.5" customHeight="1" x14ac:dyDescent="0.2">
      <c r="B818" s="16"/>
      <c r="E818" s="59"/>
      <c r="F818" s="59"/>
      <c r="I818" s="60"/>
    </row>
    <row r="819" spans="2:9" ht="13.5" customHeight="1" x14ac:dyDescent="0.2">
      <c r="B819" s="16"/>
      <c r="E819" s="59"/>
      <c r="F819" s="59"/>
      <c r="I819" s="60"/>
    </row>
    <row r="820" spans="2:9" ht="13.5" customHeight="1" x14ac:dyDescent="0.2">
      <c r="B820" s="16"/>
      <c r="E820" s="59"/>
      <c r="F820" s="59"/>
      <c r="I820" s="60"/>
    </row>
    <row r="821" spans="2:9" ht="13.5" customHeight="1" x14ac:dyDescent="0.2">
      <c r="B821" s="16"/>
      <c r="E821" s="59"/>
      <c r="F821" s="59"/>
      <c r="I821" s="60"/>
    </row>
    <row r="822" spans="2:9" ht="13.5" customHeight="1" x14ac:dyDescent="0.2">
      <c r="B822" s="16"/>
      <c r="E822" s="59"/>
      <c r="F822" s="59"/>
      <c r="I822" s="60"/>
    </row>
    <row r="823" spans="2:9" ht="13.5" customHeight="1" x14ac:dyDescent="0.2">
      <c r="B823" s="16"/>
      <c r="E823" s="59"/>
      <c r="F823" s="59"/>
      <c r="I823" s="60"/>
    </row>
    <row r="824" spans="2:9" ht="13.5" customHeight="1" x14ac:dyDescent="0.2">
      <c r="B824" s="16"/>
      <c r="E824" s="59"/>
      <c r="F824" s="59"/>
      <c r="I824" s="60"/>
    </row>
    <row r="825" spans="2:9" ht="13.5" customHeight="1" x14ac:dyDescent="0.2">
      <c r="B825" s="16"/>
      <c r="E825" s="59"/>
      <c r="F825" s="59"/>
      <c r="I825" s="60"/>
    </row>
    <row r="826" spans="2:9" ht="13.5" customHeight="1" x14ac:dyDescent="0.2">
      <c r="B826" s="16"/>
      <c r="E826" s="59"/>
      <c r="F826" s="59"/>
      <c r="I826" s="60"/>
    </row>
    <row r="827" spans="2:9" ht="13.5" customHeight="1" x14ac:dyDescent="0.2">
      <c r="B827" s="16"/>
      <c r="E827" s="59"/>
      <c r="F827" s="59"/>
      <c r="I827" s="60"/>
    </row>
    <row r="828" spans="2:9" ht="13.5" customHeight="1" x14ac:dyDescent="0.2">
      <c r="B828" s="16"/>
      <c r="E828" s="59"/>
      <c r="F828" s="59"/>
      <c r="I828" s="60"/>
    </row>
    <row r="829" spans="2:9" ht="13.5" customHeight="1" x14ac:dyDescent="0.2">
      <c r="B829" s="16"/>
      <c r="E829" s="59"/>
      <c r="F829" s="59"/>
      <c r="I829" s="60"/>
    </row>
    <row r="830" spans="2:9" ht="13.5" customHeight="1" x14ac:dyDescent="0.2">
      <c r="B830" s="16"/>
      <c r="E830" s="59"/>
      <c r="F830" s="59"/>
      <c r="I830" s="60"/>
    </row>
    <row r="831" spans="2:9" ht="13.5" customHeight="1" x14ac:dyDescent="0.2">
      <c r="B831" s="16"/>
      <c r="E831" s="59"/>
      <c r="F831" s="59"/>
      <c r="I831" s="60"/>
    </row>
    <row r="832" spans="2:9" ht="13.5" customHeight="1" x14ac:dyDescent="0.2">
      <c r="B832" s="16"/>
      <c r="E832" s="59"/>
      <c r="F832" s="59"/>
      <c r="I832" s="60"/>
    </row>
    <row r="833" spans="2:9" ht="13.5" customHeight="1" x14ac:dyDescent="0.2">
      <c r="B833" s="16"/>
      <c r="E833" s="59"/>
      <c r="F833" s="59"/>
      <c r="I833" s="60"/>
    </row>
    <row r="834" spans="2:9" ht="13.5" customHeight="1" x14ac:dyDescent="0.2">
      <c r="B834" s="16"/>
      <c r="E834" s="59"/>
      <c r="F834" s="59"/>
      <c r="I834" s="60"/>
    </row>
    <row r="835" spans="2:9" ht="13.5" customHeight="1" x14ac:dyDescent="0.2">
      <c r="B835" s="16"/>
      <c r="E835" s="59"/>
      <c r="F835" s="59"/>
      <c r="I835" s="60"/>
    </row>
    <row r="836" spans="2:9" ht="13.5" customHeight="1" x14ac:dyDescent="0.2">
      <c r="B836" s="16"/>
      <c r="E836" s="59"/>
      <c r="F836" s="59"/>
      <c r="I836" s="60"/>
    </row>
    <row r="837" spans="2:9" ht="13.5" customHeight="1" x14ac:dyDescent="0.2">
      <c r="B837" s="16"/>
      <c r="E837" s="59"/>
      <c r="F837" s="59"/>
      <c r="I837" s="60"/>
    </row>
    <row r="838" spans="2:9" ht="13.5" customHeight="1" x14ac:dyDescent="0.2">
      <c r="B838" s="16"/>
      <c r="E838" s="59"/>
      <c r="F838" s="59"/>
      <c r="I838" s="60"/>
    </row>
    <row r="839" spans="2:9" ht="13.5" customHeight="1" x14ac:dyDescent="0.2">
      <c r="B839" s="16"/>
      <c r="E839" s="59"/>
      <c r="F839" s="59"/>
      <c r="I839" s="60"/>
    </row>
    <row r="840" spans="2:9" ht="13.5" customHeight="1" x14ac:dyDescent="0.2">
      <c r="B840" s="16"/>
      <c r="E840" s="59"/>
      <c r="F840" s="59"/>
      <c r="I840" s="60"/>
    </row>
    <row r="841" spans="2:9" ht="13.5" customHeight="1" x14ac:dyDescent="0.2">
      <c r="B841" s="16"/>
      <c r="E841" s="59"/>
      <c r="F841" s="59"/>
      <c r="I841" s="60"/>
    </row>
    <row r="842" spans="2:9" ht="13.5" customHeight="1" x14ac:dyDescent="0.2">
      <c r="B842" s="16"/>
      <c r="E842" s="59"/>
      <c r="F842" s="59"/>
      <c r="I842" s="60"/>
    </row>
    <row r="843" spans="2:9" ht="13.5" customHeight="1" x14ac:dyDescent="0.2">
      <c r="B843" s="16"/>
      <c r="E843" s="59"/>
      <c r="F843" s="59"/>
      <c r="I843" s="60"/>
    </row>
    <row r="844" spans="2:9" ht="13.5" customHeight="1" x14ac:dyDescent="0.2">
      <c r="B844" s="16"/>
      <c r="E844" s="59"/>
      <c r="F844" s="59"/>
      <c r="I844" s="60"/>
    </row>
    <row r="845" spans="2:9" ht="13.5" customHeight="1" x14ac:dyDescent="0.2">
      <c r="B845" s="16"/>
      <c r="E845" s="59"/>
      <c r="F845" s="59"/>
      <c r="I845" s="60"/>
    </row>
    <row r="846" spans="2:9" ht="13.5" customHeight="1" x14ac:dyDescent="0.2">
      <c r="B846" s="16"/>
      <c r="E846" s="59"/>
      <c r="F846" s="59"/>
      <c r="I846" s="60"/>
    </row>
    <row r="847" spans="2:9" ht="13.5" customHeight="1" x14ac:dyDescent="0.2">
      <c r="B847" s="16"/>
      <c r="E847" s="59"/>
      <c r="F847" s="59"/>
      <c r="I847" s="60"/>
    </row>
    <row r="848" spans="2:9" ht="13.5" customHeight="1" x14ac:dyDescent="0.2">
      <c r="B848" s="16"/>
      <c r="E848" s="59"/>
      <c r="F848" s="59"/>
      <c r="I848" s="60"/>
    </row>
    <row r="849" spans="2:9" ht="13.5" customHeight="1" x14ac:dyDescent="0.2">
      <c r="B849" s="16"/>
      <c r="E849" s="59"/>
      <c r="F849" s="59"/>
      <c r="I849" s="60"/>
    </row>
    <row r="850" spans="2:9" ht="13.5" customHeight="1" x14ac:dyDescent="0.2">
      <c r="B850" s="16"/>
      <c r="E850" s="59"/>
      <c r="F850" s="59"/>
      <c r="I850" s="60"/>
    </row>
    <row r="851" spans="2:9" ht="13.5" customHeight="1" x14ac:dyDescent="0.2">
      <c r="B851" s="16"/>
      <c r="E851" s="59"/>
      <c r="F851" s="59"/>
      <c r="I851" s="60"/>
    </row>
    <row r="852" spans="2:9" ht="13.5" customHeight="1" x14ac:dyDescent="0.2">
      <c r="B852" s="16"/>
      <c r="E852" s="59"/>
      <c r="F852" s="59"/>
      <c r="I852" s="60"/>
    </row>
    <row r="853" spans="2:9" ht="13.5" customHeight="1" x14ac:dyDescent="0.2">
      <c r="B853" s="16"/>
      <c r="E853" s="59"/>
      <c r="F853" s="59"/>
      <c r="I853" s="60"/>
    </row>
    <row r="854" spans="2:9" ht="13.5" customHeight="1" x14ac:dyDescent="0.2">
      <c r="B854" s="16"/>
      <c r="E854" s="59"/>
      <c r="F854" s="59"/>
      <c r="I854" s="60"/>
    </row>
    <row r="855" spans="2:9" ht="13.5" customHeight="1" x14ac:dyDescent="0.2">
      <c r="B855" s="16"/>
      <c r="E855" s="59"/>
      <c r="F855" s="59"/>
      <c r="I855" s="60"/>
    </row>
    <row r="856" spans="2:9" ht="13.5" customHeight="1" x14ac:dyDescent="0.2">
      <c r="B856" s="16"/>
      <c r="E856" s="59"/>
      <c r="F856" s="59"/>
      <c r="I856" s="60"/>
    </row>
    <row r="857" spans="2:9" ht="13.5" customHeight="1" x14ac:dyDescent="0.2">
      <c r="B857" s="16"/>
      <c r="E857" s="59"/>
      <c r="F857" s="59"/>
      <c r="I857" s="60"/>
    </row>
    <row r="858" spans="2:9" ht="13.5" customHeight="1" x14ac:dyDescent="0.2">
      <c r="B858" s="16"/>
      <c r="E858" s="59"/>
      <c r="F858" s="59"/>
      <c r="I858" s="60"/>
    </row>
    <row r="859" spans="2:9" ht="13.5" customHeight="1" x14ac:dyDescent="0.2">
      <c r="B859" s="16"/>
      <c r="E859" s="59"/>
      <c r="F859" s="59"/>
      <c r="I859" s="60"/>
    </row>
    <row r="860" spans="2:9" ht="13.5" customHeight="1" x14ac:dyDescent="0.2">
      <c r="B860" s="16"/>
      <c r="E860" s="59"/>
      <c r="F860" s="59"/>
      <c r="I860" s="60"/>
    </row>
    <row r="861" spans="2:9" ht="13.5" customHeight="1" x14ac:dyDescent="0.2">
      <c r="B861" s="16"/>
      <c r="E861" s="59"/>
      <c r="F861" s="59"/>
      <c r="I861" s="60"/>
    </row>
    <row r="862" spans="2:9" ht="13.5" customHeight="1" x14ac:dyDescent="0.2">
      <c r="B862" s="16"/>
      <c r="E862" s="59"/>
      <c r="F862" s="59"/>
      <c r="I862" s="60"/>
    </row>
    <row r="863" spans="2:9" ht="13.5" customHeight="1" x14ac:dyDescent="0.2">
      <c r="B863" s="16"/>
      <c r="E863" s="59"/>
      <c r="F863" s="59"/>
      <c r="I863" s="60"/>
    </row>
    <row r="864" spans="2:9" ht="13.5" customHeight="1" x14ac:dyDescent="0.2">
      <c r="B864" s="16"/>
      <c r="E864" s="59"/>
      <c r="F864" s="59"/>
      <c r="I864" s="60"/>
    </row>
    <row r="865" spans="2:9" ht="13.5" customHeight="1" x14ac:dyDescent="0.2">
      <c r="B865" s="16"/>
      <c r="E865" s="59"/>
      <c r="F865" s="59"/>
      <c r="I865" s="60"/>
    </row>
    <row r="866" spans="2:9" ht="13.5" customHeight="1" x14ac:dyDescent="0.2">
      <c r="B866" s="16"/>
      <c r="E866" s="59"/>
      <c r="F866" s="59"/>
      <c r="I866" s="60"/>
    </row>
    <row r="867" spans="2:9" ht="13.5" customHeight="1" x14ac:dyDescent="0.2">
      <c r="B867" s="16"/>
      <c r="E867" s="59"/>
      <c r="F867" s="59"/>
      <c r="I867" s="60"/>
    </row>
    <row r="868" spans="2:9" ht="13.5" customHeight="1" x14ac:dyDescent="0.2">
      <c r="B868" s="16"/>
      <c r="E868" s="59"/>
      <c r="F868" s="59"/>
      <c r="I868" s="60"/>
    </row>
    <row r="869" spans="2:9" ht="13.5" customHeight="1" x14ac:dyDescent="0.2">
      <c r="B869" s="16"/>
      <c r="E869" s="59"/>
      <c r="F869" s="59"/>
      <c r="I869" s="60"/>
    </row>
    <row r="870" spans="2:9" ht="13.5" customHeight="1" x14ac:dyDescent="0.2">
      <c r="B870" s="16"/>
      <c r="E870" s="59"/>
      <c r="F870" s="59"/>
      <c r="I870" s="60"/>
    </row>
    <row r="871" spans="2:9" ht="13.5" customHeight="1" x14ac:dyDescent="0.2">
      <c r="B871" s="16"/>
      <c r="E871" s="59"/>
      <c r="F871" s="59"/>
      <c r="I871" s="60"/>
    </row>
    <row r="872" spans="2:9" ht="13.5" customHeight="1" x14ac:dyDescent="0.2">
      <c r="B872" s="16"/>
      <c r="E872" s="59"/>
      <c r="F872" s="59"/>
      <c r="I872" s="60"/>
    </row>
    <row r="873" spans="2:9" ht="13.5" customHeight="1" x14ac:dyDescent="0.2">
      <c r="B873" s="16"/>
      <c r="E873" s="59"/>
      <c r="F873" s="59"/>
      <c r="I873" s="60"/>
    </row>
    <row r="874" spans="2:9" ht="13.5" customHeight="1" x14ac:dyDescent="0.2">
      <c r="B874" s="16"/>
      <c r="E874" s="59"/>
      <c r="F874" s="59"/>
      <c r="I874" s="60"/>
    </row>
    <row r="875" spans="2:9" ht="13.5" customHeight="1" x14ac:dyDescent="0.2">
      <c r="B875" s="16"/>
      <c r="E875" s="59"/>
      <c r="F875" s="59"/>
      <c r="I875" s="60"/>
    </row>
    <row r="876" spans="2:9" ht="13.5" customHeight="1" x14ac:dyDescent="0.2">
      <c r="B876" s="16"/>
      <c r="E876" s="59"/>
      <c r="F876" s="59"/>
      <c r="I876" s="60"/>
    </row>
    <row r="877" spans="2:9" ht="13.5" customHeight="1" x14ac:dyDescent="0.2">
      <c r="B877" s="16"/>
      <c r="E877" s="59"/>
      <c r="F877" s="59"/>
      <c r="I877" s="60"/>
    </row>
    <row r="878" spans="2:9" ht="13.5" customHeight="1" x14ac:dyDescent="0.2">
      <c r="B878" s="16"/>
      <c r="E878" s="59"/>
      <c r="F878" s="59"/>
      <c r="I878" s="60"/>
    </row>
    <row r="879" spans="2:9" ht="13.5" customHeight="1" x14ac:dyDescent="0.2">
      <c r="B879" s="16"/>
      <c r="E879" s="59"/>
      <c r="F879" s="59"/>
      <c r="I879" s="60"/>
    </row>
    <row r="880" spans="2:9" ht="13.5" customHeight="1" x14ac:dyDescent="0.2">
      <c r="B880" s="16"/>
      <c r="E880" s="59"/>
      <c r="F880" s="59"/>
      <c r="I880" s="60"/>
    </row>
    <row r="881" spans="2:9" ht="13.5" customHeight="1" x14ac:dyDescent="0.2">
      <c r="B881" s="16"/>
      <c r="E881" s="59"/>
      <c r="F881" s="59"/>
      <c r="I881" s="60"/>
    </row>
    <row r="882" spans="2:9" ht="13.5" customHeight="1" x14ac:dyDescent="0.2">
      <c r="B882" s="16"/>
      <c r="E882" s="59"/>
      <c r="F882" s="59"/>
      <c r="I882" s="60"/>
    </row>
    <row r="883" spans="2:9" ht="13.5" customHeight="1" x14ac:dyDescent="0.2">
      <c r="B883" s="16"/>
      <c r="E883" s="59"/>
      <c r="F883" s="59"/>
      <c r="I883" s="60"/>
    </row>
    <row r="884" spans="2:9" ht="13.5" customHeight="1" x14ac:dyDescent="0.2">
      <c r="B884" s="16"/>
      <c r="E884" s="59"/>
      <c r="F884" s="59"/>
      <c r="I884" s="60"/>
    </row>
    <row r="885" spans="2:9" ht="13.5" customHeight="1" x14ac:dyDescent="0.2">
      <c r="B885" s="16"/>
      <c r="E885" s="59"/>
      <c r="F885" s="59"/>
      <c r="I885" s="60"/>
    </row>
    <row r="886" spans="2:9" ht="13.5" customHeight="1" x14ac:dyDescent="0.2">
      <c r="B886" s="16"/>
      <c r="E886" s="59"/>
      <c r="F886" s="59"/>
      <c r="I886" s="60"/>
    </row>
    <row r="887" spans="2:9" ht="13.5" customHeight="1" x14ac:dyDescent="0.2">
      <c r="B887" s="16"/>
      <c r="E887" s="59"/>
      <c r="F887" s="59"/>
      <c r="I887" s="60"/>
    </row>
    <row r="888" spans="2:9" ht="13.5" customHeight="1" x14ac:dyDescent="0.2">
      <c r="B888" s="16"/>
      <c r="E888" s="59"/>
      <c r="F888" s="59"/>
      <c r="I888" s="60"/>
    </row>
    <row r="889" spans="2:9" ht="13.5" customHeight="1" x14ac:dyDescent="0.2">
      <c r="B889" s="16"/>
      <c r="E889" s="59"/>
      <c r="F889" s="59"/>
      <c r="I889" s="60"/>
    </row>
    <row r="890" spans="2:9" ht="13.5" customHeight="1" x14ac:dyDescent="0.2">
      <c r="B890" s="16"/>
      <c r="E890" s="59"/>
      <c r="F890" s="59"/>
      <c r="I890" s="60"/>
    </row>
    <row r="891" spans="2:9" ht="13.5" customHeight="1" x14ac:dyDescent="0.2">
      <c r="B891" s="16"/>
      <c r="E891" s="59"/>
      <c r="F891" s="59"/>
      <c r="I891" s="60"/>
    </row>
    <row r="892" spans="2:9" ht="13.5" customHeight="1" x14ac:dyDescent="0.2">
      <c r="B892" s="16"/>
      <c r="E892" s="59"/>
      <c r="F892" s="59"/>
      <c r="I892" s="60"/>
    </row>
    <row r="893" spans="2:9" ht="13.5" customHeight="1" x14ac:dyDescent="0.2">
      <c r="B893" s="16"/>
      <c r="E893" s="59"/>
      <c r="F893" s="59"/>
      <c r="I893" s="60"/>
    </row>
    <row r="894" spans="2:9" ht="13.5" customHeight="1" x14ac:dyDescent="0.2">
      <c r="B894" s="16"/>
      <c r="E894" s="59"/>
      <c r="F894" s="59"/>
      <c r="I894" s="60"/>
    </row>
    <row r="895" spans="2:9" ht="13.5" customHeight="1" x14ac:dyDescent="0.2">
      <c r="B895" s="16"/>
      <c r="E895" s="59"/>
      <c r="F895" s="59"/>
      <c r="I895" s="60"/>
    </row>
    <row r="896" spans="2:9" ht="13.5" customHeight="1" x14ac:dyDescent="0.2">
      <c r="B896" s="16"/>
      <c r="E896" s="59"/>
      <c r="F896" s="59"/>
      <c r="I896" s="60"/>
    </row>
    <row r="897" spans="2:9" ht="13.5" customHeight="1" x14ac:dyDescent="0.2">
      <c r="B897" s="16"/>
      <c r="E897" s="59"/>
      <c r="F897" s="59"/>
      <c r="I897" s="60"/>
    </row>
    <row r="898" spans="2:9" ht="13.5" customHeight="1" x14ac:dyDescent="0.2">
      <c r="B898" s="16"/>
      <c r="E898" s="59"/>
      <c r="F898" s="59"/>
      <c r="I898" s="60"/>
    </row>
    <row r="899" spans="2:9" ht="13.5" customHeight="1" x14ac:dyDescent="0.2">
      <c r="B899" s="16"/>
      <c r="E899" s="59"/>
      <c r="F899" s="59"/>
      <c r="I899" s="60"/>
    </row>
    <row r="900" spans="2:9" ht="13.5" customHeight="1" x14ac:dyDescent="0.2">
      <c r="B900" s="16"/>
      <c r="E900" s="59"/>
      <c r="F900" s="59"/>
      <c r="I900" s="60"/>
    </row>
    <row r="901" spans="2:9" ht="13.5" customHeight="1" x14ac:dyDescent="0.2">
      <c r="B901" s="16"/>
      <c r="E901" s="59"/>
      <c r="F901" s="59"/>
      <c r="I901" s="60"/>
    </row>
    <row r="902" spans="2:9" ht="13.5" customHeight="1" x14ac:dyDescent="0.2">
      <c r="B902" s="16"/>
      <c r="E902" s="59"/>
      <c r="F902" s="59"/>
      <c r="I902" s="60"/>
    </row>
    <row r="903" spans="2:9" ht="13.5" customHeight="1" x14ac:dyDescent="0.2">
      <c r="B903" s="16"/>
      <c r="E903" s="59"/>
      <c r="F903" s="59"/>
      <c r="I903" s="60"/>
    </row>
    <row r="904" spans="2:9" ht="13.5" customHeight="1" x14ac:dyDescent="0.2">
      <c r="B904" s="16"/>
      <c r="E904" s="59"/>
      <c r="F904" s="59"/>
      <c r="I904" s="60"/>
    </row>
    <row r="905" spans="2:9" ht="13.5" customHeight="1" x14ac:dyDescent="0.2">
      <c r="B905" s="16"/>
      <c r="E905" s="59"/>
      <c r="F905" s="59"/>
      <c r="I905" s="60"/>
    </row>
    <row r="906" spans="2:9" ht="13.5" customHeight="1" x14ac:dyDescent="0.2">
      <c r="B906" s="16"/>
      <c r="E906" s="59"/>
      <c r="F906" s="59"/>
      <c r="I906" s="60"/>
    </row>
    <row r="907" spans="2:9" ht="13.5" customHeight="1" x14ac:dyDescent="0.2">
      <c r="B907" s="16"/>
      <c r="E907" s="59"/>
      <c r="F907" s="59"/>
      <c r="I907" s="60"/>
    </row>
    <row r="908" spans="2:9" ht="13.5" customHeight="1" x14ac:dyDescent="0.2">
      <c r="B908" s="16"/>
      <c r="E908" s="59"/>
      <c r="F908" s="59"/>
      <c r="I908" s="60"/>
    </row>
    <row r="909" spans="2:9" ht="13.5" customHeight="1" x14ac:dyDescent="0.2">
      <c r="B909" s="16"/>
      <c r="E909" s="59"/>
      <c r="F909" s="59"/>
      <c r="I909" s="60"/>
    </row>
    <row r="910" spans="2:9" ht="13.5" customHeight="1" x14ac:dyDescent="0.2">
      <c r="B910" s="16"/>
      <c r="E910" s="59"/>
      <c r="F910" s="59"/>
      <c r="I910" s="60"/>
    </row>
    <row r="911" spans="2:9" ht="13.5" customHeight="1" x14ac:dyDescent="0.2">
      <c r="B911" s="16"/>
      <c r="E911" s="59"/>
      <c r="F911" s="59"/>
      <c r="I911" s="60"/>
    </row>
    <row r="912" spans="2:9" ht="13.5" customHeight="1" x14ac:dyDescent="0.2">
      <c r="B912" s="16"/>
      <c r="E912" s="59"/>
      <c r="F912" s="59"/>
      <c r="I912" s="60"/>
    </row>
    <row r="913" spans="2:9" ht="13.5" customHeight="1" x14ac:dyDescent="0.2">
      <c r="B913" s="16"/>
      <c r="E913" s="59"/>
      <c r="F913" s="59"/>
      <c r="I913" s="60"/>
    </row>
    <row r="914" spans="2:9" ht="13.5" customHeight="1" x14ac:dyDescent="0.2">
      <c r="B914" s="16"/>
      <c r="E914" s="59"/>
      <c r="F914" s="59"/>
      <c r="I914" s="60"/>
    </row>
    <row r="915" spans="2:9" ht="13.5" customHeight="1" x14ac:dyDescent="0.2">
      <c r="B915" s="16"/>
      <c r="E915" s="59"/>
      <c r="F915" s="59"/>
      <c r="I915" s="60"/>
    </row>
    <row r="916" spans="2:9" ht="13.5" customHeight="1" x14ac:dyDescent="0.2">
      <c r="B916" s="16"/>
      <c r="E916" s="59"/>
      <c r="F916" s="59"/>
      <c r="I916" s="60"/>
    </row>
    <row r="917" spans="2:9" ht="13.5" customHeight="1" x14ac:dyDescent="0.2">
      <c r="B917" s="16"/>
      <c r="E917" s="59"/>
      <c r="F917" s="59"/>
      <c r="I917" s="60"/>
    </row>
    <row r="918" spans="2:9" ht="13.5" customHeight="1" x14ac:dyDescent="0.2">
      <c r="B918" s="16"/>
      <c r="E918" s="59"/>
      <c r="F918" s="59"/>
      <c r="I918" s="60"/>
    </row>
    <row r="919" spans="2:9" ht="13.5" customHeight="1" x14ac:dyDescent="0.2">
      <c r="B919" s="16"/>
      <c r="E919" s="59"/>
      <c r="F919" s="59"/>
      <c r="I919" s="60"/>
    </row>
    <row r="920" spans="2:9" ht="13.5" customHeight="1" x14ac:dyDescent="0.2">
      <c r="B920" s="16"/>
      <c r="E920" s="59"/>
      <c r="F920" s="59"/>
      <c r="I920" s="60"/>
    </row>
    <row r="921" spans="2:9" ht="13.5" customHeight="1" x14ac:dyDescent="0.2">
      <c r="B921" s="16"/>
      <c r="E921" s="59"/>
      <c r="F921" s="59"/>
      <c r="I921" s="60"/>
    </row>
    <row r="922" spans="2:9" ht="13.5" customHeight="1" x14ac:dyDescent="0.2">
      <c r="B922" s="16"/>
      <c r="E922" s="59"/>
      <c r="F922" s="59"/>
      <c r="I922" s="60"/>
    </row>
    <row r="923" spans="2:9" ht="13.5" customHeight="1" x14ac:dyDescent="0.2">
      <c r="B923" s="16"/>
      <c r="E923" s="59"/>
      <c r="F923" s="59"/>
      <c r="I923" s="60"/>
    </row>
    <row r="924" spans="2:9" ht="13.5" customHeight="1" x14ac:dyDescent="0.2">
      <c r="B924" s="16"/>
      <c r="E924" s="59"/>
      <c r="F924" s="59"/>
      <c r="I924" s="60"/>
    </row>
    <row r="925" spans="2:9" ht="13.5" customHeight="1" x14ac:dyDescent="0.2">
      <c r="B925" s="16"/>
      <c r="E925" s="59"/>
      <c r="F925" s="59"/>
      <c r="I925" s="60"/>
    </row>
    <row r="926" spans="2:9" ht="13.5" customHeight="1" x14ac:dyDescent="0.2">
      <c r="B926" s="16"/>
      <c r="E926" s="59"/>
      <c r="F926" s="59"/>
      <c r="I926" s="60"/>
    </row>
    <row r="927" spans="2:9" ht="13.5" customHeight="1" x14ac:dyDescent="0.2">
      <c r="B927" s="16"/>
      <c r="E927" s="59"/>
      <c r="F927" s="59"/>
      <c r="I927" s="60"/>
    </row>
    <row r="928" spans="2:9" ht="13.5" customHeight="1" x14ac:dyDescent="0.2">
      <c r="B928" s="16"/>
      <c r="E928" s="59"/>
      <c r="F928" s="59"/>
      <c r="I928" s="60"/>
    </row>
    <row r="929" spans="2:9" ht="13.5" customHeight="1" x14ac:dyDescent="0.2">
      <c r="B929" s="16"/>
      <c r="E929" s="59"/>
      <c r="F929" s="59"/>
      <c r="I929" s="60"/>
    </row>
    <row r="930" spans="2:9" ht="13.5" customHeight="1" x14ac:dyDescent="0.2">
      <c r="B930" s="16"/>
      <c r="E930" s="59"/>
      <c r="F930" s="59"/>
      <c r="I930" s="60"/>
    </row>
    <row r="931" spans="2:9" ht="13.5" customHeight="1" x14ac:dyDescent="0.2">
      <c r="B931" s="16"/>
      <c r="E931" s="59"/>
      <c r="F931" s="59"/>
      <c r="I931" s="60"/>
    </row>
    <row r="932" spans="2:9" ht="13.5" customHeight="1" x14ac:dyDescent="0.2">
      <c r="B932" s="16"/>
      <c r="E932" s="59"/>
      <c r="F932" s="59"/>
      <c r="I932" s="60"/>
    </row>
    <row r="933" spans="2:9" ht="13.5" customHeight="1" x14ac:dyDescent="0.2">
      <c r="B933" s="16"/>
      <c r="E933" s="59"/>
      <c r="F933" s="59"/>
      <c r="I933" s="60"/>
    </row>
    <row r="934" spans="2:9" ht="13.5" customHeight="1" x14ac:dyDescent="0.2">
      <c r="B934" s="16"/>
      <c r="E934" s="59"/>
      <c r="F934" s="59"/>
      <c r="I934" s="60"/>
    </row>
    <row r="935" spans="2:9" ht="13.5" customHeight="1" x14ac:dyDescent="0.2">
      <c r="B935" s="16"/>
      <c r="E935" s="59"/>
      <c r="F935" s="59"/>
      <c r="I935" s="60"/>
    </row>
    <row r="936" spans="2:9" ht="13.5" customHeight="1" x14ac:dyDescent="0.2">
      <c r="B936" s="16"/>
      <c r="E936" s="59"/>
      <c r="F936" s="59"/>
      <c r="I936" s="60"/>
    </row>
    <row r="937" spans="2:9" ht="13.5" customHeight="1" x14ac:dyDescent="0.2">
      <c r="B937" s="16"/>
      <c r="E937" s="59"/>
      <c r="F937" s="59"/>
      <c r="I937" s="60"/>
    </row>
    <row r="938" spans="2:9" ht="13.5" customHeight="1" x14ac:dyDescent="0.2">
      <c r="B938" s="16"/>
      <c r="E938" s="59"/>
      <c r="F938" s="59"/>
      <c r="I938" s="60"/>
    </row>
    <row r="939" spans="2:9" ht="13.5" customHeight="1" x14ac:dyDescent="0.2">
      <c r="B939" s="16"/>
      <c r="E939" s="59"/>
      <c r="F939" s="59"/>
      <c r="I939" s="60"/>
    </row>
    <row r="940" spans="2:9" ht="13.5" customHeight="1" x14ac:dyDescent="0.2">
      <c r="B940" s="16"/>
      <c r="E940" s="59"/>
      <c r="F940" s="59"/>
      <c r="I940" s="60"/>
    </row>
    <row r="941" spans="2:9" ht="13.5" customHeight="1" x14ac:dyDescent="0.2">
      <c r="B941" s="16"/>
      <c r="E941" s="59"/>
      <c r="F941" s="59"/>
      <c r="I941" s="60"/>
    </row>
    <row r="942" spans="2:9" ht="13.5" customHeight="1" x14ac:dyDescent="0.2">
      <c r="B942" s="16"/>
      <c r="E942" s="59"/>
      <c r="F942" s="59"/>
      <c r="I942" s="60"/>
    </row>
    <row r="943" spans="2:9" ht="13.5" customHeight="1" x14ac:dyDescent="0.2">
      <c r="B943" s="16"/>
      <c r="E943" s="59"/>
      <c r="F943" s="59"/>
      <c r="I943" s="60"/>
    </row>
    <row r="944" spans="2:9" ht="13.5" customHeight="1" x14ac:dyDescent="0.2">
      <c r="B944" s="16"/>
      <c r="E944" s="59"/>
      <c r="F944" s="59"/>
      <c r="I944" s="60"/>
    </row>
    <row r="945" spans="2:9" ht="13.5" customHeight="1" x14ac:dyDescent="0.2">
      <c r="B945" s="16"/>
      <c r="E945" s="59"/>
      <c r="F945" s="59"/>
      <c r="I945" s="60"/>
    </row>
    <row r="946" spans="2:9" ht="13.5" customHeight="1" x14ac:dyDescent="0.2">
      <c r="B946" s="16"/>
      <c r="E946" s="59"/>
      <c r="F946" s="59"/>
      <c r="I946" s="60"/>
    </row>
    <row r="947" spans="2:9" ht="13.5" customHeight="1" x14ac:dyDescent="0.2">
      <c r="B947" s="16"/>
      <c r="E947" s="59"/>
      <c r="F947" s="59"/>
      <c r="I947" s="60"/>
    </row>
    <row r="948" spans="2:9" ht="13.5" customHeight="1" x14ac:dyDescent="0.2">
      <c r="B948" s="16"/>
      <c r="E948" s="59"/>
      <c r="F948" s="59"/>
      <c r="I948" s="60"/>
    </row>
    <row r="949" spans="2:9" ht="13.5" customHeight="1" x14ac:dyDescent="0.2">
      <c r="B949" s="16"/>
      <c r="E949" s="59"/>
      <c r="F949" s="59"/>
      <c r="I949" s="60"/>
    </row>
    <row r="950" spans="2:9" ht="13.5" customHeight="1" x14ac:dyDescent="0.2">
      <c r="B950" s="16"/>
      <c r="E950" s="59"/>
      <c r="F950" s="59"/>
      <c r="I950" s="60"/>
    </row>
    <row r="951" spans="2:9" ht="13.5" customHeight="1" x14ac:dyDescent="0.2">
      <c r="B951" s="16"/>
      <c r="E951" s="59"/>
      <c r="F951" s="59"/>
      <c r="I951" s="60"/>
    </row>
    <row r="952" spans="2:9" ht="13.5" customHeight="1" x14ac:dyDescent="0.2">
      <c r="B952" s="16"/>
      <c r="E952" s="59"/>
      <c r="F952" s="59"/>
      <c r="I952" s="60"/>
    </row>
    <row r="953" spans="2:9" ht="13.5" customHeight="1" x14ac:dyDescent="0.2">
      <c r="B953" s="16"/>
      <c r="E953" s="59"/>
      <c r="F953" s="59"/>
      <c r="I953" s="60"/>
    </row>
    <row r="954" spans="2:9" ht="13.5" customHeight="1" x14ac:dyDescent="0.2">
      <c r="B954" s="16"/>
      <c r="E954" s="59"/>
      <c r="F954" s="59"/>
      <c r="I954" s="60"/>
    </row>
    <row r="955" spans="2:9" ht="13.5" customHeight="1" x14ac:dyDescent="0.2">
      <c r="B955" s="16"/>
      <c r="E955" s="59"/>
      <c r="F955" s="59"/>
      <c r="I955" s="60"/>
    </row>
    <row r="956" spans="2:9" ht="13.5" customHeight="1" x14ac:dyDescent="0.2">
      <c r="B956" s="16"/>
      <c r="E956" s="59"/>
      <c r="F956" s="59"/>
      <c r="I956" s="60"/>
    </row>
    <row r="957" spans="2:9" ht="13.5" customHeight="1" x14ac:dyDescent="0.2">
      <c r="B957" s="16"/>
      <c r="E957" s="59"/>
      <c r="F957" s="59"/>
      <c r="I957" s="60"/>
    </row>
    <row r="958" spans="2:9" ht="13.5" customHeight="1" x14ac:dyDescent="0.2">
      <c r="B958" s="16"/>
      <c r="E958" s="59"/>
      <c r="F958" s="59"/>
      <c r="I958" s="60"/>
    </row>
    <row r="959" spans="2:9" ht="13.5" customHeight="1" x14ac:dyDescent="0.2">
      <c r="B959" s="16"/>
      <c r="E959" s="59"/>
      <c r="F959" s="59"/>
      <c r="I959" s="60"/>
    </row>
    <row r="960" spans="2:9" ht="13.5" customHeight="1" x14ac:dyDescent="0.2">
      <c r="B960" s="16"/>
      <c r="E960" s="59"/>
      <c r="F960" s="59"/>
      <c r="I960" s="60"/>
    </row>
    <row r="961" spans="2:9" ht="13.5" customHeight="1" x14ac:dyDescent="0.2">
      <c r="B961" s="16"/>
      <c r="E961" s="59"/>
      <c r="F961" s="59"/>
      <c r="I961" s="60"/>
    </row>
    <row r="962" spans="2:9" ht="13.5" customHeight="1" x14ac:dyDescent="0.2">
      <c r="B962" s="16"/>
      <c r="E962" s="59"/>
      <c r="F962" s="59"/>
      <c r="I962" s="60"/>
    </row>
    <row r="963" spans="2:9" ht="13.5" customHeight="1" x14ac:dyDescent="0.2">
      <c r="B963" s="16"/>
      <c r="E963" s="59"/>
      <c r="F963" s="59"/>
      <c r="I963" s="60"/>
    </row>
    <row r="964" spans="2:9" ht="13.5" customHeight="1" x14ac:dyDescent="0.2">
      <c r="B964" s="16"/>
      <c r="E964" s="59"/>
      <c r="F964" s="59"/>
      <c r="I964" s="60"/>
    </row>
    <row r="965" spans="2:9" ht="13.5" customHeight="1" x14ac:dyDescent="0.2">
      <c r="B965" s="16"/>
      <c r="E965" s="59"/>
      <c r="F965" s="59"/>
      <c r="I965" s="60"/>
    </row>
    <row r="966" spans="2:9" ht="13.5" customHeight="1" x14ac:dyDescent="0.2">
      <c r="B966" s="16"/>
      <c r="E966" s="59"/>
      <c r="F966" s="59"/>
      <c r="I966" s="60"/>
    </row>
    <row r="967" spans="2:9" ht="13.5" customHeight="1" x14ac:dyDescent="0.2">
      <c r="B967" s="16"/>
      <c r="E967" s="59"/>
      <c r="F967" s="59"/>
      <c r="I967" s="60"/>
    </row>
    <row r="968" spans="2:9" ht="13.5" customHeight="1" x14ac:dyDescent="0.2">
      <c r="B968" s="16"/>
      <c r="E968" s="59"/>
      <c r="F968" s="59"/>
      <c r="I968" s="60"/>
    </row>
    <row r="969" spans="2:9" ht="13.5" customHeight="1" x14ac:dyDescent="0.2">
      <c r="B969" s="16"/>
      <c r="E969" s="59"/>
      <c r="F969" s="59"/>
      <c r="I969" s="60"/>
    </row>
    <row r="970" spans="2:9" ht="13.5" customHeight="1" x14ac:dyDescent="0.2">
      <c r="B970" s="16"/>
      <c r="E970" s="59"/>
      <c r="F970" s="59"/>
      <c r="I970" s="60"/>
    </row>
    <row r="971" spans="2:9" ht="13.5" customHeight="1" x14ac:dyDescent="0.2">
      <c r="B971" s="16"/>
      <c r="E971" s="59"/>
      <c r="F971" s="59"/>
      <c r="I971" s="60"/>
    </row>
    <row r="972" spans="2:9" ht="13.5" customHeight="1" x14ac:dyDescent="0.2">
      <c r="B972" s="16"/>
      <c r="E972" s="59"/>
      <c r="F972" s="59"/>
      <c r="I972" s="60"/>
    </row>
    <row r="973" spans="2:9" ht="13.5" customHeight="1" x14ac:dyDescent="0.2">
      <c r="B973" s="16"/>
      <c r="E973" s="59"/>
      <c r="F973" s="59"/>
      <c r="I973" s="60"/>
    </row>
    <row r="974" spans="2:9" ht="13.5" customHeight="1" x14ac:dyDescent="0.2">
      <c r="B974" s="16"/>
      <c r="E974" s="59"/>
      <c r="F974" s="59"/>
      <c r="I974" s="60"/>
    </row>
    <row r="975" spans="2:9" ht="13.5" customHeight="1" x14ac:dyDescent="0.2">
      <c r="B975" s="16"/>
      <c r="E975" s="59"/>
      <c r="F975" s="59"/>
      <c r="I975" s="60"/>
    </row>
    <row r="976" spans="2:9" ht="13.5" customHeight="1" x14ac:dyDescent="0.2">
      <c r="B976" s="16"/>
      <c r="E976" s="59"/>
      <c r="F976" s="59"/>
      <c r="I976" s="60"/>
    </row>
    <row r="977" spans="2:9" ht="13.5" customHeight="1" x14ac:dyDescent="0.2">
      <c r="B977" s="16"/>
      <c r="E977" s="59"/>
      <c r="F977" s="59"/>
      <c r="I977" s="60"/>
    </row>
    <row r="978" spans="2:9" ht="13.5" customHeight="1" x14ac:dyDescent="0.2">
      <c r="B978" s="16"/>
      <c r="E978" s="59"/>
      <c r="F978" s="59"/>
      <c r="I978" s="60"/>
    </row>
    <row r="979" spans="2:9" ht="13.5" customHeight="1" x14ac:dyDescent="0.2">
      <c r="B979" s="16"/>
      <c r="E979" s="59"/>
      <c r="F979" s="59"/>
      <c r="I979" s="60"/>
    </row>
    <row r="980" spans="2:9" ht="13.5" customHeight="1" x14ac:dyDescent="0.2">
      <c r="B980" s="16"/>
      <c r="E980" s="59"/>
      <c r="F980" s="59"/>
      <c r="I980" s="60"/>
    </row>
    <row r="981" spans="2:9" ht="13.5" customHeight="1" x14ac:dyDescent="0.2">
      <c r="B981" s="16"/>
      <c r="E981" s="59"/>
      <c r="F981" s="59"/>
      <c r="I981" s="60"/>
    </row>
    <row r="982" spans="2:9" ht="13.5" customHeight="1" x14ac:dyDescent="0.2">
      <c r="B982" s="16"/>
      <c r="E982" s="59"/>
      <c r="F982" s="59"/>
      <c r="I982" s="60"/>
    </row>
    <row r="983" spans="2:9" ht="13.5" customHeight="1" x14ac:dyDescent="0.2">
      <c r="B983" s="16"/>
      <c r="E983" s="59"/>
      <c r="F983" s="59"/>
      <c r="I983" s="60"/>
    </row>
    <row r="984" spans="2:9" ht="13.5" customHeight="1" x14ac:dyDescent="0.2">
      <c r="B984" s="16"/>
      <c r="E984" s="59"/>
      <c r="F984" s="59"/>
      <c r="I984" s="60"/>
    </row>
    <row r="985" spans="2:9" ht="13.5" customHeight="1" x14ac:dyDescent="0.2">
      <c r="B985" s="16"/>
      <c r="E985" s="59"/>
      <c r="F985" s="59"/>
      <c r="I985" s="60"/>
    </row>
    <row r="986" spans="2:9" ht="13.5" customHeight="1" x14ac:dyDescent="0.2">
      <c r="B986" s="16"/>
      <c r="E986" s="59"/>
      <c r="F986" s="59"/>
      <c r="I986" s="60"/>
    </row>
    <row r="987" spans="2:9" ht="13.5" customHeight="1" x14ac:dyDescent="0.2">
      <c r="B987" s="16"/>
      <c r="E987" s="59"/>
      <c r="F987" s="59"/>
      <c r="I987" s="60"/>
    </row>
    <row r="988" spans="2:9" ht="13.5" customHeight="1" x14ac:dyDescent="0.2">
      <c r="B988" s="16"/>
      <c r="E988" s="59"/>
      <c r="F988" s="59"/>
      <c r="I988" s="60"/>
    </row>
    <row r="989" spans="2:9" ht="13.5" customHeight="1" x14ac:dyDescent="0.2">
      <c r="B989" s="16"/>
      <c r="E989" s="59"/>
      <c r="F989" s="59"/>
      <c r="I989" s="60"/>
    </row>
    <row r="990" spans="2:9" ht="13.5" customHeight="1" x14ac:dyDescent="0.2">
      <c r="B990" s="16"/>
      <c r="E990" s="59"/>
      <c r="F990" s="59"/>
      <c r="I990" s="60"/>
    </row>
    <row r="991" spans="2:9" ht="13.5" customHeight="1" x14ac:dyDescent="0.2">
      <c r="B991" s="16"/>
      <c r="E991" s="59"/>
      <c r="F991" s="59"/>
      <c r="I991" s="60"/>
    </row>
    <row r="992" spans="2:9" ht="13.5" customHeight="1" x14ac:dyDescent="0.2">
      <c r="B992" s="16"/>
      <c r="E992" s="59"/>
      <c r="F992" s="59"/>
      <c r="I992" s="60"/>
    </row>
    <row r="993" spans="2:9" ht="13.5" customHeight="1" x14ac:dyDescent="0.2">
      <c r="B993" s="16"/>
      <c r="E993" s="59"/>
      <c r="F993" s="59"/>
      <c r="I993" s="60"/>
    </row>
    <row r="994" spans="2:9" ht="13.5" customHeight="1" x14ac:dyDescent="0.2">
      <c r="B994" s="16"/>
      <c r="E994" s="59"/>
      <c r="F994" s="59"/>
      <c r="I994" s="60"/>
    </row>
    <row r="995" spans="2:9" ht="13.5" customHeight="1" x14ac:dyDescent="0.2">
      <c r="B995" s="16"/>
      <c r="E995" s="59"/>
      <c r="F995" s="59"/>
      <c r="I995" s="60"/>
    </row>
    <row r="996" spans="2:9" ht="13.5" customHeight="1" x14ac:dyDescent="0.2">
      <c r="B996" s="16"/>
      <c r="E996" s="59"/>
      <c r="F996" s="59"/>
      <c r="I996" s="60"/>
    </row>
    <row r="997" spans="2:9" ht="13.5" customHeight="1" x14ac:dyDescent="0.2">
      <c r="B997" s="16"/>
      <c r="E997" s="59"/>
      <c r="F997" s="59"/>
      <c r="I997" s="60"/>
    </row>
    <row r="998" spans="2:9" ht="13.5" customHeight="1" x14ac:dyDescent="0.2">
      <c r="B998" s="16"/>
      <c r="E998" s="59"/>
      <c r="F998" s="59"/>
      <c r="I998" s="60"/>
    </row>
    <row r="999" spans="2:9" ht="13.5" customHeight="1" x14ac:dyDescent="0.2">
      <c r="B999" s="16"/>
      <c r="E999" s="59"/>
      <c r="F999" s="59"/>
      <c r="I999" s="60"/>
    </row>
    <row r="1000" spans="2:9" ht="13.5" customHeight="1" x14ac:dyDescent="0.2">
      <c r="B1000" s="16"/>
      <c r="E1000" s="59"/>
      <c r="F1000" s="59"/>
      <c r="I1000" s="60"/>
    </row>
  </sheetData>
  <mergeCells count="7">
    <mergeCell ref="A57:P57"/>
    <mergeCell ref="A61:P61"/>
    <mergeCell ref="A2:P2"/>
    <mergeCell ref="A40:P40"/>
    <mergeCell ref="A44:P44"/>
    <mergeCell ref="A48:P48"/>
    <mergeCell ref="A53:P5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CRB Urban Water Summary Table</vt:lpstr>
      <vt:lpstr>Metric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Tanya Petach</cp:lastModifiedBy>
  <dcterms:created xsi:type="dcterms:W3CDTF">2021-04-30T14:31:29Z</dcterms:created>
  <dcterms:modified xsi:type="dcterms:W3CDTF">2023-01-24T20:07:05Z</dcterms:modified>
</cp:coreProperties>
</file>