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720" yWindow="30" windowWidth="19320" windowHeight="11760" tabRatio="604" firstSheet="11" activeTab="12"/>
  </bookViews>
  <sheets>
    <sheet name="ALVEO " sheetId="12" r:id="rId1"/>
    <sheet name="Sheet2" sheetId="13" r:id="rId2"/>
    <sheet name="alveo_final" sheetId="14" r:id="rId3"/>
    <sheet name="Archi-Elec-Plumb" sheetId="15" r:id="rId4"/>
    <sheet name="ELECTRICAL" sheetId="16" r:id="rId5"/>
    <sheet name="Archi-Elec-Plumb (FINAL)" sheetId="17" r:id="rId6"/>
    <sheet name="Archi-Elec-Plumb (FINAL) (2)" sheetId="18" r:id="rId7"/>
    <sheet name="Archi-Elec-Plumb (FINAL) (3)" sheetId="19" r:id="rId8"/>
    <sheet name="Archi.(checked by prexy)" sheetId="20" r:id="rId9"/>
    <sheet name="Archi-Elec-Plumb (FINAL) (5)" sheetId="21" r:id="rId10"/>
    <sheet name="Archi.(checked by prexy)for PDF" sheetId="22" r:id="rId11"/>
    <sheet name="Archi for editing(latest)" sheetId="23" r:id="rId12"/>
    <sheet name="Archi for editing (latest)PDF" sheetId="24" r:id="rId13"/>
    <sheet name="for review" sheetId="25" r:id="rId14"/>
  </sheets>
  <definedNames>
    <definedName name="_xlnm.Print_Area" localSheetId="12">'Archi for editing (latest)PDF'!$A$1:$P$258</definedName>
    <definedName name="_xlnm.Print_Area" localSheetId="11">'Archi for editing(latest)'!$A$1:$P$258</definedName>
    <definedName name="_xlnm.Print_Area" localSheetId="8">'Archi.(checked by prexy)'!$A$1:$P$258</definedName>
    <definedName name="_xlnm.Print_Area" localSheetId="10">'Archi.(checked by prexy)for PDF'!$A$1:$P$254</definedName>
    <definedName name="_xlnm.Print_Area" localSheetId="3">'Archi-Elec-Plumb'!$A$1:$P$251</definedName>
    <definedName name="_xlnm.Print_Area" localSheetId="5">'Archi-Elec-Plumb (FINAL)'!$A$1:$P$253</definedName>
    <definedName name="_xlnm.Print_Area" localSheetId="6">'Archi-Elec-Plumb (FINAL) (2)'!$A$1:$P$255</definedName>
    <definedName name="_xlnm.Print_Area" localSheetId="7">'Archi-Elec-Plumb (FINAL) (3)'!$A$1:$P$253</definedName>
    <definedName name="_xlnm.Print_Area" localSheetId="9">'Archi-Elec-Plumb (FINAL) (5)'!$A$1:$P$250</definedName>
    <definedName name="_xlnm.Print_Area" localSheetId="13">'for review'!$A$1:$P$258</definedName>
  </definedNames>
  <calcPr calcId="145621"/>
</workbook>
</file>

<file path=xl/calcChain.xml><?xml version="1.0" encoding="utf-8"?>
<calcChain xmlns="http://schemas.openxmlformats.org/spreadsheetml/2006/main">
  <c r="N19" i="24" l="1"/>
  <c r="P264" i="24"/>
  <c r="P19" i="23"/>
  <c r="P25" i="23"/>
  <c r="P272" i="23"/>
  <c r="H80" i="24" l="1"/>
  <c r="H62" i="24" l="1"/>
  <c r="H64" i="25" l="1"/>
  <c r="AJ292" i="25" l="1"/>
  <c r="AH292" i="25"/>
  <c r="AH291" i="25"/>
  <c r="AH293" i="25" s="1"/>
  <c r="AG291" i="25"/>
  <c r="AI291" i="25" s="1"/>
  <c r="AJ291" i="25" s="1"/>
  <c r="AE291" i="25"/>
  <c r="L291" i="25"/>
  <c r="AJ285" i="25"/>
  <c r="AH285" i="25"/>
  <c r="AJ284" i="25"/>
  <c r="AG284" i="25"/>
  <c r="AH284" i="25" s="1"/>
  <c r="AE284" i="25"/>
  <c r="AJ283" i="25"/>
  <c r="AH283" i="25"/>
  <c r="AE283" i="25"/>
  <c r="AJ282" i="25"/>
  <c r="AH282" i="25"/>
  <c r="AE282" i="25"/>
  <c r="AJ281" i="25"/>
  <c r="AH281" i="25"/>
  <c r="AH286" i="25" s="1"/>
  <c r="H238" i="25" s="1"/>
  <c r="I238" i="25" s="1"/>
  <c r="L238" i="25" s="1"/>
  <c r="AE281" i="25"/>
  <c r="L278" i="25"/>
  <c r="L276" i="25"/>
  <c r="L272" i="25"/>
  <c r="N267" i="25" s="1"/>
  <c r="AO271" i="25"/>
  <c r="AN271" i="25"/>
  <c r="AB269" i="25" s="1"/>
  <c r="AH269" i="25" s="1"/>
  <c r="AH271" i="25"/>
  <c r="AH270" i="25"/>
  <c r="AB270" i="25"/>
  <c r="AM267" i="25"/>
  <c r="AL267" i="25"/>
  <c r="AM266" i="25"/>
  <c r="AL266" i="25"/>
  <c r="AM265" i="25"/>
  <c r="AL265" i="25"/>
  <c r="AM264" i="25"/>
  <c r="AL264" i="25"/>
  <c r="AM263" i="25"/>
  <c r="AL263" i="25"/>
  <c r="AO257" i="25"/>
  <c r="AB256" i="25" s="1"/>
  <c r="AH256" i="25" s="1"/>
  <c r="AN257" i="25"/>
  <c r="AH257" i="25"/>
  <c r="AB255" i="25"/>
  <c r="AH255" i="25" s="1"/>
  <c r="AM253" i="25"/>
  <c r="AL253" i="25"/>
  <c r="AM252" i="25"/>
  <c r="AL252" i="25"/>
  <c r="AM251" i="25"/>
  <c r="AL251" i="25"/>
  <c r="AM250" i="25"/>
  <c r="AM257" i="25" s="1"/>
  <c r="AB254" i="25" s="1"/>
  <c r="AH254" i="25" s="1"/>
  <c r="AL250" i="25"/>
  <c r="AM249" i="25"/>
  <c r="AL249" i="25"/>
  <c r="AO243" i="25"/>
  <c r="AB241" i="25" s="1"/>
  <c r="AH241" i="25" s="1"/>
  <c r="AN243" i="25"/>
  <c r="AB240" i="25" s="1"/>
  <c r="AH240" i="25" s="1"/>
  <c r="AH242" i="25"/>
  <c r="J242" i="25"/>
  <c r="K242" i="25" s="1"/>
  <c r="H242" i="25"/>
  <c r="E242" i="25"/>
  <c r="J241" i="25"/>
  <c r="K241" i="25" s="1"/>
  <c r="H241" i="25"/>
  <c r="E241" i="25"/>
  <c r="J240" i="25"/>
  <c r="K240" i="25" s="1"/>
  <c r="I240" i="25"/>
  <c r="J239" i="25"/>
  <c r="K239" i="25" s="1"/>
  <c r="I239" i="25"/>
  <c r="L239" i="25" s="1"/>
  <c r="AM238" i="25"/>
  <c r="AL238" i="25"/>
  <c r="K238" i="25"/>
  <c r="AM237" i="25"/>
  <c r="AL237" i="25"/>
  <c r="J237" i="25"/>
  <c r="K237" i="25" s="1"/>
  <c r="H237" i="25"/>
  <c r="AM236" i="25"/>
  <c r="AL236" i="25"/>
  <c r="J236" i="25"/>
  <c r="K236" i="25" s="1"/>
  <c r="I236" i="25"/>
  <c r="K235" i="25"/>
  <c r="I235" i="25"/>
  <c r="AM234" i="25"/>
  <c r="AL234" i="25"/>
  <c r="AY233" i="25"/>
  <c r="AW233" i="25"/>
  <c r="AM233" i="25"/>
  <c r="AL233" i="25"/>
  <c r="AY232" i="25"/>
  <c r="AV232" i="25"/>
  <c r="AW232" i="25" s="1"/>
  <c r="AV231" i="25"/>
  <c r="K231" i="25"/>
  <c r="H231" i="25"/>
  <c r="I231" i="25" s="1"/>
  <c r="AY230" i="25"/>
  <c r="AV230" i="25"/>
  <c r="AW230" i="25" s="1"/>
  <c r="AT230" i="25"/>
  <c r="K230" i="25"/>
  <c r="I230" i="25"/>
  <c r="L230" i="25" s="1"/>
  <c r="AY229" i="25"/>
  <c r="AV229" i="25"/>
  <c r="AW229" i="25" s="1"/>
  <c r="AT229" i="25"/>
  <c r="AT231" i="25" s="1"/>
  <c r="AU231" i="25" s="1"/>
  <c r="K229" i="25"/>
  <c r="H229" i="25"/>
  <c r="I229" i="25" s="1"/>
  <c r="AY228" i="25"/>
  <c r="AW228" i="25"/>
  <c r="AT228" i="25"/>
  <c r="J228" i="25"/>
  <c r="K228" i="25" s="1"/>
  <c r="H228" i="25"/>
  <c r="J227" i="25"/>
  <c r="K227" i="25" s="1"/>
  <c r="I227" i="25"/>
  <c r="J226" i="25"/>
  <c r="K226" i="25" s="1"/>
  <c r="I226" i="25"/>
  <c r="K225" i="25"/>
  <c r="J225" i="25"/>
  <c r="I225" i="25"/>
  <c r="AO224" i="25"/>
  <c r="AN224" i="25"/>
  <c r="AH224" i="25"/>
  <c r="J224" i="25"/>
  <c r="K224" i="25" s="1"/>
  <c r="H224" i="25"/>
  <c r="AB223" i="25"/>
  <c r="AH223" i="25" s="1"/>
  <c r="J223" i="25"/>
  <c r="K223" i="25" s="1"/>
  <c r="I223" i="25"/>
  <c r="AB222" i="25"/>
  <c r="AH222" i="25" s="1"/>
  <c r="J222" i="25"/>
  <c r="K222" i="25" s="1"/>
  <c r="I222" i="25"/>
  <c r="K221" i="25"/>
  <c r="J221" i="25"/>
  <c r="I221" i="25"/>
  <c r="AM220" i="25"/>
  <c r="AL220" i="25"/>
  <c r="J220" i="25"/>
  <c r="K220" i="25" s="1"/>
  <c r="I220" i="25"/>
  <c r="AM219" i="25"/>
  <c r="AL219" i="25"/>
  <c r="S219" i="25"/>
  <c r="AM218" i="25"/>
  <c r="AL218" i="25"/>
  <c r="AM217" i="25"/>
  <c r="AL217" i="25"/>
  <c r="AM216" i="25"/>
  <c r="AL216" i="25"/>
  <c r="W215" i="25"/>
  <c r="J215" i="25" s="1"/>
  <c r="K215" i="25" s="1"/>
  <c r="N215" i="25"/>
  <c r="M215" i="25"/>
  <c r="O215" i="25" s="1"/>
  <c r="P215" i="25" s="1"/>
  <c r="I215" i="25"/>
  <c r="H215" i="25"/>
  <c r="N214" i="25"/>
  <c r="M214" i="25"/>
  <c r="J214" i="25"/>
  <c r="K214" i="25" s="1"/>
  <c r="H214" i="25"/>
  <c r="I214" i="25" s="1"/>
  <c r="N213" i="25"/>
  <c r="M213" i="25"/>
  <c r="J213" i="25"/>
  <c r="K213" i="25" s="1"/>
  <c r="H213" i="25"/>
  <c r="I213" i="25" s="1"/>
  <c r="L213" i="25" s="1"/>
  <c r="N212" i="25"/>
  <c r="M212" i="25"/>
  <c r="O212" i="25" s="1"/>
  <c r="P212" i="25" s="1"/>
  <c r="J212" i="25"/>
  <c r="K212" i="25" s="1"/>
  <c r="H212" i="25"/>
  <c r="I212" i="25" s="1"/>
  <c r="L212" i="25" s="1"/>
  <c r="N211" i="25"/>
  <c r="M211" i="25"/>
  <c r="J211" i="25"/>
  <c r="K211" i="25" s="1"/>
  <c r="H211" i="25"/>
  <c r="I211" i="25" s="1"/>
  <c r="L211" i="25" s="1"/>
  <c r="N210" i="25"/>
  <c r="M210" i="25"/>
  <c r="O210" i="25" s="1"/>
  <c r="P210" i="25" s="1"/>
  <c r="J210" i="25"/>
  <c r="K210" i="25" s="1"/>
  <c r="H210" i="25"/>
  <c r="I210" i="25" s="1"/>
  <c r="L210" i="25" s="1"/>
  <c r="AW209" i="25"/>
  <c r="AU209" i="25"/>
  <c r="N209" i="25"/>
  <c r="M209" i="25"/>
  <c r="J209" i="25"/>
  <c r="K209" i="25" s="1"/>
  <c r="H209" i="25"/>
  <c r="I209" i="25" s="1"/>
  <c r="L209" i="25" s="1"/>
  <c r="AW208" i="25"/>
  <c r="AU208" i="25"/>
  <c r="AR208" i="25"/>
  <c r="N208" i="25"/>
  <c r="O208" i="25" s="1"/>
  <c r="P208" i="25" s="1"/>
  <c r="M208" i="25"/>
  <c r="J208" i="25"/>
  <c r="K208" i="25" s="1"/>
  <c r="H208" i="25"/>
  <c r="I208" i="25" s="1"/>
  <c r="L208" i="25" s="1"/>
  <c r="AW207" i="25"/>
  <c r="AT207" i="25"/>
  <c r="AU207" i="25" s="1"/>
  <c r="AR207" i="25"/>
  <c r="N207" i="25"/>
  <c r="M207" i="25"/>
  <c r="J207" i="25"/>
  <c r="K207" i="25" s="1"/>
  <c r="I207" i="25"/>
  <c r="L207" i="25" s="1"/>
  <c r="H207" i="25"/>
  <c r="AW206" i="25"/>
  <c r="AT206" i="25"/>
  <c r="AU206" i="25" s="1"/>
  <c r="AR206" i="25"/>
  <c r="AW205" i="25"/>
  <c r="AU205" i="25"/>
  <c r="AW204" i="25"/>
  <c r="AU204" i="25"/>
  <c r="AR204" i="25"/>
  <c r="W204" i="25"/>
  <c r="J204" i="25" s="1"/>
  <c r="K204" i="25" s="1"/>
  <c r="N204" i="25"/>
  <c r="M204" i="25"/>
  <c r="H204" i="25"/>
  <c r="I204" i="25" s="1"/>
  <c r="AW203" i="25"/>
  <c r="AU203" i="25"/>
  <c r="AR203" i="25"/>
  <c r="N203" i="25"/>
  <c r="M203" i="25"/>
  <c r="J203" i="25"/>
  <c r="K203" i="25" s="1"/>
  <c r="H203" i="25"/>
  <c r="I203" i="25" s="1"/>
  <c r="AW202" i="25"/>
  <c r="AU202" i="25"/>
  <c r="N202" i="25"/>
  <c r="M202" i="25"/>
  <c r="J202" i="25"/>
  <c r="K202" i="25" s="1"/>
  <c r="I202" i="25"/>
  <c r="L202" i="25" s="1"/>
  <c r="H202" i="25"/>
  <c r="AW201" i="25"/>
  <c r="AU201" i="25"/>
  <c r="T201" i="25"/>
  <c r="H201" i="25" s="1"/>
  <c r="I201" i="25" s="1"/>
  <c r="L201" i="25" s="1"/>
  <c r="N201" i="25"/>
  <c r="M201" i="25"/>
  <c r="O201" i="25" s="1"/>
  <c r="P201" i="25" s="1"/>
  <c r="J201" i="25"/>
  <c r="K201" i="25" s="1"/>
  <c r="AT200" i="25"/>
  <c r="AS200" i="25"/>
  <c r="AW200" i="25" s="1"/>
  <c r="N200" i="25"/>
  <c r="M200" i="25"/>
  <c r="J200" i="25"/>
  <c r="K200" i="25" s="1"/>
  <c r="H200" i="25"/>
  <c r="I200" i="25" s="1"/>
  <c r="L200" i="25" s="1"/>
  <c r="N199" i="25"/>
  <c r="M199" i="25"/>
  <c r="O199" i="25" s="1"/>
  <c r="P199" i="25" s="1"/>
  <c r="J199" i="25"/>
  <c r="K199" i="25" s="1"/>
  <c r="H199" i="25"/>
  <c r="I199" i="25" s="1"/>
  <c r="L199" i="25" s="1"/>
  <c r="N198" i="25"/>
  <c r="O198" i="25" s="1"/>
  <c r="P198" i="25" s="1"/>
  <c r="M198" i="25"/>
  <c r="J198" i="25"/>
  <c r="K198" i="25" s="1"/>
  <c r="H198" i="25"/>
  <c r="I198" i="25" s="1"/>
  <c r="L198" i="25" s="1"/>
  <c r="N197" i="25"/>
  <c r="M197" i="25"/>
  <c r="J197" i="25"/>
  <c r="K197" i="25" s="1"/>
  <c r="I197" i="25"/>
  <c r="L197" i="25" s="1"/>
  <c r="H197" i="25"/>
  <c r="AW196" i="25"/>
  <c r="AT196" i="25"/>
  <c r="AU196" i="25" s="1"/>
  <c r="AW195" i="25"/>
  <c r="AT195" i="25"/>
  <c r="AU195" i="25" s="1"/>
  <c r="AU197" i="25" s="1"/>
  <c r="T195" i="25"/>
  <c r="H195" i="25" s="1"/>
  <c r="I195" i="25" s="1"/>
  <c r="N195" i="25"/>
  <c r="M195" i="25"/>
  <c r="J195" i="25"/>
  <c r="K195" i="25" s="1"/>
  <c r="AW194" i="25"/>
  <c r="AU194" i="25"/>
  <c r="T194" i="25"/>
  <c r="H194" i="25" s="1"/>
  <c r="I194" i="25" s="1"/>
  <c r="N194" i="25"/>
  <c r="M194" i="25"/>
  <c r="O194" i="25" s="1"/>
  <c r="P194" i="25" s="1"/>
  <c r="J194" i="25"/>
  <c r="K194" i="25" s="1"/>
  <c r="T193" i="25"/>
  <c r="H193" i="25" s="1"/>
  <c r="I193" i="25" s="1"/>
  <c r="N193" i="25"/>
  <c r="M193" i="25"/>
  <c r="J193" i="25"/>
  <c r="K193" i="25" s="1"/>
  <c r="T192" i="25"/>
  <c r="H192" i="25" s="1"/>
  <c r="I192" i="25" s="1"/>
  <c r="L192" i="25" s="1"/>
  <c r="N192" i="25"/>
  <c r="M192" i="25"/>
  <c r="O192" i="25" s="1"/>
  <c r="P192" i="25" s="1"/>
  <c r="J192" i="25"/>
  <c r="K192" i="25" s="1"/>
  <c r="T191" i="25"/>
  <c r="H191" i="25" s="1"/>
  <c r="I191" i="25" s="1"/>
  <c r="N191" i="25"/>
  <c r="M191" i="25"/>
  <c r="O191" i="25" s="1"/>
  <c r="P191" i="25" s="1"/>
  <c r="K191" i="25"/>
  <c r="J191" i="25"/>
  <c r="N188" i="25"/>
  <c r="M188" i="25"/>
  <c r="J188" i="25"/>
  <c r="K188" i="25" s="1"/>
  <c r="H188" i="25"/>
  <c r="I188" i="25" s="1"/>
  <c r="N187" i="25"/>
  <c r="M187" i="25"/>
  <c r="O187" i="25" s="1"/>
  <c r="P187" i="25" s="1"/>
  <c r="K187" i="25"/>
  <c r="J187" i="25"/>
  <c r="H187" i="25"/>
  <c r="I187" i="25" s="1"/>
  <c r="L187" i="25" s="1"/>
  <c r="AX186" i="25"/>
  <c r="AU186" i="25"/>
  <c r="AV186" i="25" s="1"/>
  <c r="N186" i="25"/>
  <c r="M186" i="25"/>
  <c r="O186" i="25" s="1"/>
  <c r="P186" i="25" s="1"/>
  <c r="K186" i="25"/>
  <c r="J186" i="25"/>
  <c r="H186" i="25"/>
  <c r="I186" i="25" s="1"/>
  <c r="L186" i="25" s="1"/>
  <c r="AX185" i="25"/>
  <c r="AU185" i="25"/>
  <c r="AV185" i="25" s="1"/>
  <c r="N185" i="25"/>
  <c r="M185" i="25"/>
  <c r="O185" i="25" s="1"/>
  <c r="P185" i="25" s="1"/>
  <c r="K185" i="25"/>
  <c r="J185" i="25"/>
  <c r="H185" i="25"/>
  <c r="I185" i="25" s="1"/>
  <c r="AX184" i="25"/>
  <c r="AU184" i="25"/>
  <c r="AV184" i="25" s="1"/>
  <c r="N184" i="25"/>
  <c r="M184" i="25"/>
  <c r="O184" i="25" s="1"/>
  <c r="P184" i="25" s="1"/>
  <c r="K184" i="25"/>
  <c r="J184" i="25"/>
  <c r="H184" i="25"/>
  <c r="I184" i="25" s="1"/>
  <c r="AV183" i="25"/>
  <c r="AV187" i="25" s="1"/>
  <c r="AU183" i="25"/>
  <c r="N183" i="25"/>
  <c r="M183" i="25"/>
  <c r="J183" i="25"/>
  <c r="K183" i="25" s="1"/>
  <c r="H183" i="25"/>
  <c r="I183" i="25" s="1"/>
  <c r="L183" i="25" s="1"/>
  <c r="N182" i="25"/>
  <c r="M182" i="25"/>
  <c r="J182" i="25"/>
  <c r="K182" i="25" s="1"/>
  <c r="H182" i="25"/>
  <c r="I182" i="25" s="1"/>
  <c r="L182" i="25" s="1"/>
  <c r="N179" i="25"/>
  <c r="M179" i="25"/>
  <c r="O179" i="25" s="1"/>
  <c r="P179" i="25" s="1"/>
  <c r="J179" i="25"/>
  <c r="K179" i="25" s="1"/>
  <c r="H179" i="25"/>
  <c r="I179" i="25" s="1"/>
  <c r="L179" i="25" s="1"/>
  <c r="AX178" i="25"/>
  <c r="AV178" i="25"/>
  <c r="N178" i="25"/>
  <c r="M178" i="25"/>
  <c r="J178" i="25"/>
  <c r="K178" i="25" s="1"/>
  <c r="H178" i="25"/>
  <c r="I178" i="25" s="1"/>
  <c r="L178" i="25" s="1"/>
  <c r="AX177" i="25"/>
  <c r="AV177" i="25"/>
  <c r="AU177" i="25"/>
  <c r="N177" i="25"/>
  <c r="M177" i="25"/>
  <c r="J177" i="25"/>
  <c r="K177" i="25" s="1"/>
  <c r="H177" i="25"/>
  <c r="I177" i="25" s="1"/>
  <c r="AX176" i="25"/>
  <c r="AU176" i="25"/>
  <c r="AV176" i="25" s="1"/>
  <c r="N176" i="25"/>
  <c r="M176" i="25"/>
  <c r="J176" i="25"/>
  <c r="K176" i="25" s="1"/>
  <c r="H176" i="25"/>
  <c r="I176" i="25" s="1"/>
  <c r="L176" i="25" s="1"/>
  <c r="AW175" i="25"/>
  <c r="AW183" i="25" s="1"/>
  <c r="AX183" i="25" s="1"/>
  <c r="AU175" i="25"/>
  <c r="AV175" i="25" s="1"/>
  <c r="N175" i="25"/>
  <c r="M175" i="25"/>
  <c r="O175" i="25" s="1"/>
  <c r="P175" i="25" s="1"/>
  <c r="J175" i="25"/>
  <c r="K175" i="25" s="1"/>
  <c r="H175" i="25"/>
  <c r="I175" i="25" s="1"/>
  <c r="L175" i="25" s="1"/>
  <c r="N174" i="25"/>
  <c r="M174" i="25"/>
  <c r="J174" i="25"/>
  <c r="K174" i="25" s="1"/>
  <c r="H174" i="25"/>
  <c r="I174" i="25" s="1"/>
  <c r="L174" i="25" s="1"/>
  <c r="N173" i="25"/>
  <c r="M173" i="25"/>
  <c r="O173" i="25" s="1"/>
  <c r="P173" i="25" s="1"/>
  <c r="J173" i="25"/>
  <c r="K173" i="25" s="1"/>
  <c r="H173" i="25"/>
  <c r="I173" i="25" s="1"/>
  <c r="L173" i="25" s="1"/>
  <c r="N172" i="25"/>
  <c r="M172" i="25"/>
  <c r="J172" i="25"/>
  <c r="K172" i="25" s="1"/>
  <c r="H172" i="25"/>
  <c r="I172" i="25" s="1"/>
  <c r="L172" i="25" s="1"/>
  <c r="N171" i="25"/>
  <c r="M171" i="25"/>
  <c r="O171" i="25" s="1"/>
  <c r="P171" i="25" s="1"/>
  <c r="J171" i="25"/>
  <c r="K171" i="25" s="1"/>
  <c r="H171" i="25"/>
  <c r="I171" i="25" s="1"/>
  <c r="L171" i="25" s="1"/>
  <c r="AX170" i="25"/>
  <c r="AV170" i="25"/>
  <c r="N170" i="25"/>
  <c r="M170" i="25"/>
  <c r="J170" i="25"/>
  <c r="K170" i="25" s="1"/>
  <c r="H170" i="25"/>
  <c r="I170" i="25" s="1"/>
  <c r="L170" i="25" s="1"/>
  <c r="AX169" i="25"/>
  <c r="AX168" i="25"/>
  <c r="AX167" i="25"/>
  <c r="AU167" i="25"/>
  <c r="AV167" i="25" s="1"/>
  <c r="T167" i="25"/>
  <c r="N167" i="25"/>
  <c r="M167" i="25"/>
  <c r="O167" i="25" s="1"/>
  <c r="P167" i="25" s="1"/>
  <c r="K167" i="25"/>
  <c r="H167" i="25"/>
  <c r="I167" i="25" s="1"/>
  <c r="L167" i="25" s="1"/>
  <c r="AK166" i="25"/>
  <c r="AI166" i="25"/>
  <c r="T166" i="25"/>
  <c r="N166" i="25"/>
  <c r="O166" i="25" s="1"/>
  <c r="P166" i="25" s="1"/>
  <c r="M166" i="25"/>
  <c r="K166" i="25"/>
  <c r="H166" i="25"/>
  <c r="I166" i="25" s="1"/>
  <c r="L166" i="25" s="1"/>
  <c r="AK165" i="25"/>
  <c r="AI165" i="25"/>
  <c r="AK164" i="25"/>
  <c r="AI164" i="25"/>
  <c r="T164" i="25"/>
  <c r="N164" i="25"/>
  <c r="M164" i="25"/>
  <c r="O164" i="25" s="1"/>
  <c r="P164" i="25" s="1"/>
  <c r="K164" i="25"/>
  <c r="H164" i="25"/>
  <c r="I164" i="25" s="1"/>
  <c r="AK163" i="25"/>
  <c r="AI163" i="25"/>
  <c r="AE163" i="25"/>
  <c r="T163" i="25"/>
  <c r="N163" i="25"/>
  <c r="M163" i="25"/>
  <c r="O163" i="25" s="1"/>
  <c r="P163" i="25" s="1"/>
  <c r="K163" i="25"/>
  <c r="H163" i="25"/>
  <c r="I163" i="25" s="1"/>
  <c r="AK162" i="25"/>
  <c r="AH162" i="25"/>
  <c r="AI162" i="25" s="1"/>
  <c r="AE162" i="25"/>
  <c r="AK161" i="25"/>
  <c r="AH161" i="25"/>
  <c r="AI161" i="25" s="1"/>
  <c r="T161" i="25"/>
  <c r="N161" i="25"/>
  <c r="M161" i="25"/>
  <c r="O161" i="25" s="1"/>
  <c r="P161" i="25" s="1"/>
  <c r="K161" i="25"/>
  <c r="H161" i="25"/>
  <c r="I161" i="25" s="1"/>
  <c r="AK160" i="25"/>
  <c r="AH160" i="25"/>
  <c r="AI160" i="25" s="1"/>
  <c r="T160" i="25"/>
  <c r="N160" i="25"/>
  <c r="M160" i="25"/>
  <c r="O160" i="25" s="1"/>
  <c r="P160" i="25" s="1"/>
  <c r="J160" i="25"/>
  <c r="H160" i="25"/>
  <c r="F160" i="25"/>
  <c r="E160" i="25"/>
  <c r="AK159" i="25"/>
  <c r="AH159" i="25"/>
  <c r="AI159" i="25" s="1"/>
  <c r="T159" i="25"/>
  <c r="N159" i="25"/>
  <c r="M159" i="25"/>
  <c r="J159" i="25"/>
  <c r="K159" i="25" s="1"/>
  <c r="H159" i="25"/>
  <c r="I159" i="25" s="1"/>
  <c r="L159" i="25" s="1"/>
  <c r="AK158" i="25"/>
  <c r="AI158" i="25"/>
  <c r="AH158" i="25"/>
  <c r="AE158" i="25"/>
  <c r="T158" i="25"/>
  <c r="N158" i="25"/>
  <c r="O158" i="25" s="1"/>
  <c r="P158" i="25" s="1"/>
  <c r="M158" i="25"/>
  <c r="H158" i="25"/>
  <c r="F158" i="25"/>
  <c r="K158" i="25" s="1"/>
  <c r="E158" i="25"/>
  <c r="AK157" i="25"/>
  <c r="AH157" i="25"/>
  <c r="AI157" i="25" s="1"/>
  <c r="AE157" i="25"/>
  <c r="AK156" i="25"/>
  <c r="AH156" i="25"/>
  <c r="AI156" i="25" s="1"/>
  <c r="AE156" i="25"/>
  <c r="AK155" i="25"/>
  <c r="AH155" i="25"/>
  <c r="AI155" i="25" s="1"/>
  <c r="AK154" i="25"/>
  <c r="AH154" i="25"/>
  <c r="AI154" i="25" s="1"/>
  <c r="AE154" i="25"/>
  <c r="AK153" i="25"/>
  <c r="AH153" i="25"/>
  <c r="AI153" i="25" s="1"/>
  <c r="AE153" i="25"/>
  <c r="K152" i="25"/>
  <c r="J152" i="25"/>
  <c r="H152" i="25"/>
  <c r="I152" i="25" s="1"/>
  <c r="L152" i="25" s="1"/>
  <c r="J151" i="25"/>
  <c r="K151" i="25" s="1"/>
  <c r="H151" i="25"/>
  <c r="J148" i="25"/>
  <c r="K148" i="25" s="1"/>
  <c r="I148" i="25"/>
  <c r="L148" i="25" s="1"/>
  <c r="H148" i="25"/>
  <c r="J147" i="25"/>
  <c r="K147" i="25" s="1"/>
  <c r="H147" i="25"/>
  <c r="K146" i="25"/>
  <c r="J146" i="25"/>
  <c r="H146" i="25"/>
  <c r="I146" i="25" s="1"/>
  <c r="K142" i="25"/>
  <c r="I142" i="25"/>
  <c r="J140" i="25"/>
  <c r="K140" i="25" s="1"/>
  <c r="H140" i="25"/>
  <c r="K139" i="25"/>
  <c r="J139" i="25"/>
  <c r="H139" i="25"/>
  <c r="I139" i="25" s="1"/>
  <c r="J136" i="25"/>
  <c r="K136" i="25" s="1"/>
  <c r="H136" i="25"/>
  <c r="AU135" i="25"/>
  <c r="AS135" i="25"/>
  <c r="AI135" i="25"/>
  <c r="AG135" i="25"/>
  <c r="K135" i="25"/>
  <c r="I135" i="25"/>
  <c r="L135" i="25" s="1"/>
  <c r="AU134" i="25"/>
  <c r="AU136" i="25" s="1"/>
  <c r="AR134" i="25"/>
  <c r="AS134" i="25" s="1"/>
  <c r="AI134" i="25"/>
  <c r="AF134" i="25"/>
  <c r="AG134" i="25" s="1"/>
  <c r="K134" i="25"/>
  <c r="I134" i="25"/>
  <c r="L134" i="25" s="1"/>
  <c r="AU133" i="25"/>
  <c r="AI133" i="25"/>
  <c r="K133" i="25"/>
  <c r="H133" i="25"/>
  <c r="I133" i="25" s="1"/>
  <c r="L133" i="25" s="1"/>
  <c r="AU132" i="25"/>
  <c r="AS132" i="25"/>
  <c r="AS136" i="25" s="1"/>
  <c r="AR132" i="25"/>
  <c r="AI132" i="25"/>
  <c r="AF132" i="25"/>
  <c r="AG132" i="25" s="1"/>
  <c r="K132" i="25"/>
  <c r="H132" i="25"/>
  <c r="I132" i="25" s="1"/>
  <c r="E132" i="25"/>
  <c r="K131" i="25"/>
  <c r="I131" i="25"/>
  <c r="L131" i="25" s="1"/>
  <c r="H131" i="25"/>
  <c r="K130" i="25"/>
  <c r="H130" i="25"/>
  <c r="I130" i="25" s="1"/>
  <c r="L130" i="25" s="1"/>
  <c r="AU128" i="25"/>
  <c r="AR128" i="25"/>
  <c r="AS128" i="25" s="1"/>
  <c r="AI128" i="25"/>
  <c r="AG128" i="25"/>
  <c r="AF128" i="25"/>
  <c r="AU127" i="25"/>
  <c r="AR127" i="25"/>
  <c r="AS127" i="25" s="1"/>
  <c r="AI127" i="25"/>
  <c r="AF127" i="25"/>
  <c r="AG127" i="25" s="1"/>
  <c r="K127" i="25"/>
  <c r="I127" i="25"/>
  <c r="H127" i="25"/>
  <c r="E127" i="25"/>
  <c r="AU126" i="25"/>
  <c r="AS126" i="25"/>
  <c r="AR126" i="25"/>
  <c r="AR133" i="25" s="1"/>
  <c r="AS133" i="25" s="1"/>
  <c r="AI126" i="25"/>
  <c r="AF126" i="25"/>
  <c r="AG126" i="25" s="1"/>
  <c r="K126" i="25"/>
  <c r="H126" i="25"/>
  <c r="I126" i="25" s="1"/>
  <c r="AU125" i="25"/>
  <c r="AS125" i="25"/>
  <c r="AR125" i="25"/>
  <c r="AI125" i="25"/>
  <c r="AF125" i="25"/>
  <c r="AG125" i="25" s="1"/>
  <c r="K124" i="25"/>
  <c r="H124" i="25"/>
  <c r="I124" i="25" s="1"/>
  <c r="E124" i="25"/>
  <c r="K123" i="25"/>
  <c r="I123" i="25"/>
  <c r="L123" i="25" s="1"/>
  <c r="H123" i="25"/>
  <c r="T119" i="25"/>
  <c r="S119" i="25"/>
  <c r="K119" i="25"/>
  <c r="I119" i="25"/>
  <c r="T117" i="25"/>
  <c r="S117" i="25"/>
  <c r="K117" i="25"/>
  <c r="I117" i="25"/>
  <c r="T115" i="25"/>
  <c r="S115" i="25"/>
  <c r="K115" i="25"/>
  <c r="I115" i="25"/>
  <c r="T113" i="25"/>
  <c r="S113" i="25"/>
  <c r="K113" i="25"/>
  <c r="I113" i="25"/>
  <c r="T110" i="25"/>
  <c r="S110" i="25"/>
  <c r="K110" i="25"/>
  <c r="I110" i="25"/>
  <c r="T107" i="25"/>
  <c r="S107" i="25"/>
  <c r="K107" i="25"/>
  <c r="I107" i="25"/>
  <c r="T105" i="25"/>
  <c r="S105" i="25"/>
  <c r="K105" i="25"/>
  <c r="I105" i="25"/>
  <c r="T103" i="25"/>
  <c r="S103" i="25"/>
  <c r="K103" i="25"/>
  <c r="I103" i="25"/>
  <c r="T101" i="25"/>
  <c r="S101" i="25"/>
  <c r="K101" i="25"/>
  <c r="I101" i="25"/>
  <c r="T99" i="25"/>
  <c r="S99" i="25"/>
  <c r="K99" i="25"/>
  <c r="I99" i="25"/>
  <c r="T97" i="25"/>
  <c r="S97" i="25"/>
  <c r="K97" i="25"/>
  <c r="I97" i="25"/>
  <c r="T95" i="25"/>
  <c r="S95" i="25"/>
  <c r="K95" i="25"/>
  <c r="I95" i="25"/>
  <c r="T93" i="25"/>
  <c r="S93" i="25"/>
  <c r="K93" i="25"/>
  <c r="I93" i="25"/>
  <c r="T91" i="25"/>
  <c r="S91" i="25"/>
  <c r="K91" i="25"/>
  <c r="I91" i="25"/>
  <c r="T89" i="25"/>
  <c r="S89" i="25"/>
  <c r="K89" i="25"/>
  <c r="I89" i="25"/>
  <c r="T87" i="25"/>
  <c r="S87" i="25"/>
  <c r="K87" i="25"/>
  <c r="I87" i="25"/>
  <c r="AI84" i="25"/>
  <c r="AG84" i="25"/>
  <c r="AI83" i="25"/>
  <c r="AF83" i="25"/>
  <c r="AG83" i="25" s="1"/>
  <c r="J83" i="25"/>
  <c r="K83" i="25" s="1"/>
  <c r="H83" i="25"/>
  <c r="I83" i="25" s="1"/>
  <c r="L83" i="25" s="1"/>
  <c r="AI82" i="25"/>
  <c r="AF82" i="25"/>
  <c r="AG82" i="25" s="1"/>
  <c r="AI81" i="25"/>
  <c r="AG81" i="25"/>
  <c r="AF81" i="25"/>
  <c r="K81" i="25"/>
  <c r="H81" i="25"/>
  <c r="I81" i="25" s="1"/>
  <c r="L81" i="25" s="1"/>
  <c r="K80" i="25"/>
  <c r="H80" i="25"/>
  <c r="I80" i="25" s="1"/>
  <c r="L80" i="25" s="1"/>
  <c r="J79" i="25"/>
  <c r="K79" i="25" s="1"/>
  <c r="H79" i="25"/>
  <c r="I78" i="25"/>
  <c r="H78" i="25"/>
  <c r="AI77" i="25"/>
  <c r="AF77" i="25"/>
  <c r="AG77" i="25" s="1"/>
  <c r="K77" i="25"/>
  <c r="J77" i="25"/>
  <c r="J78" i="25" s="1"/>
  <c r="K78" i="25" s="1"/>
  <c r="H77" i="25"/>
  <c r="I77" i="25" s="1"/>
  <c r="L77" i="25" s="1"/>
  <c r="AI76" i="25"/>
  <c r="AI78" i="25" s="1"/>
  <c r="AF76" i="25"/>
  <c r="AG76" i="25" s="1"/>
  <c r="K76" i="25"/>
  <c r="H76" i="25"/>
  <c r="I76" i="25" s="1"/>
  <c r="L76" i="25" s="1"/>
  <c r="K74" i="25"/>
  <c r="I74" i="25"/>
  <c r="K72" i="25"/>
  <c r="I72" i="25"/>
  <c r="L72" i="25" s="1"/>
  <c r="K69" i="25"/>
  <c r="I69" i="25"/>
  <c r="K67" i="25"/>
  <c r="I67" i="25"/>
  <c r="AI66" i="25"/>
  <c r="AH66" i="25"/>
  <c r="AF66" i="25"/>
  <c r="AG66" i="25" s="1"/>
  <c r="K66" i="25"/>
  <c r="I66" i="25"/>
  <c r="L66" i="25" s="1"/>
  <c r="E66" i="25"/>
  <c r="AH65" i="25"/>
  <c r="AI65" i="25" s="1"/>
  <c r="AG65" i="25"/>
  <c r="AF65" i="25"/>
  <c r="W65" i="25"/>
  <c r="W25" i="25" s="1"/>
  <c r="AI64" i="25"/>
  <c r="K64" i="25"/>
  <c r="I64" i="25"/>
  <c r="AI63" i="25"/>
  <c r="AI62" i="25"/>
  <c r="AG62" i="25"/>
  <c r="AF62" i="25"/>
  <c r="J62" i="25"/>
  <c r="K62" i="25" s="1"/>
  <c r="H62" i="25"/>
  <c r="K60" i="25"/>
  <c r="J60" i="25"/>
  <c r="H60" i="25"/>
  <c r="I60" i="25" s="1"/>
  <c r="J59" i="25"/>
  <c r="K59" i="25" s="1"/>
  <c r="H59" i="25"/>
  <c r="J55" i="25"/>
  <c r="K55" i="25" s="1"/>
  <c r="I55" i="25"/>
  <c r="H55" i="25"/>
  <c r="E55" i="25"/>
  <c r="K54" i="25"/>
  <c r="J54" i="25"/>
  <c r="H54" i="25"/>
  <c r="I54" i="25" s="1"/>
  <c r="E54" i="25"/>
  <c r="K47" i="25"/>
  <c r="I47" i="25"/>
  <c r="L47" i="25" s="1"/>
  <c r="E47" i="25"/>
  <c r="K45" i="25"/>
  <c r="I45" i="25"/>
  <c r="J44" i="25"/>
  <c r="K44" i="25" s="1"/>
  <c r="H44" i="25"/>
  <c r="E40" i="25"/>
  <c r="K39" i="25"/>
  <c r="E39" i="25"/>
  <c r="E38" i="25"/>
  <c r="AI33" i="25"/>
  <c r="AG33" i="25"/>
  <c r="K33" i="25"/>
  <c r="I33" i="25"/>
  <c r="AI32" i="25"/>
  <c r="AG32" i="25"/>
  <c r="AF32" i="25"/>
  <c r="AU169" i="25" s="1"/>
  <c r="AV169" i="25" s="1"/>
  <c r="J32" i="25"/>
  <c r="K32" i="25" s="1"/>
  <c r="H32" i="25"/>
  <c r="AI31" i="25"/>
  <c r="K31" i="25"/>
  <c r="J31" i="25"/>
  <c r="H31" i="25"/>
  <c r="I31" i="25" s="1"/>
  <c r="L31" i="25" s="1"/>
  <c r="AI30" i="25"/>
  <c r="AF30" i="25"/>
  <c r="AG30" i="25" s="1"/>
  <c r="K30" i="25"/>
  <c r="I30" i="25"/>
  <c r="L30" i="25" s="1"/>
  <c r="H30" i="25"/>
  <c r="K29" i="25"/>
  <c r="I29" i="25"/>
  <c r="AS28" i="25"/>
  <c r="AU29" i="25" s="1"/>
  <c r="K28" i="25"/>
  <c r="I28" i="25"/>
  <c r="K27" i="25"/>
  <c r="I27" i="25"/>
  <c r="L27" i="25" s="1"/>
  <c r="K26" i="25"/>
  <c r="H26" i="25"/>
  <c r="I26" i="25" s="1"/>
  <c r="L26" i="25" s="1"/>
  <c r="AI25" i="25"/>
  <c r="AH25" i="25"/>
  <c r="AF25" i="25"/>
  <c r="AG25" i="25" s="1"/>
  <c r="K25" i="25"/>
  <c r="H25" i="25"/>
  <c r="F25" i="25"/>
  <c r="E25" i="25"/>
  <c r="AI24" i="25"/>
  <c r="AF24" i="25"/>
  <c r="AG24" i="25" s="1"/>
  <c r="K24" i="25"/>
  <c r="I24" i="25"/>
  <c r="L24" i="25" s="1"/>
  <c r="AI23" i="25"/>
  <c r="AF23" i="25"/>
  <c r="AG23" i="25" s="1"/>
  <c r="K23" i="25"/>
  <c r="H23" i="25"/>
  <c r="I23" i="25" s="1"/>
  <c r="L23" i="25" s="1"/>
  <c r="K22" i="25"/>
  <c r="I22" i="25"/>
  <c r="L22" i="25" s="1"/>
  <c r="K21" i="25"/>
  <c r="AS20" i="25"/>
  <c r="AU21" i="25" s="1"/>
  <c r="J20" i="25"/>
  <c r="K20" i="25" s="1"/>
  <c r="I20" i="25"/>
  <c r="K19" i="25"/>
  <c r="I19" i="25"/>
  <c r="K18" i="25"/>
  <c r="I18" i="25"/>
  <c r="L18" i="25" s="1"/>
  <c r="K17" i="25"/>
  <c r="K35" i="25" s="1"/>
  <c r="I17" i="25"/>
  <c r="AS11" i="25"/>
  <c r="AU12" i="25" s="1"/>
  <c r="L60" i="25" l="1"/>
  <c r="L69" i="25"/>
  <c r="L74" i="25"/>
  <c r="L87" i="25"/>
  <c r="L89" i="25"/>
  <c r="L91" i="25"/>
  <c r="L93" i="25"/>
  <c r="L95" i="25"/>
  <c r="L97" i="25"/>
  <c r="L99" i="25"/>
  <c r="L101" i="25"/>
  <c r="L103" i="25"/>
  <c r="L105" i="25"/>
  <c r="L107" i="25"/>
  <c r="L110" i="25"/>
  <c r="L113" i="25"/>
  <c r="L115" i="25"/>
  <c r="L117" i="25"/>
  <c r="L119" i="25"/>
  <c r="L124" i="25"/>
  <c r="L127" i="25"/>
  <c r="L139" i="25"/>
  <c r="L184" i="25"/>
  <c r="AW197" i="25"/>
  <c r="AI34" i="25"/>
  <c r="J38" i="25" s="1"/>
  <c r="AL224" i="25"/>
  <c r="AB220" i="25" s="1"/>
  <c r="AH220" i="25" s="1"/>
  <c r="AH225" i="25" s="1"/>
  <c r="L20" i="25"/>
  <c r="AI67" i="25"/>
  <c r="J40" i="25" s="1"/>
  <c r="K40" i="25" s="1"/>
  <c r="L146" i="25"/>
  <c r="O159" i="25"/>
  <c r="P159" i="25" s="1"/>
  <c r="P217" i="25" s="1"/>
  <c r="L185" i="25"/>
  <c r="L231" i="25"/>
  <c r="AM243" i="25"/>
  <c r="AB239" i="25" s="1"/>
  <c r="AH239" i="25" s="1"/>
  <c r="O172" i="25"/>
  <c r="P172" i="25" s="1"/>
  <c r="O178" i="25"/>
  <c r="P178" i="25" s="1"/>
  <c r="O182" i="25"/>
  <c r="P182" i="25" s="1"/>
  <c r="L193" i="25"/>
  <c r="AU200" i="25"/>
  <c r="AU210" i="25" s="1"/>
  <c r="H141" i="25" s="1"/>
  <c r="I141" i="25" s="1"/>
  <c r="O204" i="25"/>
  <c r="P204" i="25" s="1"/>
  <c r="L222" i="25"/>
  <c r="L19" i="25"/>
  <c r="AI26" i="25"/>
  <c r="I25" i="25"/>
  <c r="L45" i="25"/>
  <c r="L64" i="25"/>
  <c r="AI129" i="25"/>
  <c r="J41" i="25" s="1"/>
  <c r="K41" i="25" s="1"/>
  <c r="L41" i="25" s="1"/>
  <c r="L126" i="25"/>
  <c r="L132" i="25"/>
  <c r="L142" i="25"/>
  <c r="AK167" i="25"/>
  <c r="L161" i="25"/>
  <c r="L163" i="25"/>
  <c r="L164" i="25"/>
  <c r="AX171" i="25"/>
  <c r="J46" i="25" s="1"/>
  <c r="K46" i="25" s="1"/>
  <c r="O174" i="25"/>
  <c r="P174" i="25" s="1"/>
  <c r="AX187" i="25"/>
  <c r="O176" i="25"/>
  <c r="P176" i="25" s="1"/>
  <c r="L188" i="25"/>
  <c r="L191" i="25"/>
  <c r="O193" i="25"/>
  <c r="P193" i="25" s="1"/>
  <c r="O195" i="25"/>
  <c r="P195" i="25" s="1"/>
  <c r="O197" i="25"/>
  <c r="P197" i="25" s="1"/>
  <c r="O200" i="25"/>
  <c r="P200" i="25" s="1"/>
  <c r="O202" i="25"/>
  <c r="P202" i="25" s="1"/>
  <c r="L203" i="25"/>
  <c r="O207" i="25"/>
  <c r="P207" i="25" s="1"/>
  <c r="O209" i="25"/>
  <c r="P209" i="25" s="1"/>
  <c r="O211" i="25"/>
  <c r="P211" i="25" s="1"/>
  <c r="L214" i="25"/>
  <c r="L227" i="25"/>
  <c r="L229" i="25"/>
  <c r="L235" i="25"/>
  <c r="AL271" i="25"/>
  <c r="AB267" i="25" s="1"/>
  <c r="AH267" i="25" s="1"/>
  <c r="AJ293" i="25"/>
  <c r="O170" i="25"/>
  <c r="P170" i="25" s="1"/>
  <c r="O183" i="25"/>
  <c r="P183" i="25" s="1"/>
  <c r="L195" i="25"/>
  <c r="O213" i="25"/>
  <c r="P213" i="25" s="1"/>
  <c r="AM224" i="25"/>
  <c r="AB221" i="25" s="1"/>
  <c r="AH221" i="25" s="1"/>
  <c r="L223" i="25"/>
  <c r="L240" i="25"/>
  <c r="AJ286" i="25"/>
  <c r="AG26" i="25"/>
  <c r="H39" i="25" s="1"/>
  <c r="I39" i="25" s="1"/>
  <c r="L39" i="25" s="1"/>
  <c r="AG78" i="25"/>
  <c r="AG129" i="25"/>
  <c r="H41" i="25" s="1"/>
  <c r="I41" i="25" s="1"/>
  <c r="AU129" i="25"/>
  <c r="J43" i="25" s="1"/>
  <c r="K43" i="25" s="1"/>
  <c r="AI136" i="25"/>
  <c r="J42" i="25" s="1"/>
  <c r="AI167" i="25"/>
  <c r="K160" i="25"/>
  <c r="AV179" i="25"/>
  <c r="O177" i="25"/>
  <c r="P177" i="25" s="1"/>
  <c r="O188" i="25"/>
  <c r="P188" i="25" s="1"/>
  <c r="L194" i="25"/>
  <c r="O203" i="25"/>
  <c r="P203" i="25" s="1"/>
  <c r="L204" i="25"/>
  <c r="O214" i="25"/>
  <c r="P214" i="25" s="1"/>
  <c r="L221" i="25"/>
  <c r="L225" i="25"/>
  <c r="L226" i="25"/>
  <c r="L236" i="25"/>
  <c r="AL257" i="25"/>
  <c r="AB253" i="25" s="1"/>
  <c r="AB250" i="25" s="1"/>
  <c r="AH250" i="25" s="1"/>
  <c r="AH251" i="25" s="1"/>
  <c r="AH259" i="25" s="1"/>
  <c r="AU23" i="25"/>
  <c r="AU22" i="25"/>
  <c r="AU26" i="25" s="1"/>
  <c r="AU24" i="25"/>
  <c r="AU31" i="25"/>
  <c r="AU30" i="25"/>
  <c r="AU32" i="25"/>
  <c r="K38" i="25"/>
  <c r="I62" i="25"/>
  <c r="L62" i="25" s="1"/>
  <c r="I32" i="25"/>
  <c r="L32" i="25" s="1"/>
  <c r="I44" i="25"/>
  <c r="L44" i="25" s="1"/>
  <c r="I59" i="25"/>
  <c r="L59" i="25" s="1"/>
  <c r="AB217" i="25"/>
  <c r="AH217" i="25" s="1"/>
  <c r="AH218" i="25" s="1"/>
  <c r="AH253" i="25"/>
  <c r="AH258" i="25" s="1"/>
  <c r="AU14" i="25"/>
  <c r="L17" i="25"/>
  <c r="L54" i="25"/>
  <c r="L55" i="25"/>
  <c r="AU13" i="25"/>
  <c r="AU15" i="25"/>
  <c r="L25" i="25"/>
  <c r="L28" i="25"/>
  <c r="L29" i="25"/>
  <c r="L33" i="25"/>
  <c r="J50" i="25"/>
  <c r="I79" i="25"/>
  <c r="L79" i="25" s="1"/>
  <c r="AY231" i="25"/>
  <c r="AY234" i="25" s="1"/>
  <c r="J232" i="25" s="1"/>
  <c r="AW231" i="25"/>
  <c r="AB264" i="25"/>
  <c r="AH264" i="25" s="1"/>
  <c r="AH265" i="25" s="1"/>
  <c r="L67" i="25"/>
  <c r="L78" i="25"/>
  <c r="AS129" i="25"/>
  <c r="H43" i="25" s="1"/>
  <c r="K217" i="25"/>
  <c r="L177" i="25"/>
  <c r="AW234" i="25"/>
  <c r="H232" i="25" s="1"/>
  <c r="L220" i="25"/>
  <c r="I224" i="25"/>
  <c r="L224" i="25" s="1"/>
  <c r="I241" i="25"/>
  <c r="L241" i="25" s="1"/>
  <c r="I242" i="25"/>
  <c r="L242" i="25" s="1"/>
  <c r="AF133" i="25"/>
  <c r="I158" i="25"/>
  <c r="I160" i="25"/>
  <c r="L160" i="25" s="1"/>
  <c r="L215" i="25"/>
  <c r="I228" i="25"/>
  <c r="L228" i="25" s="1"/>
  <c r="I237" i="25"/>
  <c r="L237" i="25" s="1"/>
  <c r="AF64" i="25"/>
  <c r="AG64" i="25" s="1"/>
  <c r="I136" i="25"/>
  <c r="L136" i="25" s="1"/>
  <c r="I140" i="25"/>
  <c r="L140" i="25" s="1"/>
  <c r="I147" i="25"/>
  <c r="L147" i="25" s="1"/>
  <c r="I151" i="25"/>
  <c r="L151" i="25" s="1"/>
  <c r="AX175" i="25"/>
  <c r="AX179" i="25" s="1"/>
  <c r="AW210" i="25"/>
  <c r="J141" i="25" s="1"/>
  <c r="AL243" i="25"/>
  <c r="AB238" i="25" s="1"/>
  <c r="AM271" i="25"/>
  <c r="AB268" i="25" s="1"/>
  <c r="AH268" i="25" s="1"/>
  <c r="AJ292" i="24"/>
  <c r="AH292" i="24"/>
  <c r="AG291" i="24"/>
  <c r="AI291" i="24" s="1"/>
  <c r="AJ291" i="24" s="1"/>
  <c r="AE291" i="24"/>
  <c r="L291" i="24"/>
  <c r="AJ285" i="24"/>
  <c r="AH285" i="24"/>
  <c r="AJ284" i="24"/>
  <c r="AG284" i="24"/>
  <c r="AH284" i="24" s="1"/>
  <c r="AE284" i="24"/>
  <c r="AJ283" i="24"/>
  <c r="AH283" i="24"/>
  <c r="AE283" i="24"/>
  <c r="AJ282" i="24"/>
  <c r="AH282" i="24"/>
  <c r="AE282" i="24"/>
  <c r="AJ281" i="24"/>
  <c r="AJ286" i="24" s="1"/>
  <c r="AH281" i="24"/>
  <c r="AE281" i="24"/>
  <c r="L278" i="24"/>
  <c r="L276" i="24"/>
  <c r="N267" i="24" s="1"/>
  <c r="L272" i="24"/>
  <c r="AO271" i="24"/>
  <c r="AB270" i="24" s="1"/>
  <c r="AH270" i="24" s="1"/>
  <c r="AN271" i="24"/>
  <c r="AB269" i="24" s="1"/>
  <c r="AH269" i="24" s="1"/>
  <c r="AH271" i="24"/>
  <c r="AM267" i="24"/>
  <c r="AL267" i="24"/>
  <c r="AM266" i="24"/>
  <c r="AL266" i="24"/>
  <c r="AM265" i="24"/>
  <c r="AL265" i="24"/>
  <c r="AM264" i="24"/>
  <c r="AL264" i="24"/>
  <c r="AM263" i="24"/>
  <c r="AM271" i="24" s="1"/>
  <c r="AB268" i="24" s="1"/>
  <c r="AH268" i="24" s="1"/>
  <c r="AL263" i="24"/>
  <c r="AO257" i="24"/>
  <c r="AN257" i="24"/>
  <c r="AB255" i="24" s="1"/>
  <c r="AH255" i="24" s="1"/>
  <c r="AH257" i="24"/>
  <c r="AB256" i="24"/>
  <c r="AH256" i="24" s="1"/>
  <c r="AM253" i="24"/>
  <c r="AL253" i="24"/>
  <c r="AM252" i="24"/>
  <c r="AL252" i="24"/>
  <c r="AM251" i="24"/>
  <c r="AL251" i="24"/>
  <c r="AM250" i="24"/>
  <c r="AL250" i="24"/>
  <c r="AM249" i="24"/>
  <c r="AM257" i="24" s="1"/>
  <c r="AB254" i="24" s="1"/>
  <c r="AH254" i="24" s="1"/>
  <c r="AL249" i="24"/>
  <c r="AL257" i="24" s="1"/>
  <c r="AB253" i="24" s="1"/>
  <c r="AO243" i="24"/>
  <c r="AN243" i="24"/>
  <c r="AB240" i="24" s="1"/>
  <c r="AH240" i="24" s="1"/>
  <c r="AH242" i="24"/>
  <c r="J242" i="24"/>
  <c r="K242" i="24" s="1"/>
  <c r="H242" i="24"/>
  <c r="I242" i="24" s="1"/>
  <c r="E242" i="24"/>
  <c r="AB241" i="24"/>
  <c r="AH241" i="24" s="1"/>
  <c r="J241" i="24"/>
  <c r="K241" i="24" s="1"/>
  <c r="H241" i="24"/>
  <c r="I241" i="24" s="1"/>
  <c r="E241" i="24"/>
  <c r="J240" i="24"/>
  <c r="K240" i="24" s="1"/>
  <c r="I240" i="24"/>
  <c r="J239" i="24"/>
  <c r="K239" i="24" s="1"/>
  <c r="I239" i="24"/>
  <c r="AM238" i="24"/>
  <c r="AL238" i="24"/>
  <c r="K238" i="24"/>
  <c r="AM237" i="24"/>
  <c r="AL237" i="24"/>
  <c r="J237" i="24"/>
  <c r="K237" i="24" s="1"/>
  <c r="H237" i="24"/>
  <c r="I237" i="24" s="1"/>
  <c r="AM236" i="24"/>
  <c r="AL236" i="24"/>
  <c r="J236" i="24"/>
  <c r="K236" i="24" s="1"/>
  <c r="I236" i="24"/>
  <c r="K235" i="24"/>
  <c r="I235" i="24"/>
  <c r="AM234" i="24"/>
  <c r="AL234" i="24"/>
  <c r="AY233" i="24"/>
  <c r="AW233" i="24"/>
  <c r="AM233" i="24"/>
  <c r="AL233" i="24"/>
  <c r="AY232" i="24"/>
  <c r="AV232" i="24"/>
  <c r="AW232" i="24" s="1"/>
  <c r="AV231" i="24"/>
  <c r="K231" i="24"/>
  <c r="H231" i="24"/>
  <c r="AY230" i="24"/>
  <c r="AV230" i="24"/>
  <c r="AW230" i="24" s="1"/>
  <c r="AT230" i="24"/>
  <c r="K230" i="24"/>
  <c r="I230" i="24"/>
  <c r="AY229" i="24"/>
  <c r="AV229" i="24"/>
  <c r="AW229" i="24" s="1"/>
  <c r="AT229" i="24"/>
  <c r="AT231" i="24" s="1"/>
  <c r="AU231" i="24" s="1"/>
  <c r="AY231" i="24" s="1"/>
  <c r="K229" i="24"/>
  <c r="H229" i="24"/>
  <c r="I229" i="24" s="1"/>
  <c r="L229" i="24" s="1"/>
  <c r="AY228" i="24"/>
  <c r="AW228" i="24"/>
  <c r="AT228" i="24"/>
  <c r="K228" i="24"/>
  <c r="J228" i="24"/>
  <c r="H228" i="24"/>
  <c r="I228" i="24" s="1"/>
  <c r="L228" i="24" s="1"/>
  <c r="J227" i="24"/>
  <c r="I227" i="24"/>
  <c r="J226" i="24"/>
  <c r="K226" i="24" s="1"/>
  <c r="I226" i="24"/>
  <c r="J225" i="24"/>
  <c r="I225" i="24"/>
  <c r="AO224" i="24"/>
  <c r="AB223" i="24" s="1"/>
  <c r="AH223" i="24" s="1"/>
  <c r="AN224" i="24"/>
  <c r="AB222" i="24" s="1"/>
  <c r="AH222" i="24" s="1"/>
  <c r="AH224" i="24"/>
  <c r="J224" i="24"/>
  <c r="K224" i="24" s="1"/>
  <c r="H224" i="24"/>
  <c r="I224" i="24" s="1"/>
  <c r="J223" i="24"/>
  <c r="I223" i="24"/>
  <c r="J222" i="24"/>
  <c r="K222" i="24" s="1"/>
  <c r="I222" i="24"/>
  <c r="J221" i="24"/>
  <c r="I221" i="24"/>
  <c r="AM220" i="24"/>
  <c r="AL220" i="24"/>
  <c r="J220" i="24"/>
  <c r="K220" i="24" s="1"/>
  <c r="I220" i="24"/>
  <c r="AM219" i="24"/>
  <c r="AL219" i="24"/>
  <c r="S219" i="24"/>
  <c r="AM218" i="24"/>
  <c r="AL218" i="24"/>
  <c r="AM217" i="24"/>
  <c r="AL217" i="24"/>
  <c r="AM216" i="24"/>
  <c r="AM224" i="24" s="1"/>
  <c r="AB221" i="24" s="1"/>
  <c r="AH221" i="24" s="1"/>
  <c r="AL216" i="24"/>
  <c r="W215" i="24"/>
  <c r="J215" i="24" s="1"/>
  <c r="K215" i="24" s="1"/>
  <c r="N215" i="24"/>
  <c r="M215" i="24"/>
  <c r="H215" i="24"/>
  <c r="I215" i="24" s="1"/>
  <c r="N214" i="24"/>
  <c r="M214" i="24"/>
  <c r="J214" i="24"/>
  <c r="K214" i="24" s="1"/>
  <c r="H214" i="24"/>
  <c r="I214" i="24" s="1"/>
  <c r="N213" i="24"/>
  <c r="M213" i="24"/>
  <c r="J213" i="24"/>
  <c r="K213" i="24" s="1"/>
  <c r="H213" i="24"/>
  <c r="I213" i="24" s="1"/>
  <c r="N212" i="24"/>
  <c r="M212" i="24"/>
  <c r="J212" i="24"/>
  <c r="K212" i="24" s="1"/>
  <c r="H212" i="24"/>
  <c r="I212" i="24" s="1"/>
  <c r="N211" i="24"/>
  <c r="M211" i="24"/>
  <c r="J211" i="24"/>
  <c r="K211" i="24" s="1"/>
  <c r="H211" i="24"/>
  <c r="I211" i="24" s="1"/>
  <c r="N210" i="24"/>
  <c r="M210" i="24"/>
  <c r="J210" i="24"/>
  <c r="K210" i="24" s="1"/>
  <c r="H210" i="24"/>
  <c r="I210" i="24" s="1"/>
  <c r="AW209" i="24"/>
  <c r="AU209" i="24"/>
  <c r="N209" i="24"/>
  <c r="M209" i="24"/>
  <c r="J209" i="24"/>
  <c r="K209" i="24" s="1"/>
  <c r="H209" i="24"/>
  <c r="I209" i="24" s="1"/>
  <c r="AW208" i="24"/>
  <c r="AU208" i="24"/>
  <c r="AR208" i="24"/>
  <c r="N208" i="24"/>
  <c r="M208" i="24"/>
  <c r="J208" i="24"/>
  <c r="K208" i="24" s="1"/>
  <c r="H208" i="24"/>
  <c r="I208" i="24" s="1"/>
  <c r="AW207" i="24"/>
  <c r="AT207" i="24"/>
  <c r="AU207" i="24" s="1"/>
  <c r="AR207" i="24"/>
  <c r="N207" i="24"/>
  <c r="M207" i="24"/>
  <c r="J207" i="24"/>
  <c r="K207" i="24" s="1"/>
  <c r="H207" i="24"/>
  <c r="I207" i="24" s="1"/>
  <c r="AW206" i="24"/>
  <c r="AT206" i="24"/>
  <c r="AU206" i="24" s="1"/>
  <c r="AR206" i="24"/>
  <c r="AW205" i="24"/>
  <c r="AU205" i="24"/>
  <c r="AW204" i="24"/>
  <c r="AU204" i="24"/>
  <c r="AR204" i="24"/>
  <c r="W204" i="24"/>
  <c r="J204" i="24" s="1"/>
  <c r="K204" i="24" s="1"/>
  <c r="N204" i="24"/>
  <c r="M204" i="24"/>
  <c r="H204" i="24"/>
  <c r="I204" i="24" s="1"/>
  <c r="AW203" i="24"/>
  <c r="AU203" i="24"/>
  <c r="AR203" i="24"/>
  <c r="N203" i="24"/>
  <c r="M203" i="24"/>
  <c r="J203" i="24"/>
  <c r="K203" i="24" s="1"/>
  <c r="H203" i="24"/>
  <c r="I203" i="24" s="1"/>
  <c r="AW202" i="24"/>
  <c r="AU202" i="24"/>
  <c r="N202" i="24"/>
  <c r="M202" i="24"/>
  <c r="J202" i="24"/>
  <c r="K202" i="24" s="1"/>
  <c r="H202" i="24"/>
  <c r="I202" i="24" s="1"/>
  <c r="L202" i="24" s="1"/>
  <c r="AW201" i="24"/>
  <c r="AU201" i="24"/>
  <c r="T201" i="24"/>
  <c r="N201" i="24"/>
  <c r="M201" i="24"/>
  <c r="J201" i="24"/>
  <c r="K201" i="24" s="1"/>
  <c r="H201" i="24"/>
  <c r="I201" i="24" s="1"/>
  <c r="AT200" i="24"/>
  <c r="AS200" i="24"/>
  <c r="N200" i="24"/>
  <c r="M200" i="24"/>
  <c r="J200" i="24"/>
  <c r="K200" i="24" s="1"/>
  <c r="H200" i="24"/>
  <c r="I200" i="24" s="1"/>
  <c r="N199" i="24"/>
  <c r="M199" i="24"/>
  <c r="J199" i="24"/>
  <c r="K199" i="24" s="1"/>
  <c r="H199" i="24"/>
  <c r="I199" i="24" s="1"/>
  <c r="N198" i="24"/>
  <c r="M198" i="24"/>
  <c r="J198" i="24"/>
  <c r="K198" i="24" s="1"/>
  <c r="H198" i="24"/>
  <c r="I198" i="24" s="1"/>
  <c r="N197" i="24"/>
  <c r="M197" i="24"/>
  <c r="J197" i="24"/>
  <c r="K197" i="24" s="1"/>
  <c r="H197" i="24"/>
  <c r="I197" i="24" s="1"/>
  <c r="AW196" i="24"/>
  <c r="AT196" i="24"/>
  <c r="AU196" i="24" s="1"/>
  <c r="AW195" i="24"/>
  <c r="AW197" i="24" s="1"/>
  <c r="AT195" i="24"/>
  <c r="AU195" i="24" s="1"/>
  <c r="T195" i="24"/>
  <c r="N195" i="24"/>
  <c r="M195" i="24"/>
  <c r="J195" i="24"/>
  <c r="K195" i="24" s="1"/>
  <c r="H195" i="24"/>
  <c r="I195" i="24" s="1"/>
  <c r="AW194" i="24"/>
  <c r="AU194" i="24"/>
  <c r="T194" i="24"/>
  <c r="N194" i="24"/>
  <c r="M194" i="24"/>
  <c r="J194" i="24"/>
  <c r="K194" i="24" s="1"/>
  <c r="H194" i="24"/>
  <c r="I194" i="24" s="1"/>
  <c r="T193" i="24"/>
  <c r="N193" i="24"/>
  <c r="M193" i="24"/>
  <c r="J193" i="24"/>
  <c r="K193" i="24" s="1"/>
  <c r="H193" i="24"/>
  <c r="I193" i="24" s="1"/>
  <c r="T192" i="24"/>
  <c r="N192" i="24"/>
  <c r="O192" i="24" s="1"/>
  <c r="P192" i="24" s="1"/>
  <c r="M192" i="24"/>
  <c r="J192" i="24"/>
  <c r="K192" i="24" s="1"/>
  <c r="H192" i="24"/>
  <c r="I192" i="24" s="1"/>
  <c r="T191" i="24"/>
  <c r="N191" i="24"/>
  <c r="M191" i="24"/>
  <c r="J191" i="24"/>
  <c r="K191" i="24" s="1"/>
  <c r="H191" i="24"/>
  <c r="I191" i="24" s="1"/>
  <c r="N188" i="24"/>
  <c r="M188" i="24"/>
  <c r="O188" i="24" s="1"/>
  <c r="P188" i="24" s="1"/>
  <c r="J188" i="24"/>
  <c r="K188" i="24" s="1"/>
  <c r="H188" i="24"/>
  <c r="I188" i="24" s="1"/>
  <c r="N187" i="24"/>
  <c r="M187" i="24"/>
  <c r="J187" i="24"/>
  <c r="K187" i="24" s="1"/>
  <c r="H187" i="24"/>
  <c r="I187" i="24" s="1"/>
  <c r="AX186" i="24"/>
  <c r="AV186" i="24"/>
  <c r="AU186" i="24"/>
  <c r="N186" i="24"/>
  <c r="M186" i="24"/>
  <c r="J186" i="24"/>
  <c r="K186" i="24" s="1"/>
  <c r="H186" i="24"/>
  <c r="I186" i="24" s="1"/>
  <c r="AX185" i="24"/>
  <c r="AU185" i="24"/>
  <c r="AV185" i="24" s="1"/>
  <c r="N185" i="24"/>
  <c r="O185" i="24" s="1"/>
  <c r="P185" i="24" s="1"/>
  <c r="M185" i="24"/>
  <c r="J185" i="24"/>
  <c r="K185" i="24" s="1"/>
  <c r="H185" i="24"/>
  <c r="I185" i="24" s="1"/>
  <c r="AX184" i="24"/>
  <c r="AU184" i="24"/>
  <c r="AV184" i="24" s="1"/>
  <c r="N184" i="24"/>
  <c r="M184" i="24"/>
  <c r="J184" i="24"/>
  <c r="K184" i="24" s="1"/>
  <c r="H184" i="24"/>
  <c r="I184" i="24" s="1"/>
  <c r="AU183" i="24"/>
  <c r="AV183" i="24" s="1"/>
  <c r="N183" i="24"/>
  <c r="M183" i="24"/>
  <c r="J183" i="24"/>
  <c r="K183" i="24" s="1"/>
  <c r="H183" i="24"/>
  <c r="I183" i="24" s="1"/>
  <c r="N182" i="24"/>
  <c r="M182" i="24"/>
  <c r="J182" i="24"/>
  <c r="K182" i="24" s="1"/>
  <c r="H182" i="24"/>
  <c r="I182" i="24" s="1"/>
  <c r="L182" i="24" s="1"/>
  <c r="N179" i="24"/>
  <c r="M179" i="24"/>
  <c r="J179" i="24"/>
  <c r="K179" i="24" s="1"/>
  <c r="H179" i="24"/>
  <c r="I179" i="24" s="1"/>
  <c r="L179" i="24" s="1"/>
  <c r="AX178" i="24"/>
  <c r="AV178" i="24"/>
  <c r="N178" i="24"/>
  <c r="M178" i="24"/>
  <c r="J178" i="24"/>
  <c r="K178" i="24" s="1"/>
  <c r="H178" i="24"/>
  <c r="I178" i="24" s="1"/>
  <c r="AX177" i="24"/>
  <c r="AU177" i="24"/>
  <c r="AV177" i="24" s="1"/>
  <c r="N177" i="24"/>
  <c r="M177" i="24"/>
  <c r="K177" i="24"/>
  <c r="J177" i="24"/>
  <c r="H177" i="24"/>
  <c r="I177" i="24" s="1"/>
  <c r="L177" i="24" s="1"/>
  <c r="AX176" i="24"/>
  <c r="AU176" i="24"/>
  <c r="AV176" i="24" s="1"/>
  <c r="N176" i="24"/>
  <c r="M176" i="24"/>
  <c r="O176" i="24" s="1"/>
  <c r="P176" i="24" s="1"/>
  <c r="J176" i="24"/>
  <c r="K176" i="24" s="1"/>
  <c r="H176" i="24"/>
  <c r="I176" i="24" s="1"/>
  <c r="AX175" i="24"/>
  <c r="AX179" i="24" s="1"/>
  <c r="AW175" i="24"/>
  <c r="AW183" i="24" s="1"/>
  <c r="AX183" i="24" s="1"/>
  <c r="AU175" i="24"/>
  <c r="AV175" i="24" s="1"/>
  <c r="N175" i="24"/>
  <c r="M175" i="24"/>
  <c r="J175" i="24"/>
  <c r="K175" i="24" s="1"/>
  <c r="H175" i="24"/>
  <c r="I175" i="24" s="1"/>
  <c r="N174" i="24"/>
  <c r="M174" i="24"/>
  <c r="J174" i="24"/>
  <c r="K174" i="24" s="1"/>
  <c r="I174" i="24"/>
  <c r="H174" i="24"/>
  <c r="N173" i="24"/>
  <c r="M173" i="24"/>
  <c r="J173" i="24"/>
  <c r="K173" i="24" s="1"/>
  <c r="H173" i="24"/>
  <c r="I173" i="24" s="1"/>
  <c r="N172" i="24"/>
  <c r="M172" i="24"/>
  <c r="J172" i="24"/>
  <c r="K172" i="24" s="1"/>
  <c r="H172" i="24"/>
  <c r="I172" i="24" s="1"/>
  <c r="N171" i="24"/>
  <c r="M171" i="24"/>
  <c r="J171" i="24"/>
  <c r="K171" i="24" s="1"/>
  <c r="H171" i="24"/>
  <c r="I171" i="24" s="1"/>
  <c r="AX170" i="24"/>
  <c r="AV170" i="24"/>
  <c r="N170" i="24"/>
  <c r="O170" i="24" s="1"/>
  <c r="P170" i="24" s="1"/>
  <c r="M170" i="24"/>
  <c r="J170" i="24"/>
  <c r="K170" i="24" s="1"/>
  <c r="H170" i="24"/>
  <c r="I170" i="24" s="1"/>
  <c r="AX169" i="24"/>
  <c r="AX168" i="24"/>
  <c r="AX167" i="24"/>
  <c r="AU167" i="24"/>
  <c r="AV167" i="24" s="1"/>
  <c r="T167" i="24"/>
  <c r="N167" i="24"/>
  <c r="M167" i="24"/>
  <c r="K167" i="24"/>
  <c r="H167" i="24"/>
  <c r="I167" i="24" s="1"/>
  <c r="AK166" i="24"/>
  <c r="AI166" i="24"/>
  <c r="T166" i="24"/>
  <c r="N166" i="24"/>
  <c r="M166" i="24"/>
  <c r="K166" i="24"/>
  <c r="H166" i="24"/>
  <c r="I166" i="24" s="1"/>
  <c r="AK165" i="24"/>
  <c r="AI165" i="24"/>
  <c r="AK164" i="24"/>
  <c r="AI164" i="24"/>
  <c r="T164" i="24"/>
  <c r="N164" i="24"/>
  <c r="M164" i="24"/>
  <c r="K164" i="24"/>
  <c r="H164" i="24"/>
  <c r="I164" i="24" s="1"/>
  <c r="AK163" i="24"/>
  <c r="AI163" i="24"/>
  <c r="AE163" i="24"/>
  <c r="T163" i="24"/>
  <c r="N163" i="24"/>
  <c r="M163" i="24"/>
  <c r="K163" i="24"/>
  <c r="H163" i="24"/>
  <c r="I163" i="24" s="1"/>
  <c r="AK162" i="24"/>
  <c r="AH162" i="24"/>
  <c r="AI162" i="24" s="1"/>
  <c r="AE162" i="24"/>
  <c r="AK161" i="24"/>
  <c r="AH161" i="24"/>
  <c r="AI161" i="24" s="1"/>
  <c r="T161" i="24"/>
  <c r="N161" i="24"/>
  <c r="M161" i="24"/>
  <c r="K161" i="24"/>
  <c r="H161" i="24"/>
  <c r="I161" i="24" s="1"/>
  <c r="AK160" i="24"/>
  <c r="AH160" i="24"/>
  <c r="AI160" i="24" s="1"/>
  <c r="T160" i="24"/>
  <c r="N160" i="24"/>
  <c r="M160" i="24"/>
  <c r="J160" i="24"/>
  <c r="H160" i="24"/>
  <c r="F160" i="24"/>
  <c r="E160" i="24"/>
  <c r="AK159" i="24"/>
  <c r="AH159" i="24"/>
  <c r="AI159" i="24" s="1"/>
  <c r="T159" i="24"/>
  <c r="N159" i="24"/>
  <c r="M159" i="24"/>
  <c r="J159" i="24"/>
  <c r="K159" i="24" s="1"/>
  <c r="H159" i="24"/>
  <c r="I159" i="24" s="1"/>
  <c r="AK158" i="24"/>
  <c r="AH158" i="24"/>
  <c r="AI158" i="24" s="1"/>
  <c r="AE158" i="24"/>
  <c r="T158" i="24"/>
  <c r="N158" i="24"/>
  <c r="M158" i="24"/>
  <c r="H158" i="24"/>
  <c r="F158" i="24"/>
  <c r="E158" i="24"/>
  <c r="AK157" i="24"/>
  <c r="AH157" i="24"/>
  <c r="AI157" i="24" s="1"/>
  <c r="AE157" i="24"/>
  <c r="AK156" i="24"/>
  <c r="AH156" i="24"/>
  <c r="AI156" i="24" s="1"/>
  <c r="AE156" i="24"/>
  <c r="AK155" i="24"/>
  <c r="AH155" i="24"/>
  <c r="AI155" i="24" s="1"/>
  <c r="AK154" i="24"/>
  <c r="AH154" i="24"/>
  <c r="AI154" i="24" s="1"/>
  <c r="AE154" i="24"/>
  <c r="AK153" i="24"/>
  <c r="AH153" i="24"/>
  <c r="AI153" i="24" s="1"/>
  <c r="AE153" i="24"/>
  <c r="J152" i="24"/>
  <c r="K152" i="24" s="1"/>
  <c r="I152" i="24"/>
  <c r="H152" i="24"/>
  <c r="J151" i="24"/>
  <c r="H151" i="24"/>
  <c r="J148" i="24"/>
  <c r="K148" i="24" s="1"/>
  <c r="H148" i="24"/>
  <c r="J147" i="24"/>
  <c r="H147" i="24"/>
  <c r="J146" i="24"/>
  <c r="K146" i="24" s="1"/>
  <c r="H146" i="24"/>
  <c r="K142" i="24"/>
  <c r="I142" i="24"/>
  <c r="J140" i="24"/>
  <c r="H140" i="24"/>
  <c r="J139" i="24"/>
  <c r="K139" i="24" s="1"/>
  <c r="H139" i="24"/>
  <c r="J136" i="24"/>
  <c r="K136" i="24" s="1"/>
  <c r="H136" i="24"/>
  <c r="I136" i="24" s="1"/>
  <c r="L136" i="24" s="1"/>
  <c r="AU135" i="24"/>
  <c r="AS135" i="24"/>
  <c r="AI135" i="24"/>
  <c r="AG135" i="24"/>
  <c r="K135" i="24"/>
  <c r="I135" i="24"/>
  <c r="L135" i="24" s="1"/>
  <c r="AU134" i="24"/>
  <c r="AS134" i="24"/>
  <c r="AR134" i="24"/>
  <c r="AI134" i="24"/>
  <c r="AF134" i="24"/>
  <c r="AG134" i="24" s="1"/>
  <c r="K134" i="24"/>
  <c r="I134" i="24"/>
  <c r="AU133" i="24"/>
  <c r="AI133" i="24"/>
  <c r="K133" i="24"/>
  <c r="H133" i="24"/>
  <c r="AU132" i="24"/>
  <c r="AR132" i="24"/>
  <c r="AS132" i="24" s="1"/>
  <c r="AI132" i="24"/>
  <c r="AI136" i="24" s="1"/>
  <c r="J42" i="24" s="1"/>
  <c r="J52" i="24" s="1"/>
  <c r="AF132" i="24"/>
  <c r="AG132" i="24" s="1"/>
  <c r="K132" i="24"/>
  <c r="H132" i="24"/>
  <c r="I132" i="24" s="1"/>
  <c r="E132" i="24"/>
  <c r="K131" i="24"/>
  <c r="H131" i="24"/>
  <c r="I131" i="24" s="1"/>
  <c r="L131" i="24" s="1"/>
  <c r="K130" i="24"/>
  <c r="H130" i="24"/>
  <c r="I130" i="24" s="1"/>
  <c r="AU128" i="24"/>
  <c r="AR128" i="24"/>
  <c r="AS128" i="24" s="1"/>
  <c r="AI128" i="24"/>
  <c r="AF128" i="24"/>
  <c r="AG128" i="24" s="1"/>
  <c r="AU127" i="24"/>
  <c r="AR127" i="24"/>
  <c r="AS127" i="24" s="1"/>
  <c r="AI127" i="24"/>
  <c r="AF127" i="24"/>
  <c r="AG127" i="24" s="1"/>
  <c r="K127" i="24"/>
  <c r="H127" i="24"/>
  <c r="I127" i="24" s="1"/>
  <c r="L127" i="24" s="1"/>
  <c r="E127" i="24"/>
  <c r="AU126" i="24"/>
  <c r="AR126" i="24"/>
  <c r="AR133" i="24" s="1"/>
  <c r="AS133" i="24" s="1"/>
  <c r="AI126" i="24"/>
  <c r="AF126" i="24"/>
  <c r="AF133" i="24" s="1"/>
  <c r="AG133" i="24" s="1"/>
  <c r="K126" i="24"/>
  <c r="H126" i="24"/>
  <c r="AU125" i="24"/>
  <c r="AR125" i="24"/>
  <c r="AS125" i="24" s="1"/>
  <c r="AI125" i="24"/>
  <c r="AF125" i="24"/>
  <c r="AG125" i="24" s="1"/>
  <c r="K124" i="24"/>
  <c r="H124" i="24"/>
  <c r="I124" i="24" s="1"/>
  <c r="E124" i="24"/>
  <c r="K123" i="24"/>
  <c r="H123" i="24"/>
  <c r="I123" i="24" s="1"/>
  <c r="T119" i="24"/>
  <c r="S119" i="24"/>
  <c r="K119" i="24"/>
  <c r="I119" i="24"/>
  <c r="T117" i="24"/>
  <c r="S117" i="24"/>
  <c r="K117" i="24"/>
  <c r="I117" i="24"/>
  <c r="T115" i="24"/>
  <c r="S115" i="24"/>
  <c r="K115" i="24"/>
  <c r="I115" i="24"/>
  <c r="T113" i="24"/>
  <c r="S113" i="24"/>
  <c r="K113" i="24"/>
  <c r="I113" i="24"/>
  <c r="T110" i="24"/>
  <c r="S110" i="24"/>
  <c r="K110" i="24"/>
  <c r="I110" i="24"/>
  <c r="T107" i="24"/>
  <c r="S107" i="24"/>
  <c r="K107" i="24"/>
  <c r="I107" i="24"/>
  <c r="T105" i="24"/>
  <c r="S105" i="24"/>
  <c r="K105" i="24"/>
  <c r="I105" i="24"/>
  <c r="T103" i="24"/>
  <c r="S103" i="24"/>
  <c r="K103" i="24"/>
  <c r="I103" i="24"/>
  <c r="T101" i="24"/>
  <c r="S101" i="24"/>
  <c r="K101" i="24"/>
  <c r="I101" i="24"/>
  <c r="T99" i="24"/>
  <c r="S99" i="24"/>
  <c r="K99" i="24"/>
  <c r="I99" i="24"/>
  <c r="T97" i="24"/>
  <c r="S97" i="24"/>
  <c r="K97" i="24"/>
  <c r="I97" i="24"/>
  <c r="T95" i="24"/>
  <c r="S95" i="24"/>
  <c r="K95" i="24"/>
  <c r="I95" i="24"/>
  <c r="T93" i="24"/>
  <c r="S93" i="24"/>
  <c r="K93" i="24"/>
  <c r="I93" i="24"/>
  <c r="T91" i="24"/>
  <c r="S91" i="24"/>
  <c r="K91" i="24"/>
  <c r="I91" i="24"/>
  <c r="T89" i="24"/>
  <c r="S89" i="24"/>
  <c r="K89" i="24"/>
  <c r="I89" i="24"/>
  <c r="T87" i="24"/>
  <c r="S87" i="24"/>
  <c r="K87" i="24"/>
  <c r="I87" i="24"/>
  <c r="AI84" i="24"/>
  <c r="AG84" i="24"/>
  <c r="AI83" i="24"/>
  <c r="AF83" i="24"/>
  <c r="AG83" i="24" s="1"/>
  <c r="J83" i="24"/>
  <c r="K83" i="24" s="1"/>
  <c r="H83" i="24"/>
  <c r="I83" i="24" s="1"/>
  <c r="L83" i="24" s="1"/>
  <c r="AI82" i="24"/>
  <c r="AF82" i="24"/>
  <c r="AG82" i="24" s="1"/>
  <c r="AI81" i="24"/>
  <c r="AF81" i="24"/>
  <c r="AG81" i="24" s="1"/>
  <c r="K81" i="24"/>
  <c r="H81" i="24"/>
  <c r="I81" i="24" s="1"/>
  <c r="L81" i="24" s="1"/>
  <c r="K80" i="24"/>
  <c r="I80" i="24"/>
  <c r="H79" i="24"/>
  <c r="H78" i="24"/>
  <c r="AI77" i="24"/>
  <c r="AF77" i="24"/>
  <c r="AG77" i="24" s="1"/>
  <c r="J77" i="24"/>
  <c r="K77" i="24" s="1"/>
  <c r="H77" i="24"/>
  <c r="AI76" i="24"/>
  <c r="AI78" i="24" s="1"/>
  <c r="AF76" i="24"/>
  <c r="AG76" i="24" s="1"/>
  <c r="AG78" i="24" s="1"/>
  <c r="K76" i="24"/>
  <c r="H76" i="24"/>
  <c r="K74" i="24"/>
  <c r="I74" i="24"/>
  <c r="K72" i="24"/>
  <c r="I72" i="24"/>
  <c r="L72" i="24" s="1"/>
  <c r="K69" i="24"/>
  <c r="I69" i="24"/>
  <c r="K67" i="24"/>
  <c r="I67" i="24"/>
  <c r="L67" i="24" s="1"/>
  <c r="AH66" i="24"/>
  <c r="AI66" i="24" s="1"/>
  <c r="AF66" i="24"/>
  <c r="AG66" i="24" s="1"/>
  <c r="K66" i="24"/>
  <c r="I66" i="24"/>
  <c r="L66" i="24" s="1"/>
  <c r="E66" i="24"/>
  <c r="AH65" i="24"/>
  <c r="AI65" i="24" s="1"/>
  <c r="AF65" i="24"/>
  <c r="AG65" i="24" s="1"/>
  <c r="W65" i="24"/>
  <c r="AI64" i="24"/>
  <c r="K64" i="24"/>
  <c r="H64" i="24"/>
  <c r="I64" i="24" s="1"/>
  <c r="L64" i="24" s="1"/>
  <c r="AI63" i="24"/>
  <c r="AI62" i="24"/>
  <c r="AF62" i="24"/>
  <c r="AG62" i="24" s="1"/>
  <c r="J62" i="24"/>
  <c r="J60" i="24"/>
  <c r="K60" i="24" s="1"/>
  <c r="H60" i="24"/>
  <c r="I60" i="24" s="1"/>
  <c r="J59" i="24"/>
  <c r="H59" i="24"/>
  <c r="J55" i="24"/>
  <c r="K55" i="24" s="1"/>
  <c r="H55" i="24"/>
  <c r="I55" i="24" s="1"/>
  <c r="E55" i="24"/>
  <c r="J54" i="24"/>
  <c r="K54" i="24" s="1"/>
  <c r="L54" i="24" s="1"/>
  <c r="H54" i="24"/>
  <c r="I54" i="24" s="1"/>
  <c r="E54" i="24"/>
  <c r="K47" i="24"/>
  <c r="I47" i="24"/>
  <c r="E47" i="24"/>
  <c r="K45" i="24"/>
  <c r="L45" i="24" s="1"/>
  <c r="I45" i="24"/>
  <c r="E40" i="24"/>
  <c r="K39" i="24"/>
  <c r="E39" i="24"/>
  <c r="E38" i="24"/>
  <c r="AI33" i="24"/>
  <c r="AG33" i="24"/>
  <c r="K33" i="24"/>
  <c r="I33" i="24"/>
  <c r="AI32" i="24"/>
  <c r="AF32" i="24"/>
  <c r="AU169" i="24" s="1"/>
  <c r="AV169" i="24" s="1"/>
  <c r="J32" i="24"/>
  <c r="H32" i="24"/>
  <c r="AI31" i="24"/>
  <c r="J31" i="24"/>
  <c r="K31" i="24" s="1"/>
  <c r="H31" i="24"/>
  <c r="AI30" i="24"/>
  <c r="AF30" i="24"/>
  <c r="AG30" i="24" s="1"/>
  <c r="K30" i="24"/>
  <c r="H30" i="24"/>
  <c r="I30" i="24" s="1"/>
  <c r="K29" i="24"/>
  <c r="I29" i="24"/>
  <c r="L29" i="24" s="1"/>
  <c r="AS28" i="24"/>
  <c r="AU29" i="24" s="1"/>
  <c r="K28" i="24"/>
  <c r="I28" i="24"/>
  <c r="K27" i="24"/>
  <c r="I27" i="24"/>
  <c r="K26" i="24"/>
  <c r="H26" i="24"/>
  <c r="I26" i="24" s="1"/>
  <c r="AH25" i="24"/>
  <c r="AI25" i="24" s="1"/>
  <c r="AF25" i="24"/>
  <c r="AG25" i="24" s="1"/>
  <c r="W25" i="24"/>
  <c r="H25" i="24"/>
  <c r="F25" i="24"/>
  <c r="K25" i="24" s="1"/>
  <c r="E25" i="24"/>
  <c r="AI24" i="24"/>
  <c r="AF24" i="24"/>
  <c r="AG24" i="24" s="1"/>
  <c r="K24" i="24"/>
  <c r="I24" i="24"/>
  <c r="AI23" i="24"/>
  <c r="AF23" i="24"/>
  <c r="AG23" i="24" s="1"/>
  <c r="K23" i="24"/>
  <c r="H23" i="24"/>
  <c r="I23" i="24" s="1"/>
  <c r="K22" i="24"/>
  <c r="I22" i="24"/>
  <c r="K21" i="24"/>
  <c r="AS20" i="24"/>
  <c r="AU21" i="24" s="1"/>
  <c r="J20" i="24"/>
  <c r="I20" i="24"/>
  <c r="K19" i="24"/>
  <c r="I19" i="24"/>
  <c r="K18" i="24"/>
  <c r="I18" i="24"/>
  <c r="K17" i="24"/>
  <c r="I17" i="24"/>
  <c r="AS11" i="24"/>
  <c r="AU12" i="24" s="1"/>
  <c r="S219" i="23"/>
  <c r="N215" i="23"/>
  <c r="M215" i="23"/>
  <c r="N214" i="23"/>
  <c r="M214" i="23"/>
  <c r="N213" i="23"/>
  <c r="M213" i="23"/>
  <c r="N212" i="23"/>
  <c r="M212" i="23"/>
  <c r="N211" i="23"/>
  <c r="M211" i="23"/>
  <c r="N210" i="23"/>
  <c r="M210" i="23"/>
  <c r="N209" i="23"/>
  <c r="M209" i="23"/>
  <c r="N208" i="23"/>
  <c r="M208" i="23"/>
  <c r="N207" i="23"/>
  <c r="M207" i="23"/>
  <c r="N204" i="23"/>
  <c r="M204" i="23"/>
  <c r="N203" i="23"/>
  <c r="M203" i="23"/>
  <c r="N202" i="23"/>
  <c r="M202" i="23"/>
  <c r="N201" i="23"/>
  <c r="M201" i="23"/>
  <c r="N200" i="23"/>
  <c r="M200" i="23"/>
  <c r="N199" i="23"/>
  <c r="M199" i="23"/>
  <c r="N198" i="23"/>
  <c r="M198" i="23"/>
  <c r="N197" i="23"/>
  <c r="M197" i="23"/>
  <c r="N195" i="23"/>
  <c r="M195" i="23"/>
  <c r="N194" i="23"/>
  <c r="M194" i="23"/>
  <c r="N193" i="23"/>
  <c r="M193" i="23"/>
  <c r="N192" i="23"/>
  <c r="M192" i="23"/>
  <c r="N191" i="23"/>
  <c r="M191" i="23"/>
  <c r="N188" i="23"/>
  <c r="M188" i="23"/>
  <c r="N187" i="23"/>
  <c r="M187" i="23"/>
  <c r="N186" i="23"/>
  <c r="M186" i="23"/>
  <c r="N185" i="23"/>
  <c r="M185" i="23"/>
  <c r="N184" i="23"/>
  <c r="M184" i="23"/>
  <c r="N183" i="23"/>
  <c r="M183" i="23"/>
  <c r="N182" i="23"/>
  <c r="M182" i="23"/>
  <c r="N179" i="23"/>
  <c r="M179" i="23"/>
  <c r="N178" i="23"/>
  <c r="M178" i="23"/>
  <c r="N177" i="23"/>
  <c r="M177" i="23"/>
  <c r="N176" i="23"/>
  <c r="M176" i="23"/>
  <c r="N175" i="23"/>
  <c r="M175" i="23"/>
  <c r="N174" i="23"/>
  <c r="M174" i="23"/>
  <c r="N173" i="23"/>
  <c r="M173" i="23"/>
  <c r="N172" i="23"/>
  <c r="M172" i="23"/>
  <c r="N171" i="23"/>
  <c r="M171" i="23"/>
  <c r="N170" i="23"/>
  <c r="M170" i="23"/>
  <c r="N167" i="23"/>
  <c r="M167" i="23"/>
  <c r="N166" i="23"/>
  <c r="M166" i="23"/>
  <c r="N164" i="23"/>
  <c r="M164" i="23"/>
  <c r="N163" i="23"/>
  <c r="M163" i="23"/>
  <c r="N161" i="23"/>
  <c r="M161" i="23"/>
  <c r="N160" i="23"/>
  <c r="M160" i="23"/>
  <c r="N159" i="23"/>
  <c r="M159" i="23"/>
  <c r="N158" i="23"/>
  <c r="M158" i="23"/>
  <c r="J171" i="23"/>
  <c r="L18" i="24" l="1"/>
  <c r="L22" i="24"/>
  <c r="L26" i="24"/>
  <c r="L27" i="24"/>
  <c r="L28" i="24"/>
  <c r="AI34" i="24"/>
  <c r="J38" i="24" s="1"/>
  <c r="L33" i="24"/>
  <c r="L60" i="24"/>
  <c r="L124" i="24"/>
  <c r="L132" i="24"/>
  <c r="L142" i="24"/>
  <c r="L163" i="24"/>
  <c r="L164" i="24"/>
  <c r="L167" i="24"/>
  <c r="AX171" i="24"/>
  <c r="J46" i="24" s="1"/>
  <c r="O175" i="24"/>
  <c r="P175" i="24" s="1"/>
  <c r="L176" i="24"/>
  <c r="O177" i="24"/>
  <c r="P177" i="24" s="1"/>
  <c r="L178" i="24"/>
  <c r="O179" i="24"/>
  <c r="P179" i="24" s="1"/>
  <c r="O182" i="24"/>
  <c r="P182" i="24" s="1"/>
  <c r="L185" i="24"/>
  <c r="L192" i="24"/>
  <c r="L198" i="24"/>
  <c r="O198" i="24"/>
  <c r="P198" i="24" s="1"/>
  <c r="L200" i="24"/>
  <c r="O200" i="24"/>
  <c r="P200" i="24" s="1"/>
  <c r="AU200" i="24"/>
  <c r="AU210" i="24" s="1"/>
  <c r="H141" i="24" s="1"/>
  <c r="O202" i="24"/>
  <c r="P202" i="24" s="1"/>
  <c r="L211" i="24"/>
  <c r="L212" i="24"/>
  <c r="L213" i="24"/>
  <c r="O213" i="24"/>
  <c r="P213" i="24" s="1"/>
  <c r="L214" i="24"/>
  <c r="O214" i="24"/>
  <c r="P214" i="24" s="1"/>
  <c r="L230" i="24"/>
  <c r="AL243" i="24"/>
  <c r="AB238" i="24" s="1"/>
  <c r="L235" i="24"/>
  <c r="L237" i="24"/>
  <c r="L239" i="24"/>
  <c r="L240" i="24"/>
  <c r="L242" i="24"/>
  <c r="L55" i="24"/>
  <c r="L204" i="24"/>
  <c r="L241" i="24"/>
  <c r="L188" i="24"/>
  <c r="AI67" i="24"/>
  <c r="J40" i="24" s="1"/>
  <c r="K40" i="24" s="1"/>
  <c r="L170" i="24"/>
  <c r="L203" i="24"/>
  <c r="L224" i="24"/>
  <c r="L226" i="24"/>
  <c r="L236" i="24"/>
  <c r="K42" i="25"/>
  <c r="J52" i="25"/>
  <c r="AF31" i="24"/>
  <c r="AU168" i="24" s="1"/>
  <c r="AV168" i="24" s="1"/>
  <c r="O163" i="24"/>
  <c r="P163" i="24" s="1"/>
  <c r="O183" i="24"/>
  <c r="P183" i="24" s="1"/>
  <c r="O187" i="24"/>
  <c r="P187" i="24" s="1"/>
  <c r="O193" i="24"/>
  <c r="P193" i="24" s="1"/>
  <c r="O195" i="24"/>
  <c r="P195" i="24" s="1"/>
  <c r="O199" i="24"/>
  <c r="P199" i="24" s="1"/>
  <c r="O204" i="24"/>
  <c r="P204" i="24" s="1"/>
  <c r="O209" i="24"/>
  <c r="P209" i="24" s="1"/>
  <c r="O212" i="24"/>
  <c r="P212" i="24" s="1"/>
  <c r="O215" i="24"/>
  <c r="P215" i="24" s="1"/>
  <c r="AM243" i="24"/>
  <c r="AB239" i="24" s="1"/>
  <c r="AH239" i="24" s="1"/>
  <c r="L19" i="24"/>
  <c r="L23" i="24"/>
  <c r="L24" i="24"/>
  <c r="L30" i="24"/>
  <c r="L47" i="24"/>
  <c r="L69" i="24"/>
  <c r="L74" i="24"/>
  <c r="L80" i="24"/>
  <c r="L87" i="24"/>
  <c r="L89" i="24"/>
  <c r="L91" i="24"/>
  <c r="L93" i="24"/>
  <c r="L95" i="24"/>
  <c r="L97" i="24"/>
  <c r="L99" i="24"/>
  <c r="L101" i="24"/>
  <c r="L103" i="24"/>
  <c r="L105" i="24"/>
  <c r="L107" i="24"/>
  <c r="L110" i="24"/>
  <c r="L113" i="24"/>
  <c r="L115" i="24"/>
  <c r="L117" i="24"/>
  <c r="L119" i="24"/>
  <c r="L123" i="24"/>
  <c r="AI129" i="24"/>
  <c r="J41" i="24" s="1"/>
  <c r="K41" i="24" s="1"/>
  <c r="AS126" i="24"/>
  <c r="AS129" i="24" s="1"/>
  <c r="H43" i="24" s="1"/>
  <c r="I43" i="24" s="1"/>
  <c r="L130" i="24"/>
  <c r="L134" i="24"/>
  <c r="I158" i="24"/>
  <c r="K160" i="24"/>
  <c r="O160" i="24"/>
  <c r="P160" i="24" s="1"/>
  <c r="L161" i="24"/>
  <c r="L166" i="24"/>
  <c r="O174" i="24"/>
  <c r="P174" i="24" s="1"/>
  <c r="AX187" i="24"/>
  <c r="L184" i="24"/>
  <c r="L186" i="24"/>
  <c r="O191" i="24"/>
  <c r="P191" i="24" s="1"/>
  <c r="L194" i="24"/>
  <c r="O197" i="24"/>
  <c r="P197" i="24" s="1"/>
  <c r="O203" i="24"/>
  <c r="P203" i="24" s="1"/>
  <c r="O210" i="24"/>
  <c r="P210" i="24" s="1"/>
  <c r="AL224" i="24"/>
  <c r="AB220" i="24" s="1"/>
  <c r="L222" i="24"/>
  <c r="AY234" i="24"/>
  <c r="J232" i="24" s="1"/>
  <c r="AL271" i="24"/>
  <c r="AB267" i="24" s="1"/>
  <c r="AH286" i="24"/>
  <c r="H238" i="24" s="1"/>
  <c r="AJ293" i="24"/>
  <c r="L152" i="24"/>
  <c r="L174" i="24"/>
  <c r="AF63" i="24"/>
  <c r="AG63" i="24" s="1"/>
  <c r="AU129" i="24"/>
  <c r="J43" i="24" s="1"/>
  <c r="K43" i="24" s="1"/>
  <c r="O164" i="24"/>
  <c r="P164" i="24" s="1"/>
  <c r="O167" i="24"/>
  <c r="P167" i="24" s="1"/>
  <c r="O201" i="24"/>
  <c r="P201" i="24" s="1"/>
  <c r="O211" i="24"/>
  <c r="P211" i="24" s="1"/>
  <c r="AU33" i="25"/>
  <c r="AI26" i="24"/>
  <c r="AG32" i="24"/>
  <c r="AU136" i="24"/>
  <c r="J44" i="24" s="1"/>
  <c r="K44" i="24" s="1"/>
  <c r="AK167" i="24"/>
  <c r="O158" i="24"/>
  <c r="P158" i="24" s="1"/>
  <c r="O159" i="24"/>
  <c r="P159" i="24" s="1"/>
  <c r="O161" i="24"/>
  <c r="P161" i="24" s="1"/>
  <c r="O166" i="24"/>
  <c r="P166" i="24" s="1"/>
  <c r="O171" i="24"/>
  <c r="P171" i="24" s="1"/>
  <c r="O172" i="24"/>
  <c r="P172" i="24" s="1"/>
  <c r="O173" i="24"/>
  <c r="P173" i="24" s="1"/>
  <c r="O184" i="24"/>
  <c r="P184" i="24" s="1"/>
  <c r="O186" i="24"/>
  <c r="P186" i="24" s="1"/>
  <c r="O194" i="24"/>
  <c r="P194" i="24" s="1"/>
  <c r="O207" i="24"/>
  <c r="P207" i="24" s="1"/>
  <c r="O208" i="24"/>
  <c r="P208" i="24" s="1"/>
  <c r="L215" i="24"/>
  <c r="AU17" i="25"/>
  <c r="H21" i="25" s="1"/>
  <c r="I21" i="25" s="1"/>
  <c r="K232" i="25"/>
  <c r="K245" i="25" s="1"/>
  <c r="AG133" i="25"/>
  <c r="AG136" i="25" s="1"/>
  <c r="H42" i="25" s="1"/>
  <c r="AF63" i="25"/>
  <c r="AG63" i="25" s="1"/>
  <c r="AG67" i="25" s="1"/>
  <c r="H40" i="25" s="1"/>
  <c r="AF31" i="25"/>
  <c r="I43" i="25"/>
  <c r="L43" i="25" s="1"/>
  <c r="AH272" i="25"/>
  <c r="AH273" i="25" s="1"/>
  <c r="AH238" i="25"/>
  <c r="AH243" i="25" s="1"/>
  <c r="J153" i="25" s="1"/>
  <c r="AB234" i="25"/>
  <c r="AH234" i="25" s="1"/>
  <c r="AH236" i="25" s="1"/>
  <c r="AH244" i="25" s="1"/>
  <c r="K141" i="25"/>
  <c r="I217" i="25"/>
  <c r="L158" i="25"/>
  <c r="I232" i="25"/>
  <c r="L232" i="25" s="1"/>
  <c r="L245" i="25" s="1"/>
  <c r="J51" i="25"/>
  <c r="K50" i="25"/>
  <c r="AH226" i="25"/>
  <c r="L141" i="25"/>
  <c r="AU23" i="24"/>
  <c r="AU22" i="24"/>
  <c r="AU24" i="24"/>
  <c r="J53" i="24"/>
  <c r="K52" i="24"/>
  <c r="AG26" i="24"/>
  <c r="H39" i="24" s="1"/>
  <c r="AU15" i="24"/>
  <c r="AU13" i="24"/>
  <c r="AU14" i="24"/>
  <c r="AU32" i="24"/>
  <c r="AU30" i="24"/>
  <c r="AU31" i="24"/>
  <c r="K38" i="24"/>
  <c r="L17" i="24"/>
  <c r="K20" i="24"/>
  <c r="L20" i="24" s="1"/>
  <c r="I25" i="24"/>
  <c r="L25" i="24" s="1"/>
  <c r="I32" i="24"/>
  <c r="K32" i="24"/>
  <c r="K42" i="24"/>
  <c r="K46" i="24"/>
  <c r="I59" i="24"/>
  <c r="K59" i="24"/>
  <c r="I62" i="24"/>
  <c r="K62" i="24"/>
  <c r="AF64" i="24"/>
  <c r="AG64" i="24" s="1"/>
  <c r="AG136" i="24"/>
  <c r="H42" i="24" s="1"/>
  <c r="AS136" i="24"/>
  <c r="H44" i="24" s="1"/>
  <c r="AI167" i="24"/>
  <c r="L159" i="24"/>
  <c r="AV171" i="24"/>
  <c r="H46" i="24" s="1"/>
  <c r="L171" i="24"/>
  <c r="L172" i="24"/>
  <c r="L173" i="24"/>
  <c r="L175" i="24"/>
  <c r="I31" i="24"/>
  <c r="L31" i="24" s="1"/>
  <c r="J50" i="24"/>
  <c r="AH220" i="24"/>
  <c r="AH225" i="24" s="1"/>
  <c r="AB217" i="24"/>
  <c r="AH217" i="24" s="1"/>
  <c r="AH218" i="24" s="1"/>
  <c r="K232" i="24"/>
  <c r="AH267" i="24"/>
  <c r="AH272" i="24" s="1"/>
  <c r="AB264" i="24"/>
  <c r="AH264" i="24" s="1"/>
  <c r="AH265" i="24" s="1"/>
  <c r="I238" i="24"/>
  <c r="L238" i="24" s="1"/>
  <c r="I76" i="24"/>
  <c r="L76" i="24" s="1"/>
  <c r="J78" i="24"/>
  <c r="I79" i="24"/>
  <c r="I126" i="24"/>
  <c r="L126" i="24" s="1"/>
  <c r="AG126" i="24"/>
  <c r="AG129" i="24" s="1"/>
  <c r="H41" i="24" s="1"/>
  <c r="I133" i="24"/>
  <c r="L133" i="24" s="1"/>
  <c r="I140" i="24"/>
  <c r="K140" i="24"/>
  <c r="I147" i="24"/>
  <c r="K147" i="24"/>
  <c r="I151" i="24"/>
  <c r="K151" i="24"/>
  <c r="K158" i="24"/>
  <c r="K217" i="24" s="1"/>
  <c r="AV179" i="24"/>
  <c r="L207" i="24"/>
  <c r="L208" i="24"/>
  <c r="AW231" i="24"/>
  <c r="AH238" i="24"/>
  <c r="AB234" i="24"/>
  <c r="AH234" i="24" s="1"/>
  <c r="AH236" i="24" s="1"/>
  <c r="AH253" i="24"/>
  <c r="AH258" i="24" s="1"/>
  <c r="AB250" i="24"/>
  <c r="AH250" i="24" s="1"/>
  <c r="AH251" i="24" s="1"/>
  <c r="I77" i="24"/>
  <c r="L77" i="24" s="1"/>
  <c r="I78" i="24"/>
  <c r="I139" i="24"/>
  <c r="L139" i="24" s="1"/>
  <c r="I141" i="24"/>
  <c r="I146" i="24"/>
  <c r="L146" i="24" s="1"/>
  <c r="I148" i="24"/>
  <c r="L148" i="24" s="1"/>
  <c r="I160" i="24"/>
  <c r="L160" i="24" s="1"/>
  <c r="O178" i="24"/>
  <c r="P178" i="24" s="1"/>
  <c r="L183" i="24"/>
  <c r="AV187" i="24"/>
  <c r="L187" i="24"/>
  <c r="L191" i="24"/>
  <c r="L193" i="24"/>
  <c r="AU197" i="24"/>
  <c r="L195" i="24"/>
  <c r="L197" i="24"/>
  <c r="L199" i="24"/>
  <c r="L201" i="24"/>
  <c r="L209" i="24"/>
  <c r="L210" i="24"/>
  <c r="AW234" i="24"/>
  <c r="H232" i="24" s="1"/>
  <c r="AW200" i="24"/>
  <c r="AW210" i="24" s="1"/>
  <c r="J141" i="24" s="1"/>
  <c r="K221" i="24"/>
  <c r="L221" i="24" s="1"/>
  <c r="K223" i="24"/>
  <c r="L223" i="24" s="1"/>
  <c r="K225" i="24"/>
  <c r="L225" i="24" s="1"/>
  <c r="K227" i="24"/>
  <c r="L227" i="24" s="1"/>
  <c r="I231" i="24"/>
  <c r="L231" i="24" s="1"/>
  <c r="AH291" i="24"/>
  <c r="AH293" i="24" s="1"/>
  <c r="L220" i="24"/>
  <c r="AH273" i="24" l="1"/>
  <c r="AU17" i="24"/>
  <c r="H21" i="24" s="1"/>
  <c r="AU33" i="24"/>
  <c r="J53" i="25"/>
  <c r="K53" i="25" s="1"/>
  <c r="K52" i="25"/>
  <c r="AH243" i="24"/>
  <c r="AH244" i="24" s="1"/>
  <c r="AH259" i="24"/>
  <c r="L147" i="24"/>
  <c r="AG31" i="24"/>
  <c r="AG34" i="24" s="1"/>
  <c r="H38" i="24" s="1"/>
  <c r="AU26" i="24"/>
  <c r="AJ213" i="25"/>
  <c r="L43" i="24"/>
  <c r="AG67" i="24"/>
  <c r="H40" i="24" s="1"/>
  <c r="K153" i="25"/>
  <c r="K51" i="25"/>
  <c r="I40" i="25"/>
  <c r="L40" i="25" s="1"/>
  <c r="L21" i="25"/>
  <c r="I35" i="25"/>
  <c r="H153" i="25"/>
  <c r="L217" i="25"/>
  <c r="AG31" i="25"/>
  <c r="AG34" i="25" s="1"/>
  <c r="H38" i="25" s="1"/>
  <c r="AU168" i="25"/>
  <c r="AV168" i="25" s="1"/>
  <c r="AV171" i="25" s="1"/>
  <c r="H46" i="25" s="1"/>
  <c r="I42" i="25"/>
  <c r="L42" i="25" s="1"/>
  <c r="H52" i="25"/>
  <c r="H50" i="25"/>
  <c r="I245" i="25"/>
  <c r="I41" i="24"/>
  <c r="L41" i="24" s="1"/>
  <c r="I40" i="24"/>
  <c r="I38" i="24"/>
  <c r="L38" i="24" s="1"/>
  <c r="K141" i="24"/>
  <c r="J79" i="24"/>
  <c r="K78" i="24"/>
  <c r="I44" i="24"/>
  <c r="L44" i="24" s="1"/>
  <c r="K245" i="24"/>
  <c r="L141" i="24"/>
  <c r="L78" i="24"/>
  <c r="L151" i="24"/>
  <c r="L140" i="24"/>
  <c r="J153" i="24"/>
  <c r="L62" i="24"/>
  <c r="L59" i="24"/>
  <c r="L32" i="24"/>
  <c r="I217" i="24"/>
  <c r="K35" i="24"/>
  <c r="L40" i="24"/>
  <c r="I232" i="24"/>
  <c r="L232" i="24" s="1"/>
  <c r="L245" i="24" s="1"/>
  <c r="AH226" i="24"/>
  <c r="H153" i="24"/>
  <c r="J51" i="24"/>
  <c r="K50" i="24"/>
  <c r="I46" i="24"/>
  <c r="H52" i="24"/>
  <c r="H50" i="24"/>
  <c r="I42" i="24"/>
  <c r="L42" i="24" s="1"/>
  <c r="I39" i="24"/>
  <c r="L39" i="24" s="1"/>
  <c r="K53" i="24"/>
  <c r="P217" i="24"/>
  <c r="L46" i="24"/>
  <c r="L158" i="24"/>
  <c r="AV232" i="23"/>
  <c r="AV231" i="23"/>
  <c r="AV230" i="23"/>
  <c r="AV229" i="23"/>
  <c r="AR132" i="23"/>
  <c r="AR126" i="23"/>
  <c r="AR125" i="23"/>
  <c r="AF132" i="23"/>
  <c r="AF81" i="23"/>
  <c r="AF126" i="23"/>
  <c r="AF125" i="23"/>
  <c r="AF62" i="23"/>
  <c r="H30" i="23"/>
  <c r="J54" i="23"/>
  <c r="J55" i="23"/>
  <c r="J152" i="23"/>
  <c r="J151" i="23"/>
  <c r="H152" i="23"/>
  <c r="H151" i="23"/>
  <c r="J147" i="23"/>
  <c r="J146" i="23"/>
  <c r="H147" i="23"/>
  <c r="H146" i="23"/>
  <c r="J140" i="23"/>
  <c r="J139" i="23"/>
  <c r="J136" i="23"/>
  <c r="H140" i="23"/>
  <c r="H139" i="23"/>
  <c r="H136" i="23"/>
  <c r="I245" i="24" l="1"/>
  <c r="AJ213" i="24"/>
  <c r="H53" i="25"/>
  <c r="I52" i="25"/>
  <c r="L52" i="25" s="1"/>
  <c r="I38" i="25"/>
  <c r="L35" i="25"/>
  <c r="H51" i="25"/>
  <c r="I50" i="25"/>
  <c r="L50" i="25" s="1"/>
  <c r="I46" i="25"/>
  <c r="L46" i="25" s="1"/>
  <c r="I153" i="25"/>
  <c r="L153" i="25" s="1"/>
  <c r="K155" i="25"/>
  <c r="K247" i="25" s="1"/>
  <c r="L217" i="24"/>
  <c r="H51" i="24"/>
  <c r="I50" i="24"/>
  <c r="L50" i="24" s="1"/>
  <c r="K79" i="24"/>
  <c r="L79" i="24" s="1"/>
  <c r="H53" i="24"/>
  <c r="I52" i="24"/>
  <c r="L52" i="24" s="1"/>
  <c r="K51" i="24"/>
  <c r="I153" i="24"/>
  <c r="K153" i="24"/>
  <c r="I21" i="24"/>
  <c r="K155" i="24"/>
  <c r="K247" i="24" s="1"/>
  <c r="I51" i="25" l="1"/>
  <c r="L51" i="25" s="1"/>
  <c r="I155" i="25"/>
  <c r="I247" i="25" s="1"/>
  <c r="L38" i="25"/>
  <c r="I53" i="25"/>
  <c r="L53" i="25" s="1"/>
  <c r="I51" i="24"/>
  <c r="L51" i="24" s="1"/>
  <c r="L21" i="24"/>
  <c r="I35" i="24"/>
  <c r="I53" i="24"/>
  <c r="L53" i="24" s="1"/>
  <c r="L153" i="24"/>
  <c r="L155" i="25" l="1"/>
  <c r="L155" i="24"/>
  <c r="L35" i="24"/>
  <c r="I155" i="24"/>
  <c r="I247" i="24" s="1"/>
  <c r="L247" i="25" l="1"/>
  <c r="L247" i="24"/>
  <c r="P264" i="25" l="1"/>
  <c r="N266" i="25" l="1"/>
  <c r="N266" i="24"/>
  <c r="P266" i="25" l="1"/>
  <c r="P267" i="25" s="1"/>
  <c r="P268" i="25" s="1"/>
  <c r="P266" i="24"/>
  <c r="P267" i="24" s="1"/>
  <c r="P268" i="24" s="1"/>
  <c r="N269" i="25" l="1"/>
  <c r="N269" i="24"/>
  <c r="P269" i="24" s="1"/>
  <c r="P269" i="25" l="1"/>
  <c r="N270" i="24"/>
  <c r="P270" i="24" s="1"/>
  <c r="P272" i="24" s="1"/>
  <c r="M19" i="24" s="1"/>
  <c r="N270" i="25" l="1"/>
  <c r="P270" i="25" s="1"/>
  <c r="P272" i="25" s="1"/>
  <c r="N272" i="24"/>
  <c r="N273" i="24"/>
  <c r="Q247" i="24"/>
  <c r="Q244" i="24"/>
  <c r="M239" i="24"/>
  <c r="M235" i="24"/>
  <c r="N229" i="24"/>
  <c r="Q216" i="24"/>
  <c r="N235" i="24"/>
  <c r="N230" i="24"/>
  <c r="M225" i="24"/>
  <c r="M222" i="24"/>
  <c r="M220" i="24"/>
  <c r="Q218" i="24"/>
  <c r="N131" i="24"/>
  <c r="N127" i="24"/>
  <c r="N81" i="24"/>
  <c r="Q75" i="24"/>
  <c r="M74" i="24"/>
  <c r="M142" i="24"/>
  <c r="N132" i="24"/>
  <c r="N124" i="24"/>
  <c r="N75" i="24"/>
  <c r="Q73" i="24"/>
  <c r="N72" i="24"/>
  <c r="Q68" i="24"/>
  <c r="M67" i="24"/>
  <c r="N64" i="24"/>
  <c r="Q56" i="24"/>
  <c r="M55" i="24"/>
  <c r="N47" i="24"/>
  <c r="N39" i="24"/>
  <c r="N30" i="24"/>
  <c r="M28" i="24"/>
  <c r="N26" i="24"/>
  <c r="N23" i="24"/>
  <c r="M17" i="24"/>
  <c r="M72" i="24"/>
  <c r="N68" i="24"/>
  <c r="M66" i="24"/>
  <c r="M47" i="24"/>
  <c r="Q37" i="24"/>
  <c r="Q34" i="24"/>
  <c r="R34" i="24" s="1"/>
  <c r="N29" i="24"/>
  <c r="M27" i="24"/>
  <c r="N24" i="24"/>
  <c r="N21" i="24"/>
  <c r="N17" i="24"/>
  <c r="Q19" i="24"/>
  <c r="M25" i="24"/>
  <c r="M31" i="24"/>
  <c r="Q47" i="24"/>
  <c r="R47" i="24" s="1"/>
  <c r="N60" i="24"/>
  <c r="N38" i="24"/>
  <c r="Q27" i="24"/>
  <c r="M43" i="24"/>
  <c r="N54" i="24"/>
  <c r="N62" i="24"/>
  <c r="Q67" i="24"/>
  <c r="M30" i="24"/>
  <c r="M81" i="24"/>
  <c r="Q127" i="24"/>
  <c r="M133" i="24"/>
  <c r="M146" i="24"/>
  <c r="M152" i="24"/>
  <c r="M76" i="24"/>
  <c r="Q81" i="24"/>
  <c r="M126" i="24"/>
  <c r="N136" i="24"/>
  <c r="N147" i="24"/>
  <c r="Q164" i="24"/>
  <c r="R164" i="24" s="1"/>
  <c r="Q174" i="24"/>
  <c r="R174" i="24" s="1"/>
  <c r="Q178" i="24"/>
  <c r="R178" i="24" s="1"/>
  <c r="N77" i="24"/>
  <c r="M131" i="24"/>
  <c r="N148" i="24"/>
  <c r="Q184" i="24"/>
  <c r="R184" i="24" s="1"/>
  <c r="Q188" i="24"/>
  <c r="R188" i="24" s="1"/>
  <c r="Q194" i="24"/>
  <c r="R194" i="24" s="1"/>
  <c r="N224" i="24"/>
  <c r="M228" i="24"/>
  <c r="M237" i="24"/>
  <c r="Q212" i="24"/>
  <c r="R212" i="24" s="1"/>
  <c r="N223" i="24"/>
  <c r="Q230" i="24"/>
  <c r="Q239" i="24"/>
  <c r="M242" i="24"/>
  <c r="N52" i="24"/>
  <c r="Q23" i="24"/>
  <c r="Q29" i="24"/>
  <c r="N46" i="24"/>
  <c r="M59" i="24"/>
  <c r="Q26" i="24"/>
  <c r="Q33" i="24"/>
  <c r="Q45" i="24"/>
  <c r="Q60" i="24"/>
  <c r="Q69" i="24"/>
  <c r="R69" i="24" s="1"/>
  <c r="M26" i="24"/>
  <c r="N41" i="24"/>
  <c r="Q83" i="24"/>
  <c r="Q130" i="24"/>
  <c r="Q136" i="24"/>
  <c r="M147" i="24"/>
  <c r="N152" i="24"/>
  <c r="N42" i="24"/>
  <c r="M77" i="24"/>
  <c r="M83" i="24"/>
  <c r="M136" i="24"/>
  <c r="M141" i="24"/>
  <c r="Q163" i="24"/>
  <c r="R163" i="24" s="1"/>
  <c r="Q177" i="24"/>
  <c r="R177" i="24" s="1"/>
  <c r="N83" i="24"/>
  <c r="N146" i="24"/>
  <c r="Q185" i="24"/>
  <c r="R185" i="24" s="1"/>
  <c r="Q200" i="24"/>
  <c r="R200" i="24" s="1"/>
  <c r="Q204" i="24"/>
  <c r="R204" i="24" s="1"/>
  <c r="Q214" i="24"/>
  <c r="R214" i="24" s="1"/>
  <c r="Q222" i="24"/>
  <c r="N225" i="24"/>
  <c r="O225" i="24" s="1"/>
  <c r="P225" i="24" s="1"/>
  <c r="M231" i="24"/>
  <c r="N237" i="24"/>
  <c r="Q203" i="24"/>
  <c r="R203" i="24" s="1"/>
  <c r="N222" i="24"/>
  <c r="Q226" i="24"/>
  <c r="M229" i="24"/>
  <c r="Q237" i="24"/>
  <c r="N241" i="24"/>
  <c r="N242" i="24"/>
  <c r="Q20" i="24"/>
  <c r="N141" i="24"/>
  <c r="Q17" i="24"/>
  <c r="Q197" i="24"/>
  <c r="R197" i="24" s="1"/>
  <c r="Q207" i="24"/>
  <c r="R207" i="24" s="1"/>
  <c r="Q173" i="24"/>
  <c r="R173" i="24" s="1"/>
  <c r="M46" i="24"/>
  <c r="Q231" i="24"/>
  <c r="Q183" i="24"/>
  <c r="R183" i="24" s="1"/>
  <c r="Q77" i="24"/>
  <c r="Q238" i="24"/>
  <c r="Q227" i="24"/>
  <c r="M41" i="24"/>
  <c r="M38" i="24"/>
  <c r="N78" i="24"/>
  <c r="Q199" i="24"/>
  <c r="R199" i="24" s="1"/>
  <c r="Q187" i="24"/>
  <c r="R187" i="24" s="1"/>
  <c r="Q133" i="24"/>
  <c r="Q175" i="24"/>
  <c r="R175" i="24" s="1"/>
  <c r="M232" i="24"/>
  <c r="M39" i="24"/>
  <c r="Q195" i="24"/>
  <c r="R195" i="24" s="1"/>
  <c r="Q139" i="24"/>
  <c r="Q31" i="24"/>
  <c r="Q245" i="24"/>
  <c r="M50" i="24"/>
  <c r="Q42" i="24"/>
  <c r="Q151" i="24"/>
  <c r="Q39" i="24"/>
  <c r="Q140" i="24"/>
  <c r="Q40" i="24"/>
  <c r="Q78" i="24"/>
  <c r="M153" i="24"/>
  <c r="M21" i="24"/>
  <c r="Q232" i="24"/>
  <c r="Q141" i="24"/>
  <c r="Q79" i="24"/>
  <c r="M51" i="24"/>
  <c r="M53" i="24"/>
  <c r="Q53" i="24"/>
  <c r="Q21" i="24"/>
  <c r="Q155" i="24"/>
  <c r="M240" i="24"/>
  <c r="M236" i="24"/>
  <c r="M230" i="24"/>
  <c r="M226" i="24"/>
  <c r="N238" i="24"/>
  <c r="N231" i="24"/>
  <c r="O231" i="24" s="1"/>
  <c r="P231" i="24" s="1"/>
  <c r="R231" i="24" s="1"/>
  <c r="M227" i="24"/>
  <c r="M223" i="24"/>
  <c r="M221" i="24"/>
  <c r="Q219" i="24"/>
  <c r="N142" i="24"/>
  <c r="N130" i="24"/>
  <c r="N123" i="24"/>
  <c r="N80" i="24"/>
  <c r="M75" i="24"/>
  <c r="Q154" i="24"/>
  <c r="N133" i="24"/>
  <c r="O133" i="24" s="1"/>
  <c r="P133" i="24" s="1"/>
  <c r="N126" i="24"/>
  <c r="O126" i="24" s="1"/>
  <c r="P126" i="24" s="1"/>
  <c r="N76" i="24"/>
  <c r="N74" i="24"/>
  <c r="N73" i="24"/>
  <c r="N69" i="24"/>
  <c r="M68" i="24"/>
  <c r="N66" i="24"/>
  <c r="M60" i="24"/>
  <c r="M56" i="24"/>
  <c r="M54" i="24"/>
  <c r="M45" i="24"/>
  <c r="M33" i="24"/>
  <c r="M29" i="24"/>
  <c r="N27" i="24"/>
  <c r="M24" i="24"/>
  <c r="M22" i="24"/>
  <c r="M18" i="24"/>
  <c r="M73" i="24"/>
  <c r="M69" i="24"/>
  <c r="N67" i="24"/>
  <c r="O67" i="24" s="1"/>
  <c r="P67" i="24" s="1"/>
  <c r="R67" i="24" s="1"/>
  <c r="N56" i="24"/>
  <c r="O56" i="24" s="1"/>
  <c r="P56" i="24" s="1"/>
  <c r="N45" i="24"/>
  <c r="Q36" i="24"/>
  <c r="R36" i="24" s="1"/>
  <c r="N33" i="24"/>
  <c r="O33" i="24" s="1"/>
  <c r="P33" i="24" s="1"/>
  <c r="N28" i="24"/>
  <c r="O28" i="24" s="1"/>
  <c r="P28" i="24" s="1"/>
  <c r="N25" i="24"/>
  <c r="N22" i="24"/>
  <c r="M20" i="24"/>
  <c r="N18" i="24"/>
  <c r="O18" i="24" s="1"/>
  <c r="P18" i="24" s="1"/>
  <c r="N40" i="24"/>
  <c r="Q22" i="24"/>
  <c r="Q30" i="24"/>
  <c r="Q43" i="24"/>
  <c r="N55" i="24"/>
  <c r="Q64" i="24"/>
  <c r="N20" i="24"/>
  <c r="O20" i="24" s="1"/>
  <c r="P20" i="24" s="1"/>
  <c r="N32" i="24"/>
  <c r="N44" i="24"/>
  <c r="N59" i="24"/>
  <c r="M64" i="24"/>
  <c r="Q72" i="24"/>
  <c r="M79" i="24"/>
  <c r="Q123" i="24"/>
  <c r="Q131" i="24"/>
  <c r="N140" i="24"/>
  <c r="M148" i="24"/>
  <c r="Q166" i="24"/>
  <c r="R166" i="24" s="1"/>
  <c r="M78" i="24"/>
  <c r="M124" i="24"/>
  <c r="M132" i="24"/>
  <c r="M140" i="24"/>
  <c r="Q152" i="24"/>
  <c r="Q167" i="24"/>
  <c r="R167" i="24" s="1"/>
  <c r="Q176" i="24"/>
  <c r="R176" i="24" s="1"/>
  <c r="N232" i="24"/>
  <c r="M123" i="24"/>
  <c r="N139" i="24"/>
  <c r="Q182" i="24"/>
  <c r="R182" i="24" s="1"/>
  <c r="Q186" i="24"/>
  <c r="R186" i="24" s="1"/>
  <c r="Q192" i="24"/>
  <c r="R192" i="24" s="1"/>
  <c r="Q213" i="24"/>
  <c r="R213" i="24" s="1"/>
  <c r="N226" i="24"/>
  <c r="Q229" i="24"/>
  <c r="Q241" i="24"/>
  <c r="N221" i="24"/>
  <c r="N227" i="24"/>
  <c r="O227" i="24" s="1"/>
  <c r="P227" i="24" s="1"/>
  <c r="Q236" i="24"/>
  <c r="M241" i="24"/>
  <c r="N240" i="24"/>
  <c r="Q18" i="24"/>
  <c r="Q24" i="24"/>
  <c r="M32" i="24"/>
  <c r="Q54" i="24"/>
  <c r="M62" i="24"/>
  <c r="Q28" i="24"/>
  <c r="N43" i="24"/>
  <c r="Q55" i="24"/>
  <c r="Q66" i="24"/>
  <c r="M23" i="24"/>
  <c r="N31" i="24"/>
  <c r="O31" i="24" s="1"/>
  <c r="P31" i="24" s="1"/>
  <c r="Q80" i="24"/>
  <c r="Q124" i="24"/>
  <c r="Q132" i="24"/>
  <c r="Q142" i="24"/>
  <c r="M151" i="24"/>
  <c r="Q161" i="24"/>
  <c r="R161" i="24" s="1"/>
  <c r="Q74" i="24"/>
  <c r="M80" i="24"/>
  <c r="M127" i="24"/>
  <c r="M139" i="24"/>
  <c r="N151" i="24"/>
  <c r="Q170" i="24"/>
  <c r="R170" i="24" s="1"/>
  <c r="M238" i="24"/>
  <c r="M130" i="24"/>
  <c r="Q179" i="24"/>
  <c r="R179" i="24" s="1"/>
  <c r="Q198" i="24"/>
  <c r="R198" i="24" s="1"/>
  <c r="Q202" i="24"/>
  <c r="R202" i="24" s="1"/>
  <c r="Q211" i="24"/>
  <c r="R211" i="24" s="1"/>
  <c r="N220" i="24"/>
  <c r="M224" i="24"/>
  <c r="N228" i="24"/>
  <c r="N236" i="24"/>
  <c r="Q242" i="24"/>
  <c r="Q215" i="24"/>
  <c r="R215" i="24" s="1"/>
  <c r="Q224" i="24"/>
  <c r="Q228" i="24"/>
  <c r="Q235" i="24"/>
  <c r="Q240" i="24"/>
  <c r="N239" i="24"/>
  <c r="Q225" i="24"/>
  <c r="Q220" i="24"/>
  <c r="M44" i="24"/>
  <c r="Q201" i="24"/>
  <c r="R201" i="24" s="1"/>
  <c r="Q191" i="24"/>
  <c r="R191" i="24" s="1"/>
  <c r="Q126" i="24"/>
  <c r="Q159" i="24"/>
  <c r="R159" i="24" s="1"/>
  <c r="M42" i="24"/>
  <c r="Q209" i="24"/>
  <c r="R209" i="24" s="1"/>
  <c r="Q146" i="24"/>
  <c r="Q147" i="24"/>
  <c r="Q25" i="24"/>
  <c r="Q221" i="24"/>
  <c r="M40" i="24"/>
  <c r="Q223" i="24"/>
  <c r="Q210" i="24"/>
  <c r="R210" i="24" s="1"/>
  <c r="Q193" i="24"/>
  <c r="R193" i="24" s="1"/>
  <c r="Q148" i="24"/>
  <c r="Q76" i="24"/>
  <c r="Q171" i="24"/>
  <c r="R171" i="24" s="1"/>
  <c r="N50" i="24"/>
  <c r="N53" i="24"/>
  <c r="Q160" i="24"/>
  <c r="R160" i="24" s="1"/>
  <c r="Q208" i="24"/>
  <c r="R208" i="24" s="1"/>
  <c r="Q172" i="24"/>
  <c r="R172" i="24" s="1"/>
  <c r="Q158" i="24"/>
  <c r="R158" i="24" s="1"/>
  <c r="N79" i="24"/>
  <c r="Q44" i="24"/>
  <c r="N51" i="24"/>
  <c r="Q32" i="24"/>
  <c r="Q38" i="24"/>
  <c r="Q62" i="24"/>
  <c r="M52" i="24"/>
  <c r="N153" i="24"/>
  <c r="Q46" i="24"/>
  <c r="Q59" i="24"/>
  <c r="Q41" i="24"/>
  <c r="Q52" i="24"/>
  <c r="Q217" i="24"/>
  <c r="R217" i="24" s="1"/>
  <c r="Q50" i="24"/>
  <c r="Q51" i="24"/>
  <c r="Q153" i="24"/>
  <c r="Q35" i="24"/>
  <c r="O17" i="24" l="1"/>
  <c r="P17" i="24" s="1"/>
  <c r="O79" i="24"/>
  <c r="P79" i="24" s="1"/>
  <c r="R79" i="24" s="1"/>
  <c r="R20" i="24"/>
  <c r="O151" i="24"/>
  <c r="P151" i="24" s="1"/>
  <c r="R151" i="24" s="1"/>
  <c r="O232" i="24"/>
  <c r="P232" i="24" s="1"/>
  <c r="O59" i="24"/>
  <c r="P59" i="24" s="1"/>
  <c r="Q247" i="25"/>
  <c r="Q244" i="25"/>
  <c r="M239" i="25"/>
  <c r="M235" i="25"/>
  <c r="N229" i="25"/>
  <c r="Q216" i="25"/>
  <c r="M222" i="25"/>
  <c r="Q218" i="25"/>
  <c r="M142" i="25"/>
  <c r="N132" i="25"/>
  <c r="N124" i="25"/>
  <c r="N75" i="25"/>
  <c r="Q73" i="25"/>
  <c r="M72" i="25"/>
  <c r="N68" i="25"/>
  <c r="M66" i="25"/>
  <c r="M47" i="25"/>
  <c r="Q37" i="25"/>
  <c r="Q34" i="25"/>
  <c r="R34" i="25" s="1"/>
  <c r="N29" i="25"/>
  <c r="M27" i="25"/>
  <c r="N238" i="25"/>
  <c r="N231" i="25"/>
  <c r="Q227" i="25"/>
  <c r="Q223" i="25"/>
  <c r="Q221" i="25"/>
  <c r="Q219" i="25"/>
  <c r="M148" i="25"/>
  <c r="N142" i="25"/>
  <c r="O142" i="25" s="1"/>
  <c r="P142" i="25" s="1"/>
  <c r="N131" i="25"/>
  <c r="N127" i="25"/>
  <c r="M83" i="25"/>
  <c r="N80" i="25"/>
  <c r="M77" i="25"/>
  <c r="M75" i="25"/>
  <c r="N69" i="25"/>
  <c r="M68" i="25"/>
  <c r="M74" i="25"/>
  <c r="N66" i="25"/>
  <c r="O66" i="25" s="1"/>
  <c r="P66" i="25" s="1"/>
  <c r="M60" i="25"/>
  <c r="M54" i="25"/>
  <c r="M41" i="25"/>
  <c r="M33" i="25"/>
  <c r="M29" i="25"/>
  <c r="N26" i="25"/>
  <c r="N23" i="25"/>
  <c r="N19" i="25"/>
  <c r="M17" i="25"/>
  <c r="M56" i="25"/>
  <c r="Q31" i="25"/>
  <c r="N27" i="25"/>
  <c r="N22" i="25"/>
  <c r="M20" i="25"/>
  <c r="N18" i="25"/>
  <c r="N20" i="25"/>
  <c r="Q26" i="25"/>
  <c r="Q60" i="25"/>
  <c r="Q18" i="25"/>
  <c r="Q41" i="25"/>
  <c r="Q69" i="25"/>
  <c r="R69" i="25" s="1"/>
  <c r="Q80" i="25"/>
  <c r="N32" i="25"/>
  <c r="N59" i="25"/>
  <c r="M30" i="25"/>
  <c r="N62" i="25"/>
  <c r="M81" i="25"/>
  <c r="Q127" i="25"/>
  <c r="Q133" i="25"/>
  <c r="Q152" i="25"/>
  <c r="Q172" i="25"/>
  <c r="R172" i="25" s="1"/>
  <c r="Q176" i="25"/>
  <c r="R176" i="25" s="1"/>
  <c r="Q182" i="25"/>
  <c r="R182" i="25" s="1"/>
  <c r="Q187" i="25"/>
  <c r="R187" i="25" s="1"/>
  <c r="Q200" i="25"/>
  <c r="R200" i="25" s="1"/>
  <c r="Q204" i="25"/>
  <c r="R204" i="25" s="1"/>
  <c r="Q236" i="25"/>
  <c r="M80" i="25"/>
  <c r="N41" i="25"/>
  <c r="O41" i="25" s="1"/>
  <c r="P41" i="25" s="1"/>
  <c r="R41" i="25" s="1"/>
  <c r="Q130" i="25"/>
  <c r="M136" i="25"/>
  <c r="N146" i="25"/>
  <c r="N152" i="25"/>
  <c r="Q163" i="25"/>
  <c r="R163" i="25" s="1"/>
  <c r="Q166" i="25"/>
  <c r="R166" i="25" s="1"/>
  <c r="Q173" i="25"/>
  <c r="R173" i="25" s="1"/>
  <c r="Q179" i="25"/>
  <c r="R179" i="25" s="1"/>
  <c r="Q191" i="25"/>
  <c r="R191" i="25" s="1"/>
  <c r="Q195" i="25"/>
  <c r="R195" i="25" s="1"/>
  <c r="Q199" i="25"/>
  <c r="R199" i="25" s="1"/>
  <c r="Q203" i="25"/>
  <c r="R203" i="25" s="1"/>
  <c r="Q230" i="25"/>
  <c r="Q240" i="25"/>
  <c r="M133" i="25"/>
  <c r="N147" i="25"/>
  <c r="N227" i="25"/>
  <c r="N236" i="25"/>
  <c r="O236" i="25" s="1"/>
  <c r="P236" i="25" s="1"/>
  <c r="R236" i="25" s="1"/>
  <c r="M238" i="25"/>
  <c r="N222" i="25"/>
  <c r="O222" i="25" s="1"/>
  <c r="P222" i="25" s="1"/>
  <c r="N241" i="25"/>
  <c r="Q22" i="25"/>
  <c r="Q27" i="25"/>
  <c r="Q77" i="25"/>
  <c r="Q66" i="25"/>
  <c r="Q76" i="25"/>
  <c r="M62" i="25"/>
  <c r="M44" i="25"/>
  <c r="N31" i="25"/>
  <c r="N52" i="25"/>
  <c r="N42" i="25"/>
  <c r="N54" i="25"/>
  <c r="O54" i="25" s="1"/>
  <c r="P54" i="25" s="1"/>
  <c r="M64" i="25"/>
  <c r="N83" i="25"/>
  <c r="O83" i="25" s="1"/>
  <c r="P83" i="25" s="1"/>
  <c r="N43" i="25"/>
  <c r="Q139" i="25"/>
  <c r="Q159" i="25"/>
  <c r="R159" i="25" s="1"/>
  <c r="Q183" i="25"/>
  <c r="R183" i="25" s="1"/>
  <c r="Q186" i="25"/>
  <c r="R186" i="25" s="1"/>
  <c r="Q194" i="25"/>
  <c r="R194" i="25" s="1"/>
  <c r="Q209" i="25"/>
  <c r="R209" i="25" s="1"/>
  <c r="Q213" i="25"/>
  <c r="R213" i="25" s="1"/>
  <c r="Q81" i="25"/>
  <c r="N139" i="25"/>
  <c r="O139" i="25" s="1"/>
  <c r="P139" i="25" s="1"/>
  <c r="R139" i="25" s="1"/>
  <c r="Q212" i="25"/>
  <c r="R212" i="25" s="1"/>
  <c r="Q238" i="25"/>
  <c r="N140" i="25"/>
  <c r="N228" i="25"/>
  <c r="O228" i="25" s="1"/>
  <c r="P228" i="25" s="1"/>
  <c r="M228" i="25"/>
  <c r="M21" i="25"/>
  <c r="Q29" i="25"/>
  <c r="Q241" i="25"/>
  <c r="M43" i="25"/>
  <c r="N141" i="25"/>
  <c r="Q224" i="25"/>
  <c r="Q32" i="25"/>
  <c r="N51" i="25"/>
  <c r="M42" i="25"/>
  <c r="M153" i="25"/>
  <c r="Q40" i="25"/>
  <c r="Q52" i="25"/>
  <c r="M240" i="25"/>
  <c r="M236" i="25"/>
  <c r="M230" i="25"/>
  <c r="M226" i="25"/>
  <c r="M225" i="25"/>
  <c r="M220" i="25"/>
  <c r="Q154" i="25"/>
  <c r="N133" i="25"/>
  <c r="O133" i="25" s="1"/>
  <c r="P133" i="25" s="1"/>
  <c r="N126" i="25"/>
  <c r="N76" i="25"/>
  <c r="N74" i="25"/>
  <c r="O74" i="25" s="1"/>
  <c r="P74" i="25" s="1"/>
  <c r="M73" i="25"/>
  <c r="M69" i="25"/>
  <c r="N67" i="25"/>
  <c r="N56" i="25"/>
  <c r="O56" i="25" s="1"/>
  <c r="P56" i="25" s="1"/>
  <c r="N45" i="25"/>
  <c r="Q36" i="25"/>
  <c r="R36" i="25" s="1"/>
  <c r="N33" i="25"/>
  <c r="O33" i="25" s="1"/>
  <c r="P33" i="25" s="1"/>
  <c r="N28" i="25"/>
  <c r="N25" i="25"/>
  <c r="N235" i="25"/>
  <c r="O235" i="25" s="1"/>
  <c r="P235" i="25" s="1"/>
  <c r="R235" i="25" s="1"/>
  <c r="N230" i="25"/>
  <c r="M227" i="25"/>
  <c r="M223" i="25"/>
  <c r="M221" i="25"/>
  <c r="M152" i="25"/>
  <c r="M146" i="25"/>
  <c r="M139" i="25"/>
  <c r="N130" i="25"/>
  <c r="O130" i="25" s="1"/>
  <c r="P130" i="25" s="1"/>
  <c r="R130" i="25" s="1"/>
  <c r="N123" i="25"/>
  <c r="N81" i="25"/>
  <c r="O81" i="25" s="1"/>
  <c r="P81" i="25" s="1"/>
  <c r="R81" i="25" s="1"/>
  <c r="M78" i="25"/>
  <c r="Q75" i="25"/>
  <c r="N73" i="25"/>
  <c r="O73" i="25" s="1"/>
  <c r="P73" i="25" s="1"/>
  <c r="R73" i="25" s="1"/>
  <c r="Q68" i="25"/>
  <c r="M67" i="25"/>
  <c r="N72" i="25"/>
  <c r="N64" i="25"/>
  <c r="O64" i="25" s="1"/>
  <c r="P64" i="25" s="1"/>
  <c r="M55" i="25"/>
  <c r="M45" i="25"/>
  <c r="N39" i="25"/>
  <c r="N30" i="25"/>
  <c r="O30" i="25" s="1"/>
  <c r="P30" i="25" s="1"/>
  <c r="M28" i="25"/>
  <c r="M24" i="25"/>
  <c r="M22" i="25"/>
  <c r="M18" i="25"/>
  <c r="Q56" i="25"/>
  <c r="N47" i="25"/>
  <c r="O47" i="25" s="1"/>
  <c r="M31" i="25"/>
  <c r="N24" i="25"/>
  <c r="O24" i="25" s="1"/>
  <c r="P24" i="25" s="1"/>
  <c r="N21" i="25"/>
  <c r="O21" i="25" s="1"/>
  <c r="P21" i="25" s="1"/>
  <c r="M19" i="25"/>
  <c r="N17" i="25"/>
  <c r="O17" i="25" s="1"/>
  <c r="P17" i="25" s="1"/>
  <c r="Q23" i="25"/>
  <c r="Q30" i="25"/>
  <c r="Q64" i="25"/>
  <c r="Q20" i="25"/>
  <c r="Q45" i="25"/>
  <c r="Q74" i="25"/>
  <c r="M23" i="25"/>
  <c r="N44" i="25"/>
  <c r="M25" i="25"/>
  <c r="N55" i="25"/>
  <c r="O55" i="25" s="1"/>
  <c r="P55" i="25" s="1"/>
  <c r="M76" i="25"/>
  <c r="M123" i="25"/>
  <c r="M130" i="25"/>
  <c r="Q146" i="25"/>
  <c r="Q170" i="25"/>
  <c r="R170" i="25" s="1"/>
  <c r="Q174" i="25"/>
  <c r="R174" i="25" s="1"/>
  <c r="Q178" i="25"/>
  <c r="R178" i="25" s="1"/>
  <c r="Q185" i="25"/>
  <c r="R185" i="25" s="1"/>
  <c r="Q197" i="25"/>
  <c r="R197" i="25" s="1"/>
  <c r="Q202" i="25"/>
  <c r="R202" i="25" s="1"/>
  <c r="Q225" i="25"/>
  <c r="N78" i="25"/>
  <c r="O78" i="25" s="1"/>
  <c r="P78" i="25" s="1"/>
  <c r="Q83" i="25"/>
  <c r="Q126" i="25"/>
  <c r="Q132" i="25"/>
  <c r="M140" i="25"/>
  <c r="N148" i="25"/>
  <c r="O148" i="25" s="1"/>
  <c r="P148" i="25" s="1"/>
  <c r="Q161" i="25"/>
  <c r="R161" i="25" s="1"/>
  <c r="Q164" i="25"/>
  <c r="R164" i="25" s="1"/>
  <c r="Q171" i="25"/>
  <c r="R171" i="25" s="1"/>
  <c r="Q175" i="25"/>
  <c r="R175" i="25" s="1"/>
  <c r="Q188" i="25"/>
  <c r="R188" i="25" s="1"/>
  <c r="Q193" i="25"/>
  <c r="R193" i="25" s="1"/>
  <c r="Q198" i="25"/>
  <c r="R198" i="25" s="1"/>
  <c r="Q201" i="25"/>
  <c r="R201" i="25" s="1"/>
  <c r="Q214" i="25"/>
  <c r="R214" i="25" s="1"/>
  <c r="Q235" i="25"/>
  <c r="M126" i="25"/>
  <c r="N136" i="25"/>
  <c r="N223" i="25"/>
  <c r="O223" i="25" s="1"/>
  <c r="P223" i="25" s="1"/>
  <c r="R223" i="25" s="1"/>
  <c r="M229" i="25"/>
  <c r="Q239" i="25"/>
  <c r="N77" i="25"/>
  <c r="N225" i="25"/>
  <c r="O225" i="25" s="1"/>
  <c r="P225" i="25" s="1"/>
  <c r="R225" i="25" s="1"/>
  <c r="N38" i="25"/>
  <c r="Q24" i="25"/>
  <c r="Q47" i="25"/>
  <c r="R47" i="25" s="1"/>
  <c r="Q19" i="25"/>
  <c r="Q72" i="25"/>
  <c r="M39" i="25"/>
  <c r="M32" i="25"/>
  <c r="M59" i="25"/>
  <c r="N40" i="25"/>
  <c r="M26" i="25"/>
  <c r="N46" i="25"/>
  <c r="N60" i="25"/>
  <c r="O60" i="25" s="1"/>
  <c r="P60" i="25" s="1"/>
  <c r="R60" i="25" s="1"/>
  <c r="N79" i="25"/>
  <c r="Q124" i="25"/>
  <c r="Q131" i="25"/>
  <c r="Q148" i="25"/>
  <c r="Q167" i="25"/>
  <c r="R167" i="25" s="1"/>
  <c r="Q184" i="25"/>
  <c r="R184" i="25" s="1"/>
  <c r="Q192" i="25"/>
  <c r="R192" i="25" s="1"/>
  <c r="Q207" i="25"/>
  <c r="R207" i="25" s="1"/>
  <c r="Q211" i="25"/>
  <c r="R211" i="25" s="1"/>
  <c r="Q226" i="25"/>
  <c r="M141" i="25"/>
  <c r="Q123" i="25"/>
  <c r="M131" i="25"/>
  <c r="Q142" i="25"/>
  <c r="M151" i="25"/>
  <c r="Q210" i="25"/>
  <c r="R210" i="25" s="1"/>
  <c r="Q222" i="25"/>
  <c r="Q231" i="25"/>
  <c r="M224" i="25"/>
  <c r="M242" i="25"/>
  <c r="M132" i="25"/>
  <c r="N151" i="25"/>
  <c r="O151" i="25" s="1"/>
  <c r="P151" i="25" s="1"/>
  <c r="N226" i="25"/>
  <c r="O226" i="25" s="1"/>
  <c r="P226" i="25" s="1"/>
  <c r="M231" i="25"/>
  <c r="N240" i="25"/>
  <c r="M237" i="25"/>
  <c r="N224" i="25"/>
  <c r="O224" i="25" s="1"/>
  <c r="P224" i="25" s="1"/>
  <c r="R224" i="25" s="1"/>
  <c r="N242" i="25"/>
  <c r="O242" i="25" s="1"/>
  <c r="P242" i="25" s="1"/>
  <c r="Q17" i="25"/>
  <c r="Q67" i="25"/>
  <c r="Q55" i="25"/>
  <c r="Q151" i="25"/>
  <c r="Q215" i="25"/>
  <c r="R215" i="25" s="1"/>
  <c r="Q177" i="25"/>
  <c r="R177" i="25" s="1"/>
  <c r="Q54" i="25"/>
  <c r="N232" i="25"/>
  <c r="N53" i="25"/>
  <c r="Q160" i="25"/>
  <c r="R160" i="25" s="1"/>
  <c r="Q25" i="25"/>
  <c r="M232" i="25"/>
  <c r="Q140" i="25"/>
  <c r="Q242" i="25"/>
  <c r="Q79" i="25"/>
  <c r="Q59" i="25"/>
  <c r="Q39" i="25"/>
  <c r="Q245" i="25"/>
  <c r="Q232" i="25"/>
  <c r="M40" i="25"/>
  <c r="Q158" i="25"/>
  <c r="R158" i="25" s="1"/>
  <c r="Q43" i="25"/>
  <c r="M46" i="25"/>
  <c r="Q217" i="25"/>
  <c r="R217" i="25" s="1"/>
  <c r="M38" i="25"/>
  <c r="Q42" i="25"/>
  <c r="M53" i="25"/>
  <c r="M51" i="25"/>
  <c r="Q50" i="25"/>
  <c r="Q46" i="25"/>
  <c r="Q51" i="25"/>
  <c r="Q155" i="25"/>
  <c r="M79" i="25"/>
  <c r="M127" i="25"/>
  <c r="M147" i="25"/>
  <c r="Q208" i="25"/>
  <c r="R208" i="25" s="1"/>
  <c r="Q229" i="25"/>
  <c r="M241" i="25"/>
  <c r="M124" i="25"/>
  <c r="N221" i="25"/>
  <c r="O221" i="25" s="1"/>
  <c r="P221" i="25" s="1"/>
  <c r="R221" i="25" s="1"/>
  <c r="N237" i="25"/>
  <c r="N220" i="25"/>
  <c r="O220" i="25" s="1"/>
  <c r="P220" i="25" s="1"/>
  <c r="N239" i="25"/>
  <c r="O239" i="25" s="1"/>
  <c r="P239" i="25" s="1"/>
  <c r="Q136" i="25"/>
  <c r="Q220" i="25"/>
  <c r="Q237" i="25"/>
  <c r="Q33" i="25"/>
  <c r="Q44" i="25"/>
  <c r="Q147" i="25"/>
  <c r="Q78" i="25"/>
  <c r="N50" i="25"/>
  <c r="Q228" i="25"/>
  <c r="Q28" i="25"/>
  <c r="Q62" i="25"/>
  <c r="N153" i="25"/>
  <c r="O153" i="25" s="1"/>
  <c r="P153" i="25" s="1"/>
  <c r="Q141" i="25"/>
  <c r="M50" i="25"/>
  <c r="M52" i="25"/>
  <c r="Q21" i="25"/>
  <c r="Q35" i="25"/>
  <c r="Q153" i="25"/>
  <c r="Q38" i="25"/>
  <c r="Q53" i="25"/>
  <c r="N273" i="25"/>
  <c r="N272" i="25"/>
  <c r="O153" i="24"/>
  <c r="P153" i="24" s="1"/>
  <c r="R153" i="24" s="1"/>
  <c r="O53" i="24"/>
  <c r="P53" i="24" s="1"/>
  <c r="R53" i="24" s="1"/>
  <c r="O239" i="24"/>
  <c r="P239" i="24" s="1"/>
  <c r="R239" i="24" s="1"/>
  <c r="O228" i="24"/>
  <c r="P228" i="24" s="1"/>
  <c r="R228" i="24" s="1"/>
  <c r="O220" i="24"/>
  <c r="P220" i="24" s="1"/>
  <c r="R220" i="24" s="1"/>
  <c r="O240" i="24"/>
  <c r="P240" i="24" s="1"/>
  <c r="O221" i="24"/>
  <c r="P221" i="24" s="1"/>
  <c r="R221" i="24" s="1"/>
  <c r="R232" i="24"/>
  <c r="O22" i="24"/>
  <c r="P22" i="24" s="1"/>
  <c r="R22" i="24" s="1"/>
  <c r="R56" i="24"/>
  <c r="O66" i="24"/>
  <c r="P66" i="24" s="1"/>
  <c r="R66" i="24" s="1"/>
  <c r="O74" i="24"/>
  <c r="P74" i="24" s="1"/>
  <c r="O141" i="24"/>
  <c r="P141" i="24" s="1"/>
  <c r="R141" i="24" s="1"/>
  <c r="O242" i="24"/>
  <c r="P242" i="24" s="1"/>
  <c r="R242" i="24" s="1"/>
  <c r="O83" i="24"/>
  <c r="P83" i="24" s="1"/>
  <c r="R83" i="24" s="1"/>
  <c r="O152" i="24"/>
  <c r="P152" i="24" s="1"/>
  <c r="O51" i="24"/>
  <c r="P51" i="24" s="1"/>
  <c r="R51" i="24" s="1"/>
  <c r="O50" i="24"/>
  <c r="P50" i="24" s="1"/>
  <c r="R50" i="24" s="1"/>
  <c r="O236" i="24"/>
  <c r="P236" i="24" s="1"/>
  <c r="R236" i="24" s="1"/>
  <c r="R31" i="24"/>
  <c r="O43" i="24"/>
  <c r="P43" i="24" s="1"/>
  <c r="R43" i="24" s="1"/>
  <c r="R227" i="24"/>
  <c r="O226" i="24"/>
  <c r="P226" i="24" s="1"/>
  <c r="R226" i="24" s="1"/>
  <c r="O55" i="24"/>
  <c r="P55" i="24" s="1"/>
  <c r="R55" i="24" s="1"/>
  <c r="O25" i="24"/>
  <c r="P25" i="24" s="1"/>
  <c r="R25" i="24" s="1"/>
  <c r="R33" i="24"/>
  <c r="O27" i="24"/>
  <c r="P27" i="24" s="1"/>
  <c r="R27" i="24" s="1"/>
  <c r="O76" i="24"/>
  <c r="P76" i="24" s="1"/>
  <c r="R76" i="24" s="1"/>
  <c r="O142" i="24"/>
  <c r="P142" i="24" s="1"/>
  <c r="R142" i="24" s="1"/>
  <c r="O222" i="24"/>
  <c r="P222" i="24" s="1"/>
  <c r="R222" i="24" s="1"/>
  <c r="O146" i="24"/>
  <c r="P146" i="24" s="1"/>
  <c r="R146" i="24" s="1"/>
  <c r="O235" i="24"/>
  <c r="P235" i="24" s="1"/>
  <c r="R235" i="24" s="1"/>
  <c r="R240" i="24"/>
  <c r="O32" i="24"/>
  <c r="P32" i="24" s="1"/>
  <c r="R32" i="24" s="1"/>
  <c r="R18" i="24"/>
  <c r="O147" i="24"/>
  <c r="P147" i="24" s="1"/>
  <c r="O139" i="24"/>
  <c r="P139" i="24" s="1"/>
  <c r="R139" i="24" s="1"/>
  <c r="O44" i="24"/>
  <c r="P44" i="24" s="1"/>
  <c r="R44" i="24" s="1"/>
  <c r="O40" i="24"/>
  <c r="P40" i="24" s="1"/>
  <c r="R40" i="24" s="1"/>
  <c r="O45" i="24"/>
  <c r="P45" i="24" s="1"/>
  <c r="R45" i="24" s="1"/>
  <c r="O73" i="24"/>
  <c r="P73" i="24" s="1"/>
  <c r="R73" i="24" s="1"/>
  <c r="R133" i="24"/>
  <c r="O123" i="24"/>
  <c r="P123" i="24" s="1"/>
  <c r="R123" i="24" s="1"/>
  <c r="O238" i="24"/>
  <c r="P238" i="24" s="1"/>
  <c r="R238" i="24" s="1"/>
  <c r="O78" i="24"/>
  <c r="P78" i="24" s="1"/>
  <c r="R78" i="24" s="1"/>
  <c r="O241" i="24"/>
  <c r="P241" i="24" s="1"/>
  <c r="R241" i="24" s="1"/>
  <c r="O237" i="24"/>
  <c r="P237" i="24" s="1"/>
  <c r="R237" i="24" s="1"/>
  <c r="R225" i="24"/>
  <c r="O42" i="24"/>
  <c r="P42" i="24" s="1"/>
  <c r="R42" i="24" s="1"/>
  <c r="O41" i="24"/>
  <c r="P41" i="24" s="1"/>
  <c r="R41" i="24" s="1"/>
  <c r="O46" i="24"/>
  <c r="P46" i="24" s="1"/>
  <c r="R46" i="24" s="1"/>
  <c r="O136" i="24"/>
  <c r="P136" i="24" s="1"/>
  <c r="R136" i="24" s="1"/>
  <c r="O54" i="24"/>
  <c r="P54" i="24" s="1"/>
  <c r="R54" i="24" s="1"/>
  <c r="O60" i="24"/>
  <c r="P60" i="24" s="1"/>
  <c r="R60" i="24" s="1"/>
  <c r="O24" i="24"/>
  <c r="P24" i="24" s="1"/>
  <c r="R24" i="24" s="1"/>
  <c r="O29" i="24"/>
  <c r="P29" i="24" s="1"/>
  <c r="R29" i="24" s="1"/>
  <c r="O19" i="24"/>
  <c r="P19" i="24" s="1"/>
  <c r="R19" i="24" s="1"/>
  <c r="O26" i="24"/>
  <c r="P26" i="24" s="1"/>
  <c r="R26" i="24" s="1"/>
  <c r="O30" i="24"/>
  <c r="P30" i="24" s="1"/>
  <c r="R30" i="24" s="1"/>
  <c r="O47" i="24"/>
  <c r="O72" i="24"/>
  <c r="P72" i="24" s="1"/>
  <c r="R72" i="24" s="1"/>
  <c r="O75" i="24"/>
  <c r="P75" i="24" s="1"/>
  <c r="R75" i="24" s="1"/>
  <c r="O132" i="24"/>
  <c r="P132" i="24" s="1"/>
  <c r="R132" i="24" s="1"/>
  <c r="O81" i="24"/>
  <c r="P81" i="24" s="1"/>
  <c r="R81" i="24" s="1"/>
  <c r="O131" i="24"/>
  <c r="P131" i="24" s="1"/>
  <c r="R131" i="24" s="1"/>
  <c r="O229" i="24"/>
  <c r="P229" i="24" s="1"/>
  <c r="R229" i="24" s="1"/>
  <c r="R17" i="24"/>
  <c r="O140" i="24"/>
  <c r="P140" i="24" s="1"/>
  <c r="R140" i="24" s="1"/>
  <c r="R59" i="24"/>
  <c r="R28" i="24"/>
  <c r="O69" i="24"/>
  <c r="R74" i="24"/>
  <c r="R126" i="24"/>
  <c r="O80" i="24"/>
  <c r="P80" i="24" s="1"/>
  <c r="R80" i="24" s="1"/>
  <c r="O130" i="24"/>
  <c r="P130" i="24" s="1"/>
  <c r="R130" i="24" s="1"/>
  <c r="R152" i="24"/>
  <c r="O52" i="24"/>
  <c r="P52" i="24" s="1"/>
  <c r="R52" i="24" s="1"/>
  <c r="O223" i="24"/>
  <c r="P223" i="24" s="1"/>
  <c r="R223" i="24" s="1"/>
  <c r="O224" i="24"/>
  <c r="P224" i="24" s="1"/>
  <c r="R224" i="24" s="1"/>
  <c r="O148" i="24"/>
  <c r="P148" i="24" s="1"/>
  <c r="R148" i="24" s="1"/>
  <c r="O77" i="24"/>
  <c r="P77" i="24" s="1"/>
  <c r="R77" i="24" s="1"/>
  <c r="R147" i="24"/>
  <c r="O62" i="24"/>
  <c r="P62" i="24" s="1"/>
  <c r="R62" i="24" s="1"/>
  <c r="O38" i="24"/>
  <c r="P38" i="24" s="1"/>
  <c r="O21" i="24"/>
  <c r="P21" i="24" s="1"/>
  <c r="R21" i="24" s="1"/>
  <c r="O68" i="24"/>
  <c r="P68" i="24" s="1"/>
  <c r="R68" i="24" s="1"/>
  <c r="O23" i="24"/>
  <c r="P23" i="24" s="1"/>
  <c r="R23" i="24" s="1"/>
  <c r="O39" i="24"/>
  <c r="P39" i="24" s="1"/>
  <c r="R39" i="24" s="1"/>
  <c r="O64" i="24"/>
  <c r="P64" i="24" s="1"/>
  <c r="R64" i="24" s="1"/>
  <c r="O124" i="24"/>
  <c r="P124" i="24" s="1"/>
  <c r="R124" i="24" s="1"/>
  <c r="O127" i="24"/>
  <c r="P127" i="24" s="1"/>
  <c r="R127" i="24" s="1"/>
  <c r="O230" i="24"/>
  <c r="P230" i="24" s="1"/>
  <c r="R230" i="24" s="1"/>
  <c r="O44" i="25" l="1"/>
  <c r="P44" i="25" s="1"/>
  <c r="O72" i="25"/>
  <c r="P72" i="25" s="1"/>
  <c r="R72" i="25" s="1"/>
  <c r="O77" i="25"/>
  <c r="P77" i="25" s="1"/>
  <c r="R77" i="25" s="1"/>
  <c r="O136" i="25"/>
  <c r="P136" i="25" s="1"/>
  <c r="O20" i="25"/>
  <c r="P20" i="25" s="1"/>
  <c r="O27" i="25"/>
  <c r="P27" i="25" s="1"/>
  <c r="R27" i="25" s="1"/>
  <c r="O240" i="25"/>
  <c r="P240" i="25" s="1"/>
  <c r="R240" i="25" s="1"/>
  <c r="R55" i="25"/>
  <c r="R83" i="25"/>
  <c r="O152" i="25"/>
  <c r="P152" i="25" s="1"/>
  <c r="R152" i="25" s="1"/>
  <c r="R220" i="25"/>
  <c r="R242" i="25"/>
  <c r="R151" i="25"/>
  <c r="R153" i="25"/>
  <c r="O50" i="25"/>
  <c r="P50" i="25" s="1"/>
  <c r="R50" i="25" s="1"/>
  <c r="R239" i="25"/>
  <c r="O237" i="25"/>
  <c r="P237" i="25" s="1"/>
  <c r="R237" i="25" s="1"/>
  <c r="O53" i="25"/>
  <c r="P53" i="25" s="1"/>
  <c r="R53" i="25" s="1"/>
  <c r="R226" i="25"/>
  <c r="O79" i="25"/>
  <c r="P79" i="25" s="1"/>
  <c r="R79" i="25" s="1"/>
  <c r="O46" i="25"/>
  <c r="P46" i="25" s="1"/>
  <c r="R46" i="25" s="1"/>
  <c r="O40" i="25"/>
  <c r="P40" i="25" s="1"/>
  <c r="R40" i="25" s="1"/>
  <c r="O38" i="25"/>
  <c r="P38" i="25" s="1"/>
  <c r="R136" i="25"/>
  <c r="R148" i="25"/>
  <c r="R24" i="25"/>
  <c r="R30" i="25"/>
  <c r="R64" i="25"/>
  <c r="O123" i="25"/>
  <c r="P123" i="25" s="1"/>
  <c r="R123" i="25" s="1"/>
  <c r="O230" i="25"/>
  <c r="P230" i="25" s="1"/>
  <c r="R230" i="25" s="1"/>
  <c r="O25" i="25"/>
  <c r="P25" i="25" s="1"/>
  <c r="R25" i="25" s="1"/>
  <c r="R33" i="25"/>
  <c r="O45" i="25"/>
  <c r="P45" i="25" s="1"/>
  <c r="R45" i="25" s="1"/>
  <c r="O67" i="25"/>
  <c r="P67" i="25" s="1"/>
  <c r="R67" i="25" s="1"/>
  <c r="O76" i="25"/>
  <c r="P76" i="25" s="1"/>
  <c r="R76" i="25" s="1"/>
  <c r="R133" i="25"/>
  <c r="O51" i="25"/>
  <c r="P51" i="25" s="1"/>
  <c r="R51" i="25" s="1"/>
  <c r="O140" i="25"/>
  <c r="P140" i="25" s="1"/>
  <c r="R140" i="25" s="1"/>
  <c r="O43" i="25"/>
  <c r="P43" i="25" s="1"/>
  <c r="R43" i="25" s="1"/>
  <c r="O42" i="25"/>
  <c r="P42" i="25" s="1"/>
  <c r="R42" i="25" s="1"/>
  <c r="O31" i="25"/>
  <c r="P31" i="25" s="1"/>
  <c r="R31" i="25" s="1"/>
  <c r="O241" i="25"/>
  <c r="P241" i="25" s="1"/>
  <c r="R241" i="25" s="1"/>
  <c r="O227" i="25"/>
  <c r="P227" i="25" s="1"/>
  <c r="R227" i="25" s="1"/>
  <c r="O146" i="25"/>
  <c r="P146" i="25" s="1"/>
  <c r="R146" i="25" s="1"/>
  <c r="O62" i="25"/>
  <c r="P62" i="25" s="1"/>
  <c r="R62" i="25" s="1"/>
  <c r="O59" i="25"/>
  <c r="P59" i="25" s="1"/>
  <c r="R59" i="25" s="1"/>
  <c r="R20" i="25"/>
  <c r="O19" i="25"/>
  <c r="P19" i="25" s="1"/>
  <c r="R19" i="25" s="1"/>
  <c r="O26" i="25"/>
  <c r="P26" i="25" s="1"/>
  <c r="R26" i="25" s="1"/>
  <c r="R66" i="25"/>
  <c r="O80" i="25"/>
  <c r="P80" i="25" s="1"/>
  <c r="R80" i="25" s="1"/>
  <c r="O127" i="25"/>
  <c r="P127" i="25" s="1"/>
  <c r="R127" i="25" s="1"/>
  <c r="R142" i="25"/>
  <c r="O231" i="25"/>
  <c r="P231" i="25" s="1"/>
  <c r="R231" i="25" s="1"/>
  <c r="O68" i="25"/>
  <c r="P68" i="25" s="1"/>
  <c r="R68" i="25" s="1"/>
  <c r="O124" i="25"/>
  <c r="P124" i="25" s="1"/>
  <c r="R124" i="25" s="1"/>
  <c r="O229" i="25"/>
  <c r="P229" i="25" s="1"/>
  <c r="R229" i="25" s="1"/>
  <c r="R17" i="25"/>
  <c r="O232" i="25"/>
  <c r="P232" i="25" s="1"/>
  <c r="R232" i="25" s="1"/>
  <c r="R78" i="25"/>
  <c r="R44" i="25"/>
  <c r="R21" i="25"/>
  <c r="O39" i="25"/>
  <c r="P39" i="25" s="1"/>
  <c r="R39" i="25" s="1"/>
  <c r="O28" i="25"/>
  <c r="P28" i="25" s="1"/>
  <c r="R28" i="25" s="1"/>
  <c r="R56" i="25"/>
  <c r="R74" i="25"/>
  <c r="O126" i="25"/>
  <c r="P126" i="25" s="1"/>
  <c r="R126" i="25" s="1"/>
  <c r="O141" i="25"/>
  <c r="P141" i="25" s="1"/>
  <c r="R141" i="25" s="1"/>
  <c r="R228" i="25"/>
  <c r="R54" i="25"/>
  <c r="O52" i="25"/>
  <c r="P52" i="25" s="1"/>
  <c r="R52" i="25" s="1"/>
  <c r="R222" i="25"/>
  <c r="O147" i="25"/>
  <c r="P147" i="25" s="1"/>
  <c r="R147" i="25" s="1"/>
  <c r="O32" i="25"/>
  <c r="P32" i="25" s="1"/>
  <c r="R32" i="25" s="1"/>
  <c r="O18" i="25"/>
  <c r="P18" i="25" s="1"/>
  <c r="R18" i="25" s="1"/>
  <c r="O22" i="25"/>
  <c r="P22" i="25" s="1"/>
  <c r="R22" i="25" s="1"/>
  <c r="O23" i="25"/>
  <c r="P23" i="25" s="1"/>
  <c r="R23" i="25" s="1"/>
  <c r="O69" i="25"/>
  <c r="O131" i="25"/>
  <c r="P131" i="25" s="1"/>
  <c r="R131" i="25" s="1"/>
  <c r="O238" i="25"/>
  <c r="P238" i="25" s="1"/>
  <c r="R238" i="25" s="1"/>
  <c r="O29" i="25"/>
  <c r="P29" i="25" s="1"/>
  <c r="R29" i="25" s="1"/>
  <c r="O75" i="25"/>
  <c r="P75" i="25" s="1"/>
  <c r="R75" i="25" s="1"/>
  <c r="O132" i="25"/>
  <c r="P132" i="25" s="1"/>
  <c r="R132" i="25" s="1"/>
  <c r="P155" i="24"/>
  <c r="R155" i="24" s="1"/>
  <c r="R38" i="24"/>
  <c r="P245" i="24"/>
  <c r="P35" i="24"/>
  <c r="R35" i="24" s="1"/>
  <c r="P155" i="25" l="1"/>
  <c r="R155" i="25" s="1"/>
  <c r="R38" i="25"/>
  <c r="P35" i="25"/>
  <c r="R35" i="25" s="1"/>
  <c r="P245" i="25"/>
  <c r="M247" i="24"/>
  <c r="R245" i="24"/>
  <c r="M247" i="25" l="1"/>
  <c r="R245" i="25"/>
  <c r="R270" i="24"/>
  <c r="R247" i="24"/>
  <c r="R270" i="25" l="1"/>
  <c r="R247" i="25"/>
  <c r="AT230" i="23"/>
  <c r="AU167" i="23"/>
  <c r="AF23" i="23"/>
  <c r="AF30" i="23"/>
  <c r="AS132" i="23"/>
  <c r="AU135" i="23"/>
  <c r="AS135" i="23"/>
  <c r="AU134" i="23"/>
  <c r="AS134" i="23"/>
  <c r="AR134" i="23"/>
  <c r="AU133" i="23"/>
  <c r="AU132" i="23"/>
  <c r="AU128" i="23"/>
  <c r="AR128" i="23"/>
  <c r="AS128" i="23" s="1"/>
  <c r="AU127" i="23"/>
  <c r="AR127" i="23"/>
  <c r="AS127" i="23" s="1"/>
  <c r="AU126" i="23"/>
  <c r="AS126" i="23"/>
  <c r="AU125" i="23"/>
  <c r="AS125" i="23"/>
  <c r="AW229" i="23"/>
  <c r="AT229" i="23"/>
  <c r="AT231" i="23" s="1"/>
  <c r="AU231" i="23" s="1"/>
  <c r="AY231" i="23" s="1"/>
  <c r="AT228" i="23"/>
  <c r="AY233" i="23"/>
  <c r="AW233" i="23"/>
  <c r="AY232" i="23"/>
  <c r="AW232" i="23"/>
  <c r="AY230" i="23"/>
  <c r="AW230" i="23"/>
  <c r="AY229" i="23"/>
  <c r="AY228" i="23"/>
  <c r="AW228" i="23"/>
  <c r="AW231" i="23" l="1"/>
  <c r="AW234" i="23"/>
  <c r="H232" i="23" s="1"/>
  <c r="AS129" i="23"/>
  <c r="H43" i="23" s="1"/>
  <c r="I43" i="23" s="1"/>
  <c r="AU129" i="23"/>
  <c r="J43" i="23" s="1"/>
  <c r="K43" i="23" s="1"/>
  <c r="AU136" i="23"/>
  <c r="J44" i="23" s="1"/>
  <c r="K44" i="23" s="1"/>
  <c r="AR133" i="23"/>
  <c r="AS133" i="23" s="1"/>
  <c r="AS136" i="23" s="1"/>
  <c r="H44" i="23" s="1"/>
  <c r="I44" i="23" s="1"/>
  <c r="L43" i="23"/>
  <c r="AY234" i="23"/>
  <c r="J232" i="23" s="1"/>
  <c r="K232" i="23" s="1"/>
  <c r="J20" i="23"/>
  <c r="AJ292" i="23"/>
  <c r="AH292" i="23"/>
  <c r="AG291" i="23"/>
  <c r="AI291" i="23" s="1"/>
  <c r="AJ291" i="23" s="1"/>
  <c r="AE291" i="23"/>
  <c r="L291" i="23"/>
  <c r="AJ285" i="23"/>
  <c r="AH285" i="23"/>
  <c r="AJ284" i="23"/>
  <c r="AG284" i="23"/>
  <c r="AH284" i="23" s="1"/>
  <c r="AE284" i="23"/>
  <c r="AJ283" i="23"/>
  <c r="AH283" i="23"/>
  <c r="AE283" i="23"/>
  <c r="AJ282" i="23"/>
  <c r="AH282" i="23"/>
  <c r="AE282" i="23"/>
  <c r="AJ281" i="23"/>
  <c r="AH281" i="23"/>
  <c r="AE281" i="23"/>
  <c r="L278" i="23"/>
  <c r="L276" i="23"/>
  <c r="L272" i="23"/>
  <c r="AO271" i="23"/>
  <c r="AN271" i="23"/>
  <c r="AB269" i="23" s="1"/>
  <c r="AH269" i="23" s="1"/>
  <c r="AH271" i="23"/>
  <c r="AB270" i="23"/>
  <c r="AH270" i="23" s="1"/>
  <c r="AM267" i="23"/>
  <c r="AL267" i="23"/>
  <c r="AM266" i="23"/>
  <c r="AL266" i="23"/>
  <c r="AM265" i="23"/>
  <c r="AL265" i="23"/>
  <c r="AM264" i="23"/>
  <c r="AL264" i="23"/>
  <c r="AM263" i="23"/>
  <c r="AL263" i="23"/>
  <c r="AL271" i="23" s="1"/>
  <c r="AB267" i="23" s="1"/>
  <c r="AO257" i="23"/>
  <c r="AN257" i="23"/>
  <c r="AB255" i="23" s="1"/>
  <c r="AH255" i="23" s="1"/>
  <c r="AH257" i="23"/>
  <c r="AH256" i="23"/>
  <c r="AB256" i="23"/>
  <c r="AM253" i="23"/>
  <c r="AL253" i="23"/>
  <c r="AM252" i="23"/>
  <c r="AL252" i="23"/>
  <c r="AM251" i="23"/>
  <c r="AL251" i="23"/>
  <c r="AM250" i="23"/>
  <c r="AL250" i="23"/>
  <c r="AM249" i="23"/>
  <c r="AL249" i="23"/>
  <c r="AL257" i="23" s="1"/>
  <c r="AB253" i="23" s="1"/>
  <c r="AO243" i="23"/>
  <c r="AB241" i="23" s="1"/>
  <c r="AH241" i="23" s="1"/>
  <c r="AN243" i="23"/>
  <c r="AH242" i="23"/>
  <c r="J242" i="23"/>
  <c r="K242" i="23" s="1"/>
  <c r="H242" i="23"/>
  <c r="I242" i="23" s="1"/>
  <c r="E242" i="23"/>
  <c r="J241" i="23"/>
  <c r="K241" i="23" s="1"/>
  <c r="H241" i="23"/>
  <c r="I241" i="23" s="1"/>
  <c r="E241" i="23"/>
  <c r="AB240" i="23"/>
  <c r="AH240" i="23" s="1"/>
  <c r="J240" i="23"/>
  <c r="K240" i="23" s="1"/>
  <c r="I240" i="23"/>
  <c r="J239" i="23"/>
  <c r="K239" i="23" s="1"/>
  <c r="I239" i="23"/>
  <c r="AM238" i="23"/>
  <c r="AL238" i="23"/>
  <c r="K238" i="23"/>
  <c r="AM237" i="23"/>
  <c r="AL237" i="23"/>
  <c r="J237" i="23"/>
  <c r="K237" i="23" s="1"/>
  <c r="H237" i="23"/>
  <c r="I237" i="23" s="1"/>
  <c r="L237" i="23" s="1"/>
  <c r="AM236" i="23"/>
  <c r="AL236" i="23"/>
  <c r="J236" i="23"/>
  <c r="K236" i="23" s="1"/>
  <c r="I236" i="23"/>
  <c r="K235" i="23"/>
  <c r="AM234" i="23"/>
  <c r="AL234" i="23"/>
  <c r="AM233" i="23"/>
  <c r="AL233" i="23"/>
  <c r="K231" i="23"/>
  <c r="H231" i="23"/>
  <c r="K230" i="23"/>
  <c r="I230" i="23"/>
  <c r="K229" i="23"/>
  <c r="H229" i="23"/>
  <c r="I229" i="23" s="1"/>
  <c r="L229" i="23" s="1"/>
  <c r="J228" i="23"/>
  <c r="H228" i="23"/>
  <c r="J227" i="23"/>
  <c r="K227" i="23" s="1"/>
  <c r="I227" i="23"/>
  <c r="J226" i="23"/>
  <c r="I226" i="23"/>
  <c r="J225" i="23"/>
  <c r="K225" i="23" s="1"/>
  <c r="I225" i="23"/>
  <c r="AO224" i="23"/>
  <c r="AB223" i="23" s="1"/>
  <c r="AH223" i="23" s="1"/>
  <c r="AN224" i="23"/>
  <c r="AH224" i="23"/>
  <c r="J224" i="23"/>
  <c r="K224" i="23" s="1"/>
  <c r="H224" i="23"/>
  <c r="I224" i="23" s="1"/>
  <c r="J223" i="23"/>
  <c r="I223" i="23"/>
  <c r="AB222" i="23"/>
  <c r="AH222" i="23" s="1"/>
  <c r="J222" i="23"/>
  <c r="I222" i="23"/>
  <c r="J221" i="23"/>
  <c r="I221" i="23"/>
  <c r="AM220" i="23"/>
  <c r="AL220" i="23"/>
  <c r="J220" i="23"/>
  <c r="I220" i="23"/>
  <c r="AM219" i="23"/>
  <c r="AL219" i="23"/>
  <c r="AM218" i="23"/>
  <c r="AL218" i="23"/>
  <c r="AM217" i="23"/>
  <c r="AL217" i="23"/>
  <c r="AM216" i="23"/>
  <c r="AM224" i="23" s="1"/>
  <c r="AB221" i="23" s="1"/>
  <c r="AH221" i="23" s="1"/>
  <c r="AL216" i="23"/>
  <c r="AL224" i="23" s="1"/>
  <c r="AB220" i="23" s="1"/>
  <c r="W215" i="23"/>
  <c r="J215" i="23" s="1"/>
  <c r="H215" i="23"/>
  <c r="I215" i="23" s="1"/>
  <c r="J214" i="23"/>
  <c r="H214" i="23"/>
  <c r="J213" i="23"/>
  <c r="H213" i="23"/>
  <c r="J212" i="23"/>
  <c r="K212" i="23" s="1"/>
  <c r="H212" i="23"/>
  <c r="I212" i="23" s="1"/>
  <c r="L212" i="23" s="1"/>
  <c r="J211" i="23"/>
  <c r="H211" i="23"/>
  <c r="J210" i="23"/>
  <c r="K210" i="23" s="1"/>
  <c r="H210" i="23"/>
  <c r="I210" i="23" s="1"/>
  <c r="L210" i="23" s="1"/>
  <c r="AW209" i="23"/>
  <c r="AU209" i="23"/>
  <c r="J209" i="23"/>
  <c r="H209" i="23"/>
  <c r="AW208" i="23"/>
  <c r="AU208" i="23"/>
  <c r="AR208" i="23"/>
  <c r="J208" i="23"/>
  <c r="H208" i="23"/>
  <c r="AW207" i="23"/>
  <c r="AT207" i="23"/>
  <c r="AU207" i="23" s="1"/>
  <c r="AR207" i="23"/>
  <c r="J207" i="23"/>
  <c r="K207" i="23" s="1"/>
  <c r="H207" i="23"/>
  <c r="I207" i="23" s="1"/>
  <c r="AW206" i="23"/>
  <c r="AT206" i="23"/>
  <c r="AU206" i="23" s="1"/>
  <c r="AR206" i="23"/>
  <c r="AW205" i="23"/>
  <c r="AU205" i="23"/>
  <c r="AW204" i="23"/>
  <c r="AU204" i="23"/>
  <c r="AR204" i="23"/>
  <c r="W204" i="23"/>
  <c r="J204" i="23"/>
  <c r="H204" i="23"/>
  <c r="AW203" i="23"/>
  <c r="AU203" i="23"/>
  <c r="AR203" i="23"/>
  <c r="J203" i="23"/>
  <c r="H203" i="23"/>
  <c r="AW202" i="23"/>
  <c r="AU202" i="23"/>
  <c r="J202" i="23"/>
  <c r="K202" i="23" s="1"/>
  <c r="H202" i="23"/>
  <c r="I202" i="23" s="1"/>
  <c r="AW201" i="23"/>
  <c r="AU201" i="23"/>
  <c r="T201" i="23"/>
  <c r="H201" i="23" s="1"/>
  <c r="K201" i="23"/>
  <c r="J201" i="23"/>
  <c r="AT200" i="23"/>
  <c r="AS200" i="23"/>
  <c r="AW200" i="23" s="1"/>
  <c r="AW210" i="23" s="1"/>
  <c r="J141" i="23" s="1"/>
  <c r="K141" i="23" s="1"/>
  <c r="J200" i="23"/>
  <c r="H200" i="23"/>
  <c r="J199" i="23"/>
  <c r="K199" i="23" s="1"/>
  <c r="H199" i="23"/>
  <c r="I199" i="23" s="1"/>
  <c r="J198" i="23"/>
  <c r="H198" i="23"/>
  <c r="J197" i="23"/>
  <c r="K197" i="23" s="1"/>
  <c r="H197" i="23"/>
  <c r="I197" i="23" s="1"/>
  <c r="AW196" i="23"/>
  <c r="AT196" i="23"/>
  <c r="AU196" i="23" s="1"/>
  <c r="AW195" i="23"/>
  <c r="AU195" i="23"/>
  <c r="AT195" i="23"/>
  <c r="T195" i="23"/>
  <c r="J195" i="23"/>
  <c r="K195" i="23" s="1"/>
  <c r="H195" i="23"/>
  <c r="I195" i="23" s="1"/>
  <c r="AW194" i="23"/>
  <c r="AW197" i="23" s="1"/>
  <c r="AU194" i="23"/>
  <c r="T194" i="23"/>
  <c r="K194" i="23"/>
  <c r="J194" i="23"/>
  <c r="H194" i="23"/>
  <c r="I194" i="23" s="1"/>
  <c r="L194" i="23" s="1"/>
  <c r="T193" i="23"/>
  <c r="H193" i="23" s="1"/>
  <c r="J193" i="23"/>
  <c r="K193" i="23" s="1"/>
  <c r="T192" i="23"/>
  <c r="H192" i="23" s="1"/>
  <c r="J192" i="23"/>
  <c r="K192" i="23" s="1"/>
  <c r="T191" i="23"/>
  <c r="J191" i="23"/>
  <c r="K191" i="23" s="1"/>
  <c r="H191" i="23"/>
  <c r="J188" i="23"/>
  <c r="H188" i="23"/>
  <c r="J187" i="23"/>
  <c r="H187" i="23"/>
  <c r="AX186" i="23"/>
  <c r="AU186" i="23"/>
  <c r="AV186" i="23" s="1"/>
  <c r="J186" i="23"/>
  <c r="K186" i="23" s="1"/>
  <c r="H186" i="23"/>
  <c r="AX185" i="23"/>
  <c r="AU185" i="23"/>
  <c r="AV185" i="23" s="1"/>
  <c r="J185" i="23"/>
  <c r="K185" i="23" s="1"/>
  <c r="H185" i="23"/>
  <c r="AX184" i="23"/>
  <c r="AU184" i="23"/>
  <c r="AV184" i="23" s="1"/>
  <c r="J184" i="23"/>
  <c r="K184" i="23" s="1"/>
  <c r="H184" i="23"/>
  <c r="AU183" i="23"/>
  <c r="AV183" i="23" s="1"/>
  <c r="J183" i="23"/>
  <c r="H183" i="23"/>
  <c r="J182" i="23"/>
  <c r="K182" i="23" s="1"/>
  <c r="H182" i="23"/>
  <c r="J179" i="23"/>
  <c r="H179" i="23"/>
  <c r="AX178" i="23"/>
  <c r="AV178" i="23"/>
  <c r="J178" i="23"/>
  <c r="K178" i="23" s="1"/>
  <c r="H178" i="23"/>
  <c r="AX177" i="23"/>
  <c r="AU177" i="23"/>
  <c r="AV177" i="23" s="1"/>
  <c r="J177" i="23"/>
  <c r="K177" i="23" s="1"/>
  <c r="H177" i="23"/>
  <c r="AX176" i="23"/>
  <c r="AU176" i="23"/>
  <c r="AV176" i="23" s="1"/>
  <c r="J176" i="23"/>
  <c r="K176" i="23" s="1"/>
  <c r="H176" i="23"/>
  <c r="AW175" i="23"/>
  <c r="AX175" i="23" s="1"/>
  <c r="AX179" i="23" s="1"/>
  <c r="AU175" i="23"/>
  <c r="AV175" i="23" s="1"/>
  <c r="AV179" i="23" s="1"/>
  <c r="K175" i="23"/>
  <c r="J175" i="23"/>
  <c r="I175" i="23"/>
  <c r="L175" i="23" s="1"/>
  <c r="H175" i="23"/>
  <c r="J174" i="23"/>
  <c r="K174" i="23" s="1"/>
  <c r="H174" i="23"/>
  <c r="K173" i="23"/>
  <c r="J173" i="23"/>
  <c r="I173" i="23"/>
  <c r="H173" i="23"/>
  <c r="J172" i="23"/>
  <c r="K172" i="23" s="1"/>
  <c r="H172" i="23"/>
  <c r="K171" i="23"/>
  <c r="H171" i="23"/>
  <c r="I171" i="23" s="1"/>
  <c r="L171" i="23" s="1"/>
  <c r="AX170" i="23"/>
  <c r="AV170" i="23"/>
  <c r="J170" i="23"/>
  <c r="K170" i="23" s="1"/>
  <c r="H170" i="23"/>
  <c r="AX169" i="23"/>
  <c r="AX168" i="23"/>
  <c r="AX167" i="23"/>
  <c r="AX171" i="23" s="1"/>
  <c r="J46" i="23" s="1"/>
  <c r="K46" i="23" s="1"/>
  <c r="AV167" i="23"/>
  <c r="T167" i="23"/>
  <c r="K167" i="23"/>
  <c r="H167" i="23"/>
  <c r="I167" i="23" s="1"/>
  <c r="AK166" i="23"/>
  <c r="AI166" i="23"/>
  <c r="T166" i="23"/>
  <c r="K166" i="23"/>
  <c r="H166" i="23"/>
  <c r="AK165" i="23"/>
  <c r="AI165" i="23"/>
  <c r="AK164" i="23"/>
  <c r="AI164" i="23"/>
  <c r="T164" i="23"/>
  <c r="K164" i="23"/>
  <c r="H164" i="23"/>
  <c r="I164" i="23" s="1"/>
  <c r="AK163" i="23"/>
  <c r="AI163" i="23"/>
  <c r="AE163" i="23"/>
  <c r="T163" i="23"/>
  <c r="K163" i="23"/>
  <c r="H163" i="23"/>
  <c r="I163" i="23" s="1"/>
  <c r="AK162" i="23"/>
  <c r="AH162" i="23"/>
  <c r="AI162" i="23" s="1"/>
  <c r="AE162" i="23"/>
  <c r="AK161" i="23"/>
  <c r="AH161" i="23"/>
  <c r="AI161" i="23" s="1"/>
  <c r="T161" i="23"/>
  <c r="K161" i="23"/>
  <c r="H161" i="23"/>
  <c r="I161" i="23" s="1"/>
  <c r="L161" i="23" s="1"/>
  <c r="AK160" i="23"/>
  <c r="AH160" i="23"/>
  <c r="AI160" i="23" s="1"/>
  <c r="T160" i="23"/>
  <c r="J160" i="23"/>
  <c r="H160" i="23"/>
  <c r="F160" i="23"/>
  <c r="K160" i="23" s="1"/>
  <c r="E160" i="23"/>
  <c r="AK159" i="23"/>
  <c r="AH159" i="23"/>
  <c r="AI159" i="23" s="1"/>
  <c r="T159" i="23"/>
  <c r="J159" i="23"/>
  <c r="K159" i="23" s="1"/>
  <c r="H159" i="23"/>
  <c r="AK158" i="23"/>
  <c r="AH158" i="23"/>
  <c r="AI158" i="23" s="1"/>
  <c r="AE158" i="23"/>
  <c r="T158" i="23"/>
  <c r="H158" i="23"/>
  <c r="F158" i="23"/>
  <c r="K158" i="23" s="1"/>
  <c r="E158" i="23"/>
  <c r="AK157" i="23"/>
  <c r="AH157" i="23"/>
  <c r="AI157" i="23" s="1"/>
  <c r="AE157" i="23"/>
  <c r="AK156" i="23"/>
  <c r="AH156" i="23"/>
  <c r="AI156" i="23" s="1"/>
  <c r="AE156" i="23"/>
  <c r="AK155" i="23"/>
  <c r="AH155" i="23"/>
  <c r="AI155" i="23" s="1"/>
  <c r="AK154" i="23"/>
  <c r="AH154" i="23"/>
  <c r="AI154" i="23" s="1"/>
  <c r="AE154" i="23"/>
  <c r="AK153" i="23"/>
  <c r="AH153" i="23"/>
  <c r="AI153" i="23" s="1"/>
  <c r="AE153" i="23"/>
  <c r="K152" i="23"/>
  <c r="I152" i="23"/>
  <c r="K151" i="23"/>
  <c r="I151" i="23"/>
  <c r="J148" i="23"/>
  <c r="K148" i="23" s="1"/>
  <c r="H148" i="23"/>
  <c r="K147" i="23"/>
  <c r="I147" i="23"/>
  <c r="K146" i="23"/>
  <c r="K142" i="23"/>
  <c r="I142" i="23"/>
  <c r="K140" i="23"/>
  <c r="I140" i="23"/>
  <c r="K139" i="23"/>
  <c r="K136" i="23"/>
  <c r="I136" i="23"/>
  <c r="AI135" i="23"/>
  <c r="AG135" i="23"/>
  <c r="K135" i="23"/>
  <c r="I135" i="23"/>
  <c r="AI134" i="23"/>
  <c r="AF134" i="23"/>
  <c r="AG134" i="23" s="1"/>
  <c r="K134" i="23"/>
  <c r="I134" i="23"/>
  <c r="L134" i="23" s="1"/>
  <c r="AI133" i="23"/>
  <c r="K133" i="23"/>
  <c r="H133" i="23"/>
  <c r="I133" i="23" s="1"/>
  <c r="L133" i="23" s="1"/>
  <c r="AI132" i="23"/>
  <c r="AG132" i="23"/>
  <c r="K132" i="23"/>
  <c r="H132" i="23"/>
  <c r="I132" i="23" s="1"/>
  <c r="L132" i="23" s="1"/>
  <c r="E132" i="23"/>
  <c r="K131" i="23"/>
  <c r="H131" i="23"/>
  <c r="I131" i="23" s="1"/>
  <c r="K130" i="23"/>
  <c r="H130" i="23"/>
  <c r="I130" i="23" s="1"/>
  <c r="L130" i="23" s="1"/>
  <c r="AI128" i="23"/>
  <c r="AF128" i="23"/>
  <c r="AG128" i="23" s="1"/>
  <c r="AI127" i="23"/>
  <c r="AF127" i="23"/>
  <c r="AG127" i="23" s="1"/>
  <c r="K127" i="23"/>
  <c r="I127" i="23"/>
  <c r="L127" i="23" s="1"/>
  <c r="H127" i="23"/>
  <c r="E127" i="23"/>
  <c r="AI126" i="23"/>
  <c r="AG126" i="23"/>
  <c r="AF133" i="23"/>
  <c r="AG133" i="23" s="1"/>
  <c r="K126" i="23"/>
  <c r="H126" i="23"/>
  <c r="I126" i="23" s="1"/>
  <c r="AI125" i="23"/>
  <c r="AG125" i="23"/>
  <c r="K124" i="23"/>
  <c r="H124" i="23"/>
  <c r="I124" i="23" s="1"/>
  <c r="E124" i="23"/>
  <c r="K123" i="23"/>
  <c r="H123" i="23"/>
  <c r="I123" i="23" s="1"/>
  <c r="L123" i="23" s="1"/>
  <c r="T119" i="23"/>
  <c r="S119" i="23"/>
  <c r="K119" i="23"/>
  <c r="I119" i="23"/>
  <c r="L119" i="23" s="1"/>
  <c r="T117" i="23"/>
  <c r="S117" i="23"/>
  <c r="K117" i="23"/>
  <c r="I117" i="23"/>
  <c r="L117" i="23" s="1"/>
  <c r="T115" i="23"/>
  <c r="S115" i="23"/>
  <c r="K115" i="23"/>
  <c r="I115" i="23"/>
  <c r="L115" i="23" s="1"/>
  <c r="T113" i="23"/>
  <c r="S113" i="23"/>
  <c r="K113" i="23"/>
  <c r="I113" i="23"/>
  <c r="L113" i="23" s="1"/>
  <c r="T110" i="23"/>
  <c r="S110" i="23"/>
  <c r="K110" i="23"/>
  <c r="I110" i="23"/>
  <c r="L110" i="23" s="1"/>
  <c r="T107" i="23"/>
  <c r="S107" i="23"/>
  <c r="K107" i="23"/>
  <c r="I107" i="23"/>
  <c r="L107" i="23" s="1"/>
  <c r="T105" i="23"/>
  <c r="S105" i="23"/>
  <c r="K105" i="23"/>
  <c r="I105" i="23"/>
  <c r="L105" i="23" s="1"/>
  <c r="T103" i="23"/>
  <c r="S103" i="23"/>
  <c r="K103" i="23"/>
  <c r="I103" i="23"/>
  <c r="L103" i="23" s="1"/>
  <c r="T101" i="23"/>
  <c r="S101" i="23"/>
  <c r="K101" i="23"/>
  <c r="I101" i="23"/>
  <c r="L101" i="23" s="1"/>
  <c r="T99" i="23"/>
  <c r="S99" i="23"/>
  <c r="K99" i="23"/>
  <c r="I99" i="23"/>
  <c r="L99" i="23" s="1"/>
  <c r="T97" i="23"/>
  <c r="S97" i="23"/>
  <c r="K97" i="23"/>
  <c r="I97" i="23"/>
  <c r="L97" i="23" s="1"/>
  <c r="T95" i="23"/>
  <c r="S95" i="23"/>
  <c r="K95" i="23"/>
  <c r="I95" i="23"/>
  <c r="L95" i="23" s="1"/>
  <c r="T93" i="23"/>
  <c r="S93" i="23"/>
  <c r="K93" i="23"/>
  <c r="I93" i="23"/>
  <c r="L93" i="23" s="1"/>
  <c r="T91" i="23"/>
  <c r="S91" i="23"/>
  <c r="K91" i="23"/>
  <c r="I91" i="23"/>
  <c r="L91" i="23" s="1"/>
  <c r="T89" i="23"/>
  <c r="S89" i="23"/>
  <c r="K89" i="23"/>
  <c r="I89" i="23"/>
  <c r="L89" i="23" s="1"/>
  <c r="T87" i="23"/>
  <c r="S87" i="23"/>
  <c r="K87" i="23"/>
  <c r="I87" i="23"/>
  <c r="L87" i="23" s="1"/>
  <c r="AI84" i="23"/>
  <c r="AG84" i="23"/>
  <c r="AI83" i="23"/>
  <c r="AF83" i="23"/>
  <c r="AG83" i="23" s="1"/>
  <c r="J83" i="23"/>
  <c r="K83" i="23" s="1"/>
  <c r="H83" i="23"/>
  <c r="I83" i="23" s="1"/>
  <c r="AI82" i="23"/>
  <c r="AF82" i="23"/>
  <c r="AG82" i="23" s="1"/>
  <c r="AI81" i="23"/>
  <c r="AG81" i="23"/>
  <c r="K81" i="23"/>
  <c r="H81" i="23"/>
  <c r="I81" i="23" s="1"/>
  <c r="L81" i="23" s="1"/>
  <c r="K80" i="23"/>
  <c r="I80" i="23"/>
  <c r="L80" i="23" s="1"/>
  <c r="H80" i="23"/>
  <c r="H79" i="23"/>
  <c r="H78" i="23"/>
  <c r="I78" i="23" s="1"/>
  <c r="AI77" i="23"/>
  <c r="AF77" i="23"/>
  <c r="AG77" i="23" s="1"/>
  <c r="J77" i="23"/>
  <c r="J78" i="23" s="1"/>
  <c r="H77" i="23"/>
  <c r="I77" i="23" s="1"/>
  <c r="AI76" i="23"/>
  <c r="AI78" i="23" s="1"/>
  <c r="AF76" i="23"/>
  <c r="AG76" i="23" s="1"/>
  <c r="AG78" i="23" s="1"/>
  <c r="K76" i="23"/>
  <c r="H76" i="23"/>
  <c r="K74" i="23"/>
  <c r="I74" i="23"/>
  <c r="K72" i="23"/>
  <c r="I72" i="23"/>
  <c r="K69" i="23"/>
  <c r="I69" i="23"/>
  <c r="K67" i="23"/>
  <c r="I67" i="23"/>
  <c r="AH66" i="23"/>
  <c r="AI66" i="23" s="1"/>
  <c r="AF66" i="23"/>
  <c r="AG66" i="23" s="1"/>
  <c r="K66" i="23"/>
  <c r="I66" i="23"/>
  <c r="E66" i="23"/>
  <c r="AH65" i="23"/>
  <c r="AI65" i="23" s="1"/>
  <c r="AF65" i="23"/>
  <c r="AG65" i="23" s="1"/>
  <c r="W65" i="23"/>
  <c r="W25" i="23" s="1"/>
  <c r="AI64" i="23"/>
  <c r="K64" i="23"/>
  <c r="H64" i="23"/>
  <c r="I64" i="23" s="1"/>
  <c r="L64" i="23" s="1"/>
  <c r="AI63" i="23"/>
  <c r="AF63" i="23"/>
  <c r="AG63" i="23" s="1"/>
  <c r="AI62" i="23"/>
  <c r="AG62" i="23"/>
  <c r="J62" i="23"/>
  <c r="K62" i="23" s="1"/>
  <c r="H62" i="23"/>
  <c r="J60" i="23"/>
  <c r="K60" i="23" s="1"/>
  <c r="H60" i="23"/>
  <c r="I60" i="23" s="1"/>
  <c r="L60" i="23" s="1"/>
  <c r="J59" i="23"/>
  <c r="K59" i="23" s="1"/>
  <c r="H59" i="23"/>
  <c r="K55" i="23"/>
  <c r="H55" i="23"/>
  <c r="I55" i="23" s="1"/>
  <c r="E55" i="23"/>
  <c r="K54" i="23"/>
  <c r="H54" i="23"/>
  <c r="I54" i="23" s="1"/>
  <c r="E54" i="23"/>
  <c r="AI33" i="23"/>
  <c r="AG33" i="23"/>
  <c r="AI32" i="23"/>
  <c r="AF32" i="23"/>
  <c r="AU169" i="23" s="1"/>
  <c r="AV169" i="23" s="1"/>
  <c r="K47" i="23"/>
  <c r="I47" i="23"/>
  <c r="E47" i="23"/>
  <c r="AI31" i="23"/>
  <c r="AF31" i="23"/>
  <c r="AU168" i="23" s="1"/>
  <c r="AV168" i="23" s="1"/>
  <c r="AI30" i="23"/>
  <c r="AG30" i="23"/>
  <c r="K45" i="23"/>
  <c r="I45" i="23"/>
  <c r="E40" i="23"/>
  <c r="K39" i="23"/>
  <c r="E39" i="23"/>
  <c r="AH25" i="23"/>
  <c r="AI25" i="23" s="1"/>
  <c r="AF25" i="23"/>
  <c r="AG25" i="23" s="1"/>
  <c r="E38" i="23"/>
  <c r="AI24" i="23"/>
  <c r="AF24" i="23"/>
  <c r="AG24" i="23" s="1"/>
  <c r="AI23" i="23"/>
  <c r="AG23" i="23"/>
  <c r="K33" i="23"/>
  <c r="I33" i="23"/>
  <c r="J32" i="23"/>
  <c r="K32" i="23" s="1"/>
  <c r="H32" i="23"/>
  <c r="J31" i="23"/>
  <c r="K31" i="23" s="1"/>
  <c r="H31" i="23"/>
  <c r="K30" i="23"/>
  <c r="I30" i="23"/>
  <c r="K29" i="23"/>
  <c r="I29" i="23"/>
  <c r="AS28" i="23"/>
  <c r="AU29" i="23" s="1"/>
  <c r="K28" i="23"/>
  <c r="I28" i="23"/>
  <c r="K27" i="23"/>
  <c r="I27" i="23"/>
  <c r="K26" i="23"/>
  <c r="H26" i="23"/>
  <c r="I26" i="23" s="1"/>
  <c r="L26" i="23" s="1"/>
  <c r="H25" i="23"/>
  <c r="F25" i="23"/>
  <c r="K25" i="23" s="1"/>
  <c r="E25" i="23"/>
  <c r="K24" i="23"/>
  <c r="I24" i="23"/>
  <c r="K23" i="23"/>
  <c r="H23" i="23"/>
  <c r="I23" i="23" s="1"/>
  <c r="K22" i="23"/>
  <c r="I22" i="23"/>
  <c r="K21" i="23"/>
  <c r="AS20" i="23"/>
  <c r="AU21" i="23" s="1"/>
  <c r="K20" i="23"/>
  <c r="I20" i="23"/>
  <c r="K19" i="23"/>
  <c r="I19" i="23"/>
  <c r="K18" i="23"/>
  <c r="I18" i="23"/>
  <c r="K17" i="23"/>
  <c r="I17" i="23"/>
  <c r="AS11" i="23"/>
  <c r="AU12" i="23" s="1"/>
  <c r="I83" i="22"/>
  <c r="K83" i="22"/>
  <c r="L83" i="22" s="1"/>
  <c r="S83" i="22"/>
  <c r="T83" i="22"/>
  <c r="I85" i="22"/>
  <c r="K85" i="22"/>
  <c r="S85" i="22"/>
  <c r="T85" i="22"/>
  <c r="I87" i="22"/>
  <c r="K87" i="22"/>
  <c r="S87" i="22"/>
  <c r="T87" i="22"/>
  <c r="I89" i="22"/>
  <c r="K89" i="22"/>
  <c r="S89" i="22"/>
  <c r="T89" i="22"/>
  <c r="I91" i="22"/>
  <c r="K91" i="22"/>
  <c r="S91" i="22"/>
  <c r="T91" i="22"/>
  <c r="I93" i="22"/>
  <c r="L93" i="22" s="1"/>
  <c r="K93" i="22"/>
  <c r="S93" i="22"/>
  <c r="T93" i="22"/>
  <c r="I95" i="22"/>
  <c r="K95" i="22"/>
  <c r="S95" i="22"/>
  <c r="T95" i="22"/>
  <c r="I97" i="22"/>
  <c r="K97" i="22"/>
  <c r="S97" i="22"/>
  <c r="T97" i="22"/>
  <c r="I99" i="22"/>
  <c r="K99" i="22"/>
  <c r="S99" i="22"/>
  <c r="T99" i="22"/>
  <c r="I101" i="22"/>
  <c r="K101" i="22"/>
  <c r="S101" i="22"/>
  <c r="T101" i="22"/>
  <c r="I103" i="22"/>
  <c r="L103" i="22" s="1"/>
  <c r="K103" i="22"/>
  <c r="S103" i="22"/>
  <c r="T103" i="22"/>
  <c r="I106" i="22"/>
  <c r="K106" i="22"/>
  <c r="L106" i="22" s="1"/>
  <c r="S106" i="22"/>
  <c r="T106" i="22"/>
  <c r="I109" i="22"/>
  <c r="K109" i="22"/>
  <c r="L109" i="22" s="1"/>
  <c r="S109" i="22"/>
  <c r="T109" i="22"/>
  <c r="I111" i="22"/>
  <c r="K111" i="22"/>
  <c r="S111" i="22"/>
  <c r="T111" i="22"/>
  <c r="I113" i="22"/>
  <c r="K113" i="22"/>
  <c r="L113" i="22" s="1"/>
  <c r="S113" i="22"/>
  <c r="T113" i="22"/>
  <c r="I115" i="22"/>
  <c r="K115" i="22"/>
  <c r="S115" i="22"/>
  <c r="T115" i="22"/>
  <c r="AG288" i="22"/>
  <c r="AE288" i="22"/>
  <c r="AD287" i="22"/>
  <c r="AF287" i="22" s="1"/>
  <c r="AG287" i="22" s="1"/>
  <c r="AG289" i="22" s="1"/>
  <c r="AB287" i="22"/>
  <c r="L287" i="22"/>
  <c r="AG281" i="22"/>
  <c r="AE281" i="22"/>
  <c r="AG280" i="22"/>
  <c r="AD280" i="22"/>
  <c r="AE280" i="22" s="1"/>
  <c r="AB280" i="22"/>
  <c r="AG279" i="22"/>
  <c r="AE279" i="22"/>
  <c r="AB279" i="22"/>
  <c r="AG278" i="22"/>
  <c r="AE278" i="22"/>
  <c r="AB278" i="22"/>
  <c r="AG277" i="22"/>
  <c r="AE277" i="22"/>
  <c r="AB277" i="22"/>
  <c r="L274" i="22"/>
  <c r="L272" i="22"/>
  <c r="L268" i="22"/>
  <c r="AL267" i="22"/>
  <c r="Y266" i="22" s="1"/>
  <c r="AE266" i="22" s="1"/>
  <c r="AK267" i="22"/>
  <c r="Y265" i="22" s="1"/>
  <c r="AE265" i="22" s="1"/>
  <c r="AE267" i="22"/>
  <c r="AJ263" i="22"/>
  <c r="AI263" i="22"/>
  <c r="AJ262" i="22"/>
  <c r="AI262" i="22"/>
  <c r="AJ261" i="22"/>
  <c r="AI261" i="22"/>
  <c r="AJ260" i="22"/>
  <c r="AI260" i="22"/>
  <c r="AJ259" i="22"/>
  <c r="AJ267" i="22" s="1"/>
  <c r="Y264" i="22" s="1"/>
  <c r="AE264" i="22" s="1"/>
  <c r="AI259" i="22"/>
  <c r="AL253" i="22"/>
  <c r="Y252" i="22" s="1"/>
  <c r="AE252" i="22" s="1"/>
  <c r="AK253" i="22"/>
  <c r="Y251" i="22" s="1"/>
  <c r="AE251" i="22" s="1"/>
  <c r="AE253" i="22"/>
  <c r="AJ249" i="22"/>
  <c r="AI249" i="22"/>
  <c r="AJ248" i="22"/>
  <c r="AI248" i="22"/>
  <c r="AJ247" i="22"/>
  <c r="AI247" i="22"/>
  <c r="AJ246" i="22"/>
  <c r="AI246" i="22"/>
  <c r="AJ245" i="22"/>
  <c r="AJ253" i="22" s="1"/>
  <c r="Y250" i="22" s="1"/>
  <c r="AE250" i="22" s="1"/>
  <c r="AI245" i="22"/>
  <c r="AL239" i="22"/>
  <c r="AK239" i="22"/>
  <c r="AE238" i="22"/>
  <c r="J238" i="22"/>
  <c r="K238" i="22" s="1"/>
  <c r="H238" i="22"/>
  <c r="I238" i="22" s="1"/>
  <c r="L238" i="22" s="1"/>
  <c r="E238" i="22"/>
  <c r="Y237" i="22"/>
  <c r="AE237" i="22" s="1"/>
  <c r="J237" i="22"/>
  <c r="K237" i="22" s="1"/>
  <c r="H237" i="22"/>
  <c r="I237" i="22" s="1"/>
  <c r="L237" i="22" s="1"/>
  <c r="E237" i="22"/>
  <c r="Y236" i="22"/>
  <c r="AE236" i="22" s="1"/>
  <c r="J236" i="22"/>
  <c r="K236" i="22" s="1"/>
  <c r="I236" i="22"/>
  <c r="J235" i="22"/>
  <c r="K235" i="22" s="1"/>
  <c r="I235" i="22"/>
  <c r="AJ234" i="22"/>
  <c r="AI234" i="22"/>
  <c r="K234" i="22"/>
  <c r="AJ233" i="22"/>
  <c r="AI233" i="22"/>
  <c r="J233" i="22"/>
  <c r="K233" i="22" s="1"/>
  <c r="H233" i="22"/>
  <c r="I233" i="22" s="1"/>
  <c r="AJ232" i="22"/>
  <c r="AI232" i="22"/>
  <c r="J232" i="22"/>
  <c r="K232" i="22" s="1"/>
  <c r="I232" i="22"/>
  <c r="K231" i="22"/>
  <c r="H231" i="22"/>
  <c r="AJ230" i="22"/>
  <c r="AI230" i="22"/>
  <c r="AJ229" i="22"/>
  <c r="AJ239" i="22" s="1"/>
  <c r="Y235" i="22" s="1"/>
  <c r="AE235" i="22" s="1"/>
  <c r="AI229" i="22"/>
  <c r="K228" i="22"/>
  <c r="H228" i="22"/>
  <c r="K227" i="22"/>
  <c r="H227" i="22"/>
  <c r="K226" i="22"/>
  <c r="I226" i="22"/>
  <c r="K225" i="22"/>
  <c r="H225" i="22"/>
  <c r="I225" i="22" s="1"/>
  <c r="J224" i="22"/>
  <c r="H224" i="22"/>
  <c r="K223" i="22"/>
  <c r="J223" i="22"/>
  <c r="I223" i="22"/>
  <c r="J222" i="22"/>
  <c r="I222" i="22"/>
  <c r="J221" i="22"/>
  <c r="K221" i="22" s="1"/>
  <c r="I221" i="22"/>
  <c r="H221" i="22"/>
  <c r="AL220" i="22"/>
  <c r="Y219" i="22" s="1"/>
  <c r="AE219" i="22" s="1"/>
  <c r="AK220" i="22"/>
  <c r="AE220" i="22"/>
  <c r="J220" i="22"/>
  <c r="K220" i="22" s="1"/>
  <c r="H220" i="22"/>
  <c r="I220" i="22" s="1"/>
  <c r="L220" i="22" s="1"/>
  <c r="J219" i="22"/>
  <c r="I219" i="22"/>
  <c r="Y218" i="22"/>
  <c r="AE218" i="22" s="1"/>
  <c r="J218" i="22"/>
  <c r="I218" i="22"/>
  <c r="J217" i="22"/>
  <c r="I217" i="22"/>
  <c r="AJ216" i="22"/>
  <c r="AI216" i="22"/>
  <c r="J216" i="22"/>
  <c r="I216" i="22"/>
  <c r="AJ215" i="22"/>
  <c r="AI215" i="22"/>
  <c r="AJ214" i="22"/>
  <c r="AI214" i="22"/>
  <c r="AJ213" i="22"/>
  <c r="AI213" i="22"/>
  <c r="AJ212" i="22"/>
  <c r="AI212" i="22"/>
  <c r="AI220" i="22" s="1"/>
  <c r="Y216" i="22" s="1"/>
  <c r="W211" i="22"/>
  <c r="J211" i="22" s="1"/>
  <c r="K211" i="22" s="1"/>
  <c r="H211" i="22"/>
  <c r="J210" i="22"/>
  <c r="K210" i="22" s="1"/>
  <c r="H210" i="22"/>
  <c r="I210" i="22" s="1"/>
  <c r="L210" i="22" s="1"/>
  <c r="J209" i="22"/>
  <c r="K209" i="22" s="1"/>
  <c r="H209" i="22"/>
  <c r="I209" i="22" s="1"/>
  <c r="L209" i="22" s="1"/>
  <c r="J208" i="22"/>
  <c r="K208" i="22" s="1"/>
  <c r="H208" i="22"/>
  <c r="J207" i="22"/>
  <c r="K207" i="22" s="1"/>
  <c r="H207" i="22"/>
  <c r="I207" i="22" s="1"/>
  <c r="L207" i="22" s="1"/>
  <c r="J206" i="22"/>
  <c r="K206" i="22" s="1"/>
  <c r="H206" i="22"/>
  <c r="AT205" i="22"/>
  <c r="AR205" i="22"/>
  <c r="J205" i="22"/>
  <c r="K205" i="22" s="1"/>
  <c r="H205" i="22"/>
  <c r="I205" i="22" s="1"/>
  <c r="L205" i="22" s="1"/>
  <c r="AT204" i="22"/>
  <c r="AR204" i="22"/>
  <c r="AO204" i="22"/>
  <c r="J204" i="22"/>
  <c r="K204" i="22" s="1"/>
  <c r="H204" i="22"/>
  <c r="I204" i="22" s="1"/>
  <c r="AT203" i="22"/>
  <c r="AQ203" i="22"/>
  <c r="AR203" i="22" s="1"/>
  <c r="AO203" i="22"/>
  <c r="J203" i="22"/>
  <c r="K203" i="22" s="1"/>
  <c r="H203" i="22"/>
  <c r="AT202" i="22"/>
  <c r="AQ202" i="22"/>
  <c r="AR202" i="22" s="1"/>
  <c r="AO202" i="22"/>
  <c r="AT201" i="22"/>
  <c r="AR201" i="22"/>
  <c r="AT200" i="22"/>
  <c r="AR200" i="22"/>
  <c r="AO200" i="22"/>
  <c r="W200" i="22"/>
  <c r="J200" i="22" s="1"/>
  <c r="H200" i="22"/>
  <c r="I200" i="22" s="1"/>
  <c r="AT199" i="22"/>
  <c r="AR199" i="22"/>
  <c r="AO199" i="22"/>
  <c r="J199" i="22"/>
  <c r="H199" i="22"/>
  <c r="AT198" i="22"/>
  <c r="AR198" i="22"/>
  <c r="J198" i="22"/>
  <c r="K198" i="22" s="1"/>
  <c r="H198" i="22"/>
  <c r="AT197" i="22"/>
  <c r="AR197" i="22"/>
  <c r="T197" i="22"/>
  <c r="H197" i="22" s="1"/>
  <c r="J197" i="22"/>
  <c r="K197" i="22" s="1"/>
  <c r="AQ196" i="22"/>
  <c r="AP196" i="22"/>
  <c r="AT196" i="22" s="1"/>
  <c r="J196" i="22"/>
  <c r="K196" i="22" s="1"/>
  <c r="H196" i="22"/>
  <c r="I196" i="22" s="1"/>
  <c r="J195" i="22"/>
  <c r="K195" i="22" s="1"/>
  <c r="H195" i="22"/>
  <c r="J194" i="22"/>
  <c r="K194" i="22" s="1"/>
  <c r="H194" i="22"/>
  <c r="I194" i="22" s="1"/>
  <c r="J193" i="22"/>
  <c r="K193" i="22" s="1"/>
  <c r="H193" i="22"/>
  <c r="AT192" i="22"/>
  <c r="AQ192" i="22"/>
  <c r="AR192" i="22" s="1"/>
  <c r="AT191" i="22"/>
  <c r="AQ191" i="22"/>
  <c r="AR191" i="22" s="1"/>
  <c r="T191" i="22"/>
  <c r="J191" i="22"/>
  <c r="K191" i="22" s="1"/>
  <c r="H191" i="22"/>
  <c r="AT190" i="22"/>
  <c r="AR190" i="22"/>
  <c r="T190" i="22"/>
  <c r="J190" i="22"/>
  <c r="K190" i="22" s="1"/>
  <c r="H190" i="22"/>
  <c r="T189" i="22"/>
  <c r="J189" i="22"/>
  <c r="K189" i="22" s="1"/>
  <c r="H189" i="22"/>
  <c r="T188" i="22"/>
  <c r="H188" i="22" s="1"/>
  <c r="J188" i="22"/>
  <c r="K188" i="22" s="1"/>
  <c r="T187" i="22"/>
  <c r="H187" i="22" s="1"/>
  <c r="J187" i="22"/>
  <c r="K187" i="22" s="1"/>
  <c r="J184" i="22"/>
  <c r="K184" i="22" s="1"/>
  <c r="H184" i="22"/>
  <c r="I184" i="22" s="1"/>
  <c r="J183" i="22"/>
  <c r="K183" i="22" s="1"/>
  <c r="H183" i="22"/>
  <c r="AU182" i="22"/>
  <c r="AR182" i="22"/>
  <c r="AS182" i="22" s="1"/>
  <c r="J182" i="22"/>
  <c r="K182" i="22" s="1"/>
  <c r="H182" i="22"/>
  <c r="I182" i="22" s="1"/>
  <c r="AU181" i="22"/>
  <c r="AR181" i="22"/>
  <c r="AS181" i="22" s="1"/>
  <c r="J181" i="22"/>
  <c r="K181" i="22" s="1"/>
  <c r="H181" i="22"/>
  <c r="I181" i="22" s="1"/>
  <c r="AU180" i="22"/>
  <c r="AR180" i="22"/>
  <c r="AS180" i="22" s="1"/>
  <c r="J180" i="22"/>
  <c r="K180" i="22" s="1"/>
  <c r="H180" i="22"/>
  <c r="I180" i="22" s="1"/>
  <c r="AR179" i="22"/>
  <c r="AS179" i="22" s="1"/>
  <c r="J179" i="22"/>
  <c r="H179" i="22"/>
  <c r="J178" i="22"/>
  <c r="K178" i="22" s="1"/>
  <c r="H178" i="22"/>
  <c r="I178" i="22" s="1"/>
  <c r="J175" i="22"/>
  <c r="H175" i="22"/>
  <c r="AU174" i="22"/>
  <c r="AS174" i="22"/>
  <c r="J174" i="22"/>
  <c r="K174" i="22" s="1"/>
  <c r="H174" i="22"/>
  <c r="I174" i="22" s="1"/>
  <c r="AU173" i="22"/>
  <c r="AR173" i="22"/>
  <c r="AS173" i="22" s="1"/>
  <c r="J173" i="22"/>
  <c r="K173" i="22" s="1"/>
  <c r="H173" i="22"/>
  <c r="I173" i="22" s="1"/>
  <c r="AU172" i="22"/>
  <c r="AR172" i="22"/>
  <c r="AS172" i="22" s="1"/>
  <c r="J172" i="22"/>
  <c r="K172" i="22" s="1"/>
  <c r="H172" i="22"/>
  <c r="I172" i="22" s="1"/>
  <c r="AT171" i="22"/>
  <c r="AT179" i="22" s="1"/>
  <c r="AU179" i="22" s="1"/>
  <c r="AR171" i="22"/>
  <c r="AS171" i="22" s="1"/>
  <c r="J171" i="22"/>
  <c r="H171" i="22"/>
  <c r="J170" i="22"/>
  <c r="K170" i="22" s="1"/>
  <c r="H170" i="22"/>
  <c r="I170" i="22" s="1"/>
  <c r="L170" i="22" s="1"/>
  <c r="J169" i="22"/>
  <c r="H169" i="22"/>
  <c r="J168" i="22"/>
  <c r="K168" i="22" s="1"/>
  <c r="H168" i="22"/>
  <c r="I168" i="22" s="1"/>
  <c r="J167" i="22"/>
  <c r="H167" i="22"/>
  <c r="AU166" i="22"/>
  <c r="AS166" i="22"/>
  <c r="J166" i="22"/>
  <c r="K166" i="22" s="1"/>
  <c r="H166" i="22"/>
  <c r="I166" i="22" s="1"/>
  <c r="AU165" i="22"/>
  <c r="AU164" i="22"/>
  <c r="AU163" i="22"/>
  <c r="AR163" i="22"/>
  <c r="AS163" i="22" s="1"/>
  <c r="T163" i="22"/>
  <c r="K163" i="22"/>
  <c r="H163" i="22"/>
  <c r="I163" i="22" s="1"/>
  <c r="AH162" i="22"/>
  <c r="AF162" i="22"/>
  <c r="T162" i="22"/>
  <c r="K162" i="22"/>
  <c r="H162" i="22"/>
  <c r="AH161" i="22"/>
  <c r="AF161" i="22"/>
  <c r="AH160" i="22"/>
  <c r="AF160" i="22"/>
  <c r="T160" i="22"/>
  <c r="K160" i="22"/>
  <c r="H160" i="22"/>
  <c r="I160" i="22" s="1"/>
  <c r="AH159" i="22"/>
  <c r="AF159" i="22"/>
  <c r="AB159" i="22"/>
  <c r="T159" i="22"/>
  <c r="K159" i="22"/>
  <c r="H159" i="22"/>
  <c r="I159" i="22" s="1"/>
  <c r="AH158" i="22"/>
  <c r="AE158" i="22"/>
  <c r="AF158" i="22" s="1"/>
  <c r="AB158" i="22"/>
  <c r="AH157" i="22"/>
  <c r="AE157" i="22"/>
  <c r="AF157" i="22" s="1"/>
  <c r="T157" i="22"/>
  <c r="K157" i="22"/>
  <c r="H157" i="22"/>
  <c r="I157" i="22" s="1"/>
  <c r="AH156" i="22"/>
  <c r="AE156" i="22"/>
  <c r="AF156" i="22" s="1"/>
  <c r="T156" i="22"/>
  <c r="J156" i="22"/>
  <c r="H156" i="22"/>
  <c r="F156" i="22"/>
  <c r="E156" i="22"/>
  <c r="AH155" i="22"/>
  <c r="AE155" i="22"/>
  <c r="AF155" i="22" s="1"/>
  <c r="T155" i="22"/>
  <c r="J155" i="22"/>
  <c r="K155" i="22" s="1"/>
  <c r="H155" i="22"/>
  <c r="I155" i="22" s="1"/>
  <c r="AH154" i="22"/>
  <c r="AE154" i="22"/>
  <c r="AF154" i="22" s="1"/>
  <c r="AB154" i="22"/>
  <c r="T154" i="22"/>
  <c r="H154" i="22"/>
  <c r="F154" i="22"/>
  <c r="E154" i="22"/>
  <c r="AH153" i="22"/>
  <c r="AE153" i="22"/>
  <c r="AF153" i="22" s="1"/>
  <c r="AB153" i="22"/>
  <c r="AH152" i="22"/>
  <c r="AE152" i="22"/>
  <c r="AF152" i="22" s="1"/>
  <c r="AB152" i="22"/>
  <c r="AH151" i="22"/>
  <c r="AE151" i="22"/>
  <c r="AF151" i="22" s="1"/>
  <c r="AH150" i="22"/>
  <c r="AE150" i="22"/>
  <c r="AF150" i="22" s="1"/>
  <c r="AB150" i="22"/>
  <c r="AH149" i="22"/>
  <c r="AE149" i="22"/>
  <c r="AF149" i="22" s="1"/>
  <c r="AB149" i="22"/>
  <c r="O149" i="22"/>
  <c r="O148" i="22"/>
  <c r="J148" i="22"/>
  <c r="K148" i="22" s="1"/>
  <c r="H148" i="22"/>
  <c r="I148" i="22" s="1"/>
  <c r="O147" i="22"/>
  <c r="J147" i="22"/>
  <c r="K147" i="22" s="1"/>
  <c r="H147" i="22"/>
  <c r="I147" i="22" s="1"/>
  <c r="J144" i="22"/>
  <c r="K144" i="22" s="1"/>
  <c r="H144" i="22"/>
  <c r="J143" i="22"/>
  <c r="H143" i="22"/>
  <c r="J142" i="22"/>
  <c r="K142" i="22" s="1"/>
  <c r="H142" i="22"/>
  <c r="K138" i="22"/>
  <c r="I138" i="22"/>
  <c r="J136" i="22"/>
  <c r="H136" i="22"/>
  <c r="J135" i="22"/>
  <c r="K135" i="22" s="1"/>
  <c r="H135" i="22"/>
  <c r="I135" i="22" s="1"/>
  <c r="J132" i="22"/>
  <c r="H132" i="22"/>
  <c r="AF131" i="22"/>
  <c r="AD131" i="22"/>
  <c r="K131" i="22"/>
  <c r="I131" i="22"/>
  <c r="AF130" i="22"/>
  <c r="AC130" i="22"/>
  <c r="AD130" i="22" s="1"/>
  <c r="K130" i="22"/>
  <c r="I130" i="22"/>
  <c r="AF129" i="22"/>
  <c r="K129" i="22"/>
  <c r="H129" i="22"/>
  <c r="I129" i="22" s="1"/>
  <c r="AF128" i="22"/>
  <c r="AC128" i="22"/>
  <c r="AD128" i="22" s="1"/>
  <c r="K128" i="22"/>
  <c r="H128" i="22"/>
  <c r="E128" i="22"/>
  <c r="K127" i="22"/>
  <c r="H127" i="22"/>
  <c r="I127" i="22" s="1"/>
  <c r="L127" i="22" s="1"/>
  <c r="K126" i="22"/>
  <c r="H126" i="22"/>
  <c r="I126" i="22" s="1"/>
  <c r="AF124" i="22"/>
  <c r="AC124" i="22"/>
  <c r="AD124" i="22" s="1"/>
  <c r="AF123" i="22"/>
  <c r="AC123" i="22"/>
  <c r="AD123" i="22" s="1"/>
  <c r="K123" i="22"/>
  <c r="H123" i="22"/>
  <c r="I123" i="22" s="1"/>
  <c r="L123" i="22" s="1"/>
  <c r="E123" i="22"/>
  <c r="AF122" i="22"/>
  <c r="AC122" i="22"/>
  <c r="AC129" i="22" s="1"/>
  <c r="K122" i="22"/>
  <c r="H122" i="22"/>
  <c r="I122" i="22" s="1"/>
  <c r="AF121" i="22"/>
  <c r="AF125" i="22" s="1"/>
  <c r="J41" i="22" s="1"/>
  <c r="AC121" i="22"/>
  <c r="AD121" i="22" s="1"/>
  <c r="K120" i="22"/>
  <c r="H120" i="22"/>
  <c r="E120" i="22"/>
  <c r="K119" i="22"/>
  <c r="I119" i="22"/>
  <c r="L119" i="22" s="1"/>
  <c r="H119" i="22"/>
  <c r="AF80" i="22"/>
  <c r="AD80" i="22"/>
  <c r="AF79" i="22"/>
  <c r="AC79" i="22"/>
  <c r="AD79" i="22" s="1"/>
  <c r="J79" i="22"/>
  <c r="K79" i="22" s="1"/>
  <c r="H79" i="22"/>
  <c r="AF78" i="22"/>
  <c r="AC78" i="22"/>
  <c r="AD78" i="22" s="1"/>
  <c r="AF77" i="22"/>
  <c r="AC77" i="22"/>
  <c r="AD77" i="22" s="1"/>
  <c r="K77" i="22"/>
  <c r="H77" i="22"/>
  <c r="I77" i="22" s="1"/>
  <c r="K76" i="22"/>
  <c r="H76" i="22"/>
  <c r="I76" i="22" s="1"/>
  <c r="H75" i="22"/>
  <c r="H74" i="22"/>
  <c r="AF73" i="22"/>
  <c r="AC73" i="22"/>
  <c r="AD73" i="22" s="1"/>
  <c r="J73" i="22"/>
  <c r="J74" i="22" s="1"/>
  <c r="H73" i="22"/>
  <c r="I73" i="22" s="1"/>
  <c r="AF72" i="22"/>
  <c r="AF74" i="22" s="1"/>
  <c r="AC72" i="22"/>
  <c r="AD72" i="22" s="1"/>
  <c r="AD74" i="22" s="1"/>
  <c r="K72" i="22"/>
  <c r="H72" i="22"/>
  <c r="K70" i="22"/>
  <c r="I70" i="22"/>
  <c r="K68" i="22"/>
  <c r="I68" i="22"/>
  <c r="K65" i="22"/>
  <c r="I65" i="22"/>
  <c r="K63" i="22"/>
  <c r="I63" i="22"/>
  <c r="AE62" i="22"/>
  <c r="AF62" i="22" s="1"/>
  <c r="AC62" i="22"/>
  <c r="AD62" i="22" s="1"/>
  <c r="K62" i="22"/>
  <c r="I62" i="22"/>
  <c r="E62" i="22"/>
  <c r="AE61" i="22"/>
  <c r="AF61" i="22" s="1"/>
  <c r="AC61" i="22"/>
  <c r="AD61" i="22" s="1"/>
  <c r="W61" i="22"/>
  <c r="W38" i="22" s="1"/>
  <c r="AF60" i="22"/>
  <c r="K60" i="22"/>
  <c r="H60" i="22"/>
  <c r="I60" i="22" s="1"/>
  <c r="AF59" i="22"/>
  <c r="AF58" i="22"/>
  <c r="AC58" i="22"/>
  <c r="AD58" i="22" s="1"/>
  <c r="J58" i="22"/>
  <c r="K58" i="22" s="1"/>
  <c r="H58" i="22"/>
  <c r="J56" i="22"/>
  <c r="K56" i="22" s="1"/>
  <c r="H56" i="22"/>
  <c r="I56" i="22" s="1"/>
  <c r="J55" i="22"/>
  <c r="K55" i="22" s="1"/>
  <c r="H55" i="22"/>
  <c r="J51" i="22"/>
  <c r="K51" i="22" s="1"/>
  <c r="H51" i="22"/>
  <c r="I51" i="22" s="1"/>
  <c r="E51" i="22"/>
  <c r="J50" i="22"/>
  <c r="K50" i="22" s="1"/>
  <c r="H50" i="22"/>
  <c r="I50" i="22" s="1"/>
  <c r="E50" i="22"/>
  <c r="AF46" i="22"/>
  <c r="AD46" i="22"/>
  <c r="AF45" i="22"/>
  <c r="AC45" i="22"/>
  <c r="AR165" i="22" s="1"/>
  <c r="AS165" i="22" s="1"/>
  <c r="K45" i="22"/>
  <c r="I45" i="22"/>
  <c r="E45" i="22"/>
  <c r="AF44" i="22"/>
  <c r="AC44" i="22"/>
  <c r="AF43" i="22"/>
  <c r="AC43" i="22"/>
  <c r="AD43" i="22" s="1"/>
  <c r="K43" i="22"/>
  <c r="I43" i="22"/>
  <c r="K41" i="22"/>
  <c r="E40" i="22"/>
  <c r="K39" i="22"/>
  <c r="E39" i="22"/>
  <c r="AE38" i="22"/>
  <c r="AF38" i="22" s="1"/>
  <c r="AC38" i="22"/>
  <c r="AD38" i="22" s="1"/>
  <c r="E38" i="22"/>
  <c r="AF37" i="22"/>
  <c r="AC37" i="22"/>
  <c r="AD37" i="22" s="1"/>
  <c r="AF36" i="22"/>
  <c r="AC36" i="22"/>
  <c r="AD36" i="22" s="1"/>
  <c r="K33" i="22"/>
  <c r="I33" i="22"/>
  <c r="J32" i="22"/>
  <c r="K32" i="22" s="1"/>
  <c r="H32" i="22"/>
  <c r="J31" i="22"/>
  <c r="K31" i="22" s="1"/>
  <c r="H31" i="22"/>
  <c r="K30" i="22"/>
  <c r="H30" i="22"/>
  <c r="I30" i="22" s="1"/>
  <c r="K29" i="22"/>
  <c r="I29" i="22"/>
  <c r="AP28" i="22"/>
  <c r="AR29" i="22" s="1"/>
  <c r="K28" i="22"/>
  <c r="I28" i="22"/>
  <c r="K27" i="22"/>
  <c r="I27" i="22"/>
  <c r="K26" i="22"/>
  <c r="H26" i="22"/>
  <c r="I26" i="22" s="1"/>
  <c r="H25" i="22"/>
  <c r="F25" i="22"/>
  <c r="K25" i="22" s="1"/>
  <c r="E25" i="22"/>
  <c r="K24" i="22"/>
  <c r="I24" i="22"/>
  <c r="K23" i="22"/>
  <c r="H23" i="22"/>
  <c r="I23" i="22" s="1"/>
  <c r="K22" i="22"/>
  <c r="I22" i="22"/>
  <c r="K21" i="22"/>
  <c r="AP20" i="22"/>
  <c r="AR21" i="22" s="1"/>
  <c r="J20" i="22"/>
  <c r="K20" i="22" s="1"/>
  <c r="I20" i="22"/>
  <c r="K19" i="22"/>
  <c r="I19" i="22"/>
  <c r="K18" i="22"/>
  <c r="I18" i="22"/>
  <c r="K17" i="22"/>
  <c r="I17" i="22"/>
  <c r="AP11" i="22"/>
  <c r="AR12" i="22" s="1"/>
  <c r="AR14" i="22" s="1"/>
  <c r="AP11" i="20"/>
  <c r="AP20" i="20"/>
  <c r="AP28" i="20"/>
  <c r="F25" i="20"/>
  <c r="H231" i="20"/>
  <c r="H228" i="20"/>
  <c r="J148" i="20"/>
  <c r="J147" i="20"/>
  <c r="H148" i="20"/>
  <c r="H147" i="20"/>
  <c r="J58" i="20"/>
  <c r="J55" i="20"/>
  <c r="H58" i="20"/>
  <c r="H55" i="20"/>
  <c r="L172" i="22" l="1"/>
  <c r="L173" i="22"/>
  <c r="AS175" i="22"/>
  <c r="H48" i="22" s="1"/>
  <c r="I48" i="22" s="1"/>
  <c r="AJ220" i="22"/>
  <c r="Y217" i="22" s="1"/>
  <c r="AE217" i="22" s="1"/>
  <c r="L223" i="22"/>
  <c r="L26" i="22"/>
  <c r="L28" i="22"/>
  <c r="AF132" i="22"/>
  <c r="J42" i="22" s="1"/>
  <c r="K42" i="22" s="1"/>
  <c r="L131" i="22"/>
  <c r="I154" i="22"/>
  <c r="K156" i="22"/>
  <c r="L160" i="22"/>
  <c r="L163" i="22"/>
  <c r="AU167" i="22"/>
  <c r="J44" i="22" s="1"/>
  <c r="K44" i="22" s="1"/>
  <c r="AU183" i="22"/>
  <c r="J49" i="22" s="1"/>
  <c r="K49" i="22" s="1"/>
  <c r="L180" i="22"/>
  <c r="L181" i="22"/>
  <c r="L182" i="22"/>
  <c r="L204" i="22"/>
  <c r="AI253" i="22"/>
  <c r="Y249" i="22" s="1"/>
  <c r="N263" i="22"/>
  <c r="AG282" i="22"/>
  <c r="L95" i="22"/>
  <c r="L19" i="23"/>
  <c r="L23" i="23"/>
  <c r="L28" i="23"/>
  <c r="L66" i="23"/>
  <c r="L67" i="23"/>
  <c r="L72" i="23"/>
  <c r="L124" i="23"/>
  <c r="L126" i="23"/>
  <c r="L131" i="23"/>
  <c r="L202" i="23"/>
  <c r="L207" i="23"/>
  <c r="L225" i="23"/>
  <c r="L236" i="23"/>
  <c r="L27" i="22"/>
  <c r="L56" i="22"/>
  <c r="L135" i="22"/>
  <c r="AF163" i="22"/>
  <c r="L155" i="22"/>
  <c r="L157" i="22"/>
  <c r="L159" i="22"/>
  <c r="L22" i="23"/>
  <c r="L24" i="23"/>
  <c r="L27" i="23"/>
  <c r="AI34" i="23"/>
  <c r="J38" i="23" s="1"/>
  <c r="L47" i="23"/>
  <c r="L69" i="23"/>
  <c r="L74" i="23"/>
  <c r="L239" i="23"/>
  <c r="L173" i="23"/>
  <c r="AU197" i="23"/>
  <c r="AL243" i="23"/>
  <c r="AB238" i="23" s="1"/>
  <c r="AM257" i="23"/>
  <c r="AB254" i="23" s="1"/>
  <c r="AH254" i="23" s="1"/>
  <c r="N267" i="23"/>
  <c r="AH291" i="23"/>
  <c r="AH293" i="23" s="1"/>
  <c r="L147" i="23"/>
  <c r="L45" i="23"/>
  <c r="L136" i="23"/>
  <c r="L140" i="23"/>
  <c r="L152" i="23"/>
  <c r="L151" i="23"/>
  <c r="L55" i="23"/>
  <c r="L83" i="23"/>
  <c r="L195" i="23"/>
  <c r="L197" i="23"/>
  <c r="L199" i="23"/>
  <c r="L224" i="23"/>
  <c r="L241" i="23"/>
  <c r="L242" i="23"/>
  <c r="L62" i="22"/>
  <c r="L63" i="22"/>
  <c r="L65" i="22"/>
  <c r="L68" i="22"/>
  <c r="L70" i="22"/>
  <c r="L76" i="22"/>
  <c r="L77" i="22"/>
  <c r="L122" i="22"/>
  <c r="L126" i="22"/>
  <c r="L129" i="22"/>
  <c r="L147" i="22"/>
  <c r="L148" i="22"/>
  <c r="AH163" i="22"/>
  <c r="AT193" i="22"/>
  <c r="L196" i="22"/>
  <c r="AT206" i="22"/>
  <c r="J137" i="22" s="1"/>
  <c r="K137" i="22" s="1"/>
  <c r="L225" i="22"/>
  <c r="AI239" i="22"/>
  <c r="Y234" i="22" s="1"/>
  <c r="L233" i="22"/>
  <c r="AI267" i="22"/>
  <c r="Y263" i="22" s="1"/>
  <c r="Y260" i="22" s="1"/>
  <c r="AE260" i="22" s="1"/>
  <c r="AE261" i="22" s="1"/>
  <c r="L115" i="22"/>
  <c r="L101" i="22"/>
  <c r="L99" i="22"/>
  <c r="L97" i="22"/>
  <c r="L91" i="22"/>
  <c r="L89" i="22"/>
  <c r="L87" i="22"/>
  <c r="L85" i="22"/>
  <c r="K35" i="23"/>
  <c r="L29" i="23"/>
  <c r="L30" i="23"/>
  <c r="L33" i="23"/>
  <c r="AG32" i="23"/>
  <c r="K77" i="23"/>
  <c r="L77" i="23" s="1"/>
  <c r="AI129" i="23"/>
  <c r="J41" i="23" s="1"/>
  <c r="K41" i="23" s="1"/>
  <c r="AI136" i="23"/>
  <c r="J42" i="23" s="1"/>
  <c r="L135" i="23"/>
  <c r="L142" i="23"/>
  <c r="AK167" i="23"/>
  <c r="L163" i="23"/>
  <c r="L164" i="23"/>
  <c r="L167" i="23"/>
  <c r="AU200" i="23"/>
  <c r="AU210" i="23" s="1"/>
  <c r="H141" i="23" s="1"/>
  <c r="L227" i="23"/>
  <c r="L230" i="23"/>
  <c r="AM243" i="23"/>
  <c r="AB239" i="23" s="1"/>
  <c r="AH239" i="23" s="1"/>
  <c r="L240" i="23"/>
  <c r="AM271" i="23"/>
  <c r="AB268" i="23" s="1"/>
  <c r="AH268" i="23" s="1"/>
  <c r="AJ286" i="23"/>
  <c r="AJ293" i="23"/>
  <c r="L44" i="23"/>
  <c r="L17" i="22"/>
  <c r="L18" i="22"/>
  <c r="L22" i="22"/>
  <c r="L29" i="22"/>
  <c r="L30" i="22"/>
  <c r="L33" i="22"/>
  <c r="AD39" i="22"/>
  <c r="H39" i="22" s="1"/>
  <c r="L54" i="23"/>
  <c r="AG129" i="23"/>
  <c r="H41" i="23" s="1"/>
  <c r="I41" i="23" s="1"/>
  <c r="L41" i="23" s="1"/>
  <c r="AG26" i="23"/>
  <c r="H39" i="23" s="1"/>
  <c r="I39" i="23" s="1"/>
  <c r="L39" i="23" s="1"/>
  <c r="L20" i="23"/>
  <c r="L18" i="23"/>
  <c r="AI26" i="23"/>
  <c r="AI67" i="23"/>
  <c r="J40" i="23" s="1"/>
  <c r="AU22" i="23"/>
  <c r="AU24" i="23"/>
  <c r="AU23" i="23"/>
  <c r="AU32" i="23"/>
  <c r="AU31" i="23"/>
  <c r="AU30" i="23"/>
  <c r="AU33" i="23" s="1"/>
  <c r="K38" i="23"/>
  <c r="J79" i="23"/>
  <c r="K78" i="23"/>
  <c r="L78" i="23" s="1"/>
  <c r="I76" i="23"/>
  <c r="L76" i="23" s="1"/>
  <c r="I79" i="23"/>
  <c r="AV171" i="23"/>
  <c r="H46" i="23" s="1"/>
  <c r="AV187" i="23"/>
  <c r="AU14" i="23"/>
  <c r="L17" i="23"/>
  <c r="I25" i="23"/>
  <c r="L25" i="23" s="1"/>
  <c r="AU13" i="23"/>
  <c r="AU15" i="23"/>
  <c r="I31" i="23"/>
  <c r="L31" i="23" s="1"/>
  <c r="I32" i="23"/>
  <c r="L32" i="23" s="1"/>
  <c r="AG31" i="23"/>
  <c r="AG34" i="23" s="1"/>
  <c r="H38" i="23" s="1"/>
  <c r="I59" i="23"/>
  <c r="L59" i="23" s="1"/>
  <c r="I62" i="23"/>
  <c r="L62" i="23" s="1"/>
  <c r="AF64" i="23"/>
  <c r="AG64" i="23" s="1"/>
  <c r="AG67" i="23" s="1"/>
  <c r="H40" i="23" s="1"/>
  <c r="AG136" i="23"/>
  <c r="H42" i="23" s="1"/>
  <c r="AI167" i="23"/>
  <c r="I201" i="23"/>
  <c r="L201" i="23" s="1"/>
  <c r="K215" i="23"/>
  <c r="AB234" i="23"/>
  <c r="AH234" i="23" s="1"/>
  <c r="AH236" i="23" s="1"/>
  <c r="AH238" i="23"/>
  <c r="AH243" i="23" s="1"/>
  <c r="AH267" i="23"/>
  <c r="AH272" i="23" s="1"/>
  <c r="AB264" i="23"/>
  <c r="AH264" i="23" s="1"/>
  <c r="AH265" i="23" s="1"/>
  <c r="I158" i="23"/>
  <c r="I160" i="23"/>
  <c r="L160" i="23" s="1"/>
  <c r="I166" i="23"/>
  <c r="L166" i="23" s="1"/>
  <c r="I179" i="23"/>
  <c r="K179" i="23"/>
  <c r="I183" i="23"/>
  <c r="K183" i="23"/>
  <c r="AW183" i="23"/>
  <c r="AX183" i="23" s="1"/>
  <c r="AX187" i="23" s="1"/>
  <c r="AH286" i="23"/>
  <c r="H238" i="23" s="1"/>
  <c r="AH220" i="23"/>
  <c r="AH225" i="23" s="1"/>
  <c r="J153" i="23" s="1"/>
  <c r="K153" i="23" s="1"/>
  <c r="AB217" i="23"/>
  <c r="AH217" i="23" s="1"/>
  <c r="AH218" i="23" s="1"/>
  <c r="AH253" i="23"/>
  <c r="AB250" i="23"/>
  <c r="AH250" i="23" s="1"/>
  <c r="AH251" i="23" s="1"/>
  <c r="I139" i="23"/>
  <c r="L139" i="23" s="1"/>
  <c r="I141" i="23"/>
  <c r="L141" i="23" s="1"/>
  <c r="I146" i="23"/>
  <c r="L146" i="23" s="1"/>
  <c r="I148" i="23"/>
  <c r="L148" i="23" s="1"/>
  <c r="I159" i="23"/>
  <c r="L159" i="23" s="1"/>
  <c r="I170" i="23"/>
  <c r="L170" i="23" s="1"/>
  <c r="I172" i="23"/>
  <c r="L172" i="23" s="1"/>
  <c r="I174" i="23"/>
  <c r="L174" i="23" s="1"/>
  <c r="I176" i="23"/>
  <c r="L176" i="23" s="1"/>
  <c r="I177" i="23"/>
  <c r="L177" i="23" s="1"/>
  <c r="I178" i="23"/>
  <c r="L178" i="23" s="1"/>
  <c r="I182" i="23"/>
  <c r="L182" i="23" s="1"/>
  <c r="I184" i="23"/>
  <c r="L184" i="23" s="1"/>
  <c r="I185" i="23"/>
  <c r="L185" i="23" s="1"/>
  <c r="I186" i="23"/>
  <c r="L186" i="23" s="1"/>
  <c r="I187" i="23"/>
  <c r="K187" i="23"/>
  <c r="L215" i="23"/>
  <c r="I188" i="23"/>
  <c r="K188" i="23"/>
  <c r="I198" i="23"/>
  <c r="K198" i="23"/>
  <c r="I200" i="23"/>
  <c r="K200" i="23"/>
  <c r="I203" i="23"/>
  <c r="K203" i="23"/>
  <c r="I204" i="23"/>
  <c r="K204" i="23"/>
  <c r="I208" i="23"/>
  <c r="K208" i="23"/>
  <c r="I209" i="23"/>
  <c r="K209" i="23"/>
  <c r="I211" i="23"/>
  <c r="K211" i="23"/>
  <c r="I213" i="23"/>
  <c r="K213" i="23"/>
  <c r="I214" i="23"/>
  <c r="K214" i="23"/>
  <c r="K220" i="23"/>
  <c r="K221" i="23"/>
  <c r="L221" i="23" s="1"/>
  <c r="K222" i="23"/>
  <c r="L222" i="23" s="1"/>
  <c r="K223" i="23"/>
  <c r="L223" i="23" s="1"/>
  <c r="K226" i="23"/>
  <c r="L226" i="23" s="1"/>
  <c r="I228" i="23"/>
  <c r="K228" i="23"/>
  <c r="I231" i="23"/>
  <c r="L231" i="23" s="1"/>
  <c r="I232" i="23"/>
  <c r="L232" i="23" s="1"/>
  <c r="I235" i="23"/>
  <c r="L235" i="23" s="1"/>
  <c r="I191" i="23"/>
  <c r="L191" i="23" s="1"/>
  <c r="I192" i="23"/>
  <c r="L192" i="23" s="1"/>
  <c r="I193" i="23"/>
  <c r="L193" i="23" s="1"/>
  <c r="L111" i="22"/>
  <c r="L194" i="22"/>
  <c r="L43" i="22"/>
  <c r="AF47" i="22"/>
  <c r="J38" i="22" s="1"/>
  <c r="K38" i="22" s="1"/>
  <c r="AD45" i="22"/>
  <c r="AF63" i="22"/>
  <c r="J40" i="22" s="1"/>
  <c r="K40" i="22" s="1"/>
  <c r="L60" i="22"/>
  <c r="L232" i="22"/>
  <c r="L236" i="22"/>
  <c r="L51" i="22"/>
  <c r="L168" i="22"/>
  <c r="L174" i="22"/>
  <c r="L178" i="22"/>
  <c r="K35" i="22"/>
  <c r="L50" i="22"/>
  <c r="AD122" i="22"/>
  <c r="AD125" i="22" s="1"/>
  <c r="H41" i="22" s="1"/>
  <c r="I41" i="22" s="1"/>
  <c r="L41" i="22" s="1"/>
  <c r="L130" i="22"/>
  <c r="L138" i="22"/>
  <c r="AR193" i="22"/>
  <c r="L226" i="22"/>
  <c r="L235" i="22"/>
  <c r="AE287" i="22"/>
  <c r="AE289" i="22" s="1"/>
  <c r="L20" i="22"/>
  <c r="AF39" i="22"/>
  <c r="L45" i="22"/>
  <c r="K73" i="22"/>
  <c r="L73" i="22" s="1"/>
  <c r="K154" i="22"/>
  <c r="L166" i="22"/>
  <c r="AU171" i="22"/>
  <c r="AU175" i="22" s="1"/>
  <c r="J48" i="22" s="1"/>
  <c r="K48" i="22" s="1"/>
  <c r="L184" i="22"/>
  <c r="L221" i="22"/>
  <c r="AR32" i="22"/>
  <c r="AR31" i="22"/>
  <c r="AR30" i="22"/>
  <c r="AR22" i="22"/>
  <c r="AR164" i="22"/>
  <c r="AS164" i="22" s="1"/>
  <c r="AS167" i="22" s="1"/>
  <c r="H44" i="22" s="1"/>
  <c r="AD44" i="22"/>
  <c r="AD47" i="22" s="1"/>
  <c r="H38" i="22" s="1"/>
  <c r="J75" i="22"/>
  <c r="K74" i="22"/>
  <c r="AR23" i="22"/>
  <c r="AR24" i="22"/>
  <c r="I25" i="22"/>
  <c r="L25" i="22" s="1"/>
  <c r="I39" i="22"/>
  <c r="L39" i="22" s="1"/>
  <c r="AR15" i="22"/>
  <c r="AR13" i="22"/>
  <c r="I31" i="22"/>
  <c r="L31" i="22" s="1"/>
  <c r="I32" i="22"/>
  <c r="L32" i="22" s="1"/>
  <c r="AD129" i="22"/>
  <c r="AD132" i="22" s="1"/>
  <c r="H42" i="22" s="1"/>
  <c r="AC59" i="22"/>
  <c r="AD59" i="22" s="1"/>
  <c r="L19" i="22"/>
  <c r="L23" i="22"/>
  <c r="L24" i="22"/>
  <c r="I72" i="22"/>
  <c r="L72" i="22" s="1"/>
  <c r="I75" i="22"/>
  <c r="I120" i="22"/>
  <c r="L120" i="22" s="1"/>
  <c r="I128" i="22"/>
  <c r="L128" i="22" s="1"/>
  <c r="L154" i="22"/>
  <c r="I55" i="22"/>
  <c r="L55" i="22" s="1"/>
  <c r="I58" i="22"/>
  <c r="L58" i="22" s="1"/>
  <c r="AC60" i="22"/>
  <c r="AD60" i="22" s="1"/>
  <c r="AD63" i="22" s="1"/>
  <c r="H40" i="22" s="1"/>
  <c r="I74" i="22"/>
  <c r="L74" i="22" s="1"/>
  <c r="I79" i="22"/>
  <c r="L79" i="22" s="1"/>
  <c r="Y230" i="22"/>
  <c r="AE230" i="22" s="1"/>
  <c r="AE232" i="22" s="1"/>
  <c r="AE234" i="22"/>
  <c r="AE239" i="22" s="1"/>
  <c r="AE249" i="22"/>
  <c r="AE254" i="22" s="1"/>
  <c r="Y246" i="22"/>
  <c r="AE246" i="22" s="1"/>
  <c r="AE247" i="22" s="1"/>
  <c r="AE255" i="22" s="1"/>
  <c r="I132" i="22"/>
  <c r="K132" i="22"/>
  <c r="I136" i="22"/>
  <c r="K136" i="22"/>
  <c r="I143" i="22"/>
  <c r="K143" i="22"/>
  <c r="I156" i="22"/>
  <c r="I162" i="22"/>
  <c r="L162" i="22" s="1"/>
  <c r="I167" i="22"/>
  <c r="K167" i="22"/>
  <c r="I169" i="22"/>
  <c r="K169" i="22"/>
  <c r="I171" i="22"/>
  <c r="K171" i="22"/>
  <c r="I175" i="22"/>
  <c r="K175" i="22"/>
  <c r="I179" i="22"/>
  <c r="K179" i="22"/>
  <c r="AE282" i="22"/>
  <c r="H234" i="22" s="1"/>
  <c r="AE216" i="22"/>
  <c r="AE221" i="22" s="1"/>
  <c r="J149" i="22" s="1"/>
  <c r="K149" i="22" s="1"/>
  <c r="Y213" i="22"/>
  <c r="AE213" i="22" s="1"/>
  <c r="AE214" i="22" s="1"/>
  <c r="I142" i="22"/>
  <c r="L142" i="22" s="1"/>
  <c r="I144" i="22"/>
  <c r="L144" i="22" s="1"/>
  <c r="AS183" i="22"/>
  <c r="H49" i="22" s="1"/>
  <c r="I183" i="22"/>
  <c r="L183" i="22" s="1"/>
  <c r="AR196" i="22"/>
  <c r="AR206" i="22" s="1"/>
  <c r="H137" i="22" s="1"/>
  <c r="I199" i="22"/>
  <c r="K199" i="22"/>
  <c r="K200" i="22"/>
  <c r="L200" i="22" s="1"/>
  <c r="K216" i="22"/>
  <c r="K217" i="22"/>
  <c r="L217" i="22" s="1"/>
  <c r="K218" i="22"/>
  <c r="L218" i="22" s="1"/>
  <c r="K219" i="22"/>
  <c r="L219" i="22" s="1"/>
  <c r="K222" i="22"/>
  <c r="L222" i="22" s="1"/>
  <c r="I224" i="22"/>
  <c r="K224" i="22"/>
  <c r="I227" i="22"/>
  <c r="L227" i="22" s="1"/>
  <c r="I228" i="22"/>
  <c r="L228" i="22" s="1"/>
  <c r="I231" i="22"/>
  <c r="L231" i="22" s="1"/>
  <c r="I187" i="22"/>
  <c r="L187" i="22" s="1"/>
  <c r="I188" i="22"/>
  <c r="L188" i="22" s="1"/>
  <c r="I189" i="22"/>
  <c r="L189" i="22" s="1"/>
  <c r="I190" i="22"/>
  <c r="L190" i="22" s="1"/>
  <c r="I191" i="22"/>
  <c r="L191" i="22" s="1"/>
  <c r="I193" i="22"/>
  <c r="L193" i="22" s="1"/>
  <c r="I195" i="22"/>
  <c r="L195" i="22" s="1"/>
  <c r="I197" i="22"/>
  <c r="L197" i="22" s="1"/>
  <c r="I198" i="22"/>
  <c r="L198" i="22" s="1"/>
  <c r="I203" i="22"/>
  <c r="L203" i="22" s="1"/>
  <c r="I206" i="22"/>
  <c r="L206" i="22" s="1"/>
  <c r="I208" i="22"/>
  <c r="L208" i="22" s="1"/>
  <c r="I211" i="22"/>
  <c r="L211" i="22" s="1"/>
  <c r="K21" i="20"/>
  <c r="H60" i="20"/>
  <c r="J136" i="20"/>
  <c r="J135" i="20"/>
  <c r="H136" i="20"/>
  <c r="H135" i="20"/>
  <c r="H135" i="17"/>
  <c r="H227" i="20"/>
  <c r="K213" i="22" l="1"/>
  <c r="AE263" i="22"/>
  <c r="AE268" i="22" s="1"/>
  <c r="AR17" i="22"/>
  <c r="H21" i="22" s="1"/>
  <c r="I21" i="22" s="1"/>
  <c r="L213" i="23"/>
  <c r="L209" i="23"/>
  <c r="L204" i="23"/>
  <c r="AH258" i="23"/>
  <c r="AH259" i="23" s="1"/>
  <c r="AH273" i="23"/>
  <c r="L156" i="22"/>
  <c r="L214" i="23"/>
  <c r="L211" i="23"/>
  <c r="L208" i="23"/>
  <c r="L203" i="23"/>
  <c r="AU17" i="23"/>
  <c r="K42" i="23"/>
  <c r="J52" i="23"/>
  <c r="J50" i="23"/>
  <c r="H52" i="23"/>
  <c r="H50" i="23"/>
  <c r="L48" i="22"/>
  <c r="L187" i="23"/>
  <c r="K217" i="23"/>
  <c r="AU26" i="23"/>
  <c r="H21" i="23" s="1"/>
  <c r="I21" i="23" s="1"/>
  <c r="I40" i="23"/>
  <c r="I38" i="23"/>
  <c r="L220" i="23"/>
  <c r="K245" i="23"/>
  <c r="I217" i="23"/>
  <c r="L158" i="23"/>
  <c r="I42" i="23"/>
  <c r="L42" i="23" s="1"/>
  <c r="I46" i="23"/>
  <c r="L46" i="23" s="1"/>
  <c r="K79" i="23"/>
  <c r="L79" i="23" s="1"/>
  <c r="L38" i="23"/>
  <c r="L200" i="23"/>
  <c r="L198" i="23"/>
  <c r="L179" i="23"/>
  <c r="AH244" i="23"/>
  <c r="AH226" i="23"/>
  <c r="AJ213" i="23" s="1"/>
  <c r="H153" i="23"/>
  <c r="I153" i="23" s="1"/>
  <c r="L153" i="23" s="1"/>
  <c r="I238" i="23"/>
  <c r="L238" i="23" s="1"/>
  <c r="K40" i="23"/>
  <c r="L40" i="23" s="1"/>
  <c r="L228" i="23"/>
  <c r="L188" i="23"/>
  <c r="L183" i="23"/>
  <c r="L143" i="22"/>
  <c r="AR26" i="22"/>
  <c r="AR33" i="22"/>
  <c r="I42" i="22"/>
  <c r="L42" i="22" s="1"/>
  <c r="I40" i="22"/>
  <c r="I49" i="22"/>
  <c r="L49" i="22" s="1"/>
  <c r="AE222" i="22"/>
  <c r="H149" i="22"/>
  <c r="I149" i="22" s="1"/>
  <c r="L149" i="22" s="1"/>
  <c r="I234" i="22"/>
  <c r="L234" i="22" s="1"/>
  <c r="I44" i="22"/>
  <c r="L44" i="22" s="1"/>
  <c r="K75" i="22"/>
  <c r="K151" i="22" s="1"/>
  <c r="L224" i="22"/>
  <c r="L199" i="22"/>
  <c r="I241" i="22"/>
  <c r="AE269" i="22"/>
  <c r="L179" i="22"/>
  <c r="L175" i="22"/>
  <c r="L171" i="22"/>
  <c r="L169" i="22"/>
  <c r="L167" i="22"/>
  <c r="L136" i="22"/>
  <c r="L132" i="22"/>
  <c r="AE240" i="22"/>
  <c r="L40" i="22"/>
  <c r="L216" i="22"/>
  <c r="K241" i="22"/>
  <c r="I137" i="22"/>
  <c r="L137" i="22" s="1"/>
  <c r="I38" i="22"/>
  <c r="I213" i="22"/>
  <c r="L75" i="22"/>
  <c r="K227" i="20"/>
  <c r="I227" i="20"/>
  <c r="K226" i="20"/>
  <c r="I226" i="20"/>
  <c r="H51" i="23" l="1"/>
  <c r="I51" i="23" s="1"/>
  <c r="I50" i="23"/>
  <c r="J51" i="23"/>
  <c r="K51" i="23" s="1"/>
  <c r="L51" i="23" s="1"/>
  <c r="K50" i="23"/>
  <c r="H53" i="23"/>
  <c r="I53" i="23" s="1"/>
  <c r="I52" i="23"/>
  <c r="J53" i="23"/>
  <c r="K53" i="23" s="1"/>
  <c r="K52" i="23"/>
  <c r="L226" i="20"/>
  <c r="L217" i="23"/>
  <c r="I245" i="23"/>
  <c r="L245" i="23"/>
  <c r="L21" i="23"/>
  <c r="I35" i="23"/>
  <c r="I155" i="23"/>
  <c r="L213" i="22"/>
  <c r="K243" i="22"/>
  <c r="I151" i="22"/>
  <c r="L38" i="22"/>
  <c r="L241" i="22"/>
  <c r="AG209" i="22"/>
  <c r="L21" i="22"/>
  <c r="I35" i="22"/>
  <c r="L227" i="20"/>
  <c r="W200" i="20"/>
  <c r="H200" i="20"/>
  <c r="AT199" i="20"/>
  <c r="AR199" i="20"/>
  <c r="AO199" i="20"/>
  <c r="J199" i="20"/>
  <c r="K199" i="20" s="1"/>
  <c r="H199" i="20"/>
  <c r="I199" i="20" s="1"/>
  <c r="W211" i="20"/>
  <c r="H211" i="20"/>
  <c r="H209" i="17"/>
  <c r="W209" i="17"/>
  <c r="L199" i="20" l="1"/>
  <c r="L52" i="23"/>
  <c r="K155" i="23"/>
  <c r="K247" i="23" s="1"/>
  <c r="L53" i="23"/>
  <c r="L50" i="23"/>
  <c r="L155" i="23" s="1"/>
  <c r="I247" i="23"/>
  <c r="L35" i="23"/>
  <c r="I243" i="22"/>
  <c r="L151" i="22"/>
  <c r="L35" i="22"/>
  <c r="J148" i="18"/>
  <c r="J147" i="18"/>
  <c r="H148" i="18"/>
  <c r="H147" i="18"/>
  <c r="R277" i="18"/>
  <c r="AP28" i="18"/>
  <c r="AP20" i="18"/>
  <c r="AP11" i="18"/>
  <c r="AR12" i="20"/>
  <c r="AG280" i="21"/>
  <c r="AE280" i="21"/>
  <c r="AD279" i="21"/>
  <c r="AF279" i="21" s="1"/>
  <c r="AG279" i="21" s="1"/>
  <c r="AG281" i="21" s="1"/>
  <c r="AB279" i="21"/>
  <c r="L279" i="21"/>
  <c r="AG273" i="21"/>
  <c r="AE273" i="21"/>
  <c r="AG272" i="21"/>
  <c r="AD272" i="21"/>
  <c r="AE272" i="21" s="1"/>
  <c r="AB272" i="21"/>
  <c r="AG271" i="21"/>
  <c r="AE271" i="21"/>
  <c r="AB271" i="21"/>
  <c r="AG270" i="21"/>
  <c r="AE270" i="21"/>
  <c r="AB270" i="21"/>
  <c r="AG269" i="21"/>
  <c r="AE269" i="21"/>
  <c r="AB269" i="21"/>
  <c r="L266" i="21"/>
  <c r="L264" i="21"/>
  <c r="L260" i="21"/>
  <c r="N255" i="21" s="1"/>
  <c r="AL259" i="21"/>
  <c r="Y258" i="21" s="1"/>
  <c r="AE258" i="21" s="1"/>
  <c r="AK259" i="21"/>
  <c r="Y257" i="21" s="1"/>
  <c r="AE257" i="21" s="1"/>
  <c r="AE259" i="21"/>
  <c r="AJ255" i="21"/>
  <c r="AI255" i="21"/>
  <c r="AJ254" i="21"/>
  <c r="AI254" i="21"/>
  <c r="AJ253" i="21"/>
  <c r="AI253" i="21"/>
  <c r="AJ252" i="21"/>
  <c r="AI252" i="21"/>
  <c r="AJ251" i="21"/>
  <c r="AI251" i="21"/>
  <c r="AL245" i="21"/>
  <c r="AK245" i="21"/>
  <c r="Y243" i="21" s="1"/>
  <c r="AE243" i="21" s="1"/>
  <c r="AE245" i="21"/>
  <c r="Y244" i="21"/>
  <c r="AE244" i="21" s="1"/>
  <c r="AJ241" i="21"/>
  <c r="AI241" i="21"/>
  <c r="AJ240" i="21"/>
  <c r="AI240" i="21"/>
  <c r="AJ239" i="21"/>
  <c r="AI239" i="21"/>
  <c r="AJ238" i="21"/>
  <c r="AI238" i="21"/>
  <c r="AJ237" i="21"/>
  <c r="AJ245" i="21" s="1"/>
  <c r="Y242" i="21" s="1"/>
  <c r="AE242" i="21" s="1"/>
  <c r="AI237" i="21"/>
  <c r="AI245" i="21" s="1"/>
  <c r="Y241" i="21" s="1"/>
  <c r="AL231" i="21"/>
  <c r="Y229" i="21" s="1"/>
  <c r="AE229" i="21" s="1"/>
  <c r="AK231" i="21"/>
  <c r="J231" i="21"/>
  <c r="K231" i="21" s="1"/>
  <c r="H231" i="21"/>
  <c r="E231" i="21"/>
  <c r="AE230" i="21"/>
  <c r="J230" i="21"/>
  <c r="K230" i="21" s="1"/>
  <c r="H230" i="21"/>
  <c r="I230" i="21" s="1"/>
  <c r="E230" i="21"/>
  <c r="J229" i="21"/>
  <c r="K229" i="21" s="1"/>
  <c r="H229" i="21"/>
  <c r="I229" i="21" s="1"/>
  <c r="E229" i="21"/>
  <c r="Y228" i="21"/>
  <c r="AE228" i="21" s="1"/>
  <c r="J228" i="21"/>
  <c r="I228" i="21"/>
  <c r="J227" i="21"/>
  <c r="K227" i="21" s="1"/>
  <c r="I227" i="21"/>
  <c r="AJ226" i="21"/>
  <c r="AI226" i="21"/>
  <c r="K226" i="21"/>
  <c r="AJ225" i="21"/>
  <c r="AI225" i="21"/>
  <c r="J225" i="21"/>
  <c r="H225" i="21"/>
  <c r="AJ224" i="21"/>
  <c r="AI224" i="21"/>
  <c r="J224" i="21"/>
  <c r="K224" i="21" s="1"/>
  <c r="I224" i="21"/>
  <c r="J223" i="21"/>
  <c r="K223" i="21" s="1"/>
  <c r="I223" i="21"/>
  <c r="AJ222" i="21"/>
  <c r="AI222" i="21"/>
  <c r="AJ221" i="21"/>
  <c r="AI221" i="21"/>
  <c r="K220" i="21"/>
  <c r="I220" i="21"/>
  <c r="K219" i="21"/>
  <c r="H219" i="21"/>
  <c r="I219" i="21" s="1"/>
  <c r="J218" i="21"/>
  <c r="K218" i="21" s="1"/>
  <c r="H218" i="21"/>
  <c r="J217" i="21"/>
  <c r="K217" i="21" s="1"/>
  <c r="I217" i="21"/>
  <c r="J216" i="21"/>
  <c r="K216" i="21" s="1"/>
  <c r="I216" i="21"/>
  <c r="J215" i="21"/>
  <c r="K215" i="21" s="1"/>
  <c r="H215" i="21"/>
  <c r="I215" i="21" s="1"/>
  <c r="AL214" i="21"/>
  <c r="Y213" i="21" s="1"/>
  <c r="AE213" i="21" s="1"/>
  <c r="AK214" i="21"/>
  <c r="Y212" i="21" s="1"/>
  <c r="AE212" i="21" s="1"/>
  <c r="AE214" i="21"/>
  <c r="J214" i="21"/>
  <c r="K214" i="21" s="1"/>
  <c r="H214" i="21"/>
  <c r="I214" i="21" s="1"/>
  <c r="J213" i="21"/>
  <c r="K213" i="21" s="1"/>
  <c r="I213" i="21"/>
  <c r="J212" i="21"/>
  <c r="K212" i="21" s="1"/>
  <c r="I212" i="21"/>
  <c r="J211" i="21"/>
  <c r="K211" i="21" s="1"/>
  <c r="I211" i="21"/>
  <c r="AJ210" i="21"/>
  <c r="AI210" i="21"/>
  <c r="J210" i="21"/>
  <c r="K210" i="21" s="1"/>
  <c r="I210" i="21"/>
  <c r="AJ209" i="21"/>
  <c r="AI209" i="21"/>
  <c r="AJ208" i="21"/>
  <c r="AI208" i="21"/>
  <c r="AJ207" i="21"/>
  <c r="AI207" i="21"/>
  <c r="AJ206" i="21"/>
  <c r="AJ214" i="21" s="1"/>
  <c r="Y211" i="21" s="1"/>
  <c r="AE211" i="21" s="1"/>
  <c r="AI206" i="21"/>
  <c r="W205" i="21"/>
  <c r="J205" i="21" s="1"/>
  <c r="H205" i="21"/>
  <c r="J204" i="21"/>
  <c r="K204" i="21" s="1"/>
  <c r="H204" i="21"/>
  <c r="J203" i="21"/>
  <c r="K203" i="21" s="1"/>
  <c r="H203" i="21"/>
  <c r="I203" i="21" s="1"/>
  <c r="J202" i="21"/>
  <c r="H202" i="21"/>
  <c r="J201" i="21"/>
  <c r="K201" i="21" s="1"/>
  <c r="H201" i="21"/>
  <c r="J200" i="21"/>
  <c r="H200" i="21"/>
  <c r="AT199" i="21"/>
  <c r="AR199" i="21"/>
  <c r="J199" i="21"/>
  <c r="K199" i="21" s="1"/>
  <c r="H199" i="21"/>
  <c r="AT198" i="21"/>
  <c r="AR198" i="21"/>
  <c r="AO198" i="21"/>
  <c r="J198" i="21"/>
  <c r="K198" i="21" s="1"/>
  <c r="H198" i="21"/>
  <c r="AT197" i="21"/>
  <c r="AQ197" i="21"/>
  <c r="AR197" i="21" s="1"/>
  <c r="AO197" i="21"/>
  <c r="J197" i="21"/>
  <c r="H197" i="21"/>
  <c r="AT196" i="21"/>
  <c r="AQ196" i="21"/>
  <c r="AR196" i="21" s="1"/>
  <c r="AO196" i="21"/>
  <c r="AT195" i="21"/>
  <c r="AR195" i="21"/>
  <c r="AT194" i="21"/>
  <c r="AR194" i="21"/>
  <c r="AO194" i="21"/>
  <c r="J194" i="21"/>
  <c r="H194" i="21"/>
  <c r="AT193" i="21"/>
  <c r="AR193" i="21"/>
  <c r="J193" i="21"/>
  <c r="K193" i="21" s="1"/>
  <c r="H193" i="21"/>
  <c r="I193" i="21" s="1"/>
  <c r="AT192" i="21"/>
  <c r="AR192" i="21"/>
  <c r="T192" i="21"/>
  <c r="H192" i="21" s="1"/>
  <c r="I192" i="21" s="1"/>
  <c r="J192" i="21"/>
  <c r="K192" i="21" s="1"/>
  <c r="AQ191" i="21"/>
  <c r="AP191" i="21"/>
  <c r="AT191" i="21" s="1"/>
  <c r="J191" i="21"/>
  <c r="H191" i="21"/>
  <c r="J190" i="21"/>
  <c r="K190" i="21" s="1"/>
  <c r="H190" i="21"/>
  <c r="J189" i="21"/>
  <c r="H189" i="21"/>
  <c r="J188" i="21"/>
  <c r="K188" i="21" s="1"/>
  <c r="H188" i="21"/>
  <c r="AT187" i="21"/>
  <c r="AQ187" i="21"/>
  <c r="AR187" i="21" s="1"/>
  <c r="AT186" i="21"/>
  <c r="AQ186" i="21"/>
  <c r="AR186" i="21" s="1"/>
  <c r="T186" i="21"/>
  <c r="J186" i="21"/>
  <c r="K186" i="21" s="1"/>
  <c r="H186" i="21"/>
  <c r="AT185" i="21"/>
  <c r="AR185" i="21"/>
  <c r="T185" i="21"/>
  <c r="J185" i="21"/>
  <c r="K185" i="21" s="1"/>
  <c r="H185" i="21"/>
  <c r="T184" i="21"/>
  <c r="J184" i="21"/>
  <c r="K184" i="21" s="1"/>
  <c r="H184" i="21"/>
  <c r="T183" i="21"/>
  <c r="H183" i="21" s="1"/>
  <c r="J183" i="21"/>
  <c r="K183" i="21" s="1"/>
  <c r="T182" i="21"/>
  <c r="H182" i="21" s="1"/>
  <c r="J182" i="21"/>
  <c r="K182" i="21" s="1"/>
  <c r="J179" i="21"/>
  <c r="H179" i="21"/>
  <c r="I179" i="21" s="1"/>
  <c r="J178" i="21"/>
  <c r="K178" i="21" s="1"/>
  <c r="H178" i="21"/>
  <c r="AU177" i="21"/>
  <c r="AR177" i="21"/>
  <c r="AS177" i="21" s="1"/>
  <c r="J177" i="21"/>
  <c r="K177" i="21" s="1"/>
  <c r="H177" i="21"/>
  <c r="AU176" i="21"/>
  <c r="AR176" i="21"/>
  <c r="AS176" i="21" s="1"/>
  <c r="J176" i="21"/>
  <c r="K176" i="21" s="1"/>
  <c r="H176" i="21"/>
  <c r="AU175" i="21"/>
  <c r="AR175" i="21"/>
  <c r="AS175" i="21" s="1"/>
  <c r="J175" i="21"/>
  <c r="K175" i="21" s="1"/>
  <c r="H175" i="21"/>
  <c r="AR174" i="21"/>
  <c r="AS174" i="21" s="1"/>
  <c r="J174" i="21"/>
  <c r="K174" i="21" s="1"/>
  <c r="H174" i="21"/>
  <c r="I174" i="21" s="1"/>
  <c r="J173" i="21"/>
  <c r="K173" i="21" s="1"/>
  <c r="H173" i="21"/>
  <c r="J170" i="21"/>
  <c r="H170" i="21"/>
  <c r="AU169" i="21"/>
  <c r="AS169" i="21"/>
  <c r="J169" i="21"/>
  <c r="K169" i="21" s="1"/>
  <c r="H169" i="21"/>
  <c r="AU168" i="21"/>
  <c r="AR168" i="21"/>
  <c r="AS168" i="21" s="1"/>
  <c r="J168" i="21"/>
  <c r="K168" i="21" s="1"/>
  <c r="H168" i="21"/>
  <c r="I168" i="21" s="1"/>
  <c r="AU167" i="21"/>
  <c r="AR167" i="21"/>
  <c r="AS167" i="21" s="1"/>
  <c r="J167" i="21"/>
  <c r="K167" i="21" s="1"/>
  <c r="H167" i="21"/>
  <c r="I167" i="21" s="1"/>
  <c r="AT166" i="21"/>
  <c r="AU166" i="21" s="1"/>
  <c r="AR166" i="21"/>
  <c r="AS166" i="21" s="1"/>
  <c r="J166" i="21"/>
  <c r="H166" i="21"/>
  <c r="J165" i="21"/>
  <c r="K165" i="21" s="1"/>
  <c r="H165" i="21"/>
  <c r="J164" i="21"/>
  <c r="H164" i="21"/>
  <c r="J163" i="21"/>
  <c r="K163" i="21" s="1"/>
  <c r="H163" i="21"/>
  <c r="J162" i="21"/>
  <c r="H162" i="21"/>
  <c r="AU161" i="21"/>
  <c r="AS161" i="21"/>
  <c r="J161" i="21"/>
  <c r="K161" i="21" s="1"/>
  <c r="H161" i="21"/>
  <c r="AU160" i="21"/>
  <c r="AU159" i="21"/>
  <c r="AU158" i="21"/>
  <c r="AR158" i="21"/>
  <c r="AS158" i="21" s="1"/>
  <c r="T158" i="21"/>
  <c r="K158" i="21"/>
  <c r="H158" i="21"/>
  <c r="I158" i="21" s="1"/>
  <c r="L158" i="21" s="1"/>
  <c r="AH157" i="21"/>
  <c r="AF157" i="21"/>
  <c r="T157" i="21"/>
  <c r="K157" i="21"/>
  <c r="H157" i="21"/>
  <c r="AH156" i="21"/>
  <c r="AF156" i="21"/>
  <c r="AH155" i="21"/>
  <c r="AF155" i="21"/>
  <c r="T155" i="21"/>
  <c r="K155" i="21"/>
  <c r="H155" i="21"/>
  <c r="I155" i="21" s="1"/>
  <c r="AH154" i="21"/>
  <c r="AF154" i="21"/>
  <c r="AB154" i="21"/>
  <c r="T154" i="21"/>
  <c r="K154" i="21"/>
  <c r="H154" i="21"/>
  <c r="I154" i="21" s="1"/>
  <c r="AH153" i="21"/>
  <c r="AE153" i="21"/>
  <c r="AF153" i="21" s="1"/>
  <c r="AB153" i="21"/>
  <c r="AH152" i="21"/>
  <c r="AE152" i="21"/>
  <c r="AF152" i="21" s="1"/>
  <c r="T152" i="21"/>
  <c r="K152" i="21"/>
  <c r="H152" i="21"/>
  <c r="I152" i="21" s="1"/>
  <c r="AH151" i="21"/>
  <c r="AE151" i="21"/>
  <c r="AF151" i="21" s="1"/>
  <c r="T151" i="21"/>
  <c r="J151" i="21"/>
  <c r="H151" i="21"/>
  <c r="F151" i="21"/>
  <c r="E151" i="21"/>
  <c r="AH150" i="21"/>
  <c r="AE150" i="21"/>
  <c r="AF150" i="21" s="1"/>
  <c r="T150" i="21"/>
  <c r="J150" i="21"/>
  <c r="K150" i="21" s="1"/>
  <c r="H150" i="21"/>
  <c r="I150" i="21" s="1"/>
  <c r="AH149" i="21"/>
  <c r="AE149" i="21"/>
  <c r="AF149" i="21" s="1"/>
  <c r="AB149" i="21"/>
  <c r="T149" i="21"/>
  <c r="H149" i="21"/>
  <c r="F149" i="21"/>
  <c r="K149" i="21" s="1"/>
  <c r="E149" i="21"/>
  <c r="AH148" i="21"/>
  <c r="AE148" i="21"/>
  <c r="AF148" i="21" s="1"/>
  <c r="AB148" i="21"/>
  <c r="AH147" i="21"/>
  <c r="AE147" i="21"/>
  <c r="AF147" i="21" s="1"/>
  <c r="AB147" i="21"/>
  <c r="AH146" i="21"/>
  <c r="AE146" i="21"/>
  <c r="AF146" i="21" s="1"/>
  <c r="AH145" i="21"/>
  <c r="AE145" i="21"/>
  <c r="AF145" i="21" s="1"/>
  <c r="AB145" i="21"/>
  <c r="AH144" i="21"/>
  <c r="AE144" i="21"/>
  <c r="AF144" i="21" s="1"/>
  <c r="AB144" i="21"/>
  <c r="O144" i="21"/>
  <c r="O143" i="21"/>
  <c r="J143" i="21"/>
  <c r="K143" i="21" s="1"/>
  <c r="H143" i="21"/>
  <c r="I143" i="21" s="1"/>
  <c r="O142" i="21"/>
  <c r="J142" i="21"/>
  <c r="K142" i="21" s="1"/>
  <c r="H142" i="21"/>
  <c r="I142" i="21" s="1"/>
  <c r="J139" i="21"/>
  <c r="K139" i="21" s="1"/>
  <c r="H139" i="21"/>
  <c r="J138" i="21"/>
  <c r="H138" i="21"/>
  <c r="J137" i="21"/>
  <c r="K137" i="21" s="1"/>
  <c r="H137" i="21"/>
  <c r="K133" i="21"/>
  <c r="I133" i="21"/>
  <c r="K131" i="21"/>
  <c r="I131" i="21"/>
  <c r="K130" i="21"/>
  <c r="I130" i="21"/>
  <c r="J127" i="21"/>
  <c r="K127" i="21" s="1"/>
  <c r="H127" i="21"/>
  <c r="I127" i="21" s="1"/>
  <c r="AF126" i="21"/>
  <c r="AD126" i="21"/>
  <c r="K126" i="21"/>
  <c r="I126" i="21"/>
  <c r="AF125" i="21"/>
  <c r="AC125" i="21"/>
  <c r="AD125" i="21" s="1"/>
  <c r="K125" i="21"/>
  <c r="I125" i="21"/>
  <c r="AF124" i="21"/>
  <c r="K124" i="21"/>
  <c r="H124" i="21"/>
  <c r="AF123" i="21"/>
  <c r="AC123" i="21"/>
  <c r="AD123" i="21" s="1"/>
  <c r="K123" i="21"/>
  <c r="H123" i="21"/>
  <c r="I123" i="21" s="1"/>
  <c r="E123" i="21"/>
  <c r="K122" i="21"/>
  <c r="H122" i="21"/>
  <c r="K121" i="21"/>
  <c r="H121" i="21"/>
  <c r="AF119" i="21"/>
  <c r="AC119" i="21"/>
  <c r="AD119" i="21" s="1"/>
  <c r="AF118" i="21"/>
  <c r="AC118" i="21"/>
  <c r="AD118" i="21" s="1"/>
  <c r="K118" i="21"/>
  <c r="H118" i="21"/>
  <c r="E118" i="21"/>
  <c r="AF117" i="21"/>
  <c r="AC117" i="21"/>
  <c r="AC124" i="21" s="1"/>
  <c r="AD124" i="21" s="1"/>
  <c r="K117" i="21"/>
  <c r="H117" i="21"/>
  <c r="AF116" i="21"/>
  <c r="AC116" i="21"/>
  <c r="AD116" i="21" s="1"/>
  <c r="K115" i="21"/>
  <c r="H115" i="21"/>
  <c r="I115" i="21" s="1"/>
  <c r="E115" i="21"/>
  <c r="K114" i="21"/>
  <c r="H114" i="21"/>
  <c r="T110" i="21"/>
  <c r="S110" i="21"/>
  <c r="K110" i="21"/>
  <c r="I110" i="21"/>
  <c r="T108" i="21"/>
  <c r="S108" i="21"/>
  <c r="K108" i="21"/>
  <c r="I108" i="21"/>
  <c r="T106" i="21"/>
  <c r="S106" i="21"/>
  <c r="K106" i="21"/>
  <c r="I106" i="21"/>
  <c r="T104" i="21"/>
  <c r="S104" i="21"/>
  <c r="K104" i="21"/>
  <c r="I104" i="21"/>
  <c r="T101" i="21"/>
  <c r="S101" i="21"/>
  <c r="K101" i="21"/>
  <c r="I101" i="21"/>
  <c r="T98" i="21"/>
  <c r="S98" i="21"/>
  <c r="K98" i="21"/>
  <c r="I98" i="21"/>
  <c r="T96" i="21"/>
  <c r="S96" i="21"/>
  <c r="K96" i="21"/>
  <c r="I96" i="21"/>
  <c r="T94" i="21"/>
  <c r="S94" i="21"/>
  <c r="K94" i="21"/>
  <c r="I94" i="21"/>
  <c r="T92" i="21"/>
  <c r="S92" i="21"/>
  <c r="K92" i="21"/>
  <c r="I92" i="21"/>
  <c r="T90" i="21"/>
  <c r="S90" i="21"/>
  <c r="K90" i="21"/>
  <c r="I90" i="21"/>
  <c r="T88" i="21"/>
  <c r="S88" i="21"/>
  <c r="K88" i="21"/>
  <c r="I88" i="21"/>
  <c r="T86" i="21"/>
  <c r="S86" i="21"/>
  <c r="K86" i="21"/>
  <c r="I86" i="21"/>
  <c r="T84" i="21"/>
  <c r="S84" i="21"/>
  <c r="K84" i="21"/>
  <c r="I84" i="21"/>
  <c r="T82" i="21"/>
  <c r="S82" i="21"/>
  <c r="K82" i="21"/>
  <c r="I82" i="21"/>
  <c r="T80" i="21"/>
  <c r="S80" i="21"/>
  <c r="K80" i="21"/>
  <c r="I80" i="21"/>
  <c r="T78" i="21"/>
  <c r="S78" i="21"/>
  <c r="K78" i="21"/>
  <c r="I78" i="21"/>
  <c r="AF75" i="21"/>
  <c r="AD75" i="21"/>
  <c r="AF74" i="21"/>
  <c r="AC74" i="21"/>
  <c r="AD74" i="21" s="1"/>
  <c r="J74" i="21"/>
  <c r="H74" i="21"/>
  <c r="AF73" i="21"/>
  <c r="AC73" i="21"/>
  <c r="AD73" i="21" s="1"/>
  <c r="AF72" i="21"/>
  <c r="AC72" i="21"/>
  <c r="AD72" i="21" s="1"/>
  <c r="K72" i="21"/>
  <c r="H72" i="21"/>
  <c r="I72" i="21" s="1"/>
  <c r="K71" i="21"/>
  <c r="H71" i="21"/>
  <c r="I71" i="21" s="1"/>
  <c r="H70" i="21"/>
  <c r="H69" i="21"/>
  <c r="AF68" i="21"/>
  <c r="AC68" i="21"/>
  <c r="AD68" i="21" s="1"/>
  <c r="J68" i="21"/>
  <c r="J69" i="21" s="1"/>
  <c r="H68" i="21"/>
  <c r="AF67" i="21"/>
  <c r="AF69" i="21" s="1"/>
  <c r="AC67" i="21"/>
  <c r="AD67" i="21" s="1"/>
  <c r="AD69" i="21" s="1"/>
  <c r="K67" i="21"/>
  <c r="H67" i="21"/>
  <c r="I67" i="21" s="1"/>
  <c r="K65" i="21"/>
  <c r="I65" i="21"/>
  <c r="K63" i="21"/>
  <c r="I63" i="21"/>
  <c r="K60" i="21"/>
  <c r="I60" i="21"/>
  <c r="K58" i="21"/>
  <c r="I58" i="21"/>
  <c r="AE57" i="21"/>
  <c r="AF57" i="21" s="1"/>
  <c r="AC57" i="21"/>
  <c r="AD57" i="21" s="1"/>
  <c r="K57" i="21"/>
  <c r="I57" i="21"/>
  <c r="E57" i="21"/>
  <c r="AE56" i="21"/>
  <c r="AF56" i="21" s="1"/>
  <c r="AC56" i="21"/>
  <c r="AD56" i="21" s="1"/>
  <c r="W56" i="21"/>
  <c r="AF55" i="21"/>
  <c r="K55" i="21"/>
  <c r="H55" i="21"/>
  <c r="I55" i="21" s="1"/>
  <c r="AF54" i="21"/>
  <c r="AC54" i="21"/>
  <c r="AD54" i="21" s="1"/>
  <c r="AF53" i="21"/>
  <c r="AC53" i="21"/>
  <c r="AD53" i="21" s="1"/>
  <c r="J53" i="21"/>
  <c r="K53" i="21" s="1"/>
  <c r="H53" i="21"/>
  <c r="I53" i="21" s="1"/>
  <c r="AR52" i="21"/>
  <c r="AR51" i="21"/>
  <c r="J51" i="21"/>
  <c r="H51" i="21"/>
  <c r="J50" i="21"/>
  <c r="K50" i="21" s="1"/>
  <c r="H50" i="21"/>
  <c r="I50" i="21" s="1"/>
  <c r="J46" i="21"/>
  <c r="H46" i="21"/>
  <c r="E46" i="21"/>
  <c r="J45" i="21"/>
  <c r="H45" i="21"/>
  <c r="I45" i="21" s="1"/>
  <c r="E45" i="21"/>
  <c r="AF41" i="21"/>
  <c r="AD41" i="21"/>
  <c r="AF40" i="21"/>
  <c r="AC40" i="21"/>
  <c r="AR160" i="21" s="1"/>
  <c r="AS160" i="21" s="1"/>
  <c r="K40" i="21"/>
  <c r="I40" i="21"/>
  <c r="E40" i="21"/>
  <c r="AF39" i="21"/>
  <c r="AF38" i="21"/>
  <c r="AC38" i="21"/>
  <c r="AD38" i="21" s="1"/>
  <c r="K38" i="21"/>
  <c r="I38" i="21"/>
  <c r="E35" i="21"/>
  <c r="K34" i="21"/>
  <c r="E34" i="21"/>
  <c r="AE33" i="21"/>
  <c r="AF33" i="21" s="1"/>
  <c r="W33" i="21"/>
  <c r="E33" i="21"/>
  <c r="AF32" i="21"/>
  <c r="AC32" i="21"/>
  <c r="AD32" i="21" s="1"/>
  <c r="AF31" i="21"/>
  <c r="AC31" i="21"/>
  <c r="AD31" i="21" s="1"/>
  <c r="K28" i="21"/>
  <c r="I28" i="21"/>
  <c r="J27" i="21"/>
  <c r="K27" i="21" s="1"/>
  <c r="H27" i="21"/>
  <c r="I27" i="21" s="1"/>
  <c r="L27" i="21" s="1"/>
  <c r="J26" i="21"/>
  <c r="K26" i="21" s="1"/>
  <c r="H26" i="21"/>
  <c r="K25" i="21"/>
  <c r="H25" i="21"/>
  <c r="K24" i="21"/>
  <c r="I24" i="21"/>
  <c r="AP23" i="21"/>
  <c r="AR24" i="21" s="1"/>
  <c r="K23" i="21"/>
  <c r="I23" i="21"/>
  <c r="K22" i="21"/>
  <c r="I22" i="21"/>
  <c r="K21" i="21"/>
  <c r="H21" i="21"/>
  <c r="H20" i="21"/>
  <c r="F20" i="21"/>
  <c r="K20" i="21" s="1"/>
  <c r="E20" i="21"/>
  <c r="K19" i="21"/>
  <c r="I19" i="21"/>
  <c r="K18" i="21"/>
  <c r="H18" i="21"/>
  <c r="I18" i="21" s="1"/>
  <c r="K17" i="21"/>
  <c r="I17" i="21"/>
  <c r="K16" i="21"/>
  <c r="AP15" i="21"/>
  <c r="AR16" i="21" s="1"/>
  <c r="J15" i="21"/>
  <c r="I15" i="21"/>
  <c r="K14" i="21"/>
  <c r="I14" i="21"/>
  <c r="K13" i="21"/>
  <c r="I13" i="21"/>
  <c r="K12" i="21"/>
  <c r="I12" i="21"/>
  <c r="AP6" i="21"/>
  <c r="AR7" i="21" s="1"/>
  <c r="D5" i="21"/>
  <c r="O149" i="20"/>
  <c r="O148" i="20"/>
  <c r="O147" i="20"/>
  <c r="AG288" i="20"/>
  <c r="AE288" i="20"/>
  <c r="AE287" i="20"/>
  <c r="AE289" i="20" s="1"/>
  <c r="AD287" i="20"/>
  <c r="AF287" i="20" s="1"/>
  <c r="AG287" i="20" s="1"/>
  <c r="AB287" i="20"/>
  <c r="L287" i="20"/>
  <c r="AG281" i="20"/>
  <c r="AE281" i="20"/>
  <c r="AG280" i="20"/>
  <c r="AD280" i="20"/>
  <c r="AE280" i="20" s="1"/>
  <c r="AB280" i="20"/>
  <c r="AG279" i="20"/>
  <c r="AE279" i="20"/>
  <c r="AB279" i="20"/>
  <c r="AG278" i="20"/>
  <c r="AE278" i="20"/>
  <c r="AB278" i="20"/>
  <c r="AG277" i="20"/>
  <c r="AE277" i="20"/>
  <c r="AB277" i="20"/>
  <c r="L274" i="20"/>
  <c r="L272" i="20"/>
  <c r="L268" i="20"/>
  <c r="AL267" i="20"/>
  <c r="AK267" i="20"/>
  <c r="Y265" i="20" s="1"/>
  <c r="AE265" i="20" s="1"/>
  <c r="AE267" i="20"/>
  <c r="Y266" i="20"/>
  <c r="AE266" i="20" s="1"/>
  <c r="AJ263" i="20"/>
  <c r="AI263" i="20"/>
  <c r="AJ262" i="20"/>
  <c r="AI262" i="20"/>
  <c r="AJ261" i="20"/>
  <c r="AI261" i="20"/>
  <c r="AJ260" i="20"/>
  <c r="AI260" i="20"/>
  <c r="AJ259" i="20"/>
  <c r="AI259" i="20"/>
  <c r="AL253" i="20"/>
  <c r="Y252" i="20" s="1"/>
  <c r="AE252" i="20" s="1"/>
  <c r="AK253" i="20"/>
  <c r="Y251" i="20" s="1"/>
  <c r="AE251" i="20" s="1"/>
  <c r="AE253" i="20"/>
  <c r="AJ249" i="20"/>
  <c r="AI249" i="20"/>
  <c r="AJ248" i="20"/>
  <c r="AI248" i="20"/>
  <c r="AJ247" i="20"/>
  <c r="AI247" i="20"/>
  <c r="AJ246" i="20"/>
  <c r="AI246" i="20"/>
  <c r="AJ245" i="20"/>
  <c r="AI245" i="20"/>
  <c r="AI253" i="20" s="1"/>
  <c r="Y249" i="20" s="1"/>
  <c r="AL239" i="20"/>
  <c r="Y237" i="20" s="1"/>
  <c r="AE237" i="20" s="1"/>
  <c r="AK239" i="20"/>
  <c r="E239" i="20"/>
  <c r="AE238" i="20"/>
  <c r="J238" i="20"/>
  <c r="K238" i="20" s="1"/>
  <c r="H238" i="20"/>
  <c r="I238" i="20" s="1"/>
  <c r="E238" i="20"/>
  <c r="J237" i="20"/>
  <c r="K237" i="20" s="1"/>
  <c r="H237" i="20"/>
  <c r="I237" i="20" s="1"/>
  <c r="E237" i="20"/>
  <c r="Y236" i="20"/>
  <c r="AE236" i="20" s="1"/>
  <c r="J236" i="20"/>
  <c r="K236" i="20" s="1"/>
  <c r="I236" i="20"/>
  <c r="K235" i="20"/>
  <c r="J235" i="20"/>
  <c r="I235" i="20"/>
  <c r="L235" i="20" s="1"/>
  <c r="AJ234" i="20"/>
  <c r="AI234" i="20"/>
  <c r="K234" i="20"/>
  <c r="AJ233" i="20"/>
  <c r="AI233" i="20"/>
  <c r="K233" i="20"/>
  <c r="J233" i="20"/>
  <c r="I233" i="20"/>
  <c r="L233" i="20" s="1"/>
  <c r="H233" i="20"/>
  <c r="AJ232" i="20"/>
  <c r="AI232" i="20"/>
  <c r="K232" i="20"/>
  <c r="J232" i="20"/>
  <c r="I232" i="20"/>
  <c r="K231" i="20"/>
  <c r="I231" i="20"/>
  <c r="AJ230" i="20"/>
  <c r="AI230" i="20"/>
  <c r="AJ229" i="20"/>
  <c r="AI229" i="20"/>
  <c r="K228" i="20"/>
  <c r="I228" i="20"/>
  <c r="K225" i="20"/>
  <c r="I225" i="20"/>
  <c r="L225" i="20" s="1"/>
  <c r="H225" i="20"/>
  <c r="J224" i="20"/>
  <c r="K224" i="20" s="1"/>
  <c r="H224" i="20"/>
  <c r="I224" i="20" s="1"/>
  <c r="K223" i="20"/>
  <c r="J223" i="20"/>
  <c r="I223" i="20"/>
  <c r="J222" i="20"/>
  <c r="K222" i="20" s="1"/>
  <c r="I222" i="20"/>
  <c r="J221" i="20"/>
  <c r="K221" i="20" s="1"/>
  <c r="H221" i="20"/>
  <c r="AL220" i="20"/>
  <c r="Y219" i="20" s="1"/>
  <c r="AE219" i="20" s="1"/>
  <c r="AK220" i="20"/>
  <c r="Y218" i="20" s="1"/>
  <c r="AE218" i="20" s="1"/>
  <c r="AE220" i="20"/>
  <c r="J220" i="20"/>
  <c r="K220" i="20" s="1"/>
  <c r="H220" i="20"/>
  <c r="K219" i="20"/>
  <c r="J219" i="20"/>
  <c r="I219" i="20"/>
  <c r="K218" i="20"/>
  <c r="J218" i="20"/>
  <c r="I218" i="20"/>
  <c r="J217" i="20"/>
  <c r="K217" i="20" s="1"/>
  <c r="I217" i="20"/>
  <c r="AJ216" i="20"/>
  <c r="AI216" i="20"/>
  <c r="J216" i="20"/>
  <c r="K216" i="20" s="1"/>
  <c r="I216" i="20"/>
  <c r="AJ215" i="20"/>
  <c r="AI215" i="20"/>
  <c r="AJ214" i="20"/>
  <c r="AI214" i="20"/>
  <c r="AJ213" i="20"/>
  <c r="AI213" i="20"/>
  <c r="AJ212" i="20"/>
  <c r="AI212" i="20"/>
  <c r="J211" i="20"/>
  <c r="K211" i="20" s="1"/>
  <c r="I211" i="20"/>
  <c r="J210" i="20"/>
  <c r="K210" i="20" s="1"/>
  <c r="H210" i="20"/>
  <c r="I210" i="20" s="1"/>
  <c r="J209" i="20"/>
  <c r="K209" i="20" s="1"/>
  <c r="H209" i="20"/>
  <c r="I209" i="20" s="1"/>
  <c r="J208" i="20"/>
  <c r="K208" i="20" s="1"/>
  <c r="H208" i="20"/>
  <c r="I208" i="20" s="1"/>
  <c r="J207" i="20"/>
  <c r="K207" i="20" s="1"/>
  <c r="H207" i="20"/>
  <c r="I207" i="20" s="1"/>
  <c r="J206" i="20"/>
  <c r="K206" i="20" s="1"/>
  <c r="H206" i="20"/>
  <c r="I206" i="20" s="1"/>
  <c r="AT205" i="20"/>
  <c r="AR205" i="20"/>
  <c r="J205" i="20"/>
  <c r="K205" i="20" s="1"/>
  <c r="H205" i="20"/>
  <c r="I205" i="20" s="1"/>
  <c r="AT204" i="20"/>
  <c r="AR204" i="20"/>
  <c r="AO204" i="20"/>
  <c r="J204" i="20"/>
  <c r="K204" i="20" s="1"/>
  <c r="H204" i="20"/>
  <c r="I204" i="20" s="1"/>
  <c r="AT203" i="20"/>
  <c r="AQ203" i="20"/>
  <c r="AR203" i="20" s="1"/>
  <c r="AO203" i="20"/>
  <c r="J203" i="20"/>
  <c r="K203" i="20" s="1"/>
  <c r="H203" i="20"/>
  <c r="I203" i="20" s="1"/>
  <c r="AT202" i="20"/>
  <c r="AQ202" i="20"/>
  <c r="AR202" i="20" s="1"/>
  <c r="AO202" i="20"/>
  <c r="AT201" i="20"/>
  <c r="AR201" i="20"/>
  <c r="AT200" i="20"/>
  <c r="AR200" i="20"/>
  <c r="AO200" i="20"/>
  <c r="J200" i="20"/>
  <c r="K200" i="20" s="1"/>
  <c r="I200" i="20"/>
  <c r="AT198" i="20"/>
  <c r="AR198" i="20"/>
  <c r="J198" i="20"/>
  <c r="K198" i="20" s="1"/>
  <c r="H198" i="20"/>
  <c r="I198" i="20" s="1"/>
  <c r="AT197" i="20"/>
  <c r="AR197" i="20"/>
  <c r="T197" i="20"/>
  <c r="H197" i="20" s="1"/>
  <c r="I197" i="20" s="1"/>
  <c r="J197" i="20"/>
  <c r="K197" i="20" s="1"/>
  <c r="AQ196" i="20"/>
  <c r="AP196" i="20"/>
  <c r="AT196" i="20" s="1"/>
  <c r="AT206" i="20" s="1"/>
  <c r="J137" i="20" s="1"/>
  <c r="K137" i="20" s="1"/>
  <c r="J196" i="20"/>
  <c r="K196" i="20" s="1"/>
  <c r="H196" i="20"/>
  <c r="I196" i="20" s="1"/>
  <c r="L196" i="20" s="1"/>
  <c r="J195" i="20"/>
  <c r="K195" i="20" s="1"/>
  <c r="H195" i="20"/>
  <c r="I195" i="20" s="1"/>
  <c r="J194" i="20"/>
  <c r="K194" i="20" s="1"/>
  <c r="H194" i="20"/>
  <c r="I194" i="20" s="1"/>
  <c r="J193" i="20"/>
  <c r="K193" i="20" s="1"/>
  <c r="H193" i="20"/>
  <c r="I193" i="20" s="1"/>
  <c r="AT192" i="20"/>
  <c r="AQ192" i="20"/>
  <c r="AR192" i="20" s="1"/>
  <c r="AT191" i="20"/>
  <c r="AQ191" i="20"/>
  <c r="AR191" i="20" s="1"/>
  <c r="T191" i="20"/>
  <c r="J191" i="20"/>
  <c r="K191" i="20" s="1"/>
  <c r="H191" i="20"/>
  <c r="I191" i="20" s="1"/>
  <c r="AT190" i="20"/>
  <c r="AR190" i="20"/>
  <c r="T190" i="20"/>
  <c r="H190" i="20" s="1"/>
  <c r="I190" i="20" s="1"/>
  <c r="L190" i="20" s="1"/>
  <c r="J190" i="20"/>
  <c r="K190" i="20" s="1"/>
  <c r="T189" i="20"/>
  <c r="J189" i="20"/>
  <c r="K189" i="20" s="1"/>
  <c r="H189" i="20"/>
  <c r="I189" i="20" s="1"/>
  <c r="T188" i="20"/>
  <c r="J188" i="20"/>
  <c r="K188" i="20" s="1"/>
  <c r="H188" i="20"/>
  <c r="I188" i="20" s="1"/>
  <c r="T187" i="20"/>
  <c r="H187" i="20" s="1"/>
  <c r="I187" i="20" s="1"/>
  <c r="J187" i="20"/>
  <c r="K187" i="20" s="1"/>
  <c r="J184" i="20"/>
  <c r="K184" i="20" s="1"/>
  <c r="H184" i="20"/>
  <c r="I184" i="20" s="1"/>
  <c r="J183" i="20"/>
  <c r="K183" i="20" s="1"/>
  <c r="H183" i="20"/>
  <c r="I183" i="20" s="1"/>
  <c r="AU182" i="20"/>
  <c r="AR182" i="20"/>
  <c r="AS182" i="20" s="1"/>
  <c r="J182" i="20"/>
  <c r="K182" i="20" s="1"/>
  <c r="H182" i="20"/>
  <c r="I182" i="20" s="1"/>
  <c r="L182" i="20" s="1"/>
  <c r="AU181" i="20"/>
  <c r="AS181" i="20"/>
  <c r="AR181" i="20"/>
  <c r="J181" i="20"/>
  <c r="K181" i="20" s="1"/>
  <c r="H181" i="20"/>
  <c r="I181" i="20" s="1"/>
  <c r="AU180" i="20"/>
  <c r="AR180" i="20"/>
  <c r="AS180" i="20" s="1"/>
  <c r="J180" i="20"/>
  <c r="K180" i="20" s="1"/>
  <c r="H180" i="20"/>
  <c r="I180" i="20" s="1"/>
  <c r="AR179" i="20"/>
  <c r="AS179" i="20" s="1"/>
  <c r="J179" i="20"/>
  <c r="K179" i="20" s="1"/>
  <c r="H179" i="20"/>
  <c r="I179" i="20" s="1"/>
  <c r="J178" i="20"/>
  <c r="K178" i="20" s="1"/>
  <c r="H178" i="20"/>
  <c r="I178" i="20" s="1"/>
  <c r="J175" i="20"/>
  <c r="K175" i="20" s="1"/>
  <c r="H175" i="20"/>
  <c r="I175" i="20" s="1"/>
  <c r="AU174" i="20"/>
  <c r="AS174" i="20"/>
  <c r="J174" i="20"/>
  <c r="K174" i="20" s="1"/>
  <c r="H174" i="20"/>
  <c r="I174" i="20" s="1"/>
  <c r="AU173" i="20"/>
  <c r="AR173" i="20"/>
  <c r="AS173" i="20" s="1"/>
  <c r="J173" i="20"/>
  <c r="K173" i="20" s="1"/>
  <c r="H173" i="20"/>
  <c r="I173" i="20" s="1"/>
  <c r="L173" i="20" s="1"/>
  <c r="AU172" i="20"/>
  <c r="AS172" i="20"/>
  <c r="AR172" i="20"/>
  <c r="J172" i="20"/>
  <c r="K172" i="20" s="1"/>
  <c r="H172" i="20"/>
  <c r="I172" i="20" s="1"/>
  <c r="AT171" i="20"/>
  <c r="AU171" i="20" s="1"/>
  <c r="AU175" i="20" s="1"/>
  <c r="AR171" i="20"/>
  <c r="AS171" i="20" s="1"/>
  <c r="K171" i="20"/>
  <c r="J171" i="20"/>
  <c r="I171" i="20"/>
  <c r="H171" i="20"/>
  <c r="J170" i="20"/>
  <c r="K170" i="20" s="1"/>
  <c r="H170" i="20"/>
  <c r="I170" i="20" s="1"/>
  <c r="K169" i="20"/>
  <c r="J169" i="20"/>
  <c r="I169" i="20"/>
  <c r="L169" i="20" s="1"/>
  <c r="H169" i="20"/>
  <c r="J168" i="20"/>
  <c r="K168" i="20" s="1"/>
  <c r="H168" i="20"/>
  <c r="I168" i="20" s="1"/>
  <c r="K167" i="20"/>
  <c r="J167" i="20"/>
  <c r="I167" i="20"/>
  <c r="H167" i="20"/>
  <c r="AU166" i="20"/>
  <c r="AS166" i="20"/>
  <c r="J166" i="20"/>
  <c r="K166" i="20" s="1"/>
  <c r="H166" i="20"/>
  <c r="I166" i="20" s="1"/>
  <c r="AU165" i="20"/>
  <c r="AU164" i="20"/>
  <c r="AU163" i="20"/>
  <c r="AR163" i="20"/>
  <c r="AS163" i="20" s="1"/>
  <c r="T163" i="20"/>
  <c r="K163" i="20"/>
  <c r="H163" i="20"/>
  <c r="I163" i="20" s="1"/>
  <c r="AH162" i="20"/>
  <c r="AF162" i="20"/>
  <c r="T162" i="20"/>
  <c r="K162" i="20"/>
  <c r="H162" i="20"/>
  <c r="I162" i="20" s="1"/>
  <c r="L162" i="20" s="1"/>
  <c r="AH161" i="20"/>
  <c r="AF161" i="20"/>
  <c r="AH160" i="20"/>
  <c r="AF160" i="20"/>
  <c r="T160" i="20"/>
  <c r="K160" i="20"/>
  <c r="H160" i="20"/>
  <c r="I160" i="20" s="1"/>
  <c r="L160" i="20" s="1"/>
  <c r="AH159" i="20"/>
  <c r="AF159" i="20"/>
  <c r="AB159" i="20"/>
  <c r="T159" i="20"/>
  <c r="K159" i="20"/>
  <c r="H159" i="20"/>
  <c r="I159" i="20" s="1"/>
  <c r="L159" i="20" s="1"/>
  <c r="AH158" i="20"/>
  <c r="AE158" i="20"/>
  <c r="AF158" i="20" s="1"/>
  <c r="AB158" i="20"/>
  <c r="AH157" i="20"/>
  <c r="AE157" i="20"/>
  <c r="AF157" i="20" s="1"/>
  <c r="T157" i="20"/>
  <c r="K157" i="20"/>
  <c r="H157" i="20"/>
  <c r="I157" i="20" s="1"/>
  <c r="AH156" i="20"/>
  <c r="AE156" i="20"/>
  <c r="AF156" i="20" s="1"/>
  <c r="T156" i="20"/>
  <c r="J156" i="20"/>
  <c r="H156" i="20"/>
  <c r="F156" i="20"/>
  <c r="K156" i="20" s="1"/>
  <c r="E156" i="20"/>
  <c r="AH155" i="20"/>
  <c r="AE155" i="20"/>
  <c r="AF155" i="20" s="1"/>
  <c r="T155" i="20"/>
  <c r="J155" i="20"/>
  <c r="K155" i="20" s="1"/>
  <c r="H155" i="20"/>
  <c r="I155" i="20" s="1"/>
  <c r="AH154" i="20"/>
  <c r="AF154" i="20"/>
  <c r="AE154" i="20"/>
  <c r="AB154" i="20"/>
  <c r="T154" i="20"/>
  <c r="H154" i="20"/>
  <c r="F154" i="20"/>
  <c r="E154" i="20"/>
  <c r="AH153" i="20"/>
  <c r="AE153" i="20"/>
  <c r="AF153" i="20" s="1"/>
  <c r="AB153" i="20"/>
  <c r="AH152" i="20"/>
  <c r="AE152" i="20"/>
  <c r="AF152" i="20" s="1"/>
  <c r="AB152" i="20"/>
  <c r="AH151" i="20"/>
  <c r="AE151" i="20"/>
  <c r="AF151" i="20" s="1"/>
  <c r="AH150" i="20"/>
  <c r="AE150" i="20"/>
  <c r="AF150" i="20" s="1"/>
  <c r="AB150" i="20"/>
  <c r="AH149" i="20"/>
  <c r="AH163" i="20" s="1"/>
  <c r="AE149" i="20"/>
  <c r="AF149" i="20" s="1"/>
  <c r="AB149" i="20"/>
  <c r="K148" i="20"/>
  <c r="I148" i="20"/>
  <c r="J144" i="20"/>
  <c r="K144" i="20" s="1"/>
  <c r="I144" i="20"/>
  <c r="H144" i="20"/>
  <c r="J143" i="20"/>
  <c r="K143" i="20" s="1"/>
  <c r="H143" i="20"/>
  <c r="I143" i="20" s="1"/>
  <c r="J142" i="20"/>
  <c r="K142" i="20" s="1"/>
  <c r="H142" i="20"/>
  <c r="I142" i="20" s="1"/>
  <c r="K138" i="20"/>
  <c r="I138" i="20"/>
  <c r="K136" i="20"/>
  <c r="I136" i="20"/>
  <c r="K135" i="20"/>
  <c r="I135" i="20"/>
  <c r="J132" i="20"/>
  <c r="K132" i="20" s="1"/>
  <c r="H132" i="20"/>
  <c r="I132" i="20" s="1"/>
  <c r="AF131" i="20"/>
  <c r="AD131" i="20"/>
  <c r="K131" i="20"/>
  <c r="I131" i="20"/>
  <c r="AF130" i="20"/>
  <c r="AC130" i="20"/>
  <c r="AD130" i="20" s="1"/>
  <c r="K130" i="20"/>
  <c r="I130" i="20"/>
  <c r="AF129" i="20"/>
  <c r="K129" i="20"/>
  <c r="H129" i="20"/>
  <c r="I129" i="20" s="1"/>
  <c r="AF128" i="20"/>
  <c r="AC128" i="20"/>
  <c r="AD128" i="20" s="1"/>
  <c r="K128" i="20"/>
  <c r="H128" i="20"/>
  <c r="I128" i="20" s="1"/>
  <c r="L128" i="20" s="1"/>
  <c r="E128" i="20"/>
  <c r="K127" i="20"/>
  <c r="H127" i="20"/>
  <c r="I127" i="20" s="1"/>
  <c r="K126" i="20"/>
  <c r="H126" i="20"/>
  <c r="I126" i="20" s="1"/>
  <c r="AF124" i="20"/>
  <c r="AC124" i="20"/>
  <c r="AD124" i="20" s="1"/>
  <c r="AF123" i="20"/>
  <c r="AC123" i="20"/>
  <c r="AD123" i="20" s="1"/>
  <c r="K123" i="20"/>
  <c r="H123" i="20"/>
  <c r="I123" i="20" s="1"/>
  <c r="E123" i="20"/>
  <c r="AF122" i="20"/>
  <c r="AC122" i="20"/>
  <c r="AC129" i="20" s="1"/>
  <c r="AD129" i="20" s="1"/>
  <c r="K122" i="20"/>
  <c r="I122" i="20"/>
  <c r="L122" i="20" s="1"/>
  <c r="H122" i="20"/>
  <c r="AF121" i="20"/>
  <c r="AC121" i="20"/>
  <c r="AD121" i="20" s="1"/>
  <c r="K120" i="20"/>
  <c r="H120" i="20"/>
  <c r="I120" i="20" s="1"/>
  <c r="E120" i="20"/>
  <c r="K119" i="20"/>
  <c r="H119" i="20"/>
  <c r="I119" i="20" s="1"/>
  <c r="T115" i="20"/>
  <c r="S115" i="20"/>
  <c r="K115" i="20"/>
  <c r="I115" i="20"/>
  <c r="T113" i="20"/>
  <c r="S113" i="20"/>
  <c r="K113" i="20"/>
  <c r="I113" i="20"/>
  <c r="T111" i="20"/>
  <c r="S111" i="20"/>
  <c r="K111" i="20"/>
  <c r="I111" i="20"/>
  <c r="T109" i="20"/>
  <c r="S109" i="20"/>
  <c r="K109" i="20"/>
  <c r="I109" i="20"/>
  <c r="T106" i="20"/>
  <c r="S106" i="20"/>
  <c r="K106" i="20"/>
  <c r="I106" i="20"/>
  <c r="T103" i="20"/>
  <c r="S103" i="20"/>
  <c r="K103" i="20"/>
  <c r="I103" i="20"/>
  <c r="T101" i="20"/>
  <c r="S101" i="20"/>
  <c r="K101" i="20"/>
  <c r="I101" i="20"/>
  <c r="T99" i="20"/>
  <c r="S99" i="20"/>
  <c r="K99" i="20"/>
  <c r="I99" i="20"/>
  <c r="T97" i="20"/>
  <c r="S97" i="20"/>
  <c r="K97" i="20"/>
  <c r="I97" i="20"/>
  <c r="T95" i="20"/>
  <c r="S95" i="20"/>
  <c r="K95" i="20"/>
  <c r="I95" i="20"/>
  <c r="T93" i="20"/>
  <c r="S93" i="20"/>
  <c r="K93" i="20"/>
  <c r="I93" i="20"/>
  <c r="T91" i="20"/>
  <c r="S91" i="20"/>
  <c r="K91" i="20"/>
  <c r="I91" i="20"/>
  <c r="T89" i="20"/>
  <c r="S89" i="20"/>
  <c r="K89" i="20"/>
  <c r="I89" i="20"/>
  <c r="T87" i="20"/>
  <c r="S87" i="20"/>
  <c r="K87" i="20"/>
  <c r="I87" i="20"/>
  <c r="T85" i="20"/>
  <c r="S85" i="20"/>
  <c r="K85" i="20"/>
  <c r="I85" i="20"/>
  <c r="T83" i="20"/>
  <c r="S83" i="20"/>
  <c r="K83" i="20"/>
  <c r="I83" i="20"/>
  <c r="AF80" i="20"/>
  <c r="AD80" i="20"/>
  <c r="AF79" i="20"/>
  <c r="AC79" i="20"/>
  <c r="AD79" i="20" s="1"/>
  <c r="J79" i="20"/>
  <c r="K79" i="20" s="1"/>
  <c r="H79" i="20"/>
  <c r="I79" i="20" s="1"/>
  <c r="AF78" i="20"/>
  <c r="AC78" i="20"/>
  <c r="AD78" i="20" s="1"/>
  <c r="AF77" i="20"/>
  <c r="AC77" i="20"/>
  <c r="AD77" i="20" s="1"/>
  <c r="K77" i="20"/>
  <c r="I77" i="20"/>
  <c r="L77" i="20" s="1"/>
  <c r="H77" i="20"/>
  <c r="K76" i="20"/>
  <c r="H76" i="20"/>
  <c r="I76" i="20" s="1"/>
  <c r="H75" i="20"/>
  <c r="I75" i="20" s="1"/>
  <c r="H74" i="20"/>
  <c r="I74" i="20" s="1"/>
  <c r="AF73" i="20"/>
  <c r="AC73" i="20"/>
  <c r="AD73" i="20" s="1"/>
  <c r="J73" i="20"/>
  <c r="K73" i="20" s="1"/>
  <c r="H73" i="20"/>
  <c r="I73" i="20" s="1"/>
  <c r="AF72" i="20"/>
  <c r="AC72" i="20"/>
  <c r="AD72" i="20" s="1"/>
  <c r="K72" i="20"/>
  <c r="H72" i="20"/>
  <c r="I72" i="20" s="1"/>
  <c r="L72" i="20" s="1"/>
  <c r="K70" i="20"/>
  <c r="I70" i="20"/>
  <c r="L70" i="20" s="1"/>
  <c r="K68" i="20"/>
  <c r="I68" i="20"/>
  <c r="L68" i="20" s="1"/>
  <c r="K65" i="20"/>
  <c r="I65" i="20"/>
  <c r="L65" i="20" s="1"/>
  <c r="K63" i="20"/>
  <c r="I63" i="20"/>
  <c r="L63" i="20" s="1"/>
  <c r="AE62" i="20"/>
  <c r="AF62" i="20" s="1"/>
  <c r="AC62" i="20"/>
  <c r="AD62" i="20" s="1"/>
  <c r="K62" i="20"/>
  <c r="I62" i="20"/>
  <c r="L62" i="20" s="1"/>
  <c r="E62" i="20"/>
  <c r="AE61" i="20"/>
  <c r="AF61" i="20" s="1"/>
  <c r="AC61" i="20"/>
  <c r="AD61" i="20" s="1"/>
  <c r="W61" i="20"/>
  <c r="AF60" i="20"/>
  <c r="K60" i="20"/>
  <c r="I60" i="20"/>
  <c r="AF59" i="20"/>
  <c r="AF58" i="20"/>
  <c r="AC58" i="20"/>
  <c r="AD58" i="20" s="1"/>
  <c r="K58" i="20"/>
  <c r="I58" i="20"/>
  <c r="J56" i="20"/>
  <c r="K56" i="20" s="1"/>
  <c r="H56" i="20"/>
  <c r="I56" i="20" s="1"/>
  <c r="L56" i="20" s="1"/>
  <c r="K55" i="20"/>
  <c r="I55" i="20"/>
  <c r="J51" i="20"/>
  <c r="K51" i="20" s="1"/>
  <c r="H51" i="20"/>
  <c r="I51" i="20" s="1"/>
  <c r="E51" i="20"/>
  <c r="J50" i="20"/>
  <c r="K50" i="20" s="1"/>
  <c r="L50" i="20" s="1"/>
  <c r="H50" i="20"/>
  <c r="I50" i="20" s="1"/>
  <c r="E50" i="20"/>
  <c r="J48" i="20"/>
  <c r="K48" i="20" s="1"/>
  <c r="AF46" i="20"/>
  <c r="AD46" i="20"/>
  <c r="AF45" i="20"/>
  <c r="AC45" i="20"/>
  <c r="AR165" i="20" s="1"/>
  <c r="AS165" i="20" s="1"/>
  <c r="K45" i="20"/>
  <c r="I45" i="20"/>
  <c r="E45" i="20"/>
  <c r="AF44" i="20"/>
  <c r="AC44" i="20"/>
  <c r="AR164" i="20" s="1"/>
  <c r="AS164" i="20" s="1"/>
  <c r="AF43" i="20"/>
  <c r="AC43" i="20"/>
  <c r="AD43" i="20" s="1"/>
  <c r="K43" i="20"/>
  <c r="I43" i="20"/>
  <c r="E40" i="20"/>
  <c r="K39" i="20"/>
  <c r="E39" i="20"/>
  <c r="AF38" i="20"/>
  <c r="AE38" i="20"/>
  <c r="W38" i="20"/>
  <c r="E38" i="20"/>
  <c r="AF37" i="20"/>
  <c r="AC37" i="20"/>
  <c r="AD37" i="20" s="1"/>
  <c r="AF36" i="20"/>
  <c r="AC36" i="20"/>
  <c r="AD36" i="20" s="1"/>
  <c r="K33" i="20"/>
  <c r="I33" i="20"/>
  <c r="J32" i="20"/>
  <c r="K32" i="20" s="1"/>
  <c r="H32" i="20"/>
  <c r="I32" i="20" s="1"/>
  <c r="J31" i="20"/>
  <c r="K31" i="20" s="1"/>
  <c r="H31" i="20"/>
  <c r="I31" i="20" s="1"/>
  <c r="K30" i="20"/>
  <c r="H30" i="20"/>
  <c r="I30" i="20" s="1"/>
  <c r="K29" i="20"/>
  <c r="I29" i="20"/>
  <c r="AR29" i="20"/>
  <c r="K28" i="20"/>
  <c r="I28" i="20"/>
  <c r="K27" i="20"/>
  <c r="I27" i="20"/>
  <c r="K26" i="20"/>
  <c r="H26" i="20"/>
  <c r="I26" i="20" s="1"/>
  <c r="K25" i="20"/>
  <c r="H25" i="20"/>
  <c r="I25" i="20" s="1"/>
  <c r="E25" i="20"/>
  <c r="K24" i="20"/>
  <c r="I24" i="20"/>
  <c r="K23" i="20"/>
  <c r="H23" i="20"/>
  <c r="I23" i="20" s="1"/>
  <c r="K22" i="20"/>
  <c r="I22" i="20"/>
  <c r="AR21" i="20"/>
  <c r="J20" i="20"/>
  <c r="K20" i="20" s="1"/>
  <c r="I20" i="20"/>
  <c r="K19" i="20"/>
  <c r="I19" i="20"/>
  <c r="K18" i="20"/>
  <c r="I18" i="20"/>
  <c r="K17" i="20"/>
  <c r="I17" i="20"/>
  <c r="D10" i="20"/>
  <c r="AF80" i="18"/>
  <c r="AD80" i="18"/>
  <c r="AF79" i="18"/>
  <c r="AC79" i="18"/>
  <c r="AD79" i="18" s="1"/>
  <c r="J79" i="18"/>
  <c r="H79" i="18"/>
  <c r="AF78" i="18"/>
  <c r="AC78" i="18"/>
  <c r="AD78" i="18" s="1"/>
  <c r="AF77" i="18"/>
  <c r="AD77" i="18"/>
  <c r="AC77" i="18"/>
  <c r="K77" i="18"/>
  <c r="H77" i="18"/>
  <c r="K76" i="18"/>
  <c r="H76" i="18"/>
  <c r="H75" i="18"/>
  <c r="H74" i="18"/>
  <c r="AF73" i="18"/>
  <c r="AC73" i="18"/>
  <c r="AD73" i="18" s="1"/>
  <c r="J73" i="18"/>
  <c r="J74" i="18" s="1"/>
  <c r="H73" i="18"/>
  <c r="AF72" i="18"/>
  <c r="AF74" i="18" s="1"/>
  <c r="AC72" i="18"/>
  <c r="AD72" i="18" s="1"/>
  <c r="AD74" i="18" s="1"/>
  <c r="K72" i="18"/>
  <c r="H72" i="18"/>
  <c r="I72" i="18" s="1"/>
  <c r="J51" i="18"/>
  <c r="K51" i="18" s="1"/>
  <c r="N58" i="18"/>
  <c r="M58" i="18"/>
  <c r="O56" i="18"/>
  <c r="P56" i="18"/>
  <c r="AF58" i="18"/>
  <c r="AD58" i="18"/>
  <c r="AC58" i="18"/>
  <c r="J58" i="18"/>
  <c r="K58" i="18" s="1"/>
  <c r="H58" i="18"/>
  <c r="AR57" i="18"/>
  <c r="AR56" i="18"/>
  <c r="J56" i="18"/>
  <c r="H56" i="18"/>
  <c r="N55" i="18"/>
  <c r="M55" i="18"/>
  <c r="K55" i="18"/>
  <c r="I55" i="18"/>
  <c r="H50" i="18"/>
  <c r="J50" i="18"/>
  <c r="O17" i="18"/>
  <c r="P17" i="18" s="1"/>
  <c r="H51" i="18"/>
  <c r="E51" i="18"/>
  <c r="H220" i="18"/>
  <c r="H219" i="18"/>
  <c r="O235" i="18"/>
  <c r="P235" i="18" s="1"/>
  <c r="J235" i="18"/>
  <c r="K235" i="18" s="1"/>
  <c r="H235" i="18"/>
  <c r="I235" i="18" s="1"/>
  <c r="E235" i="18"/>
  <c r="AD284" i="18"/>
  <c r="AF284" i="18" s="1"/>
  <c r="AG284" i="18" s="1"/>
  <c r="AG285" i="18"/>
  <c r="AE285" i="18"/>
  <c r="AB284" i="18"/>
  <c r="AB277" i="18"/>
  <c r="AD277" i="18"/>
  <c r="AE277" i="18" s="1"/>
  <c r="AB276" i="18"/>
  <c r="AB275" i="18"/>
  <c r="AB274" i="18"/>
  <c r="AG277" i="18"/>
  <c r="AE278" i="18"/>
  <c r="AG278" i="18"/>
  <c r="AG276" i="18"/>
  <c r="AE276" i="18"/>
  <c r="AG275" i="18"/>
  <c r="AE275" i="18"/>
  <c r="AG274" i="18"/>
  <c r="AE274" i="18"/>
  <c r="H230" i="18"/>
  <c r="L31" i="20" l="1"/>
  <c r="L175" i="20"/>
  <c r="L179" i="20"/>
  <c r="L204" i="20"/>
  <c r="L127" i="21"/>
  <c r="L230" i="21"/>
  <c r="L32" i="20"/>
  <c r="L184" i="20"/>
  <c r="AF125" i="20"/>
  <c r="J41" i="20" s="1"/>
  <c r="K41" i="20" s="1"/>
  <c r="AU167" i="20"/>
  <c r="J44" i="20" s="1"/>
  <c r="K44" i="20" s="1"/>
  <c r="L167" i="20"/>
  <c r="L171" i="20"/>
  <c r="L218" i="20"/>
  <c r="L219" i="20"/>
  <c r="L223" i="20"/>
  <c r="L232" i="20"/>
  <c r="AJ253" i="20"/>
  <c r="Y250" i="20" s="1"/>
  <c r="AE250" i="20" s="1"/>
  <c r="N263" i="20"/>
  <c r="L55" i="18"/>
  <c r="L25" i="20"/>
  <c r="L27" i="20"/>
  <c r="L43" i="20"/>
  <c r="L120" i="20"/>
  <c r="AF132" i="20"/>
  <c r="J42" i="20" s="1"/>
  <c r="K42" i="20" s="1"/>
  <c r="L130" i="20"/>
  <c r="L131" i="20"/>
  <c r="L132" i="20"/>
  <c r="L180" i="20"/>
  <c r="AT193" i="20"/>
  <c r="AR193" i="20"/>
  <c r="L193" i="20"/>
  <c r="L198" i="20"/>
  <c r="L203" i="20"/>
  <c r="L206" i="20"/>
  <c r="L208" i="20"/>
  <c r="L216" i="20"/>
  <c r="L22" i="21"/>
  <c r="AC33" i="21"/>
  <c r="AD33" i="21" s="1"/>
  <c r="AR53" i="21"/>
  <c r="L55" i="21"/>
  <c r="AU162" i="21"/>
  <c r="J39" i="21" s="1"/>
  <c r="K39" i="21" s="1"/>
  <c r="L168" i="21"/>
  <c r="L174" i="21"/>
  <c r="L193" i="21"/>
  <c r="AI214" i="21"/>
  <c r="Y210" i="21" s="1"/>
  <c r="L217" i="21"/>
  <c r="L229" i="21"/>
  <c r="AI259" i="21"/>
  <c r="Y255" i="21" s="1"/>
  <c r="AG274" i="21"/>
  <c r="L26" i="20"/>
  <c r="L28" i="20"/>
  <c r="AC59" i="20"/>
  <c r="AD59" i="20" s="1"/>
  <c r="AF74" i="20"/>
  <c r="L76" i="20"/>
  <c r="L123" i="20"/>
  <c r="L135" i="20"/>
  <c r="L188" i="20"/>
  <c r="L23" i="21"/>
  <c r="L123" i="21"/>
  <c r="AH158" i="21"/>
  <c r="AU170" i="21"/>
  <c r="J43" i="21" s="1"/>
  <c r="K43" i="21" s="1"/>
  <c r="AR191" i="21"/>
  <c r="AR200" i="21" s="1"/>
  <c r="H132" i="21" s="1"/>
  <c r="I132" i="21" s="1"/>
  <c r="L203" i="21"/>
  <c r="L216" i="21"/>
  <c r="AJ231" i="21"/>
  <c r="Y227" i="21" s="1"/>
  <c r="AE227" i="21" s="1"/>
  <c r="K151" i="21"/>
  <c r="L205" i="20"/>
  <c r="L207" i="20"/>
  <c r="L209" i="20"/>
  <c r="L210" i="20"/>
  <c r="L237" i="20"/>
  <c r="L238" i="20"/>
  <c r="L51" i="20"/>
  <c r="AI220" i="20"/>
  <c r="Y216" i="20" s="1"/>
  <c r="AI239" i="20"/>
  <c r="Y234" i="20" s="1"/>
  <c r="Y230" i="20" s="1"/>
  <c r="AE230" i="20" s="1"/>
  <c r="AE232" i="20" s="1"/>
  <c r="H149" i="20" s="1"/>
  <c r="AJ267" i="20"/>
  <c r="Y264" i="20" s="1"/>
  <c r="AE264" i="20" s="1"/>
  <c r="AR58" i="18"/>
  <c r="L72" i="18"/>
  <c r="L18" i="20"/>
  <c r="L19" i="20"/>
  <c r="L20" i="20"/>
  <c r="L22" i="20"/>
  <c r="L23" i="20"/>
  <c r="L24" i="20"/>
  <c r="L29" i="20"/>
  <c r="L30" i="20"/>
  <c r="L33" i="20"/>
  <c r="AF39" i="20"/>
  <c r="AC38" i="20"/>
  <c r="AD38" i="20" s="1"/>
  <c r="AD39" i="20" s="1"/>
  <c r="H39" i="20" s="1"/>
  <c r="I39" i="20" s="1"/>
  <c r="L39" i="20" s="1"/>
  <c r="AF47" i="20"/>
  <c r="J38" i="20" s="1"/>
  <c r="K38" i="20" s="1"/>
  <c r="L45" i="20"/>
  <c r="AF63" i="20"/>
  <c r="J40" i="20" s="1"/>
  <c r="K40" i="20" s="1"/>
  <c r="L60" i="20"/>
  <c r="AD74" i="20"/>
  <c r="L73" i="20"/>
  <c r="L79" i="20"/>
  <c r="L83" i="20"/>
  <c r="L85" i="20"/>
  <c r="L87" i="20"/>
  <c r="L89" i="20"/>
  <c r="L91" i="20"/>
  <c r="L93" i="20"/>
  <c r="L95" i="20"/>
  <c r="L97" i="20"/>
  <c r="L99" i="20"/>
  <c r="L101" i="20"/>
  <c r="L103" i="20"/>
  <c r="L106" i="20"/>
  <c r="L109" i="20"/>
  <c r="L111" i="20"/>
  <c r="L113" i="20"/>
  <c r="L115" i="20"/>
  <c r="L119" i="20"/>
  <c r="AD122" i="20"/>
  <c r="AD125" i="20" s="1"/>
  <c r="H41" i="20" s="1"/>
  <c r="I41" i="20" s="1"/>
  <c r="L41" i="20" s="1"/>
  <c r="L126" i="20"/>
  <c r="L127" i="20"/>
  <c r="AD132" i="20"/>
  <c r="H42" i="20" s="1"/>
  <c r="I42" i="20" s="1"/>
  <c r="L42" i="20" s="1"/>
  <c r="L129" i="20"/>
  <c r="L142" i="20"/>
  <c r="L157" i="20"/>
  <c r="L163" i="20"/>
  <c r="L166" i="20"/>
  <c r="L168" i="20"/>
  <c r="L170" i="20"/>
  <c r="AS175" i="20"/>
  <c r="H48" i="20" s="1"/>
  <c r="I48" i="20" s="1"/>
  <c r="L172" i="20"/>
  <c r="L174" i="20"/>
  <c r="L178" i="20"/>
  <c r="AS183" i="20"/>
  <c r="H49" i="20" s="1"/>
  <c r="I49" i="20" s="1"/>
  <c r="L181" i="20"/>
  <c r="L183" i="20"/>
  <c r="L187" i="20"/>
  <c r="L189" i="20"/>
  <c r="L191" i="20"/>
  <c r="L194" i="20"/>
  <c r="L195" i="20"/>
  <c r="AR196" i="20"/>
  <c r="AR206" i="20" s="1"/>
  <c r="H137" i="20" s="1"/>
  <c r="I137" i="20" s="1"/>
  <c r="L197" i="20"/>
  <c r="AJ220" i="20"/>
  <c r="Y217" i="20" s="1"/>
  <c r="AE217" i="20" s="1"/>
  <c r="L217" i="20"/>
  <c r="L222" i="20"/>
  <c r="AJ239" i="20"/>
  <c r="Y235" i="20" s="1"/>
  <c r="AE235" i="20" s="1"/>
  <c r="L236" i="20"/>
  <c r="AI267" i="20"/>
  <c r="Y263" i="20" s="1"/>
  <c r="AG282" i="20"/>
  <c r="AG289" i="20"/>
  <c r="L13" i="21"/>
  <c r="L14" i="21"/>
  <c r="L17" i="21"/>
  <c r="L18" i="21"/>
  <c r="L38" i="21"/>
  <c r="AF42" i="21"/>
  <c r="J33" i="21" s="1"/>
  <c r="AC39" i="21"/>
  <c r="AR159" i="21" s="1"/>
  <c r="AS159" i="21" s="1"/>
  <c r="L40" i="21"/>
  <c r="L60" i="21"/>
  <c r="L65" i="21"/>
  <c r="L67" i="21"/>
  <c r="L71" i="21"/>
  <c r="L72" i="21"/>
  <c r="L78" i="21"/>
  <c r="L80" i="21"/>
  <c r="L82" i="21"/>
  <c r="L84" i="21"/>
  <c r="L88" i="21"/>
  <c r="L90" i="21"/>
  <c r="L92" i="21"/>
  <c r="L94" i="21"/>
  <c r="L98" i="21"/>
  <c r="L101" i="21"/>
  <c r="L104" i="21"/>
  <c r="L106" i="21"/>
  <c r="L108" i="21"/>
  <c r="L110" i="21"/>
  <c r="AF120" i="21"/>
  <c r="J36" i="21" s="1"/>
  <c r="K36" i="21" s="1"/>
  <c r="AF127" i="21"/>
  <c r="J37" i="21" s="1"/>
  <c r="K37" i="21" s="1"/>
  <c r="L125" i="21"/>
  <c r="L126" i="21"/>
  <c r="L130" i="21"/>
  <c r="L131" i="21"/>
  <c r="L142" i="21"/>
  <c r="AF158" i="21"/>
  <c r="L152" i="21"/>
  <c r="L154" i="21"/>
  <c r="L155" i="21"/>
  <c r="AS170" i="21"/>
  <c r="H43" i="21" s="1"/>
  <c r="I43" i="21" s="1"/>
  <c r="L43" i="21" s="1"/>
  <c r="AT188" i="21"/>
  <c r="AT200" i="21"/>
  <c r="J132" i="21" s="1"/>
  <c r="K132" i="21" s="1"/>
  <c r="L132" i="21" s="1"/>
  <c r="L211" i="21"/>
  <c r="L212" i="21"/>
  <c r="L219" i="21"/>
  <c r="AI231" i="21"/>
  <c r="Y226" i="21" s="1"/>
  <c r="L224" i="21"/>
  <c r="L227" i="21"/>
  <c r="AJ259" i="21"/>
  <c r="Y256" i="21" s="1"/>
  <c r="AE256" i="21" s="1"/>
  <c r="L247" i="23"/>
  <c r="L243" i="22"/>
  <c r="P260" i="22" s="1"/>
  <c r="L242" i="22"/>
  <c r="L231" i="20"/>
  <c r="L148" i="20"/>
  <c r="K35" i="20"/>
  <c r="L136" i="20"/>
  <c r="L138" i="20"/>
  <c r="L228" i="20"/>
  <c r="L200" i="20"/>
  <c r="L211" i="20"/>
  <c r="L50" i="21"/>
  <c r="L53" i="21"/>
  <c r="L215" i="21"/>
  <c r="L192" i="21"/>
  <c r="AD34" i="21"/>
  <c r="H34" i="21" s="1"/>
  <c r="AF58" i="21"/>
  <c r="J35" i="21" s="1"/>
  <c r="L57" i="21"/>
  <c r="L58" i="21"/>
  <c r="L63" i="21"/>
  <c r="L86" i="21"/>
  <c r="L96" i="21"/>
  <c r="L214" i="21"/>
  <c r="L220" i="21"/>
  <c r="L223" i="21"/>
  <c r="L19" i="21"/>
  <c r="L24" i="21"/>
  <c r="L28" i="21"/>
  <c r="L115" i="21"/>
  <c r="L133" i="21"/>
  <c r="L167" i="21"/>
  <c r="AS178" i="21"/>
  <c r="H44" i="21" s="1"/>
  <c r="AR17" i="21"/>
  <c r="AR19" i="21"/>
  <c r="AR18" i="21"/>
  <c r="AR27" i="21"/>
  <c r="AR26" i="21"/>
  <c r="AR25" i="21"/>
  <c r="AR28" i="21" s="1"/>
  <c r="I34" i="21"/>
  <c r="K33" i="21"/>
  <c r="K35" i="21"/>
  <c r="L34" i="21"/>
  <c r="AR10" i="21"/>
  <c r="AR8" i="21"/>
  <c r="AR9" i="21"/>
  <c r="J70" i="21"/>
  <c r="K69" i="21"/>
  <c r="AF34" i="21"/>
  <c r="L12" i="21"/>
  <c r="K15" i="21"/>
  <c r="L15" i="21" s="1"/>
  <c r="I20" i="21"/>
  <c r="L20" i="21" s="1"/>
  <c r="I21" i="21"/>
  <c r="L21" i="21" s="1"/>
  <c r="I25" i="21"/>
  <c r="L25" i="21" s="1"/>
  <c r="AD40" i="21"/>
  <c r="I44" i="21"/>
  <c r="K45" i="21"/>
  <c r="L45" i="21" s="1"/>
  <c r="I46" i="21"/>
  <c r="K46" i="21"/>
  <c r="I51" i="21"/>
  <c r="K51" i="21"/>
  <c r="AC55" i="21"/>
  <c r="AD55" i="21" s="1"/>
  <c r="AD58" i="21" s="1"/>
  <c r="H35" i="21" s="1"/>
  <c r="I68" i="21"/>
  <c r="K68" i="21"/>
  <c r="I69" i="21"/>
  <c r="I74" i="21"/>
  <c r="K74" i="21"/>
  <c r="I114" i="21"/>
  <c r="L114" i="21" s="1"/>
  <c r="I117" i="21"/>
  <c r="L117" i="21" s="1"/>
  <c r="AD117" i="21"/>
  <c r="AD120" i="21" s="1"/>
  <c r="H36" i="21" s="1"/>
  <c r="I118" i="21"/>
  <c r="L118" i="21" s="1"/>
  <c r="I121" i="21"/>
  <c r="L121" i="21" s="1"/>
  <c r="AD127" i="21"/>
  <c r="H37" i="21" s="1"/>
  <c r="L143" i="21"/>
  <c r="L150" i="21"/>
  <c r="AS162" i="21"/>
  <c r="H39" i="21" s="1"/>
  <c r="I26" i="21"/>
  <c r="L26" i="21" s="1"/>
  <c r="AD39" i="21"/>
  <c r="I70" i="21"/>
  <c r="AE226" i="21"/>
  <c r="AE231" i="21" s="1"/>
  <c r="Y222" i="21"/>
  <c r="AE222" i="21" s="1"/>
  <c r="AE224" i="21" s="1"/>
  <c r="AE241" i="21"/>
  <c r="AE246" i="21" s="1"/>
  <c r="Y238" i="21"/>
  <c r="AE238" i="21" s="1"/>
  <c r="AE239" i="21" s="1"/>
  <c r="I122" i="21"/>
  <c r="L122" i="21" s="1"/>
  <c r="I124" i="21"/>
  <c r="L124" i="21" s="1"/>
  <c r="I138" i="21"/>
  <c r="K138" i="21"/>
  <c r="I149" i="21"/>
  <c r="I151" i="21"/>
  <c r="L151" i="21" s="1"/>
  <c r="I157" i="21"/>
  <c r="L157" i="21" s="1"/>
  <c r="I162" i="21"/>
  <c r="K162" i="21"/>
  <c r="I164" i="21"/>
  <c r="K164" i="21"/>
  <c r="I166" i="21"/>
  <c r="K166" i="21"/>
  <c r="I170" i="21"/>
  <c r="K170" i="21"/>
  <c r="AT174" i="21"/>
  <c r="AU174" i="21" s="1"/>
  <c r="AU178" i="21" s="1"/>
  <c r="J44" i="21" s="1"/>
  <c r="AE210" i="21"/>
  <c r="AE215" i="21" s="1"/>
  <c r="J144" i="21" s="1"/>
  <c r="K144" i="21" s="1"/>
  <c r="Y207" i="21"/>
  <c r="AE207" i="21" s="1"/>
  <c r="AE208" i="21" s="1"/>
  <c r="AE255" i="21"/>
  <c r="Y252" i="21"/>
  <c r="AE252" i="21" s="1"/>
  <c r="AE253" i="21" s="1"/>
  <c r="I137" i="21"/>
  <c r="L137" i="21" s="1"/>
  <c r="I139" i="21"/>
  <c r="L139" i="21" s="1"/>
  <c r="I161" i="21"/>
  <c r="L161" i="21" s="1"/>
  <c r="I163" i="21"/>
  <c r="L163" i="21" s="1"/>
  <c r="I165" i="21"/>
  <c r="L165" i="21" s="1"/>
  <c r="I169" i="21"/>
  <c r="L169" i="21" s="1"/>
  <c r="I173" i="21"/>
  <c r="L173" i="21" s="1"/>
  <c r="I175" i="21"/>
  <c r="L175" i="21" s="1"/>
  <c r="I176" i="21"/>
  <c r="L176" i="21" s="1"/>
  <c r="I177" i="21"/>
  <c r="L177" i="21" s="1"/>
  <c r="I178" i="21"/>
  <c r="L178" i="21" s="1"/>
  <c r="AR188" i="21"/>
  <c r="L213" i="21"/>
  <c r="AE274" i="21"/>
  <c r="H226" i="21" s="1"/>
  <c r="K179" i="21"/>
  <c r="L179" i="21" s="1"/>
  <c r="I189" i="21"/>
  <c r="K189" i="21"/>
  <c r="I191" i="21"/>
  <c r="K191" i="21"/>
  <c r="I194" i="21"/>
  <c r="K194" i="21"/>
  <c r="I197" i="21"/>
  <c r="K197" i="21"/>
  <c r="I200" i="21"/>
  <c r="K200" i="21"/>
  <c r="I202" i="21"/>
  <c r="K202" i="21"/>
  <c r="I205" i="21"/>
  <c r="K205" i="21"/>
  <c r="L210" i="21"/>
  <c r="I225" i="21"/>
  <c r="K225" i="21"/>
  <c r="K228" i="21"/>
  <c r="L228" i="21" s="1"/>
  <c r="AE279" i="21"/>
  <c r="AE281" i="21" s="1"/>
  <c r="I182" i="21"/>
  <c r="L182" i="21" s="1"/>
  <c r="I183" i="21"/>
  <c r="L183" i="21" s="1"/>
  <c r="I184" i="21"/>
  <c r="L184" i="21" s="1"/>
  <c r="I185" i="21"/>
  <c r="L185" i="21" s="1"/>
  <c r="I186" i="21"/>
  <c r="L186" i="21" s="1"/>
  <c r="I188" i="21"/>
  <c r="L188" i="21" s="1"/>
  <c r="I190" i="21"/>
  <c r="L190" i="21" s="1"/>
  <c r="I198" i="21"/>
  <c r="L198" i="21" s="1"/>
  <c r="I199" i="21"/>
  <c r="L199" i="21" s="1"/>
  <c r="I201" i="21"/>
  <c r="L201" i="21" s="1"/>
  <c r="I204" i="21"/>
  <c r="L204" i="21" s="1"/>
  <c r="I218" i="21"/>
  <c r="L218" i="21" s="1"/>
  <c r="I231" i="21"/>
  <c r="L231" i="21" s="1"/>
  <c r="L58" i="20"/>
  <c r="L55" i="20"/>
  <c r="AR32" i="20"/>
  <c r="AR31" i="20"/>
  <c r="AR30" i="20"/>
  <c r="AR24" i="20"/>
  <c r="AR22" i="20"/>
  <c r="AR23" i="20"/>
  <c r="L48" i="20"/>
  <c r="AC60" i="20"/>
  <c r="AD60" i="20" s="1"/>
  <c r="AD63" i="20" s="1"/>
  <c r="H40" i="20" s="1"/>
  <c r="I40" i="20" s="1"/>
  <c r="L40" i="20" s="1"/>
  <c r="AR14" i="20"/>
  <c r="L17" i="20"/>
  <c r="AR13" i="20"/>
  <c r="AR15" i="20"/>
  <c r="AD44" i="20"/>
  <c r="AD45" i="20"/>
  <c r="AD47" i="20" s="1"/>
  <c r="H38" i="20" s="1"/>
  <c r="I38" i="20" s="1"/>
  <c r="L137" i="20"/>
  <c r="L143" i="20"/>
  <c r="L144" i="20"/>
  <c r="AF163" i="20"/>
  <c r="L155" i="20"/>
  <c r="AS167" i="20"/>
  <c r="H44" i="20" s="1"/>
  <c r="I44" i="20" s="1"/>
  <c r="L44" i="20" s="1"/>
  <c r="AE216" i="20"/>
  <c r="AE221" i="20" s="1"/>
  <c r="Y213" i="20"/>
  <c r="AE213" i="20" s="1"/>
  <c r="AE214" i="20" s="1"/>
  <c r="AE234" i="20"/>
  <c r="AE239" i="20" s="1"/>
  <c r="J149" i="20" s="1"/>
  <c r="AE249" i="20"/>
  <c r="AE254" i="20" s="1"/>
  <c r="Y246" i="20"/>
  <c r="AE246" i="20" s="1"/>
  <c r="AE247" i="20" s="1"/>
  <c r="J74" i="20"/>
  <c r="I147" i="20"/>
  <c r="K147" i="20"/>
  <c r="K154" i="20"/>
  <c r="K213" i="20" s="1"/>
  <c r="AT179" i="20"/>
  <c r="AU179" i="20" s="1"/>
  <c r="AU183" i="20" s="1"/>
  <c r="J49" i="20" s="1"/>
  <c r="K49" i="20" s="1"/>
  <c r="L49" i="20" s="1"/>
  <c r="K241" i="20"/>
  <c r="L224" i="20"/>
  <c r="AE282" i="20"/>
  <c r="H234" i="20" s="1"/>
  <c r="AE263" i="20"/>
  <c r="AE268" i="20" s="1"/>
  <c r="Y260" i="20"/>
  <c r="AE260" i="20" s="1"/>
  <c r="AE261" i="20" s="1"/>
  <c r="I154" i="20"/>
  <c r="I156" i="20"/>
  <c r="L156" i="20" s="1"/>
  <c r="I220" i="20"/>
  <c r="L220" i="20" s="1"/>
  <c r="I221" i="20"/>
  <c r="L221" i="20" s="1"/>
  <c r="J75" i="18"/>
  <c r="K74" i="18"/>
  <c r="I73" i="18"/>
  <c r="K73" i="18"/>
  <c r="I74" i="18"/>
  <c r="I76" i="18"/>
  <c r="L76" i="18" s="1"/>
  <c r="I77" i="18"/>
  <c r="L77" i="18" s="1"/>
  <c r="I79" i="18"/>
  <c r="L79" i="18" s="1"/>
  <c r="K79" i="18"/>
  <c r="I75" i="18"/>
  <c r="O58" i="18"/>
  <c r="P58" i="18" s="1"/>
  <c r="I56" i="18"/>
  <c r="L56" i="18" s="1"/>
  <c r="K56" i="18"/>
  <c r="I58" i="18"/>
  <c r="L58" i="18" s="1"/>
  <c r="O55" i="18"/>
  <c r="P55" i="18" s="1"/>
  <c r="AG286" i="18"/>
  <c r="L235" i="18"/>
  <c r="I51" i="18"/>
  <c r="L51" i="18" s="1"/>
  <c r="AE284" i="18"/>
  <c r="AE286" i="18" s="1"/>
  <c r="AG279" i="18"/>
  <c r="AE279" i="18"/>
  <c r="H231" i="18" s="1"/>
  <c r="AE269" i="20" l="1"/>
  <c r="AE260" i="21"/>
  <c r="L138" i="21"/>
  <c r="AD42" i="21"/>
  <c r="H33" i="21" s="1"/>
  <c r="L69" i="21"/>
  <c r="K233" i="21"/>
  <c r="L200" i="21"/>
  <c r="AE247" i="21"/>
  <c r="L46" i="21"/>
  <c r="L74" i="18"/>
  <c r="AR17" i="20"/>
  <c r="P264" i="23"/>
  <c r="N266" i="23" s="1"/>
  <c r="Q151" i="22"/>
  <c r="Q35" i="22"/>
  <c r="Q243" i="22"/>
  <c r="Q242" i="22"/>
  <c r="N262" i="22"/>
  <c r="Q240" i="22"/>
  <c r="M237" i="22"/>
  <c r="M236" i="22"/>
  <c r="M235" i="22"/>
  <c r="M233" i="22"/>
  <c r="M232" i="22"/>
  <c r="Q230" i="22"/>
  <c r="M230" i="22"/>
  <c r="Q229" i="22"/>
  <c r="M229" i="22"/>
  <c r="M226" i="22"/>
  <c r="N225" i="22"/>
  <c r="M223" i="22"/>
  <c r="M221" i="22"/>
  <c r="M220" i="22"/>
  <c r="Q215" i="22"/>
  <c r="Q214" i="22"/>
  <c r="N234" i="22"/>
  <c r="N231" i="22"/>
  <c r="N230" i="22"/>
  <c r="O230" i="22" s="1"/>
  <c r="P230" i="22" s="1"/>
  <c r="N229" i="22"/>
  <c r="N228" i="22"/>
  <c r="N227" i="22"/>
  <c r="N226" i="22"/>
  <c r="M222" i="22"/>
  <c r="M219" i="22"/>
  <c r="M218" i="22"/>
  <c r="M217" i="22"/>
  <c r="M216" i="22"/>
  <c r="Q212" i="22"/>
  <c r="M209" i="22"/>
  <c r="M184" i="22"/>
  <c r="M182" i="22"/>
  <c r="M181" i="22"/>
  <c r="M180" i="22"/>
  <c r="M178" i="22"/>
  <c r="M174" i="22"/>
  <c r="M173" i="22"/>
  <c r="M172" i="22"/>
  <c r="M170" i="22"/>
  <c r="M168" i="22"/>
  <c r="M166" i="22"/>
  <c r="N163" i="22"/>
  <c r="N160" i="22"/>
  <c r="N159" i="22"/>
  <c r="N157" i="22"/>
  <c r="M155" i="22"/>
  <c r="Q150" i="22"/>
  <c r="N138" i="22"/>
  <c r="N162" i="22"/>
  <c r="N154" i="22"/>
  <c r="M138" i="22"/>
  <c r="N129" i="22"/>
  <c r="N127" i="22"/>
  <c r="N126" i="22"/>
  <c r="N123" i="22"/>
  <c r="N122" i="22"/>
  <c r="N119" i="22"/>
  <c r="N77" i="22"/>
  <c r="N76" i="22"/>
  <c r="Q71" i="22"/>
  <c r="M71" i="22"/>
  <c r="M70" i="22"/>
  <c r="N69" i="22"/>
  <c r="N68" i="22"/>
  <c r="M65" i="22"/>
  <c r="N64" i="22"/>
  <c r="N63" i="22"/>
  <c r="M62" i="22"/>
  <c r="N52" i="22"/>
  <c r="M45" i="22"/>
  <c r="N43" i="22"/>
  <c r="Q37" i="22"/>
  <c r="M33" i="22"/>
  <c r="N29" i="22"/>
  <c r="N28" i="22"/>
  <c r="M27" i="22"/>
  <c r="N24" i="22"/>
  <c r="N23" i="22"/>
  <c r="M22" i="22"/>
  <c r="N19" i="22"/>
  <c r="M18" i="22"/>
  <c r="M17" i="22"/>
  <c r="N60" i="22"/>
  <c r="M56" i="22"/>
  <c r="Q52" i="22"/>
  <c r="M52" i="22"/>
  <c r="M51" i="22"/>
  <c r="M50" i="22"/>
  <c r="N128" i="22"/>
  <c r="N120" i="22"/>
  <c r="N72" i="22"/>
  <c r="N71" i="22"/>
  <c r="N70" i="22"/>
  <c r="O70" i="22" s="1"/>
  <c r="P70" i="22" s="1"/>
  <c r="Q69" i="22"/>
  <c r="M69" i="22"/>
  <c r="M68" i="22"/>
  <c r="N65" i="22"/>
  <c r="O65" i="22" s="1"/>
  <c r="P65" i="22" s="1"/>
  <c r="Q64" i="22"/>
  <c r="M64" i="22"/>
  <c r="M63" i="22"/>
  <c r="N62" i="22"/>
  <c r="O62" i="22" s="1"/>
  <c r="P62" i="22" s="1"/>
  <c r="M43" i="22"/>
  <c r="N39" i="22"/>
  <c r="Q36" i="22"/>
  <c r="R36" i="22" s="1"/>
  <c r="Q34" i="22"/>
  <c r="R34" i="22" s="1"/>
  <c r="N27" i="22"/>
  <c r="O27" i="22" s="1"/>
  <c r="P27" i="22" s="1"/>
  <c r="N26" i="22"/>
  <c r="M24" i="22"/>
  <c r="M20" i="22"/>
  <c r="M19" i="22"/>
  <c r="N45" i="22"/>
  <c r="M41" i="22"/>
  <c r="N33" i="22"/>
  <c r="O33" i="22" s="1"/>
  <c r="P33" i="22" s="1"/>
  <c r="N30" i="22"/>
  <c r="M29" i="22"/>
  <c r="M28" i="22"/>
  <c r="N25" i="22"/>
  <c r="N22" i="22"/>
  <c r="O22" i="22" s="1"/>
  <c r="P22" i="22" s="1"/>
  <c r="N21" i="22"/>
  <c r="N18" i="22"/>
  <c r="N17" i="22"/>
  <c r="O17" i="22" s="1"/>
  <c r="P17" i="22" s="1"/>
  <c r="N40" i="22"/>
  <c r="Q26" i="22"/>
  <c r="Q28" i="22"/>
  <c r="Q33" i="22"/>
  <c r="Q20" i="22"/>
  <c r="Q45" i="22"/>
  <c r="N31" i="22"/>
  <c r="M48" i="22"/>
  <c r="Q50" i="22"/>
  <c r="M55" i="22"/>
  <c r="M58" i="22"/>
  <c r="Q62" i="22"/>
  <c r="Q65" i="22"/>
  <c r="Q70" i="22"/>
  <c r="M73" i="22"/>
  <c r="Q76" i="22"/>
  <c r="M79" i="22"/>
  <c r="M120" i="22"/>
  <c r="Q123" i="22"/>
  <c r="M127" i="22"/>
  <c r="M31" i="22"/>
  <c r="M32" i="22"/>
  <c r="M26" i="22"/>
  <c r="N50" i="22"/>
  <c r="O50" i="22" s="1"/>
  <c r="P50" i="22" s="1"/>
  <c r="R50" i="22" s="1"/>
  <c r="Q56" i="22"/>
  <c r="Q60" i="22"/>
  <c r="M75" i="22"/>
  <c r="N41" i="22"/>
  <c r="O41" i="22" s="1"/>
  <c r="P41" i="22" s="1"/>
  <c r="M123" i="22"/>
  <c r="Q127" i="22"/>
  <c r="M77" i="22"/>
  <c r="M135" i="22"/>
  <c r="M136" i="22"/>
  <c r="Q138" i="22"/>
  <c r="M143" i="22"/>
  <c r="M154" i="22"/>
  <c r="M156" i="22"/>
  <c r="M159" i="22"/>
  <c r="M163" i="22"/>
  <c r="N166" i="22"/>
  <c r="O166" i="22" s="1"/>
  <c r="P166" i="22" s="1"/>
  <c r="N168" i="22"/>
  <c r="O168" i="22" s="1"/>
  <c r="P168" i="22" s="1"/>
  <c r="N170" i="22"/>
  <c r="O170" i="22" s="1"/>
  <c r="P170" i="22" s="1"/>
  <c r="N172" i="22"/>
  <c r="O172" i="22" s="1"/>
  <c r="P172" i="22" s="1"/>
  <c r="N174" i="22"/>
  <c r="O174" i="22" s="1"/>
  <c r="P174" i="22" s="1"/>
  <c r="N178" i="22"/>
  <c r="O178" i="22" s="1"/>
  <c r="P178" i="22" s="1"/>
  <c r="N180" i="22"/>
  <c r="O180" i="22" s="1"/>
  <c r="P180" i="22" s="1"/>
  <c r="N182" i="22"/>
  <c r="O182" i="22" s="1"/>
  <c r="P182" i="22" s="1"/>
  <c r="N48" i="22"/>
  <c r="O48" i="22" s="1"/>
  <c r="P48" i="22" s="1"/>
  <c r="N58" i="22"/>
  <c r="O58" i="22" s="1"/>
  <c r="P58" i="22" s="1"/>
  <c r="Q135" i="22"/>
  <c r="N143" i="22"/>
  <c r="O143" i="22" s="1"/>
  <c r="P143" i="22" s="1"/>
  <c r="Q148" i="22"/>
  <c r="R148" i="22" s="1"/>
  <c r="N156" i="22"/>
  <c r="O156" i="22" s="1"/>
  <c r="P156" i="22" s="1"/>
  <c r="Q159" i="22"/>
  <c r="M162" i="22"/>
  <c r="Q166" i="22"/>
  <c r="Q168" i="22"/>
  <c r="Q170" i="22"/>
  <c r="Q172" i="22"/>
  <c r="Q174" i="22"/>
  <c r="Q178" i="22"/>
  <c r="Q180" i="22"/>
  <c r="Q182" i="22"/>
  <c r="N144" i="22"/>
  <c r="N184" i="22"/>
  <c r="O184" i="22" s="1"/>
  <c r="P184" i="22" s="1"/>
  <c r="M189" i="22"/>
  <c r="M193" i="22"/>
  <c r="N194" i="22"/>
  <c r="M196" i="22"/>
  <c r="M197" i="22"/>
  <c r="M200" i="22"/>
  <c r="M203" i="22"/>
  <c r="M205" i="22"/>
  <c r="M206" i="22"/>
  <c r="N207" i="22"/>
  <c r="N209" i="22"/>
  <c r="O209" i="22" s="1"/>
  <c r="P209" i="22" s="1"/>
  <c r="N210" i="22"/>
  <c r="N216" i="22"/>
  <c r="O216" i="22" s="1"/>
  <c r="P216" i="22" s="1"/>
  <c r="N218" i="22"/>
  <c r="O218" i="22" s="1"/>
  <c r="P218" i="22" s="1"/>
  <c r="Q220" i="22"/>
  <c r="Q223" i="22"/>
  <c r="Q225" i="22"/>
  <c r="M227" i="22"/>
  <c r="M231" i="22"/>
  <c r="Q233" i="22"/>
  <c r="N236" i="22"/>
  <c r="O236" i="22" s="1"/>
  <c r="P236" i="22" s="1"/>
  <c r="M238" i="22"/>
  <c r="M188" i="22"/>
  <c r="Q194" i="22"/>
  <c r="M198" i="22"/>
  <c r="N204" i="22"/>
  <c r="Q207" i="22"/>
  <c r="Q210" i="22"/>
  <c r="N220" i="22"/>
  <c r="O220" i="22" s="1"/>
  <c r="P220" i="22" s="1"/>
  <c r="N222" i="22"/>
  <c r="O222" i="22" s="1"/>
  <c r="P222" i="22" s="1"/>
  <c r="M224" i="22"/>
  <c r="N232" i="22"/>
  <c r="N235" i="22"/>
  <c r="O235" i="22" s="1"/>
  <c r="P235" i="22" s="1"/>
  <c r="Q237" i="22"/>
  <c r="N188" i="22"/>
  <c r="N190" i="22"/>
  <c r="N193" i="22"/>
  <c r="O193" i="22" s="1"/>
  <c r="P193" i="22" s="1"/>
  <c r="N198" i="22"/>
  <c r="O198" i="22" s="1"/>
  <c r="P198" i="22" s="1"/>
  <c r="N203" i="22"/>
  <c r="O203" i="22" s="1"/>
  <c r="P203" i="22" s="1"/>
  <c r="N208" i="22"/>
  <c r="Q22" i="22"/>
  <c r="Q27" i="22"/>
  <c r="Q30" i="22"/>
  <c r="Q17" i="22"/>
  <c r="Q18" i="22"/>
  <c r="Q29" i="22"/>
  <c r="Q43" i="22"/>
  <c r="N74" i="22"/>
  <c r="M30" i="22"/>
  <c r="N32" i="22"/>
  <c r="O32" i="22" s="1"/>
  <c r="P32" i="22" s="1"/>
  <c r="M39" i="22"/>
  <c r="N38" i="22"/>
  <c r="N42" i="22"/>
  <c r="N49" i="22"/>
  <c r="N51" i="22"/>
  <c r="O51" i="22" s="1"/>
  <c r="P51" i="22" s="1"/>
  <c r="N56" i="22"/>
  <c r="O56" i="22" s="1"/>
  <c r="P56" i="22" s="1"/>
  <c r="R56" i="22" s="1"/>
  <c r="M60" i="22"/>
  <c r="Q63" i="22"/>
  <c r="Q68" i="22"/>
  <c r="M72" i="22"/>
  <c r="M74" i="22"/>
  <c r="Q77" i="22"/>
  <c r="M119" i="22"/>
  <c r="M122" i="22"/>
  <c r="Q126" i="22"/>
  <c r="M128" i="22"/>
  <c r="M129" i="22"/>
  <c r="N20" i="22"/>
  <c r="M23" i="22"/>
  <c r="M25" i="22"/>
  <c r="N44" i="22"/>
  <c r="Q51" i="22"/>
  <c r="Q73" i="22"/>
  <c r="Q119" i="22"/>
  <c r="Q122" i="22"/>
  <c r="M126" i="22"/>
  <c r="Q129" i="22"/>
  <c r="N73" i="22"/>
  <c r="O73" i="22" s="1"/>
  <c r="P73" i="22" s="1"/>
  <c r="M76" i="22"/>
  <c r="N79" i="22"/>
  <c r="O79" i="22" s="1"/>
  <c r="P79" i="22" s="1"/>
  <c r="M132" i="22"/>
  <c r="N135" i="22"/>
  <c r="N137" i="22"/>
  <c r="M142" i="22"/>
  <c r="M144" i="22"/>
  <c r="N155" i="22"/>
  <c r="O155" i="22" s="1"/>
  <c r="P155" i="22" s="1"/>
  <c r="Q157" i="22"/>
  <c r="Q160" i="22"/>
  <c r="M167" i="22"/>
  <c r="M169" i="22"/>
  <c r="M171" i="22"/>
  <c r="N173" i="22"/>
  <c r="M175" i="22"/>
  <c r="M179" i="22"/>
  <c r="N181" i="22"/>
  <c r="O181" i="22" s="1"/>
  <c r="P181" i="22" s="1"/>
  <c r="M183" i="22"/>
  <c r="N55" i="22"/>
  <c r="O55" i="22" s="1"/>
  <c r="P55" i="22" s="1"/>
  <c r="N132" i="22"/>
  <c r="O132" i="22" s="1"/>
  <c r="P132" i="22" s="1"/>
  <c r="N136" i="22"/>
  <c r="O136" i="22" s="1"/>
  <c r="P136" i="22" s="1"/>
  <c r="Q147" i="22"/>
  <c r="R147" i="22" s="1"/>
  <c r="Q155" i="22"/>
  <c r="M157" i="22"/>
  <c r="M160" i="22"/>
  <c r="Q163" i="22"/>
  <c r="N167" i="22"/>
  <c r="O167" i="22" s="1"/>
  <c r="P167" i="22" s="1"/>
  <c r="N169" i="22"/>
  <c r="O169" i="22" s="1"/>
  <c r="P169" i="22" s="1"/>
  <c r="N171" i="22"/>
  <c r="O171" i="22" s="1"/>
  <c r="P171" i="22" s="1"/>
  <c r="Q173" i="22"/>
  <c r="N175" i="22"/>
  <c r="O175" i="22" s="1"/>
  <c r="P175" i="22" s="1"/>
  <c r="N179" i="22"/>
  <c r="O179" i="22" s="1"/>
  <c r="P179" i="22" s="1"/>
  <c r="Q181" i="22"/>
  <c r="N142" i="22"/>
  <c r="O142" i="22" s="1"/>
  <c r="P142" i="22" s="1"/>
  <c r="N183" i="22"/>
  <c r="M187" i="22"/>
  <c r="M191" i="22"/>
  <c r="M194" i="22"/>
  <c r="M195" i="22"/>
  <c r="N196" i="22"/>
  <c r="O196" i="22" s="1"/>
  <c r="P196" i="22" s="1"/>
  <c r="N199" i="22"/>
  <c r="N200" i="22"/>
  <c r="O200" i="22" s="1"/>
  <c r="P200" i="22" s="1"/>
  <c r="Q204" i="22"/>
  <c r="N205" i="22"/>
  <c r="O205" i="22" s="1"/>
  <c r="P205" i="22" s="1"/>
  <c r="M207" i="22"/>
  <c r="M208" i="22"/>
  <c r="M210" i="22"/>
  <c r="M211" i="22"/>
  <c r="N217" i="22"/>
  <c r="O217" i="22" s="1"/>
  <c r="P217" i="22" s="1"/>
  <c r="N219" i="22"/>
  <c r="N221" i="22"/>
  <c r="N224" i="22"/>
  <c r="Q226" i="22"/>
  <c r="M228" i="22"/>
  <c r="Q232" i="22"/>
  <c r="Q235" i="22"/>
  <c r="N237" i="22"/>
  <c r="O237" i="22" s="1"/>
  <c r="P237" i="22" s="1"/>
  <c r="R237" i="22" s="1"/>
  <c r="N238" i="22"/>
  <c r="O238" i="22" s="1"/>
  <c r="P238" i="22" s="1"/>
  <c r="Q184" i="22"/>
  <c r="M190" i="22"/>
  <c r="Q196" i="22"/>
  <c r="M199" i="22"/>
  <c r="M204" i="22"/>
  <c r="Q205" i="22"/>
  <c r="Q209" i="22"/>
  <c r="Q221" i="22"/>
  <c r="N223" i="22"/>
  <c r="O223" i="22" s="1"/>
  <c r="P223" i="22" s="1"/>
  <c r="R223" i="22" s="1"/>
  <c r="M225" i="22"/>
  <c r="N233" i="22"/>
  <c r="O233" i="22" s="1"/>
  <c r="P233" i="22" s="1"/>
  <c r="R233" i="22" s="1"/>
  <c r="Q236" i="22"/>
  <c r="Q238" i="22"/>
  <c r="N187" i="22"/>
  <c r="O187" i="22" s="1"/>
  <c r="P187" i="22" s="1"/>
  <c r="N189" i="22"/>
  <c r="O189" i="22" s="1"/>
  <c r="P189" i="22" s="1"/>
  <c r="N191" i="22"/>
  <c r="N195" i="22"/>
  <c r="O195" i="22" s="1"/>
  <c r="P195" i="22" s="1"/>
  <c r="N197" i="22"/>
  <c r="O197" i="22" s="1"/>
  <c r="P197" i="22" s="1"/>
  <c r="N206" i="22"/>
  <c r="O206" i="22" s="1"/>
  <c r="P206" i="22" s="1"/>
  <c r="N211" i="22"/>
  <c r="O211" i="22" s="1"/>
  <c r="P211" i="22" s="1"/>
  <c r="Q48" i="22"/>
  <c r="Q154" i="22"/>
  <c r="Q195" i="22"/>
  <c r="Q187" i="22"/>
  <c r="Q203" i="22"/>
  <c r="Q193" i="22"/>
  <c r="Q188" i="22"/>
  <c r="Q227" i="22"/>
  <c r="Q219" i="22"/>
  <c r="Q144" i="22"/>
  <c r="Q58" i="22"/>
  <c r="Q32" i="22"/>
  <c r="Q162" i="22"/>
  <c r="M42" i="22"/>
  <c r="Q200" i="22"/>
  <c r="M40" i="22"/>
  <c r="M21" i="22"/>
  <c r="M49" i="22"/>
  <c r="M234" i="22"/>
  <c r="M44" i="22"/>
  <c r="N75" i="22"/>
  <c r="O75" i="22" s="1"/>
  <c r="P75" i="22" s="1"/>
  <c r="Q206" i="22"/>
  <c r="Q189" i="22"/>
  <c r="Q208" i="22"/>
  <c r="Q197" i="22"/>
  <c r="Q190" i="22"/>
  <c r="Q231" i="22"/>
  <c r="Q217" i="22"/>
  <c r="Q156" i="22"/>
  <c r="Q74" i="22"/>
  <c r="Q128" i="22"/>
  <c r="Q31" i="22"/>
  <c r="M137" i="22"/>
  <c r="M38" i="22"/>
  <c r="Q211" i="22"/>
  <c r="Q191" i="22"/>
  <c r="Q228" i="22"/>
  <c r="Q218" i="22"/>
  <c r="Q142" i="22"/>
  <c r="Q143" i="22"/>
  <c r="Q55" i="22"/>
  <c r="Q120" i="22"/>
  <c r="Q72" i="22"/>
  <c r="Q24" i="22"/>
  <c r="Q19" i="22"/>
  <c r="Q25" i="22"/>
  <c r="Q198" i="22"/>
  <c r="Q222" i="22"/>
  <c r="Q183" i="22"/>
  <c r="Q79" i="22"/>
  <c r="Q41" i="22"/>
  <c r="Q23" i="22"/>
  <c r="Q39" i="22"/>
  <c r="Q75" i="22"/>
  <c r="Q132" i="22"/>
  <c r="Q175" i="22"/>
  <c r="Q224" i="22"/>
  <c r="Q40" i="22"/>
  <c r="Q167" i="22"/>
  <c r="Q179" i="22"/>
  <c r="Q44" i="22"/>
  <c r="Q149" i="22"/>
  <c r="R149" i="22" s="1"/>
  <c r="Q213" i="22"/>
  <c r="Q216" i="22"/>
  <c r="Q137" i="22"/>
  <c r="Q169" i="22"/>
  <c r="Q136" i="22"/>
  <c r="Q171" i="22"/>
  <c r="Q199" i="22"/>
  <c r="Q234" i="22"/>
  <c r="Q49" i="22"/>
  <c r="Q42" i="22"/>
  <c r="Q38" i="22"/>
  <c r="Q21" i="22"/>
  <c r="Q241" i="22"/>
  <c r="AR33" i="20"/>
  <c r="AR26" i="20"/>
  <c r="L197" i="21"/>
  <c r="L194" i="21"/>
  <c r="L191" i="21"/>
  <c r="L170" i="21"/>
  <c r="L166" i="21"/>
  <c r="L162" i="21"/>
  <c r="AE232" i="21"/>
  <c r="AR12" i="21"/>
  <c r="AR21" i="21"/>
  <c r="K207" i="21"/>
  <c r="L74" i="21"/>
  <c r="I33" i="21"/>
  <c r="I36" i="21"/>
  <c r="I35" i="21"/>
  <c r="I226" i="21"/>
  <c r="L226" i="21" s="1"/>
  <c r="AE216" i="21"/>
  <c r="H144" i="21"/>
  <c r="I144" i="21" s="1"/>
  <c r="L144" i="21" s="1"/>
  <c r="K44" i="21"/>
  <c r="L44" i="21" s="1"/>
  <c r="I39" i="21"/>
  <c r="L39" i="21" s="1"/>
  <c r="I37" i="21"/>
  <c r="L37" i="21" s="1"/>
  <c r="L33" i="21"/>
  <c r="L225" i="21"/>
  <c r="L205" i="21"/>
  <c r="L202" i="21"/>
  <c r="L189" i="21"/>
  <c r="AE261" i="21"/>
  <c r="L164" i="21"/>
  <c r="L68" i="21"/>
  <c r="L51" i="21"/>
  <c r="L35" i="21"/>
  <c r="I207" i="21"/>
  <c r="L149" i="21"/>
  <c r="K70" i="21"/>
  <c r="L70" i="21" s="1"/>
  <c r="K30" i="21"/>
  <c r="L36" i="21"/>
  <c r="L38" i="20"/>
  <c r="I234" i="20"/>
  <c r="L234" i="20" s="1"/>
  <c r="J75" i="20"/>
  <c r="K75" i="20" s="1"/>
  <c r="L75" i="20" s="1"/>
  <c r="K74" i="20"/>
  <c r="I213" i="20"/>
  <c r="L154" i="20"/>
  <c r="AE222" i="20"/>
  <c r="I241" i="20"/>
  <c r="L147" i="20"/>
  <c r="AE255" i="20"/>
  <c r="AE240" i="20"/>
  <c r="L73" i="18"/>
  <c r="K75" i="18"/>
  <c r="L75" i="18" s="1"/>
  <c r="K83" i="18"/>
  <c r="K85" i="18"/>
  <c r="K87" i="18"/>
  <c r="K89" i="18"/>
  <c r="K91" i="18"/>
  <c r="K93" i="18"/>
  <c r="K95" i="18"/>
  <c r="K97" i="18"/>
  <c r="K99" i="18"/>
  <c r="K101" i="18"/>
  <c r="K103" i="18"/>
  <c r="K106" i="18"/>
  <c r="K109" i="18"/>
  <c r="K111" i="18"/>
  <c r="K113" i="18"/>
  <c r="K115" i="18"/>
  <c r="I135" i="18"/>
  <c r="K135" i="18"/>
  <c r="I136" i="18"/>
  <c r="K136" i="18"/>
  <c r="AH158" i="18"/>
  <c r="AE158" i="18"/>
  <c r="AF158" i="18" s="1"/>
  <c r="AB158" i="18"/>
  <c r="I18" i="18"/>
  <c r="K18" i="18"/>
  <c r="I19" i="18"/>
  <c r="K19" i="18"/>
  <c r="I20" i="18"/>
  <c r="J20" i="18"/>
  <c r="K20" i="18" s="1"/>
  <c r="K21" i="18"/>
  <c r="I22" i="18"/>
  <c r="K22" i="18"/>
  <c r="H23" i="18"/>
  <c r="I23" i="18" s="1"/>
  <c r="K23" i="18"/>
  <c r="E25" i="18"/>
  <c r="F25" i="18"/>
  <c r="H25" i="18"/>
  <c r="K25" i="18"/>
  <c r="H26" i="18"/>
  <c r="I26" i="18" s="1"/>
  <c r="K26" i="18"/>
  <c r="I28" i="18"/>
  <c r="K28" i="18"/>
  <c r="L28" i="18" s="1"/>
  <c r="I29" i="18"/>
  <c r="K29" i="18"/>
  <c r="H30" i="18"/>
  <c r="I30" i="18" s="1"/>
  <c r="K30" i="18"/>
  <c r="H31" i="18"/>
  <c r="I31" i="18" s="1"/>
  <c r="J31" i="18"/>
  <c r="K31" i="18" s="1"/>
  <c r="H32" i="18"/>
  <c r="I32" i="18" s="1"/>
  <c r="J32" i="18"/>
  <c r="K32" i="18" s="1"/>
  <c r="I33" i="18"/>
  <c r="K33" i="18"/>
  <c r="L33" i="18"/>
  <c r="S83" i="18"/>
  <c r="T83" i="18"/>
  <c r="S85" i="18"/>
  <c r="T85" i="18"/>
  <c r="S87" i="18"/>
  <c r="T87" i="18"/>
  <c r="S89" i="18"/>
  <c r="T89" i="18"/>
  <c r="S91" i="18"/>
  <c r="T91" i="18"/>
  <c r="S93" i="18"/>
  <c r="T93" i="18"/>
  <c r="S95" i="18"/>
  <c r="T95" i="18"/>
  <c r="S97" i="18"/>
  <c r="T97" i="18"/>
  <c r="S99" i="18"/>
  <c r="T99" i="18"/>
  <c r="S101" i="18"/>
  <c r="T101" i="18"/>
  <c r="S103" i="18"/>
  <c r="T103" i="18"/>
  <c r="S106" i="18"/>
  <c r="T106" i="18"/>
  <c r="S109" i="18"/>
  <c r="T109" i="18"/>
  <c r="S111" i="18"/>
  <c r="T111" i="18"/>
  <c r="S113" i="18"/>
  <c r="T113" i="18"/>
  <c r="S115" i="18"/>
  <c r="T115" i="18"/>
  <c r="L282" i="19"/>
  <c r="N258" i="19" s="1"/>
  <c r="L269" i="19"/>
  <c r="L267" i="19"/>
  <c r="L263" i="19"/>
  <c r="AL262" i="19"/>
  <c r="Y261" i="19" s="1"/>
  <c r="AE261" i="19" s="1"/>
  <c r="AK262" i="19"/>
  <c r="AE262" i="19"/>
  <c r="Y260" i="19"/>
  <c r="AE260" i="19" s="1"/>
  <c r="AJ258" i="19"/>
  <c r="AI258" i="19"/>
  <c r="AJ257" i="19"/>
  <c r="AI257" i="19"/>
  <c r="AJ256" i="19"/>
  <c r="AI256" i="19"/>
  <c r="AJ255" i="19"/>
  <c r="AI255" i="19"/>
  <c r="AJ254" i="19"/>
  <c r="AI254" i="19"/>
  <c r="AI262" i="19" s="1"/>
  <c r="Y258" i="19" s="1"/>
  <c r="AL248" i="19"/>
  <c r="AK248" i="19"/>
  <c r="Y246" i="19" s="1"/>
  <c r="AE246" i="19" s="1"/>
  <c r="AE248" i="19"/>
  <c r="Y247" i="19"/>
  <c r="AE247" i="19" s="1"/>
  <c r="AJ244" i="19"/>
  <c r="AI244" i="19"/>
  <c r="AJ243" i="19"/>
  <c r="AI243" i="19"/>
  <c r="AJ242" i="19"/>
  <c r="AI242" i="19"/>
  <c r="AJ241" i="19"/>
  <c r="AI241" i="19"/>
  <c r="AJ240" i="19"/>
  <c r="AJ248" i="19" s="1"/>
  <c r="Y245" i="19" s="1"/>
  <c r="AE245" i="19" s="1"/>
  <c r="AI240" i="19"/>
  <c r="AL234" i="19"/>
  <c r="AK234" i="19"/>
  <c r="Y232" i="19" s="1"/>
  <c r="AE232" i="19" s="1"/>
  <c r="AE234" i="19"/>
  <c r="J234" i="19"/>
  <c r="K234" i="19" s="1"/>
  <c r="H234" i="19"/>
  <c r="I234" i="19" s="1"/>
  <c r="L234" i="19" s="1"/>
  <c r="E234" i="19"/>
  <c r="Y233" i="19"/>
  <c r="AE233" i="19" s="1"/>
  <c r="J233" i="19"/>
  <c r="K233" i="19" s="1"/>
  <c r="H233" i="19"/>
  <c r="I233" i="19" s="1"/>
  <c r="L233" i="19" s="1"/>
  <c r="E233" i="19"/>
  <c r="J232" i="19"/>
  <c r="I232" i="19"/>
  <c r="J231" i="19"/>
  <c r="K231" i="19" s="1"/>
  <c r="I231" i="19"/>
  <c r="AJ230" i="19"/>
  <c r="AI230" i="19"/>
  <c r="K230" i="19"/>
  <c r="H230" i="19"/>
  <c r="I230" i="19" s="1"/>
  <c r="AJ229" i="19"/>
  <c r="AI229" i="19"/>
  <c r="J229" i="19"/>
  <c r="K229" i="19" s="1"/>
  <c r="H229" i="19"/>
  <c r="AJ228" i="19"/>
  <c r="AI228" i="19"/>
  <c r="J228" i="19"/>
  <c r="K228" i="19" s="1"/>
  <c r="I228" i="19"/>
  <c r="J227" i="19"/>
  <c r="I227" i="19"/>
  <c r="AJ226" i="19"/>
  <c r="AI226" i="19"/>
  <c r="AJ225" i="19"/>
  <c r="AI225" i="19"/>
  <c r="K224" i="19"/>
  <c r="I224" i="19"/>
  <c r="K223" i="19"/>
  <c r="H223" i="19"/>
  <c r="I223" i="19" s="1"/>
  <c r="L223" i="19" s="1"/>
  <c r="J222" i="19"/>
  <c r="K222" i="19" s="1"/>
  <c r="H222" i="19"/>
  <c r="I222" i="19" s="1"/>
  <c r="J221" i="19"/>
  <c r="K221" i="19" s="1"/>
  <c r="I221" i="19"/>
  <c r="J220" i="19"/>
  <c r="K220" i="19" s="1"/>
  <c r="H220" i="19"/>
  <c r="J219" i="19"/>
  <c r="K219" i="19" s="1"/>
  <c r="I219" i="19"/>
  <c r="H219" i="19"/>
  <c r="AL218" i="19"/>
  <c r="AK218" i="19"/>
  <c r="Y216" i="19" s="1"/>
  <c r="AE216" i="19" s="1"/>
  <c r="AE218" i="19"/>
  <c r="J218" i="19"/>
  <c r="I218" i="19"/>
  <c r="Y217" i="19"/>
  <c r="AE217" i="19" s="1"/>
  <c r="J217" i="19"/>
  <c r="K217" i="19" s="1"/>
  <c r="I217" i="19"/>
  <c r="J216" i="19"/>
  <c r="I216" i="19"/>
  <c r="J215" i="19"/>
  <c r="K215" i="19" s="1"/>
  <c r="I215" i="19"/>
  <c r="AJ214" i="19"/>
  <c r="AI214" i="19"/>
  <c r="J214" i="19"/>
  <c r="I214" i="19"/>
  <c r="AJ213" i="19"/>
  <c r="AI213" i="19"/>
  <c r="AJ212" i="19"/>
  <c r="AI212" i="19"/>
  <c r="AJ211" i="19"/>
  <c r="AI211" i="19"/>
  <c r="AJ210" i="19"/>
  <c r="AJ218" i="19" s="1"/>
  <c r="Y215" i="19" s="1"/>
  <c r="AE215" i="19" s="1"/>
  <c r="AI210" i="19"/>
  <c r="W209" i="19"/>
  <c r="J209" i="19"/>
  <c r="K209" i="19" s="1"/>
  <c r="H209" i="19"/>
  <c r="J208" i="19"/>
  <c r="K208" i="19" s="1"/>
  <c r="I208" i="19"/>
  <c r="H208" i="19"/>
  <c r="J207" i="19"/>
  <c r="K207" i="19" s="1"/>
  <c r="I207" i="19"/>
  <c r="H207" i="19"/>
  <c r="J206" i="19"/>
  <c r="K206" i="19" s="1"/>
  <c r="H206" i="19"/>
  <c r="J205" i="19"/>
  <c r="H205" i="19"/>
  <c r="J204" i="19"/>
  <c r="K204" i="19" s="1"/>
  <c r="H204" i="19"/>
  <c r="J203" i="19"/>
  <c r="H203" i="19"/>
  <c r="J202" i="19"/>
  <c r="K202" i="19" s="1"/>
  <c r="H202" i="19"/>
  <c r="J201" i="19"/>
  <c r="H201" i="19"/>
  <c r="I201" i="19" s="1"/>
  <c r="J198" i="19"/>
  <c r="K198" i="19" s="1"/>
  <c r="H198" i="19"/>
  <c r="J197" i="19"/>
  <c r="H197" i="19"/>
  <c r="T196" i="19"/>
  <c r="J196" i="19"/>
  <c r="H196" i="19"/>
  <c r="J195" i="19"/>
  <c r="K195" i="19" s="1"/>
  <c r="H195" i="19"/>
  <c r="J194" i="19"/>
  <c r="H194" i="19"/>
  <c r="AH193" i="19"/>
  <c r="AE193" i="19"/>
  <c r="AF193" i="19" s="1"/>
  <c r="J193" i="19"/>
  <c r="K193" i="19" s="1"/>
  <c r="I193" i="19"/>
  <c r="H193" i="19"/>
  <c r="AH192" i="19"/>
  <c r="AE192" i="19"/>
  <c r="AF192" i="19" s="1"/>
  <c r="J192" i="19"/>
  <c r="H192" i="19"/>
  <c r="AH191" i="19"/>
  <c r="AF191" i="19"/>
  <c r="T190" i="19"/>
  <c r="H190" i="19" s="1"/>
  <c r="J190" i="19"/>
  <c r="K190" i="19" s="1"/>
  <c r="T189" i="19"/>
  <c r="H189" i="19" s="1"/>
  <c r="I189" i="19" s="1"/>
  <c r="J189" i="19"/>
  <c r="K189" i="19" s="1"/>
  <c r="T188" i="19"/>
  <c r="J188" i="19"/>
  <c r="K188" i="19" s="1"/>
  <c r="H188" i="19"/>
  <c r="I188" i="19" s="1"/>
  <c r="T187" i="19"/>
  <c r="J187" i="19"/>
  <c r="K187" i="19" s="1"/>
  <c r="H187" i="19"/>
  <c r="T186" i="19"/>
  <c r="H186" i="19" s="1"/>
  <c r="J186" i="19"/>
  <c r="K186" i="19" s="1"/>
  <c r="AI183" i="19"/>
  <c r="AF183" i="19"/>
  <c r="AG183" i="19" s="1"/>
  <c r="J183" i="19"/>
  <c r="K183" i="19" s="1"/>
  <c r="H183" i="19"/>
  <c r="I183" i="19" s="1"/>
  <c r="L183" i="19" s="1"/>
  <c r="AI182" i="19"/>
  <c r="AF182" i="19"/>
  <c r="AG182" i="19" s="1"/>
  <c r="J182" i="19"/>
  <c r="K182" i="19" s="1"/>
  <c r="H182" i="19"/>
  <c r="I182" i="19" s="1"/>
  <c r="L182" i="19" s="1"/>
  <c r="AI181" i="19"/>
  <c r="AF181" i="19"/>
  <c r="AG181" i="19" s="1"/>
  <c r="J181" i="19"/>
  <c r="K181" i="19" s="1"/>
  <c r="H181" i="19"/>
  <c r="I181" i="19" s="1"/>
  <c r="L181" i="19" s="1"/>
  <c r="AF180" i="19"/>
  <c r="AG180" i="19" s="1"/>
  <c r="AG184" i="19" s="1"/>
  <c r="H49" i="19" s="1"/>
  <c r="I49" i="19" s="1"/>
  <c r="J180" i="19"/>
  <c r="H180" i="19"/>
  <c r="J179" i="19"/>
  <c r="K179" i="19" s="1"/>
  <c r="H179" i="19"/>
  <c r="K178" i="19"/>
  <c r="J178" i="19"/>
  <c r="H178" i="19"/>
  <c r="I178" i="19" s="1"/>
  <c r="L178" i="19" s="1"/>
  <c r="J177" i="19"/>
  <c r="K177" i="19" s="1"/>
  <c r="H177" i="19"/>
  <c r="AI175" i="19"/>
  <c r="AG175" i="19"/>
  <c r="AI174" i="19"/>
  <c r="AF174" i="19"/>
  <c r="AG174" i="19" s="1"/>
  <c r="J174" i="19"/>
  <c r="K174" i="19" s="1"/>
  <c r="H174" i="19"/>
  <c r="AI173" i="19"/>
  <c r="AF173" i="19"/>
  <c r="AG173" i="19" s="1"/>
  <c r="J173" i="19"/>
  <c r="K173" i="19" s="1"/>
  <c r="H173" i="19"/>
  <c r="AH172" i="19"/>
  <c r="AI172" i="19" s="1"/>
  <c r="AI176" i="19" s="1"/>
  <c r="AF172" i="19"/>
  <c r="AG172" i="19" s="1"/>
  <c r="J172" i="19"/>
  <c r="H172" i="19"/>
  <c r="J171" i="19"/>
  <c r="K171" i="19" s="1"/>
  <c r="H171" i="19"/>
  <c r="I171" i="19" s="1"/>
  <c r="J170" i="19"/>
  <c r="H170" i="19"/>
  <c r="J169" i="19"/>
  <c r="K169" i="19" s="1"/>
  <c r="H169" i="19"/>
  <c r="I169" i="19" s="1"/>
  <c r="J168" i="19"/>
  <c r="H168" i="19"/>
  <c r="AI167" i="19"/>
  <c r="AG167" i="19"/>
  <c r="J167" i="19"/>
  <c r="K167" i="19" s="1"/>
  <c r="H167" i="19"/>
  <c r="AI166" i="19"/>
  <c r="J166" i="19"/>
  <c r="K166" i="19" s="1"/>
  <c r="I166" i="19"/>
  <c r="H166" i="19"/>
  <c r="AI165" i="19"/>
  <c r="J165" i="19"/>
  <c r="K165" i="19" s="1"/>
  <c r="H165" i="19"/>
  <c r="I165" i="19" s="1"/>
  <c r="AI164" i="19"/>
  <c r="AI168" i="19" s="1"/>
  <c r="AF164" i="19"/>
  <c r="AG164" i="19" s="1"/>
  <c r="T162" i="19"/>
  <c r="K162" i="19"/>
  <c r="H162" i="19"/>
  <c r="I162" i="19" s="1"/>
  <c r="T161" i="19"/>
  <c r="K161" i="19"/>
  <c r="H161" i="19"/>
  <c r="AI160" i="19"/>
  <c r="AG160" i="19"/>
  <c r="AI159" i="19"/>
  <c r="AF159" i="19"/>
  <c r="AG159" i="19" s="1"/>
  <c r="T159" i="19"/>
  <c r="K159" i="19"/>
  <c r="H159" i="19"/>
  <c r="I159" i="19" s="1"/>
  <c r="L159" i="19" s="1"/>
  <c r="AI158" i="19"/>
  <c r="T158" i="19"/>
  <c r="K158" i="19"/>
  <c r="H158" i="19"/>
  <c r="I158" i="19" s="1"/>
  <c r="L158" i="19" s="1"/>
  <c r="AI157" i="19"/>
  <c r="AI161" i="19" s="1"/>
  <c r="J42" i="19" s="1"/>
  <c r="K42" i="19" s="1"/>
  <c r="AF157" i="19"/>
  <c r="AG157" i="19" s="1"/>
  <c r="T156" i="19"/>
  <c r="K156" i="19"/>
  <c r="H156" i="19"/>
  <c r="I156" i="19" s="1"/>
  <c r="L156" i="19" s="1"/>
  <c r="T155" i="19"/>
  <c r="J155" i="19"/>
  <c r="H155" i="19"/>
  <c r="F155" i="19"/>
  <c r="K155" i="19" s="1"/>
  <c r="E155" i="19"/>
  <c r="T154" i="19"/>
  <c r="J154" i="19"/>
  <c r="I154" i="19"/>
  <c r="H154" i="19"/>
  <c r="AI153" i="19"/>
  <c r="AF153" i="19"/>
  <c r="AG153" i="19" s="1"/>
  <c r="T153" i="19"/>
  <c r="H153" i="19"/>
  <c r="F153" i="19"/>
  <c r="K153" i="19" s="1"/>
  <c r="E153" i="19"/>
  <c r="AI152" i="19"/>
  <c r="AF152" i="19"/>
  <c r="AG152" i="19" s="1"/>
  <c r="AI151" i="19"/>
  <c r="AF151" i="19"/>
  <c r="AF158" i="19" s="1"/>
  <c r="AG158" i="19" s="1"/>
  <c r="AI150" i="19"/>
  <c r="AI154" i="19" s="1"/>
  <c r="J41" i="19" s="1"/>
  <c r="K41" i="19" s="1"/>
  <c r="AF150" i="19"/>
  <c r="AG150" i="19" s="1"/>
  <c r="J147" i="19"/>
  <c r="H147" i="19"/>
  <c r="K146" i="19"/>
  <c r="J146" i="19"/>
  <c r="H146" i="19"/>
  <c r="I146" i="19" s="1"/>
  <c r="L146" i="19" s="1"/>
  <c r="J143" i="19"/>
  <c r="H143" i="19"/>
  <c r="J142" i="19"/>
  <c r="K142" i="19" s="1"/>
  <c r="H142" i="19"/>
  <c r="J141" i="19"/>
  <c r="H141" i="19"/>
  <c r="K138" i="19"/>
  <c r="I138" i="19"/>
  <c r="J132" i="19"/>
  <c r="K132" i="19" s="1"/>
  <c r="H132" i="19"/>
  <c r="K131" i="19"/>
  <c r="I131" i="19"/>
  <c r="K130" i="19"/>
  <c r="I130" i="19"/>
  <c r="K129" i="19"/>
  <c r="H129" i="19"/>
  <c r="I129" i="19" s="1"/>
  <c r="L129" i="19" s="1"/>
  <c r="K128" i="19"/>
  <c r="H128" i="19"/>
  <c r="I128" i="19" s="1"/>
  <c r="E128" i="19"/>
  <c r="AE127" i="19"/>
  <c r="AC127" i="19"/>
  <c r="K127" i="19"/>
  <c r="H127" i="19"/>
  <c r="AE126" i="19"/>
  <c r="AC126" i="19"/>
  <c r="Z126" i="19"/>
  <c r="K126" i="19"/>
  <c r="H126" i="19"/>
  <c r="I126" i="19" s="1"/>
  <c r="L126" i="19" s="1"/>
  <c r="AE125" i="19"/>
  <c r="AB125" i="19"/>
  <c r="AC125" i="19" s="1"/>
  <c r="Z125" i="19"/>
  <c r="AE124" i="19"/>
  <c r="AB124" i="19"/>
  <c r="AC124" i="19" s="1"/>
  <c r="Z124" i="19"/>
  <c r="AE123" i="19"/>
  <c r="AC123" i="19"/>
  <c r="K123" i="19"/>
  <c r="H123" i="19"/>
  <c r="I123" i="19" s="1"/>
  <c r="E123" i="19"/>
  <c r="AE122" i="19"/>
  <c r="AC122" i="19"/>
  <c r="Z122" i="19"/>
  <c r="K122" i="19"/>
  <c r="H122" i="19"/>
  <c r="I122" i="19" s="1"/>
  <c r="L122" i="19" s="1"/>
  <c r="AE121" i="19"/>
  <c r="AC121" i="19"/>
  <c r="AE120" i="19"/>
  <c r="AC120" i="19"/>
  <c r="K120" i="19"/>
  <c r="H120" i="19"/>
  <c r="I120" i="19" s="1"/>
  <c r="E120" i="19"/>
  <c r="AB119" i="19"/>
  <c r="AA119" i="19"/>
  <c r="K119" i="19"/>
  <c r="H119" i="19"/>
  <c r="AH115" i="19"/>
  <c r="AF115" i="19"/>
  <c r="AH114" i="19"/>
  <c r="AF114" i="19"/>
  <c r="AH113" i="19"/>
  <c r="AF113" i="19"/>
  <c r="AH112" i="19"/>
  <c r="AF112" i="19"/>
  <c r="AB112" i="19"/>
  <c r="AH111" i="19"/>
  <c r="AE111" i="19"/>
  <c r="AF111" i="19" s="1"/>
  <c r="AH110" i="19"/>
  <c r="AE110" i="19"/>
  <c r="AF110" i="19" s="1"/>
  <c r="AH109" i="19"/>
  <c r="AE109" i="19"/>
  <c r="AF109" i="19" s="1"/>
  <c r="AH108" i="19"/>
  <c r="AE108" i="19"/>
  <c r="AF108" i="19" s="1"/>
  <c r="AB108" i="19"/>
  <c r="AH107" i="19"/>
  <c r="AE107" i="19"/>
  <c r="AF107" i="19" s="1"/>
  <c r="AB107" i="19"/>
  <c r="AH106" i="19"/>
  <c r="AE106" i="19"/>
  <c r="AF106" i="19" s="1"/>
  <c r="AB106" i="19"/>
  <c r="AH105" i="19"/>
  <c r="AE105" i="19"/>
  <c r="AF105" i="19" s="1"/>
  <c r="AH104" i="19"/>
  <c r="AE104" i="19"/>
  <c r="AF104" i="19" s="1"/>
  <c r="AB104" i="19"/>
  <c r="AH103" i="19"/>
  <c r="AE103" i="19"/>
  <c r="AF103" i="19" s="1"/>
  <c r="AB103" i="19"/>
  <c r="J79" i="19"/>
  <c r="H79" i="19"/>
  <c r="K77" i="19"/>
  <c r="H77" i="19"/>
  <c r="I77" i="19" s="1"/>
  <c r="L77" i="19" s="1"/>
  <c r="K76" i="19"/>
  <c r="H76" i="19"/>
  <c r="I76" i="19" s="1"/>
  <c r="H75" i="19"/>
  <c r="H74" i="19"/>
  <c r="J73" i="19"/>
  <c r="J74" i="19" s="1"/>
  <c r="H73" i="19"/>
  <c r="K72" i="19"/>
  <c r="H72" i="19"/>
  <c r="I72" i="19" s="1"/>
  <c r="L72" i="19" s="1"/>
  <c r="J70" i="19"/>
  <c r="H70" i="19"/>
  <c r="I70" i="19" s="1"/>
  <c r="J68" i="19"/>
  <c r="K68" i="19" s="1"/>
  <c r="H68" i="19"/>
  <c r="I68" i="19" s="1"/>
  <c r="L68" i="19" s="1"/>
  <c r="K65" i="19"/>
  <c r="I65" i="19"/>
  <c r="K63" i="19"/>
  <c r="I63" i="19"/>
  <c r="L63" i="19" s="1"/>
  <c r="AE62" i="19"/>
  <c r="AF62" i="19" s="1"/>
  <c r="AC62" i="19"/>
  <c r="AD62" i="19" s="1"/>
  <c r="K62" i="19"/>
  <c r="I62" i="19"/>
  <c r="L62" i="19" s="1"/>
  <c r="E62" i="19"/>
  <c r="AE61" i="19"/>
  <c r="AF61" i="19" s="1"/>
  <c r="AC61" i="19"/>
  <c r="AD61" i="19" s="1"/>
  <c r="W61" i="19"/>
  <c r="W53" i="19" s="1"/>
  <c r="AF60" i="19"/>
  <c r="K60" i="19"/>
  <c r="H60" i="19"/>
  <c r="I60" i="19" s="1"/>
  <c r="L60" i="19" s="1"/>
  <c r="AF59" i="19"/>
  <c r="AC59" i="19"/>
  <c r="AD59" i="19" s="1"/>
  <c r="AF58" i="19"/>
  <c r="AC58" i="19"/>
  <c r="AD58" i="19" s="1"/>
  <c r="J58" i="19"/>
  <c r="K58" i="19" s="1"/>
  <c r="H58" i="19"/>
  <c r="I58" i="19" s="1"/>
  <c r="J56" i="19"/>
  <c r="K56" i="19" s="1"/>
  <c r="H56" i="19"/>
  <c r="J55" i="19"/>
  <c r="K55" i="19" s="1"/>
  <c r="H55" i="19"/>
  <c r="I55" i="19" s="1"/>
  <c r="AP53" i="19"/>
  <c r="AR54" i="19" s="1"/>
  <c r="AE53" i="19"/>
  <c r="AF53" i="19" s="1"/>
  <c r="AD53" i="19"/>
  <c r="AC53" i="19"/>
  <c r="AF52" i="19"/>
  <c r="AD52" i="19"/>
  <c r="AC52" i="19"/>
  <c r="AF51" i="19"/>
  <c r="AC51" i="19"/>
  <c r="AD51" i="19" s="1"/>
  <c r="AD54" i="19" s="1"/>
  <c r="H39" i="19" s="1"/>
  <c r="K51" i="19"/>
  <c r="I51" i="19"/>
  <c r="E51" i="19"/>
  <c r="K50" i="19"/>
  <c r="I50" i="19"/>
  <c r="E50" i="19"/>
  <c r="J48" i="19"/>
  <c r="K48" i="19" s="1"/>
  <c r="AF46" i="19"/>
  <c r="AD46" i="19"/>
  <c r="AP45" i="19"/>
  <c r="AR46" i="19" s="1"/>
  <c r="AF45" i="19"/>
  <c r="AC45" i="19"/>
  <c r="AF166" i="19" s="1"/>
  <c r="AG166" i="19" s="1"/>
  <c r="K45" i="19"/>
  <c r="I45" i="19"/>
  <c r="E45" i="19"/>
  <c r="AF44" i="19"/>
  <c r="AC44" i="19"/>
  <c r="AF165" i="19" s="1"/>
  <c r="AG165" i="19" s="1"/>
  <c r="J44" i="19"/>
  <c r="K44" i="19" s="1"/>
  <c r="AF43" i="19"/>
  <c r="AC43" i="19"/>
  <c r="AD43" i="19" s="1"/>
  <c r="K43" i="19"/>
  <c r="I43" i="19"/>
  <c r="E40" i="19"/>
  <c r="AB39" i="19"/>
  <c r="K39" i="19"/>
  <c r="E39" i="19"/>
  <c r="E38" i="19"/>
  <c r="AP36" i="19"/>
  <c r="AR37" i="19" s="1"/>
  <c r="K33" i="19"/>
  <c r="I33" i="19"/>
  <c r="J32" i="19"/>
  <c r="K32" i="19" s="1"/>
  <c r="H32" i="19"/>
  <c r="J31" i="19"/>
  <c r="H31" i="19"/>
  <c r="K30" i="19"/>
  <c r="H30" i="19"/>
  <c r="K29" i="19"/>
  <c r="I29" i="19"/>
  <c r="K28" i="19"/>
  <c r="I28" i="19"/>
  <c r="K27" i="19"/>
  <c r="I27" i="19"/>
  <c r="K26" i="19"/>
  <c r="H26" i="19"/>
  <c r="I26" i="19" s="1"/>
  <c r="L26" i="19" s="1"/>
  <c r="H25" i="19"/>
  <c r="F25" i="19"/>
  <c r="K25" i="19" s="1"/>
  <c r="E25" i="19"/>
  <c r="K24" i="19"/>
  <c r="I24" i="19"/>
  <c r="K23" i="19"/>
  <c r="H23" i="19"/>
  <c r="I23" i="19" s="1"/>
  <c r="L23" i="19" s="1"/>
  <c r="K22" i="19"/>
  <c r="I22" i="19"/>
  <c r="K21" i="19"/>
  <c r="J20" i="19"/>
  <c r="K20" i="19" s="1"/>
  <c r="I20" i="19"/>
  <c r="K19" i="19"/>
  <c r="I19" i="19"/>
  <c r="K18" i="19"/>
  <c r="I18" i="19"/>
  <c r="L18" i="19" s="1"/>
  <c r="K17" i="19"/>
  <c r="I17" i="19"/>
  <c r="D10" i="19"/>
  <c r="L22" i="19" l="1"/>
  <c r="AH116" i="19"/>
  <c r="AC119" i="19"/>
  <c r="AC128" i="19" s="1"/>
  <c r="H137" i="19" s="1"/>
  <c r="I137" i="19" s="1"/>
  <c r="L130" i="19"/>
  <c r="L162" i="19"/>
  <c r="L193" i="19"/>
  <c r="L222" i="19"/>
  <c r="L224" i="19"/>
  <c r="L230" i="19"/>
  <c r="O191" i="22"/>
  <c r="P191" i="22" s="1"/>
  <c r="O219" i="22"/>
  <c r="P219" i="22" s="1"/>
  <c r="R219" i="22" s="1"/>
  <c r="O173" i="22"/>
  <c r="P173" i="22" s="1"/>
  <c r="O20" i="22"/>
  <c r="P20" i="22" s="1"/>
  <c r="R20" i="22" s="1"/>
  <c r="O232" i="22"/>
  <c r="P232" i="22" s="1"/>
  <c r="L166" i="19"/>
  <c r="L208" i="19"/>
  <c r="AH194" i="19"/>
  <c r="AI234" i="19"/>
  <c r="Y230" i="19" s="1"/>
  <c r="O224" i="22"/>
  <c r="P224" i="22" s="1"/>
  <c r="R224" i="22" s="1"/>
  <c r="O135" i="22"/>
  <c r="P135" i="22" s="1"/>
  <c r="R135" i="22" s="1"/>
  <c r="O18" i="22"/>
  <c r="P18" i="22" s="1"/>
  <c r="O71" i="22"/>
  <c r="P71" i="22" s="1"/>
  <c r="R71" i="22" s="1"/>
  <c r="O229" i="22"/>
  <c r="P229" i="22" s="1"/>
  <c r="R229" i="22" s="1"/>
  <c r="L48" i="19"/>
  <c r="AF194" i="19"/>
  <c r="L207" i="19"/>
  <c r="L219" i="19"/>
  <c r="AF54" i="19"/>
  <c r="L19" i="19"/>
  <c r="L27" i="19"/>
  <c r="L51" i="19"/>
  <c r="L65" i="19"/>
  <c r="L76" i="19"/>
  <c r="L120" i="19"/>
  <c r="L123" i="19"/>
  <c r="L128" i="19"/>
  <c r="AG176" i="19"/>
  <c r="H48" i="19" s="1"/>
  <c r="I48" i="19" s="1"/>
  <c r="AI218" i="19"/>
  <c r="Y214" i="19" s="1"/>
  <c r="AJ234" i="19"/>
  <c r="Y231" i="19" s="1"/>
  <c r="AE231" i="19" s="1"/>
  <c r="AI248" i="19"/>
  <c r="Y244" i="19" s="1"/>
  <c r="AJ262" i="19"/>
  <c r="Y259" i="19" s="1"/>
  <c r="AE259" i="19" s="1"/>
  <c r="AG203" i="21"/>
  <c r="O221" i="22"/>
  <c r="P221" i="22" s="1"/>
  <c r="R221" i="22" s="1"/>
  <c r="R220" i="22"/>
  <c r="O45" i="22"/>
  <c r="P45" i="22" s="1"/>
  <c r="O226" i="22"/>
  <c r="P226" i="22" s="1"/>
  <c r="R230" i="22"/>
  <c r="L55" i="19"/>
  <c r="L58" i="19"/>
  <c r="L165" i="19"/>
  <c r="L169" i="19"/>
  <c r="L189" i="19"/>
  <c r="L24" i="19"/>
  <c r="I25" i="19"/>
  <c r="L25" i="19" s="1"/>
  <c r="L228" i="19"/>
  <c r="L231" i="19"/>
  <c r="R238" i="22"/>
  <c r="R73" i="22"/>
  <c r="L28" i="19"/>
  <c r="L29" i="19"/>
  <c r="L33" i="19"/>
  <c r="L43" i="19"/>
  <c r="AF47" i="19"/>
  <c r="J38" i="19" s="1"/>
  <c r="L45" i="19"/>
  <c r="AD45" i="19"/>
  <c r="L50" i="19"/>
  <c r="L131" i="19"/>
  <c r="L138" i="19"/>
  <c r="L215" i="19"/>
  <c r="L217" i="19"/>
  <c r="L221" i="19"/>
  <c r="H16" i="21"/>
  <c r="I16" i="21" s="1"/>
  <c r="AG209" i="20"/>
  <c r="R75" i="22"/>
  <c r="R191" i="22"/>
  <c r="R196" i="22"/>
  <c r="R155" i="22"/>
  <c r="O74" i="22"/>
  <c r="P74" i="22" s="1"/>
  <c r="R74" i="22" s="1"/>
  <c r="R216" i="22"/>
  <c r="R17" i="22"/>
  <c r="P262" i="22"/>
  <c r="P263" i="22" s="1"/>
  <c r="P264" i="22" s="1"/>
  <c r="R206" i="22"/>
  <c r="R195" i="22"/>
  <c r="R189" i="22"/>
  <c r="R217" i="22"/>
  <c r="O199" i="22"/>
  <c r="P199" i="22" s="1"/>
  <c r="R199" i="22" s="1"/>
  <c r="O183" i="22"/>
  <c r="P183" i="22" s="1"/>
  <c r="R183" i="22" s="1"/>
  <c r="R175" i="22"/>
  <c r="R171" i="22"/>
  <c r="R167" i="22"/>
  <c r="R136" i="22"/>
  <c r="R55" i="22"/>
  <c r="R181" i="22"/>
  <c r="O137" i="22"/>
  <c r="P137" i="22" s="1"/>
  <c r="R137" i="22" s="1"/>
  <c r="O44" i="22"/>
  <c r="P44" i="22" s="1"/>
  <c r="R44" i="22" s="1"/>
  <c r="R51" i="22"/>
  <c r="O42" i="22"/>
  <c r="P42" i="22" s="1"/>
  <c r="R42" i="22" s="1"/>
  <c r="R203" i="22"/>
  <c r="R193" i="22"/>
  <c r="O188" i="22"/>
  <c r="P188" i="22" s="1"/>
  <c r="R188" i="22" s="1"/>
  <c r="R232" i="22"/>
  <c r="R222" i="22"/>
  <c r="O204" i="22"/>
  <c r="P204" i="22" s="1"/>
  <c r="R204" i="22" s="1"/>
  <c r="R236" i="22"/>
  <c r="R209" i="22"/>
  <c r="O194" i="22"/>
  <c r="P194" i="22" s="1"/>
  <c r="R194" i="22" s="1"/>
  <c r="O144" i="22"/>
  <c r="P144" i="22" s="1"/>
  <c r="R144" i="22" s="1"/>
  <c r="R48" i="22"/>
  <c r="R180" i="22"/>
  <c r="R174" i="22"/>
  <c r="R170" i="22"/>
  <c r="R166" i="22"/>
  <c r="O21" i="22"/>
  <c r="P21" i="22" s="1"/>
  <c r="R21" i="22" s="1"/>
  <c r="O25" i="22"/>
  <c r="P25" i="22" s="1"/>
  <c r="R25" i="22" s="1"/>
  <c r="R33" i="22"/>
  <c r="R45" i="22"/>
  <c r="O26" i="22"/>
  <c r="P26" i="22" s="1"/>
  <c r="R26" i="22" s="1"/>
  <c r="O39" i="22"/>
  <c r="P39" i="22" s="1"/>
  <c r="R39" i="22" s="1"/>
  <c r="R62" i="22"/>
  <c r="R65" i="22"/>
  <c r="R70" i="22"/>
  <c r="O72" i="22"/>
  <c r="P72" i="22" s="1"/>
  <c r="R72" i="22" s="1"/>
  <c r="O128" i="22"/>
  <c r="P128" i="22" s="1"/>
  <c r="R128" i="22" s="1"/>
  <c r="O19" i="22"/>
  <c r="P19" i="22" s="1"/>
  <c r="R19" i="22" s="1"/>
  <c r="O23" i="22"/>
  <c r="P23" i="22" s="1"/>
  <c r="R23" i="22" s="1"/>
  <c r="O29" i="22"/>
  <c r="P29" i="22" s="1"/>
  <c r="R29" i="22" s="1"/>
  <c r="O63" i="22"/>
  <c r="P63" i="22" s="1"/>
  <c r="R63" i="22" s="1"/>
  <c r="O69" i="22"/>
  <c r="P69" i="22" s="1"/>
  <c r="R69" i="22" s="1"/>
  <c r="O76" i="22"/>
  <c r="P76" i="22" s="1"/>
  <c r="R76" i="22" s="1"/>
  <c r="O119" i="22"/>
  <c r="P119" i="22" s="1"/>
  <c r="R119" i="22" s="1"/>
  <c r="O123" i="22"/>
  <c r="P123" i="22" s="1"/>
  <c r="R123" i="22" s="1"/>
  <c r="O126" i="22"/>
  <c r="P126" i="22" s="1"/>
  <c r="R126" i="22" s="1"/>
  <c r="O129" i="22"/>
  <c r="P129" i="22" s="1"/>
  <c r="R129" i="22" s="1"/>
  <c r="O138" i="22"/>
  <c r="P138" i="22" s="1"/>
  <c r="R138" i="22" s="1"/>
  <c r="O160" i="22"/>
  <c r="P160" i="22" s="1"/>
  <c r="R160" i="22" s="1"/>
  <c r="R226" i="22"/>
  <c r="O228" i="22"/>
  <c r="P228" i="22" s="1"/>
  <c r="R228" i="22" s="1"/>
  <c r="O234" i="22"/>
  <c r="P234" i="22" s="1"/>
  <c r="R234" i="22" s="1"/>
  <c r="O225" i="22"/>
  <c r="P225" i="22" s="1"/>
  <c r="R225" i="22" s="1"/>
  <c r="R211" i="22"/>
  <c r="R197" i="22"/>
  <c r="R187" i="22"/>
  <c r="R205" i="22"/>
  <c r="R200" i="22"/>
  <c r="R142" i="22"/>
  <c r="R179" i="22"/>
  <c r="R169" i="22"/>
  <c r="R132" i="22"/>
  <c r="R173" i="22"/>
  <c r="R79" i="22"/>
  <c r="O49" i="22"/>
  <c r="P49" i="22" s="1"/>
  <c r="R49" i="22" s="1"/>
  <c r="O38" i="22"/>
  <c r="P38" i="22" s="1"/>
  <c r="R32" i="22"/>
  <c r="O208" i="22"/>
  <c r="P208" i="22" s="1"/>
  <c r="R208" i="22" s="1"/>
  <c r="R198" i="22"/>
  <c r="O190" i="22"/>
  <c r="P190" i="22" s="1"/>
  <c r="R190" i="22" s="1"/>
  <c r="R235" i="22"/>
  <c r="R218" i="22"/>
  <c r="O210" i="22"/>
  <c r="P210" i="22" s="1"/>
  <c r="R210" i="22" s="1"/>
  <c r="O207" i="22"/>
  <c r="P207" i="22" s="1"/>
  <c r="R207" i="22" s="1"/>
  <c r="R184" i="22"/>
  <c r="R156" i="22"/>
  <c r="R143" i="22"/>
  <c r="R58" i="22"/>
  <c r="R182" i="22"/>
  <c r="R178" i="22"/>
  <c r="R172" i="22"/>
  <c r="R168" i="22"/>
  <c r="R41" i="22"/>
  <c r="O31" i="22"/>
  <c r="P31" i="22" s="1"/>
  <c r="R31" i="22" s="1"/>
  <c r="O40" i="22"/>
  <c r="P40" i="22" s="1"/>
  <c r="R40" i="22" s="1"/>
  <c r="R18" i="22"/>
  <c r="R22" i="22"/>
  <c r="O30" i="22"/>
  <c r="P30" i="22" s="1"/>
  <c r="R30" i="22" s="1"/>
  <c r="R27" i="22"/>
  <c r="O120" i="22"/>
  <c r="P120" i="22" s="1"/>
  <c r="R120" i="22" s="1"/>
  <c r="O60" i="22"/>
  <c r="P60" i="22" s="1"/>
  <c r="R60" i="22" s="1"/>
  <c r="O24" i="22"/>
  <c r="P24" i="22" s="1"/>
  <c r="R24" i="22" s="1"/>
  <c r="O28" i="22"/>
  <c r="P28" i="22" s="1"/>
  <c r="R28" i="22" s="1"/>
  <c r="O43" i="22"/>
  <c r="P43" i="22" s="1"/>
  <c r="R43" i="22" s="1"/>
  <c r="O52" i="22"/>
  <c r="P52" i="22" s="1"/>
  <c r="R52" i="22" s="1"/>
  <c r="O64" i="22"/>
  <c r="P64" i="22" s="1"/>
  <c r="R64" i="22" s="1"/>
  <c r="O68" i="22"/>
  <c r="P68" i="22" s="1"/>
  <c r="R68" i="22" s="1"/>
  <c r="O77" i="22"/>
  <c r="P77" i="22" s="1"/>
  <c r="R77" i="22" s="1"/>
  <c r="O122" i="22"/>
  <c r="P122" i="22" s="1"/>
  <c r="R122" i="22" s="1"/>
  <c r="O127" i="22"/>
  <c r="P127" i="22" s="1"/>
  <c r="R127" i="22" s="1"/>
  <c r="O154" i="22"/>
  <c r="P154" i="22" s="1"/>
  <c r="O162" i="22"/>
  <c r="P162" i="22" s="1"/>
  <c r="R162" i="22" s="1"/>
  <c r="O157" i="22"/>
  <c r="P157" i="22" s="1"/>
  <c r="R157" i="22" s="1"/>
  <c r="O159" i="22"/>
  <c r="P159" i="22" s="1"/>
  <c r="R159" i="22" s="1"/>
  <c r="O163" i="22"/>
  <c r="P163" i="22" s="1"/>
  <c r="R163" i="22" s="1"/>
  <c r="O227" i="22"/>
  <c r="P227" i="22" s="1"/>
  <c r="R227" i="22" s="1"/>
  <c r="O231" i="22"/>
  <c r="P231" i="22" s="1"/>
  <c r="R231" i="22" s="1"/>
  <c r="H21" i="20"/>
  <c r="I21" i="20" s="1"/>
  <c r="L21" i="20" s="1"/>
  <c r="L35" i="20" s="1"/>
  <c r="I233" i="21"/>
  <c r="K146" i="21"/>
  <c r="K235" i="21" s="1"/>
  <c r="L207" i="21"/>
  <c r="L146" i="21"/>
  <c r="L16" i="21"/>
  <c r="I30" i="21"/>
  <c r="L233" i="21"/>
  <c r="I146" i="21"/>
  <c r="I149" i="20"/>
  <c r="L213" i="20"/>
  <c r="L74" i="20"/>
  <c r="K149" i="20"/>
  <c r="K151" i="20" s="1"/>
  <c r="K243" i="20" s="1"/>
  <c r="L241" i="20"/>
  <c r="L29" i="18"/>
  <c r="L26" i="18"/>
  <c r="I25" i="18"/>
  <c r="L25" i="18" s="1"/>
  <c r="L20" i="18"/>
  <c r="L19" i="18"/>
  <c r="L18" i="18"/>
  <c r="L135" i="18"/>
  <c r="L136" i="18"/>
  <c r="L32" i="18"/>
  <c r="L31" i="18"/>
  <c r="L23" i="18"/>
  <c r="L30" i="18"/>
  <c r="L22" i="18"/>
  <c r="I115" i="18"/>
  <c r="I113" i="18"/>
  <c r="I111" i="18"/>
  <c r="I109" i="18"/>
  <c r="I106" i="18"/>
  <c r="I103" i="18"/>
  <c r="I101" i="18"/>
  <c r="I99" i="18"/>
  <c r="I97" i="18"/>
  <c r="I95" i="18"/>
  <c r="I93" i="18"/>
  <c r="I91" i="18"/>
  <c r="I89" i="18"/>
  <c r="I87" i="18"/>
  <c r="I85" i="18"/>
  <c r="I83" i="18"/>
  <c r="AR40" i="19"/>
  <c r="AR38" i="19"/>
  <c r="AR42" i="19" s="1"/>
  <c r="AR39" i="19"/>
  <c r="K38" i="19"/>
  <c r="AR49" i="19"/>
  <c r="AR48" i="19"/>
  <c r="AR47" i="19"/>
  <c r="I39" i="19"/>
  <c r="L39" i="19" s="1"/>
  <c r="AR56" i="19"/>
  <c r="AR55" i="19"/>
  <c r="AR58" i="19" s="1"/>
  <c r="AR57" i="19"/>
  <c r="L20" i="19"/>
  <c r="AF63" i="19"/>
  <c r="J40" i="19" s="1"/>
  <c r="J75" i="19"/>
  <c r="K74" i="19"/>
  <c r="L17" i="19"/>
  <c r="I30" i="19"/>
  <c r="L30" i="19" s="1"/>
  <c r="I31" i="19"/>
  <c r="K31" i="19"/>
  <c r="K35" i="19" s="1"/>
  <c r="AD44" i="19"/>
  <c r="AD47" i="19" s="1"/>
  <c r="H38" i="19" s="1"/>
  <c r="AF116" i="19"/>
  <c r="AG161" i="19"/>
  <c r="H42" i="19" s="1"/>
  <c r="AG168" i="19"/>
  <c r="H44" i="19" s="1"/>
  <c r="K70" i="19"/>
  <c r="L70" i="19" s="1"/>
  <c r="I32" i="19"/>
  <c r="L32" i="19" s="1"/>
  <c r="I56" i="19"/>
  <c r="L56" i="19" s="1"/>
  <c r="AC60" i="19"/>
  <c r="AD60" i="19" s="1"/>
  <c r="AD63" i="19" s="1"/>
  <c r="H40" i="19" s="1"/>
  <c r="L171" i="19"/>
  <c r="AE230" i="19"/>
  <c r="Y226" i="19"/>
  <c r="AE226" i="19" s="1"/>
  <c r="AE228" i="19" s="1"/>
  <c r="AE244" i="19"/>
  <c r="AE249" i="19" s="1"/>
  <c r="Y241" i="19"/>
  <c r="AE241" i="19" s="1"/>
  <c r="AE242" i="19" s="1"/>
  <c r="I74" i="19"/>
  <c r="L74" i="19" s="1"/>
  <c r="I79" i="19"/>
  <c r="K79" i="19"/>
  <c r="I119" i="19"/>
  <c r="L119" i="19" s="1"/>
  <c r="AE119" i="19"/>
  <c r="AE128" i="19" s="1"/>
  <c r="J137" i="19" s="1"/>
  <c r="I127" i="19"/>
  <c r="L127" i="19" s="1"/>
  <c r="I141" i="19"/>
  <c r="L141" i="19" s="1"/>
  <c r="K141" i="19"/>
  <c r="I143" i="19"/>
  <c r="K143" i="19"/>
  <c r="I147" i="19"/>
  <c r="K147" i="19"/>
  <c r="I153" i="19"/>
  <c r="K154" i="19"/>
  <c r="L154" i="19" s="1"/>
  <c r="I155" i="19"/>
  <c r="L155" i="19" s="1"/>
  <c r="I161" i="19"/>
  <c r="L161" i="19" s="1"/>
  <c r="I168" i="19"/>
  <c r="L168" i="19" s="1"/>
  <c r="K168" i="19"/>
  <c r="I170" i="19"/>
  <c r="L170" i="19" s="1"/>
  <c r="K170" i="19"/>
  <c r="I172" i="19"/>
  <c r="K172" i="19"/>
  <c r="Y211" i="19"/>
  <c r="AE211" i="19" s="1"/>
  <c r="AE212" i="19" s="1"/>
  <c r="AE214" i="19"/>
  <c r="AE219" i="19" s="1"/>
  <c r="AE258" i="19"/>
  <c r="AE263" i="19" s="1"/>
  <c r="Y255" i="19"/>
  <c r="AE255" i="19" s="1"/>
  <c r="AE256" i="19" s="1"/>
  <c r="I73" i="19"/>
  <c r="K73" i="19"/>
  <c r="I75" i="19"/>
  <c r="I132" i="19"/>
  <c r="L132" i="19" s="1"/>
  <c r="I142" i="19"/>
  <c r="L142" i="19" s="1"/>
  <c r="AG151" i="19"/>
  <c r="AG154" i="19" s="1"/>
  <c r="H41" i="19" s="1"/>
  <c r="I167" i="19"/>
  <c r="L167" i="19" s="1"/>
  <c r="L188" i="19"/>
  <c r="I180" i="19"/>
  <c r="K180" i="19"/>
  <c r="AH180" i="19"/>
  <c r="AI180" i="19" s="1"/>
  <c r="AI184" i="19" s="1"/>
  <c r="J49" i="19" s="1"/>
  <c r="I192" i="19"/>
  <c r="K192" i="19"/>
  <c r="I194" i="19"/>
  <c r="K194" i="19"/>
  <c r="I196" i="19"/>
  <c r="K196" i="19"/>
  <c r="I197" i="19"/>
  <c r="K197" i="19"/>
  <c r="K201" i="19"/>
  <c r="L201" i="19" s="1"/>
  <c r="I203" i="19"/>
  <c r="L203" i="19" s="1"/>
  <c r="K203" i="19"/>
  <c r="I205" i="19"/>
  <c r="K205" i="19"/>
  <c r="K214" i="19"/>
  <c r="K216" i="19"/>
  <c r="L216" i="19" s="1"/>
  <c r="K218" i="19"/>
  <c r="L218" i="19" s="1"/>
  <c r="I173" i="19"/>
  <c r="L173" i="19" s="1"/>
  <c r="I174" i="19"/>
  <c r="L174" i="19" s="1"/>
  <c r="I177" i="19"/>
  <c r="L177" i="19" s="1"/>
  <c r="I179" i="19"/>
  <c r="L179" i="19" s="1"/>
  <c r="I186" i="19"/>
  <c r="L186" i="19" s="1"/>
  <c r="I187" i="19"/>
  <c r="L187" i="19" s="1"/>
  <c r="I190" i="19"/>
  <c r="L190" i="19" s="1"/>
  <c r="I195" i="19"/>
  <c r="L195" i="19" s="1"/>
  <c r="I198" i="19"/>
  <c r="L198" i="19" s="1"/>
  <c r="I202" i="19"/>
  <c r="L202" i="19" s="1"/>
  <c r="I204" i="19"/>
  <c r="L204" i="19" s="1"/>
  <c r="I206" i="19"/>
  <c r="L206" i="19" s="1"/>
  <c r="I209" i="19"/>
  <c r="L209" i="19" s="1"/>
  <c r="L214" i="19"/>
  <c r="I220" i="19"/>
  <c r="L220" i="19" s="1"/>
  <c r="K227" i="19"/>
  <c r="L227" i="19" s="1"/>
  <c r="I229" i="19"/>
  <c r="L229" i="19" s="1"/>
  <c r="K232" i="19"/>
  <c r="L232" i="19" s="1"/>
  <c r="AE235" i="19" l="1"/>
  <c r="I235" i="21"/>
  <c r="L194" i="19"/>
  <c r="AE264" i="19"/>
  <c r="J148" i="19"/>
  <c r="AE250" i="19"/>
  <c r="AE236" i="19"/>
  <c r="AR51" i="19"/>
  <c r="P266" i="23"/>
  <c r="P267" i="23" s="1"/>
  <c r="P268" i="23" s="1"/>
  <c r="N269" i="23" s="1"/>
  <c r="P151" i="22"/>
  <c r="R151" i="22" s="1"/>
  <c r="R38" i="22"/>
  <c r="N265" i="22"/>
  <c r="P265" i="22" s="1"/>
  <c r="P35" i="22"/>
  <c r="R35" i="22" s="1"/>
  <c r="P213" i="22"/>
  <c r="R213" i="22" s="1"/>
  <c r="R154" i="22"/>
  <c r="P241" i="22"/>
  <c r="I35" i="20"/>
  <c r="L30" i="21"/>
  <c r="L235" i="21" s="1"/>
  <c r="L149" i="20"/>
  <c r="I151" i="20"/>
  <c r="I243" i="20" s="1"/>
  <c r="L83" i="18"/>
  <c r="L85" i="18"/>
  <c r="L87" i="18"/>
  <c r="L89" i="18"/>
  <c r="L91" i="18"/>
  <c r="L93" i="18"/>
  <c r="L95" i="18"/>
  <c r="L97" i="18"/>
  <c r="L99" i="18"/>
  <c r="L101" i="18"/>
  <c r="L103" i="18"/>
  <c r="L106" i="18"/>
  <c r="L109" i="18"/>
  <c r="L111" i="18"/>
  <c r="L113" i="18"/>
  <c r="L115" i="18"/>
  <c r="I41" i="19"/>
  <c r="L41" i="19" s="1"/>
  <c r="I40" i="19"/>
  <c r="I38" i="19"/>
  <c r="H21" i="19"/>
  <c r="L236" i="19"/>
  <c r="K148" i="19"/>
  <c r="K137" i="19"/>
  <c r="I44" i="19"/>
  <c r="L44" i="19" s="1"/>
  <c r="I42" i="19"/>
  <c r="L42" i="19" s="1"/>
  <c r="L192" i="19"/>
  <c r="I236" i="19"/>
  <c r="K211" i="19"/>
  <c r="K49" i="19"/>
  <c r="L49" i="19" s="1"/>
  <c r="AE220" i="19"/>
  <c r="H148" i="19"/>
  <c r="I211" i="19"/>
  <c r="L153" i="19"/>
  <c r="K75" i="19"/>
  <c r="L75" i="19" s="1"/>
  <c r="K40" i="19"/>
  <c r="L38" i="19"/>
  <c r="K236" i="19"/>
  <c r="L205" i="19"/>
  <c r="L197" i="19"/>
  <c r="L196" i="19"/>
  <c r="L180" i="19"/>
  <c r="L73" i="19"/>
  <c r="L172" i="19"/>
  <c r="L147" i="19"/>
  <c r="L143" i="19"/>
  <c r="L79" i="19"/>
  <c r="L137" i="19"/>
  <c r="L31" i="19"/>
  <c r="AG207" i="19" l="1"/>
  <c r="L234" i="21"/>
  <c r="K150" i="19"/>
  <c r="K238" i="19" s="1"/>
  <c r="L40" i="19"/>
  <c r="P269" i="23"/>
  <c r="N266" i="22"/>
  <c r="P266" i="22" s="1"/>
  <c r="P269" i="22" s="1"/>
  <c r="M243" i="22"/>
  <c r="R241" i="22"/>
  <c r="N269" i="22"/>
  <c r="P252" i="21"/>
  <c r="L151" i="20"/>
  <c r="L211" i="19"/>
  <c r="I148" i="19"/>
  <c r="L148" i="19" s="1"/>
  <c r="I21" i="19"/>
  <c r="N268" i="22" l="1"/>
  <c r="N270" i="23"/>
  <c r="P270" i="23" s="1"/>
  <c r="R266" i="22"/>
  <c r="R243" i="22"/>
  <c r="N254" i="21"/>
  <c r="L243" i="20"/>
  <c r="L242" i="20"/>
  <c r="L21" i="19"/>
  <c r="I35" i="19"/>
  <c r="I150" i="19"/>
  <c r="I238" i="19" s="1"/>
  <c r="L150" i="19"/>
  <c r="Q152" i="23" l="1"/>
  <c r="N151" i="23"/>
  <c r="M153" i="23"/>
  <c r="Q151" i="23"/>
  <c r="N153" i="23"/>
  <c r="M152" i="23"/>
  <c r="Q153" i="23"/>
  <c r="N152" i="23"/>
  <c r="M151" i="23"/>
  <c r="N273" i="23"/>
  <c r="N53" i="23"/>
  <c r="M52" i="23"/>
  <c r="Q53" i="23"/>
  <c r="M43" i="23"/>
  <c r="Q43" i="23"/>
  <c r="N44" i="23"/>
  <c r="Q247" i="23"/>
  <c r="Q244" i="23"/>
  <c r="M241" i="23"/>
  <c r="M239" i="23"/>
  <c r="M236" i="23"/>
  <c r="N229" i="23"/>
  <c r="M225" i="23"/>
  <c r="Q219" i="23"/>
  <c r="N238" i="23"/>
  <c r="N232" i="23"/>
  <c r="N230" i="23"/>
  <c r="M223" i="23"/>
  <c r="M221" i="23"/>
  <c r="Q216" i="23"/>
  <c r="N142" i="23"/>
  <c r="N124" i="23"/>
  <c r="M142" i="23"/>
  <c r="M136" i="23"/>
  <c r="N131" i="23"/>
  <c r="N127" i="23"/>
  <c r="N123" i="23"/>
  <c r="N80" i="23"/>
  <c r="M77" i="23"/>
  <c r="M75" i="23"/>
  <c r="N73" i="23"/>
  <c r="M69" i="23"/>
  <c r="N67" i="23"/>
  <c r="N56" i="23"/>
  <c r="N45" i="23"/>
  <c r="M33" i="23"/>
  <c r="N28" i="23"/>
  <c r="N24" i="23"/>
  <c r="M22" i="23"/>
  <c r="M18" i="23"/>
  <c r="N64" i="23"/>
  <c r="Q56" i="23"/>
  <c r="M55" i="23"/>
  <c r="N47" i="23"/>
  <c r="M41" i="23"/>
  <c r="Q36" i="23"/>
  <c r="R36" i="23" s="1"/>
  <c r="N33" i="23"/>
  <c r="M29" i="23"/>
  <c r="N27" i="23"/>
  <c r="N25" i="23"/>
  <c r="N22" i="23"/>
  <c r="O22" i="23" s="1"/>
  <c r="P22" i="23" s="1"/>
  <c r="M20" i="23"/>
  <c r="N18" i="23"/>
  <c r="N76" i="23"/>
  <c r="N74" i="23"/>
  <c r="M73" i="23"/>
  <c r="N69" i="23"/>
  <c r="M68" i="23"/>
  <c r="N66" i="23"/>
  <c r="Q20" i="23"/>
  <c r="M50" i="23"/>
  <c r="N60" i="23"/>
  <c r="M80" i="23"/>
  <c r="Q22" i="23"/>
  <c r="Q26" i="23"/>
  <c r="M31" i="23"/>
  <c r="Q55" i="23"/>
  <c r="Q69" i="23"/>
  <c r="M79" i="23"/>
  <c r="Q126" i="23"/>
  <c r="Q133" i="23"/>
  <c r="M141" i="23"/>
  <c r="M148" i="23"/>
  <c r="Q163" i="23"/>
  <c r="M23" i="23"/>
  <c r="N42" i="23"/>
  <c r="M83" i="23"/>
  <c r="M126" i="23"/>
  <c r="Q132" i="23"/>
  <c r="Q140" i="23"/>
  <c r="Q173" i="23"/>
  <c r="N141" i="23"/>
  <c r="Q202" i="23"/>
  <c r="N221" i="23"/>
  <c r="O221" i="23" s="1"/>
  <c r="P221" i="23" s="1"/>
  <c r="N225" i="23"/>
  <c r="Q230" i="23"/>
  <c r="Q236" i="23"/>
  <c r="N241" i="23"/>
  <c r="N226" i="23"/>
  <c r="N236" i="23"/>
  <c r="Q241" i="23"/>
  <c r="O193" i="23"/>
  <c r="P193" i="23" s="1"/>
  <c r="M26" i="23"/>
  <c r="Q41" i="23"/>
  <c r="Q54" i="23"/>
  <c r="M62" i="23"/>
  <c r="M39" i="23"/>
  <c r="N20" i="23"/>
  <c r="M25" i="23"/>
  <c r="Q30" i="23"/>
  <c r="N41" i="23"/>
  <c r="Q47" i="23"/>
  <c r="Q60" i="23"/>
  <c r="Q67" i="23"/>
  <c r="M76" i="23"/>
  <c r="N77" i="23"/>
  <c r="Q123" i="23"/>
  <c r="Q131" i="23"/>
  <c r="N140" i="23"/>
  <c r="N147" i="23"/>
  <c r="O173" i="23"/>
  <c r="P173" i="23" s="1"/>
  <c r="N50" i="23"/>
  <c r="M81" i="23"/>
  <c r="Q124" i="23"/>
  <c r="M131" i="23"/>
  <c r="Q147" i="23"/>
  <c r="Q161" i="23"/>
  <c r="Q175" i="23"/>
  <c r="M124" i="23"/>
  <c r="N146" i="23"/>
  <c r="O170" i="23"/>
  <c r="P170" i="23" s="1"/>
  <c r="O184" i="23"/>
  <c r="P184" i="23" s="1"/>
  <c r="O187" i="23"/>
  <c r="P187" i="23" s="1"/>
  <c r="O194" i="23"/>
  <c r="P194" i="23" s="1"/>
  <c r="Q199" i="23"/>
  <c r="O203" i="23"/>
  <c r="P203" i="23" s="1"/>
  <c r="N222" i="23"/>
  <c r="Q227" i="23"/>
  <c r="M231" i="23"/>
  <c r="Q237" i="23"/>
  <c r="N242" i="23"/>
  <c r="Q194" i="23"/>
  <c r="Q210" i="23"/>
  <c r="N227" i="23"/>
  <c r="N237" i="23"/>
  <c r="Q242" i="23"/>
  <c r="Q50" i="23"/>
  <c r="Q17" i="23"/>
  <c r="M46" i="23"/>
  <c r="Q193" i="23"/>
  <c r="Q222" i="23"/>
  <c r="Q209" i="23"/>
  <c r="Q186" i="23"/>
  <c r="Q172" i="23"/>
  <c r="Q160" i="23"/>
  <c r="Q25" i="23"/>
  <c r="Q235" i="23"/>
  <c r="Q215" i="23"/>
  <c r="Q177" i="23"/>
  <c r="Q141" i="23"/>
  <c r="Q31" i="23"/>
  <c r="M40" i="23"/>
  <c r="M21" i="23"/>
  <c r="Q191" i="23"/>
  <c r="Q214" i="23"/>
  <c r="Q208" i="23"/>
  <c r="Q184" i="23"/>
  <c r="Q159" i="23"/>
  <c r="Q166" i="23"/>
  <c r="M238" i="23"/>
  <c r="Q192" i="23"/>
  <c r="Q223" i="23"/>
  <c r="Q182" i="23"/>
  <c r="Q148" i="23"/>
  <c r="Q39" i="23"/>
  <c r="Q158" i="23"/>
  <c r="Q40" i="23"/>
  <c r="Q228" i="23"/>
  <c r="Q179" i="23"/>
  <c r="Q51" i="23"/>
  <c r="Q200" i="23"/>
  <c r="Q188" i="23"/>
  <c r="Q42" i="23"/>
  <c r="Q21" i="23"/>
  <c r="Q155" i="23"/>
  <c r="N52" i="23"/>
  <c r="Q52" i="23"/>
  <c r="M53" i="23"/>
  <c r="N139" i="23"/>
  <c r="M44" i="23"/>
  <c r="N43" i="23"/>
  <c r="Q44" i="23"/>
  <c r="M242" i="23"/>
  <c r="M240" i="23"/>
  <c r="M237" i="23"/>
  <c r="M230" i="23"/>
  <c r="M227" i="23"/>
  <c r="M224" i="23"/>
  <c r="Q218" i="23"/>
  <c r="N235" i="23"/>
  <c r="N231" i="23"/>
  <c r="M226" i="23"/>
  <c r="M222" i="23"/>
  <c r="M220" i="23"/>
  <c r="Q154" i="23"/>
  <c r="N132" i="23"/>
  <c r="M147" i="23"/>
  <c r="M140" i="23"/>
  <c r="N130" i="23"/>
  <c r="N81" i="23"/>
  <c r="Q75" i="23"/>
  <c r="N72" i="23"/>
  <c r="M66" i="23"/>
  <c r="Q37" i="23"/>
  <c r="M27" i="23"/>
  <c r="N19" i="23"/>
  <c r="M60" i="23"/>
  <c r="M54" i="23"/>
  <c r="N39" i="23"/>
  <c r="O39" i="23" s="1"/>
  <c r="P39" i="23" s="1"/>
  <c r="N30" i="23"/>
  <c r="N26" i="23"/>
  <c r="N21" i="23"/>
  <c r="N17" i="23"/>
  <c r="Q73" i="23"/>
  <c r="Q68" i="23"/>
  <c r="Q18" i="23"/>
  <c r="N55" i="23"/>
  <c r="N38" i="23"/>
  <c r="Q28" i="23"/>
  <c r="Q66" i="23"/>
  <c r="Q83" i="23"/>
  <c r="M139" i="23"/>
  <c r="O171" i="23"/>
  <c r="P171" i="23" s="1"/>
  <c r="N31" i="23"/>
  <c r="M123" i="23"/>
  <c r="M133" i="23"/>
  <c r="N148" i="23"/>
  <c r="O185" i="23"/>
  <c r="P185" i="23" s="1"/>
  <c r="Q195" i="23"/>
  <c r="N228" i="23"/>
  <c r="Q239" i="23"/>
  <c r="N224" i="23"/>
  <c r="O224" i="23" s="1"/>
  <c r="P224" i="23" s="1"/>
  <c r="N239" i="23"/>
  <c r="Q19" i="23"/>
  <c r="N46" i="23"/>
  <c r="Q64" i="23"/>
  <c r="Q23" i="23"/>
  <c r="M32" i="23"/>
  <c r="N54" i="23"/>
  <c r="Q72" i="23"/>
  <c r="Q81" i="23"/>
  <c r="N136" i="23"/>
  <c r="O136" i="23" s="1"/>
  <c r="P136" i="23" s="1"/>
  <c r="N62" i="23"/>
  <c r="Q127" i="23"/>
  <c r="Q197" i="23"/>
  <c r="Q207" i="23"/>
  <c r="N220" i="23"/>
  <c r="Q229" i="23"/>
  <c r="N240" i="23"/>
  <c r="Q225" i="23"/>
  <c r="Q240" i="23"/>
  <c r="M42" i="23"/>
  <c r="N79" i="23"/>
  <c r="O79" i="23" s="1"/>
  <c r="P79" i="23" s="1"/>
  <c r="Q213" i="23"/>
  <c r="Q178" i="23"/>
  <c r="Q62" i="23"/>
  <c r="Q221" i="23"/>
  <c r="Q170" i="23"/>
  <c r="Q76" i="23"/>
  <c r="Q78" i="23"/>
  <c r="Q211" i="23"/>
  <c r="Q176" i="23"/>
  <c r="Q32" i="23"/>
  <c r="Q231" i="23"/>
  <c r="Q174" i="23"/>
  <c r="Q38" i="23"/>
  <c r="Q46" i="23"/>
  <c r="Q220" i="23"/>
  <c r="Q79" i="23"/>
  <c r="Q217" i="23"/>
  <c r="Q35" i="23"/>
  <c r="N133" i="23"/>
  <c r="N126" i="23"/>
  <c r="M78" i="23"/>
  <c r="M74" i="23"/>
  <c r="N68" i="23"/>
  <c r="M47" i="23"/>
  <c r="N29" i="23"/>
  <c r="N23" i="23"/>
  <c r="O23" i="23" s="1"/>
  <c r="P23" i="23" s="1"/>
  <c r="M17" i="23"/>
  <c r="M56" i="23"/>
  <c r="M45" i="23"/>
  <c r="Q34" i="23"/>
  <c r="R34" i="23" s="1"/>
  <c r="M28" i="23"/>
  <c r="M24" i="23"/>
  <c r="M19" i="23"/>
  <c r="N75" i="23"/>
  <c r="M72" i="23"/>
  <c r="M67" i="23"/>
  <c r="Q29" i="23"/>
  <c r="Q77" i="23"/>
  <c r="Q24" i="23"/>
  <c r="Q33" i="23"/>
  <c r="Q74" i="23"/>
  <c r="M130" i="23"/>
  <c r="M146" i="23"/>
  <c r="Q167" i="23"/>
  <c r="N59" i="23"/>
  <c r="Q130" i="23"/>
  <c r="O179" i="23"/>
  <c r="P179" i="23" s="1"/>
  <c r="M132" i="23"/>
  <c r="O176" i="23"/>
  <c r="P176" i="23" s="1"/>
  <c r="N223" i="23"/>
  <c r="M232" i="23"/>
  <c r="M228" i="23"/>
  <c r="M30" i="23"/>
  <c r="M59" i="23"/>
  <c r="N78" i="23"/>
  <c r="O78" i="23" s="1"/>
  <c r="P78" i="23" s="1"/>
  <c r="R78" i="23" s="1"/>
  <c r="Q27" i="23"/>
  <c r="Q45" i="23"/>
  <c r="M64" i="23"/>
  <c r="Q80" i="23"/>
  <c r="M127" i="23"/>
  <c r="Q142" i="23"/>
  <c r="Q164" i="23"/>
  <c r="N32" i="23"/>
  <c r="N83" i="23"/>
  <c r="Q136" i="23"/>
  <c r="Q171" i="23"/>
  <c r="O201" i="23"/>
  <c r="P201" i="23" s="1"/>
  <c r="Q224" i="23"/>
  <c r="M235" i="23"/>
  <c r="O202" i="23"/>
  <c r="P202" i="23" s="1"/>
  <c r="Q212" i="23"/>
  <c r="M229" i="23"/>
  <c r="M51" i="23"/>
  <c r="Q232" i="23"/>
  <c r="Q204" i="23"/>
  <c r="Q146" i="23"/>
  <c r="N40" i="23"/>
  <c r="O40" i="23" s="1"/>
  <c r="P40" i="23" s="1"/>
  <c r="Q185" i="23"/>
  <c r="Q201" i="23"/>
  <c r="M38" i="23"/>
  <c r="Q226" i="23"/>
  <c r="Q203" i="23"/>
  <c r="Q139" i="23"/>
  <c r="N51" i="23"/>
  <c r="Q187" i="23"/>
  <c r="Q59" i="23"/>
  <c r="Q183" i="23"/>
  <c r="Q238" i="23"/>
  <c r="Q198" i="23"/>
  <c r="Q245" i="23"/>
  <c r="N272" i="23"/>
  <c r="P254" i="21"/>
  <c r="P255" i="21" s="1"/>
  <c r="P256" i="21" s="1"/>
  <c r="P260" i="20"/>
  <c r="L35" i="19"/>
  <c r="R23" i="23" l="1"/>
  <c r="O26" i="23"/>
  <c r="P26" i="23" s="1"/>
  <c r="R173" i="23"/>
  <c r="O77" i="23"/>
  <c r="P77" i="23" s="1"/>
  <c r="O50" i="23"/>
  <c r="P50" i="23" s="1"/>
  <c r="O223" i="23"/>
  <c r="P223" i="23" s="1"/>
  <c r="O62" i="23"/>
  <c r="P62" i="23" s="1"/>
  <c r="R62" i="23" s="1"/>
  <c r="O54" i="23"/>
  <c r="P54" i="23" s="1"/>
  <c r="O43" i="23"/>
  <c r="P43" i="23" s="1"/>
  <c r="O240" i="23"/>
  <c r="P240" i="23" s="1"/>
  <c r="R43" i="23"/>
  <c r="O236" i="23"/>
  <c r="P236" i="23" s="1"/>
  <c r="R236" i="23" s="1"/>
  <c r="O225" i="23"/>
  <c r="P225" i="23" s="1"/>
  <c r="R40" i="23"/>
  <c r="R202" i="23"/>
  <c r="O83" i="23"/>
  <c r="P83" i="23" s="1"/>
  <c r="R83" i="23" s="1"/>
  <c r="O210" i="23"/>
  <c r="P210" i="23" s="1"/>
  <c r="R210" i="23" s="1"/>
  <c r="O148" i="23"/>
  <c r="P148" i="23" s="1"/>
  <c r="R148" i="23" s="1"/>
  <c r="O55" i="23"/>
  <c r="P55" i="23" s="1"/>
  <c r="R55" i="23" s="1"/>
  <c r="R179" i="23"/>
  <c r="O133" i="23"/>
  <c r="P133" i="23" s="1"/>
  <c r="R133" i="23" s="1"/>
  <c r="O186" i="23"/>
  <c r="P186" i="23" s="1"/>
  <c r="R186" i="23" s="1"/>
  <c r="O195" i="23"/>
  <c r="P195" i="23" s="1"/>
  <c r="R195" i="23" s="1"/>
  <c r="R26" i="23"/>
  <c r="R39" i="23"/>
  <c r="O46" i="23"/>
  <c r="P46" i="23" s="1"/>
  <c r="O21" i="23"/>
  <c r="P21" i="23" s="1"/>
  <c r="R21" i="23" s="1"/>
  <c r="O41" i="23"/>
  <c r="P41" i="23" s="1"/>
  <c r="R41" i="23" s="1"/>
  <c r="O241" i="23"/>
  <c r="P241" i="23" s="1"/>
  <c r="R241" i="23" s="1"/>
  <c r="O215" i="23"/>
  <c r="P215" i="23" s="1"/>
  <c r="R215" i="23" s="1"/>
  <c r="R176" i="23"/>
  <c r="O75" i="23"/>
  <c r="P75" i="23" s="1"/>
  <c r="R75" i="23" s="1"/>
  <c r="O126" i="23"/>
  <c r="P126" i="23" s="1"/>
  <c r="R126" i="23" s="1"/>
  <c r="O220" i="23"/>
  <c r="P220" i="23" s="1"/>
  <c r="R220" i="23" s="1"/>
  <c r="O151" i="23"/>
  <c r="P151" i="23" s="1"/>
  <c r="R151" i="23" s="1"/>
  <c r="O153" i="23"/>
  <c r="P153" i="23" s="1"/>
  <c r="R153" i="23" s="1"/>
  <c r="O152" i="23"/>
  <c r="P152" i="23" s="1"/>
  <c r="R152" i="23" s="1"/>
  <c r="O182" i="23"/>
  <c r="P182" i="23" s="1"/>
  <c r="R182" i="23" s="1"/>
  <c r="O32" i="23"/>
  <c r="P32" i="23" s="1"/>
  <c r="R32" i="23" s="1"/>
  <c r="R223" i="23"/>
  <c r="O29" i="23"/>
  <c r="P29" i="23" s="1"/>
  <c r="R29" i="23" s="1"/>
  <c r="O68" i="23"/>
  <c r="P68" i="23" s="1"/>
  <c r="R68" i="23" s="1"/>
  <c r="O197" i="23"/>
  <c r="P197" i="23" s="1"/>
  <c r="R54" i="23"/>
  <c r="O239" i="23"/>
  <c r="P239" i="23" s="1"/>
  <c r="R239" i="23" s="1"/>
  <c r="O207" i="23"/>
  <c r="P207" i="23" s="1"/>
  <c r="R207" i="23" s="1"/>
  <c r="O31" i="23"/>
  <c r="P31" i="23" s="1"/>
  <c r="R31" i="23" s="1"/>
  <c r="O81" i="23"/>
  <c r="P81" i="23" s="1"/>
  <c r="R81" i="23" s="1"/>
  <c r="O231" i="23"/>
  <c r="P231" i="23" s="1"/>
  <c r="R231" i="23" s="1"/>
  <c r="O52" i="23"/>
  <c r="P52" i="23" s="1"/>
  <c r="R52" i="23" s="1"/>
  <c r="O51" i="23"/>
  <c r="P51" i="23" s="1"/>
  <c r="R51" i="23" s="1"/>
  <c r="O192" i="23"/>
  <c r="P192" i="23" s="1"/>
  <c r="R192" i="23" s="1"/>
  <c r="R201" i="23"/>
  <c r="O200" i="23"/>
  <c r="P200" i="23" s="1"/>
  <c r="R200" i="23" s="1"/>
  <c r="R197" i="23"/>
  <c r="O20" i="23"/>
  <c r="P20" i="23" s="1"/>
  <c r="R20" i="23" s="1"/>
  <c r="O141" i="23"/>
  <c r="P141" i="23" s="1"/>
  <c r="R141" i="23" s="1"/>
  <c r="O69" i="23"/>
  <c r="O18" i="23"/>
  <c r="P18" i="23" s="1"/>
  <c r="R18" i="23" s="1"/>
  <c r="O33" i="23"/>
  <c r="P33" i="23" s="1"/>
  <c r="O211" i="23"/>
  <c r="P211" i="23" s="1"/>
  <c r="R211" i="23" s="1"/>
  <c r="R69" i="23"/>
  <c r="O191" i="23"/>
  <c r="P191" i="23" s="1"/>
  <c r="R191" i="23" s="1"/>
  <c r="O59" i="23"/>
  <c r="P59" i="23" s="1"/>
  <c r="R59" i="23" s="1"/>
  <c r="O183" i="23"/>
  <c r="P183" i="23" s="1"/>
  <c r="R183" i="23" s="1"/>
  <c r="R46" i="23"/>
  <c r="R171" i="23"/>
  <c r="O38" i="23"/>
  <c r="P38" i="23" s="1"/>
  <c r="O30" i="23"/>
  <c r="P30" i="23" s="1"/>
  <c r="R30" i="23" s="1"/>
  <c r="O19" i="23"/>
  <c r="O72" i="23"/>
  <c r="P72" i="23" s="1"/>
  <c r="R72" i="23" s="1"/>
  <c r="O166" i="23"/>
  <c r="P166" i="23" s="1"/>
  <c r="R166" i="23" s="1"/>
  <c r="O167" i="23"/>
  <c r="P167" i="23" s="1"/>
  <c r="R167" i="23" s="1"/>
  <c r="O235" i="23"/>
  <c r="P235" i="23" s="1"/>
  <c r="R235" i="23" s="1"/>
  <c r="O237" i="23"/>
  <c r="P237" i="23" s="1"/>
  <c r="R237" i="23" s="1"/>
  <c r="O214" i="23"/>
  <c r="P214" i="23" s="1"/>
  <c r="R214" i="23" s="1"/>
  <c r="O204" i="23"/>
  <c r="P204" i="23" s="1"/>
  <c r="R204" i="23" s="1"/>
  <c r="R203" i="23"/>
  <c r="R194" i="23"/>
  <c r="R184" i="23"/>
  <c r="R170" i="23"/>
  <c r="R50" i="23"/>
  <c r="O147" i="23"/>
  <c r="P147" i="23" s="1"/>
  <c r="R147" i="23" s="1"/>
  <c r="R77" i="23"/>
  <c r="R193" i="23"/>
  <c r="O213" i="23"/>
  <c r="P213" i="23" s="1"/>
  <c r="R213" i="23" s="1"/>
  <c r="R225" i="23"/>
  <c r="O212" i="23"/>
  <c r="P212" i="23" s="1"/>
  <c r="R212" i="23" s="1"/>
  <c r="O178" i="23"/>
  <c r="P178" i="23" s="1"/>
  <c r="R178" i="23" s="1"/>
  <c r="O160" i="23"/>
  <c r="P160" i="23" s="1"/>
  <c r="R160" i="23" s="1"/>
  <c r="O175" i="23"/>
  <c r="P175" i="23" s="1"/>
  <c r="R175" i="23" s="1"/>
  <c r="O66" i="23"/>
  <c r="P66" i="23" s="1"/>
  <c r="R66" i="23" s="1"/>
  <c r="O74" i="23"/>
  <c r="P74" i="23" s="1"/>
  <c r="R74" i="23" s="1"/>
  <c r="R22" i="23"/>
  <c r="O27" i="23"/>
  <c r="P27" i="23" s="1"/>
  <c r="R27" i="23" s="1"/>
  <c r="R33" i="23"/>
  <c r="O64" i="23"/>
  <c r="P64" i="23" s="1"/>
  <c r="R64" i="23" s="1"/>
  <c r="O28" i="23"/>
  <c r="P28" i="23" s="1"/>
  <c r="R28" i="23" s="1"/>
  <c r="O45" i="23"/>
  <c r="P45" i="23" s="1"/>
  <c r="R45" i="23" s="1"/>
  <c r="O67" i="23"/>
  <c r="P67" i="23" s="1"/>
  <c r="R67" i="23" s="1"/>
  <c r="O73" i="23"/>
  <c r="P73" i="23" s="1"/>
  <c r="R73" i="23" s="1"/>
  <c r="O123" i="23"/>
  <c r="P123" i="23" s="1"/>
  <c r="R123" i="23" s="1"/>
  <c r="O131" i="23"/>
  <c r="P131" i="23" s="1"/>
  <c r="R131" i="23" s="1"/>
  <c r="O124" i="23"/>
  <c r="P124" i="23" s="1"/>
  <c r="R124" i="23" s="1"/>
  <c r="O161" i="23"/>
  <c r="P161" i="23" s="1"/>
  <c r="R161" i="23" s="1"/>
  <c r="O232" i="23"/>
  <c r="P232" i="23" s="1"/>
  <c r="R232" i="23" s="1"/>
  <c r="O238" i="23"/>
  <c r="P238" i="23" s="1"/>
  <c r="R238" i="23" s="1"/>
  <c r="O53" i="23"/>
  <c r="P53" i="23" s="1"/>
  <c r="R53" i="23" s="1"/>
  <c r="O188" i="23"/>
  <c r="P188" i="23" s="1"/>
  <c r="R188" i="23" s="1"/>
  <c r="R79" i="23"/>
  <c r="R240" i="23"/>
  <c r="O174" i="23"/>
  <c r="P174" i="23" s="1"/>
  <c r="R174" i="23" s="1"/>
  <c r="R136" i="23"/>
  <c r="R224" i="23"/>
  <c r="O228" i="23"/>
  <c r="P228" i="23" s="1"/>
  <c r="R228" i="23" s="1"/>
  <c r="R185" i="23"/>
  <c r="O17" i="23"/>
  <c r="P17" i="23" s="1"/>
  <c r="O130" i="23"/>
  <c r="P130" i="23" s="1"/>
  <c r="R130" i="23" s="1"/>
  <c r="O132" i="23"/>
  <c r="P132" i="23" s="1"/>
  <c r="R132" i="23" s="1"/>
  <c r="O163" i="23"/>
  <c r="P163" i="23" s="1"/>
  <c r="R163" i="23" s="1"/>
  <c r="O139" i="23"/>
  <c r="P139" i="23" s="1"/>
  <c r="R139" i="23" s="1"/>
  <c r="O227" i="23"/>
  <c r="P227" i="23" s="1"/>
  <c r="R227" i="23" s="1"/>
  <c r="O199" i="23"/>
  <c r="P199" i="23" s="1"/>
  <c r="R199" i="23" s="1"/>
  <c r="O242" i="23"/>
  <c r="P242" i="23" s="1"/>
  <c r="R242" i="23" s="1"/>
  <c r="O222" i="23"/>
  <c r="P222" i="23" s="1"/>
  <c r="R222" i="23" s="1"/>
  <c r="R187" i="23"/>
  <c r="O177" i="23"/>
  <c r="P177" i="23" s="1"/>
  <c r="R177" i="23" s="1"/>
  <c r="O146" i="23"/>
  <c r="P146" i="23" s="1"/>
  <c r="R146" i="23" s="1"/>
  <c r="O140" i="23"/>
  <c r="P140" i="23" s="1"/>
  <c r="R140" i="23" s="1"/>
  <c r="O226" i="23"/>
  <c r="P226" i="23" s="1"/>
  <c r="R226" i="23" s="1"/>
  <c r="O209" i="23"/>
  <c r="P209" i="23" s="1"/>
  <c r="R209" i="23" s="1"/>
  <c r="R221" i="23"/>
  <c r="O208" i="23"/>
  <c r="P208" i="23" s="1"/>
  <c r="R208" i="23" s="1"/>
  <c r="O198" i="23"/>
  <c r="P198" i="23" s="1"/>
  <c r="R198" i="23" s="1"/>
  <c r="O172" i="23"/>
  <c r="P172" i="23" s="1"/>
  <c r="R172" i="23" s="1"/>
  <c r="O159" i="23"/>
  <c r="P159" i="23" s="1"/>
  <c r="R159" i="23" s="1"/>
  <c r="O42" i="23"/>
  <c r="P42" i="23" s="1"/>
  <c r="R42" i="23" s="1"/>
  <c r="O60" i="23"/>
  <c r="P60" i="23" s="1"/>
  <c r="R60" i="23" s="1"/>
  <c r="O76" i="23"/>
  <c r="P76" i="23" s="1"/>
  <c r="R76" i="23" s="1"/>
  <c r="O25" i="23"/>
  <c r="O47" i="23"/>
  <c r="R47" i="23" s="1"/>
  <c r="O24" i="23"/>
  <c r="P24" i="23" s="1"/>
  <c r="R24" i="23" s="1"/>
  <c r="O56" i="23"/>
  <c r="P56" i="23" s="1"/>
  <c r="R56" i="23" s="1"/>
  <c r="O80" i="23"/>
  <c r="P80" i="23" s="1"/>
  <c r="R80" i="23" s="1"/>
  <c r="O127" i="23"/>
  <c r="P127" i="23" s="1"/>
  <c r="R127" i="23" s="1"/>
  <c r="O158" i="23"/>
  <c r="P158" i="23" s="1"/>
  <c r="O142" i="23"/>
  <c r="P142" i="23" s="1"/>
  <c r="R142" i="23" s="1"/>
  <c r="O164" i="23"/>
  <c r="P164" i="23" s="1"/>
  <c r="R164" i="23" s="1"/>
  <c r="O230" i="23"/>
  <c r="P230" i="23" s="1"/>
  <c r="R230" i="23" s="1"/>
  <c r="O229" i="23"/>
  <c r="P229" i="23" s="1"/>
  <c r="R229" i="23" s="1"/>
  <c r="O44" i="23"/>
  <c r="P44" i="23" s="1"/>
  <c r="R44" i="23" s="1"/>
  <c r="N257" i="21"/>
  <c r="P257" i="21" s="1"/>
  <c r="N262" i="20"/>
  <c r="L237" i="19"/>
  <c r="L238" i="19"/>
  <c r="R25" i="23" l="1"/>
  <c r="R19" i="23"/>
  <c r="R158" i="23"/>
  <c r="P217" i="23"/>
  <c r="R217" i="23" s="1"/>
  <c r="R17" i="23"/>
  <c r="P35" i="23"/>
  <c r="R35" i="23" s="1"/>
  <c r="R38" i="23"/>
  <c r="P155" i="23"/>
  <c r="R155" i="23" s="1"/>
  <c r="P245" i="23"/>
  <c r="N258" i="21"/>
  <c r="N261" i="21" s="1"/>
  <c r="P262" i="20"/>
  <c r="P263" i="20" s="1"/>
  <c r="P264" i="20" s="1"/>
  <c r="P255" i="19"/>
  <c r="Q238" i="19" s="1"/>
  <c r="Q237" i="19"/>
  <c r="M247" i="23" l="1"/>
  <c r="R245" i="23"/>
  <c r="P258" i="21"/>
  <c r="P260" i="21" s="1"/>
  <c r="N260" i="21"/>
  <c r="N265" i="20"/>
  <c r="Q235" i="19"/>
  <c r="N230" i="19"/>
  <c r="O230" i="19" s="1"/>
  <c r="P230" i="19" s="1"/>
  <c r="Q225" i="19"/>
  <c r="M224" i="19"/>
  <c r="N223" i="19"/>
  <c r="Q213" i="19"/>
  <c r="Q212" i="19"/>
  <c r="Q199" i="19"/>
  <c r="Q185" i="19"/>
  <c r="M183" i="19"/>
  <c r="Q176" i="19"/>
  <c r="N257" i="19"/>
  <c r="M234" i="19"/>
  <c r="M233" i="19"/>
  <c r="N231" i="19"/>
  <c r="O231" i="19" s="1"/>
  <c r="P231" i="19" s="1"/>
  <c r="Q226" i="19"/>
  <c r="N224" i="19"/>
  <c r="O224" i="19" s="1"/>
  <c r="P224" i="19" s="1"/>
  <c r="Q210" i="19"/>
  <c r="Q200" i="19"/>
  <c r="Q191" i="19"/>
  <c r="Q184" i="19"/>
  <c r="Q175" i="19"/>
  <c r="M165" i="19"/>
  <c r="Q163" i="19"/>
  <c r="N162" i="19"/>
  <c r="N159" i="19"/>
  <c r="N158" i="19"/>
  <c r="Q152" i="19"/>
  <c r="Q151" i="19"/>
  <c r="Q149" i="19"/>
  <c r="Q145" i="19"/>
  <c r="Q139" i="19"/>
  <c r="M138" i="19"/>
  <c r="Q133" i="19"/>
  <c r="M131" i="19"/>
  <c r="M130" i="19"/>
  <c r="N129" i="19"/>
  <c r="N128" i="19"/>
  <c r="N126" i="19"/>
  <c r="Q125" i="19"/>
  <c r="N123" i="19"/>
  <c r="N122" i="19"/>
  <c r="N120" i="19"/>
  <c r="Q117" i="19"/>
  <c r="Q78" i="19"/>
  <c r="R78" i="19" s="1"/>
  <c r="N72" i="19"/>
  <c r="Q164" i="19"/>
  <c r="N161" i="19"/>
  <c r="Q160" i="19"/>
  <c r="Q157" i="19"/>
  <c r="N156" i="19"/>
  <c r="N153" i="19"/>
  <c r="Q144" i="19"/>
  <c r="Q140" i="19"/>
  <c r="N138" i="19"/>
  <c r="Q134" i="19"/>
  <c r="N131" i="19"/>
  <c r="O131" i="19" s="1"/>
  <c r="N130" i="19"/>
  <c r="O130" i="19" s="1"/>
  <c r="N127" i="19"/>
  <c r="Q124" i="19"/>
  <c r="Q121" i="19"/>
  <c r="R121" i="19" s="1"/>
  <c r="N119" i="19"/>
  <c r="Q118" i="19"/>
  <c r="Q82" i="19"/>
  <c r="R82" i="19" s="1"/>
  <c r="Q81" i="19"/>
  <c r="R81" i="19" s="1"/>
  <c r="Q80" i="19"/>
  <c r="R80" i="19" s="1"/>
  <c r="N77" i="19"/>
  <c r="N76" i="19"/>
  <c r="Q71" i="19"/>
  <c r="R71" i="19" s="1"/>
  <c r="Q69" i="19"/>
  <c r="R69" i="19" s="1"/>
  <c r="M65" i="19"/>
  <c r="Q64" i="19"/>
  <c r="M63" i="19"/>
  <c r="M62" i="19"/>
  <c r="Q54" i="19"/>
  <c r="R54" i="19" s="1"/>
  <c r="Q53" i="19"/>
  <c r="R53" i="19" s="1"/>
  <c r="N51" i="19"/>
  <c r="N50" i="19"/>
  <c r="Q46" i="19"/>
  <c r="R46" i="19" s="1"/>
  <c r="N45" i="19"/>
  <c r="O45" i="19" s="1"/>
  <c r="Q37" i="19"/>
  <c r="N33" i="19"/>
  <c r="M29" i="19"/>
  <c r="N28" i="19"/>
  <c r="M27" i="19"/>
  <c r="N26" i="19"/>
  <c r="N25" i="19"/>
  <c r="M24" i="19"/>
  <c r="N23" i="19"/>
  <c r="N22" i="19"/>
  <c r="M20" i="19"/>
  <c r="M19" i="19"/>
  <c r="N18" i="19"/>
  <c r="M17" i="19"/>
  <c r="Q67" i="19"/>
  <c r="R67" i="19" s="1"/>
  <c r="Q66" i="19"/>
  <c r="R66" i="19" s="1"/>
  <c r="N65" i="19"/>
  <c r="O65" i="19" s="1"/>
  <c r="N63" i="19"/>
  <c r="N62" i="19"/>
  <c r="O62" i="19" s="1"/>
  <c r="Q61" i="19"/>
  <c r="R61" i="19" s="1"/>
  <c r="N60" i="19"/>
  <c r="Q59" i="19"/>
  <c r="R59" i="19" s="1"/>
  <c r="Q57" i="19"/>
  <c r="R57" i="19" s="1"/>
  <c r="Q52" i="19"/>
  <c r="R52" i="19" s="1"/>
  <c r="M51" i="19"/>
  <c r="M50" i="19"/>
  <c r="Q47" i="19"/>
  <c r="M45" i="19"/>
  <c r="N39" i="19"/>
  <c r="Q36" i="19"/>
  <c r="R36" i="19" s="1"/>
  <c r="Q34" i="19"/>
  <c r="R34" i="19" s="1"/>
  <c r="M33" i="19"/>
  <c r="N30" i="19"/>
  <c r="N29" i="19"/>
  <c r="O29" i="19" s="1"/>
  <c r="P29" i="19" s="1"/>
  <c r="M28" i="19"/>
  <c r="N27" i="19"/>
  <c r="N24" i="19"/>
  <c r="O24" i="19" s="1"/>
  <c r="M22" i="19"/>
  <c r="N21" i="19"/>
  <c r="N19" i="19"/>
  <c r="O19" i="19" s="1"/>
  <c r="P19" i="19" s="1"/>
  <c r="M18" i="19"/>
  <c r="N17" i="19"/>
  <c r="O17" i="19" s="1"/>
  <c r="P17" i="19" s="1"/>
  <c r="Q22" i="19"/>
  <c r="Q24" i="19"/>
  <c r="R24" i="19" s="1"/>
  <c r="N31" i="19"/>
  <c r="N42" i="19"/>
  <c r="N48" i="19"/>
  <c r="Q51" i="19"/>
  <c r="N55" i="19"/>
  <c r="M58" i="19"/>
  <c r="Q62" i="19"/>
  <c r="R62" i="19" s="1"/>
  <c r="Q65" i="19"/>
  <c r="R65" i="19" s="1"/>
  <c r="N68" i="19"/>
  <c r="M39" i="19"/>
  <c r="Q19" i="19"/>
  <c r="Q26" i="19"/>
  <c r="Q28" i="19"/>
  <c r="M30" i="19"/>
  <c r="M32" i="19"/>
  <c r="Q43" i="19"/>
  <c r="R43" i="19" s="1"/>
  <c r="Q48" i="19"/>
  <c r="Q55" i="19"/>
  <c r="Q68" i="19"/>
  <c r="M23" i="19"/>
  <c r="M26" i="19"/>
  <c r="N32" i="19"/>
  <c r="N44" i="19"/>
  <c r="N56" i="19"/>
  <c r="M75" i="19"/>
  <c r="M77" i="19"/>
  <c r="Q122" i="19"/>
  <c r="Q126" i="19"/>
  <c r="M129" i="19"/>
  <c r="N143" i="19"/>
  <c r="N147" i="19"/>
  <c r="M156" i="19"/>
  <c r="M158" i="19"/>
  <c r="M162" i="19"/>
  <c r="N165" i="19"/>
  <c r="O165" i="19" s="1"/>
  <c r="P165" i="19" s="1"/>
  <c r="M167" i="19"/>
  <c r="M169" i="19"/>
  <c r="M170" i="19"/>
  <c r="N172" i="19"/>
  <c r="M70" i="19"/>
  <c r="M73" i="19"/>
  <c r="M76" i="19"/>
  <c r="M79" i="19"/>
  <c r="Q120" i="19"/>
  <c r="Q123" i="19"/>
  <c r="M127" i="19"/>
  <c r="Q130" i="19"/>
  <c r="R130" i="19" s="1"/>
  <c r="M132" i="19"/>
  <c r="M141" i="19"/>
  <c r="M143" i="19"/>
  <c r="N146" i="19"/>
  <c r="M154" i="19"/>
  <c r="M155" i="19"/>
  <c r="Q158" i="19"/>
  <c r="M161" i="19"/>
  <c r="Q165" i="19"/>
  <c r="N166" i="19"/>
  <c r="Q169" i="19"/>
  <c r="N73" i="19"/>
  <c r="N132" i="19"/>
  <c r="O132" i="19" s="1"/>
  <c r="P132" i="19" s="1"/>
  <c r="N167" i="19"/>
  <c r="Q178" i="19"/>
  <c r="M181" i="19"/>
  <c r="M182" i="19"/>
  <c r="N183" i="19"/>
  <c r="O183" i="19" s="1"/>
  <c r="P183" i="19" s="1"/>
  <c r="M188" i="19"/>
  <c r="N189" i="19"/>
  <c r="M193" i="19"/>
  <c r="M194" i="19"/>
  <c r="M196" i="19"/>
  <c r="M203" i="19"/>
  <c r="M205" i="19"/>
  <c r="M207" i="19"/>
  <c r="M208" i="19"/>
  <c r="M209" i="19"/>
  <c r="N215" i="19"/>
  <c r="O215" i="19" s="1"/>
  <c r="P215" i="19" s="1"/>
  <c r="N217" i="19"/>
  <c r="O217" i="19" s="1"/>
  <c r="P217" i="19" s="1"/>
  <c r="Q219" i="19"/>
  <c r="M222" i="19"/>
  <c r="Q223" i="19"/>
  <c r="Q228" i="19"/>
  <c r="Q231" i="19"/>
  <c r="Q233" i="19"/>
  <c r="M174" i="19"/>
  <c r="M178" i="19"/>
  <c r="M179" i="19"/>
  <c r="Q181" i="19"/>
  <c r="Q183" i="19"/>
  <c r="M190" i="19"/>
  <c r="Q193" i="19"/>
  <c r="N196" i="19"/>
  <c r="M198" i="19"/>
  <c r="N201" i="19"/>
  <c r="N205" i="19"/>
  <c r="Q208" i="19"/>
  <c r="Q215" i="19"/>
  <c r="Q217" i="19"/>
  <c r="M219" i="19"/>
  <c r="M220" i="19"/>
  <c r="Q222" i="19"/>
  <c r="N228" i="19"/>
  <c r="O228" i="19" s="1"/>
  <c r="P228" i="19" s="1"/>
  <c r="R228" i="19" s="1"/>
  <c r="N233" i="19"/>
  <c r="O233" i="19" s="1"/>
  <c r="P233" i="19" s="1"/>
  <c r="N173" i="19"/>
  <c r="N177" i="19"/>
  <c r="N187" i="19"/>
  <c r="N190" i="19"/>
  <c r="N198" i="19"/>
  <c r="N202" i="19"/>
  <c r="N206" i="19"/>
  <c r="M223" i="19"/>
  <c r="Q23" i="19"/>
  <c r="Q25" i="19"/>
  <c r="M48" i="19"/>
  <c r="M49" i="19"/>
  <c r="M55" i="19"/>
  <c r="M56" i="19"/>
  <c r="N58" i="19"/>
  <c r="O58" i="19" s="1"/>
  <c r="P58" i="19" s="1"/>
  <c r="M60" i="19"/>
  <c r="Q63" i="19"/>
  <c r="M68" i="19"/>
  <c r="N38" i="19"/>
  <c r="Q18" i="19"/>
  <c r="Q27" i="19"/>
  <c r="Q29" i="19"/>
  <c r="M31" i="19"/>
  <c r="Q33" i="19"/>
  <c r="Q45" i="19"/>
  <c r="R45" i="19" s="1"/>
  <c r="Q50" i="19"/>
  <c r="Q58" i="19"/>
  <c r="Q60" i="19"/>
  <c r="N74" i="19"/>
  <c r="N20" i="19"/>
  <c r="O20" i="19" s="1"/>
  <c r="P20" i="19" s="1"/>
  <c r="M25" i="19"/>
  <c r="N41" i="19"/>
  <c r="M72" i="19"/>
  <c r="Q76" i="19"/>
  <c r="N79" i="19"/>
  <c r="O79" i="19" s="1"/>
  <c r="P79" i="19" s="1"/>
  <c r="M120" i="19"/>
  <c r="M123" i="19"/>
  <c r="Q128" i="19"/>
  <c r="N141" i="19"/>
  <c r="O141" i="19" s="1"/>
  <c r="P141" i="19" s="1"/>
  <c r="Q146" i="19"/>
  <c r="N155" i="19"/>
  <c r="Q159" i="19"/>
  <c r="Q166" i="19"/>
  <c r="M168" i="19"/>
  <c r="N169" i="19"/>
  <c r="M171" i="19"/>
  <c r="N70" i="19"/>
  <c r="O70" i="19" s="1"/>
  <c r="P70" i="19" s="1"/>
  <c r="M137" i="19"/>
  <c r="Q72" i="19"/>
  <c r="M74" i="19"/>
  <c r="Q77" i="19"/>
  <c r="M119" i="19"/>
  <c r="M122" i="19"/>
  <c r="M126" i="19"/>
  <c r="Q129" i="19"/>
  <c r="Q131" i="19"/>
  <c r="R131" i="19" s="1"/>
  <c r="Q138" i="19"/>
  <c r="M142" i="19"/>
  <c r="M146" i="19"/>
  <c r="M147" i="19"/>
  <c r="M153" i="19"/>
  <c r="N154" i="19"/>
  <c r="O154" i="19" s="1"/>
  <c r="P154" i="19" s="1"/>
  <c r="Q156" i="19"/>
  <c r="M159" i="19"/>
  <c r="Q162" i="19"/>
  <c r="M166" i="19"/>
  <c r="N168" i="19"/>
  <c r="O168" i="19" s="1"/>
  <c r="P168" i="19" s="1"/>
  <c r="N170" i="19"/>
  <c r="O170" i="19" s="1"/>
  <c r="P170" i="19" s="1"/>
  <c r="M172" i="19"/>
  <c r="M128" i="19"/>
  <c r="N142" i="19"/>
  <c r="N171" i="19"/>
  <c r="N180" i="19"/>
  <c r="N181" i="19"/>
  <c r="O181" i="19" s="1"/>
  <c r="P181" i="19" s="1"/>
  <c r="R181" i="19" s="1"/>
  <c r="N182" i="19"/>
  <c r="O182" i="19" s="1"/>
  <c r="P182" i="19" s="1"/>
  <c r="M186" i="19"/>
  <c r="M189" i="19"/>
  <c r="M192" i="19"/>
  <c r="N193" i="19"/>
  <c r="O193" i="19" s="1"/>
  <c r="P193" i="19" s="1"/>
  <c r="R193" i="19" s="1"/>
  <c r="M195" i="19"/>
  <c r="N197" i="19"/>
  <c r="M202" i="19"/>
  <c r="M204" i="19"/>
  <c r="M206" i="19"/>
  <c r="N207" i="19"/>
  <c r="N208" i="19"/>
  <c r="O208" i="19" s="1"/>
  <c r="P208" i="19" s="1"/>
  <c r="R208" i="19" s="1"/>
  <c r="N214" i="19"/>
  <c r="O214" i="19" s="1"/>
  <c r="P214" i="19" s="1"/>
  <c r="N221" i="19"/>
  <c r="O221" i="19" s="1"/>
  <c r="P221" i="19" s="1"/>
  <c r="N222" i="19"/>
  <c r="O222" i="19" s="1"/>
  <c r="P222" i="19" s="1"/>
  <c r="Q224" i="19"/>
  <c r="Q230" i="19"/>
  <c r="N232" i="19"/>
  <c r="O232" i="19" s="1"/>
  <c r="P232" i="19" s="1"/>
  <c r="Q234" i="19"/>
  <c r="M173" i="19"/>
  <c r="M177" i="19"/>
  <c r="N178" i="19"/>
  <c r="M180" i="19"/>
  <c r="Q182" i="19"/>
  <c r="M187" i="19"/>
  <c r="Q189" i="19"/>
  <c r="N192" i="19"/>
  <c r="N194" i="19"/>
  <c r="M197" i="19"/>
  <c r="M201" i="19"/>
  <c r="N203" i="19"/>
  <c r="O203" i="19" s="1"/>
  <c r="P203" i="19" s="1"/>
  <c r="Q207" i="19"/>
  <c r="N216" i="19"/>
  <c r="O216" i="19" s="1"/>
  <c r="P216" i="19" s="1"/>
  <c r="N218" i="19"/>
  <c r="O218" i="19" s="1"/>
  <c r="P218" i="19" s="1"/>
  <c r="N219" i="19"/>
  <c r="O219" i="19" s="1"/>
  <c r="P219" i="19" s="1"/>
  <c r="R219" i="19" s="1"/>
  <c r="Q221" i="19"/>
  <c r="N227" i="19"/>
  <c r="O227" i="19" s="1"/>
  <c r="P227" i="19" s="1"/>
  <c r="M229" i="19"/>
  <c r="N234" i="19"/>
  <c r="N174" i="19"/>
  <c r="O174" i="19" s="1"/>
  <c r="P174" i="19" s="1"/>
  <c r="N179" i="19"/>
  <c r="O179" i="19" s="1"/>
  <c r="P179" i="19" s="1"/>
  <c r="N186" i="19"/>
  <c r="O186" i="19" s="1"/>
  <c r="P186" i="19" s="1"/>
  <c r="N188" i="19"/>
  <c r="O188" i="19" s="1"/>
  <c r="P188" i="19" s="1"/>
  <c r="N195" i="19"/>
  <c r="O195" i="19" s="1"/>
  <c r="P195" i="19" s="1"/>
  <c r="N204" i="19"/>
  <c r="O204" i="19" s="1"/>
  <c r="P204" i="19" s="1"/>
  <c r="N209" i="19"/>
  <c r="O209" i="19" s="1"/>
  <c r="P209" i="19" s="1"/>
  <c r="N220" i="19"/>
  <c r="O220" i="19" s="1"/>
  <c r="P220" i="19" s="1"/>
  <c r="N229" i="19"/>
  <c r="O229" i="19" s="1"/>
  <c r="P229" i="19" s="1"/>
  <c r="Q201" i="19"/>
  <c r="M40" i="19"/>
  <c r="M38" i="19"/>
  <c r="Q218" i="19"/>
  <c r="Q39" i="19"/>
  <c r="N137" i="19"/>
  <c r="O137" i="19" s="1"/>
  <c r="P137" i="19" s="1"/>
  <c r="M44" i="19"/>
  <c r="M42" i="19"/>
  <c r="Q232" i="19"/>
  <c r="Q206" i="19"/>
  <c r="Q195" i="19"/>
  <c r="Q179" i="19"/>
  <c r="Q203" i="19"/>
  <c r="Q132" i="19"/>
  <c r="Q168" i="19"/>
  <c r="Q141" i="19"/>
  <c r="Q32" i="19"/>
  <c r="Q30" i="19"/>
  <c r="Q17" i="19"/>
  <c r="Q229" i="19"/>
  <c r="Q209" i="19"/>
  <c r="Q198" i="19"/>
  <c r="Q186" i="19"/>
  <c r="Q173" i="19"/>
  <c r="Q188" i="19"/>
  <c r="Q142" i="19"/>
  <c r="Q155" i="19"/>
  <c r="Q119" i="19"/>
  <c r="Q171" i="19"/>
  <c r="M41" i="19"/>
  <c r="Q216" i="19"/>
  <c r="Q154" i="19"/>
  <c r="Q70" i="19"/>
  <c r="Q214" i="19"/>
  <c r="N148" i="19"/>
  <c r="Q227" i="19"/>
  <c r="Q202" i="19"/>
  <c r="Q187" i="19"/>
  <c r="Q174" i="19"/>
  <c r="Q194" i="19"/>
  <c r="Q170" i="19"/>
  <c r="Q161" i="19"/>
  <c r="Q74" i="19"/>
  <c r="Q20" i="19"/>
  <c r="N49" i="19"/>
  <c r="O49" i="19" s="1"/>
  <c r="P49" i="19" s="1"/>
  <c r="N75" i="19"/>
  <c r="N40" i="19"/>
  <c r="Q220" i="19"/>
  <c r="Q204" i="19"/>
  <c r="Q190" i="19"/>
  <c r="Q177" i="19"/>
  <c r="Q167" i="19"/>
  <c r="Q127" i="19"/>
  <c r="Q56" i="19"/>
  <c r="M148" i="19"/>
  <c r="M21" i="19"/>
  <c r="Q31" i="19"/>
  <c r="Q147" i="19"/>
  <c r="Q180" i="19"/>
  <c r="Q42" i="19"/>
  <c r="Q137" i="19"/>
  <c r="Q73" i="19"/>
  <c r="Q205" i="19"/>
  <c r="Q49" i="19"/>
  <c r="Q41" i="19"/>
  <c r="Q236" i="19"/>
  <c r="Q143" i="19"/>
  <c r="Q196" i="19"/>
  <c r="Q40" i="19"/>
  <c r="Q192" i="19"/>
  <c r="Q75" i="19"/>
  <c r="Q38" i="19"/>
  <c r="Q153" i="19"/>
  <c r="Q79" i="19"/>
  <c r="Q172" i="19"/>
  <c r="Q197" i="19"/>
  <c r="Q44" i="19"/>
  <c r="Q148" i="19"/>
  <c r="Q211" i="19"/>
  <c r="Q21" i="19"/>
  <c r="Q150" i="19"/>
  <c r="Q35" i="19"/>
  <c r="O194" i="19" l="1"/>
  <c r="P194" i="19" s="1"/>
  <c r="O75" i="19"/>
  <c r="P75" i="19" s="1"/>
  <c r="O178" i="19"/>
  <c r="P178" i="19" s="1"/>
  <c r="R178" i="19" s="1"/>
  <c r="O171" i="19"/>
  <c r="P171" i="19" s="1"/>
  <c r="O205" i="19"/>
  <c r="P205" i="19" s="1"/>
  <c r="O63" i="19"/>
  <c r="P63" i="19" s="1"/>
  <c r="O27" i="19"/>
  <c r="P27" i="19" s="1"/>
  <c r="R27" i="19" s="1"/>
  <c r="O40" i="19"/>
  <c r="P40" i="19" s="1"/>
  <c r="O234" i="19"/>
  <c r="P234" i="19" s="1"/>
  <c r="R234" i="19" s="1"/>
  <c r="O192" i="19"/>
  <c r="P192" i="19" s="1"/>
  <c r="R222" i="19"/>
  <c r="O207" i="19"/>
  <c r="P207" i="19" s="1"/>
  <c r="O169" i="19"/>
  <c r="P169" i="19" s="1"/>
  <c r="R169" i="19" s="1"/>
  <c r="O155" i="19"/>
  <c r="P155" i="19" s="1"/>
  <c r="O73" i="19"/>
  <c r="P73" i="19" s="1"/>
  <c r="R73" i="19" s="1"/>
  <c r="O138" i="19"/>
  <c r="P138" i="19" s="1"/>
  <c r="R270" i="23"/>
  <c r="R247" i="23"/>
  <c r="R49" i="19"/>
  <c r="R220" i="19"/>
  <c r="R179" i="19"/>
  <c r="R227" i="19"/>
  <c r="R207" i="19"/>
  <c r="R182" i="19"/>
  <c r="O142" i="19"/>
  <c r="P142" i="19" s="1"/>
  <c r="O74" i="19"/>
  <c r="P74" i="19" s="1"/>
  <c r="O198" i="19"/>
  <c r="P198" i="19" s="1"/>
  <c r="R198" i="19" s="1"/>
  <c r="O196" i="19"/>
  <c r="P196" i="19" s="1"/>
  <c r="R183" i="19"/>
  <c r="O167" i="19"/>
  <c r="P167" i="19" s="1"/>
  <c r="R165" i="19"/>
  <c r="P261" i="21"/>
  <c r="Q235" i="21"/>
  <c r="Q30" i="21"/>
  <c r="Q234" i="21"/>
  <c r="N222" i="21"/>
  <c r="N220" i="21"/>
  <c r="M213" i="21"/>
  <c r="M211" i="21"/>
  <c r="Q206" i="21"/>
  <c r="M196" i="21"/>
  <c r="M195" i="21"/>
  <c r="M187" i="21"/>
  <c r="N180" i="21"/>
  <c r="Q232" i="21"/>
  <c r="M228" i="21"/>
  <c r="M224" i="21"/>
  <c r="Q222" i="21"/>
  <c r="Q221" i="21"/>
  <c r="M220" i="21"/>
  <c r="M217" i="21"/>
  <c r="Q208" i="21"/>
  <c r="N195" i="21"/>
  <c r="O195" i="21" s="1"/>
  <c r="P195" i="21" s="1"/>
  <c r="Q181" i="21"/>
  <c r="Q180" i="21"/>
  <c r="N172" i="21"/>
  <c r="Q160" i="21"/>
  <c r="N159" i="21"/>
  <c r="Q156" i="21"/>
  <c r="N155" i="21"/>
  <c r="N153" i="21"/>
  <c r="Q147" i="21"/>
  <c r="Q141" i="21"/>
  <c r="Q140" i="21"/>
  <c r="N136" i="21"/>
  <c r="N134" i="21"/>
  <c r="N131" i="21"/>
  <c r="N129" i="21"/>
  <c r="M126" i="21"/>
  <c r="N123" i="21"/>
  <c r="M172" i="21"/>
  <c r="M171" i="21"/>
  <c r="Q159" i="21"/>
  <c r="N157" i="21"/>
  <c r="Q153" i="21"/>
  <c r="N149" i="21"/>
  <c r="N141" i="21"/>
  <c r="Q136" i="21"/>
  <c r="Q135" i="21"/>
  <c r="Q134" i="21"/>
  <c r="M133" i="21"/>
  <c r="N130" i="21"/>
  <c r="M129" i="21"/>
  <c r="M128" i="21"/>
  <c r="N125" i="21"/>
  <c r="N122" i="21"/>
  <c r="M120" i="21"/>
  <c r="N116" i="21"/>
  <c r="Q113" i="21"/>
  <c r="Q112" i="21"/>
  <c r="Q111" i="21"/>
  <c r="M110" i="21"/>
  <c r="N108" i="21"/>
  <c r="M107" i="21"/>
  <c r="N105" i="21"/>
  <c r="Q103" i="21"/>
  <c r="Q102" i="21"/>
  <c r="M101" i="21"/>
  <c r="N99" i="21"/>
  <c r="Q97" i="21"/>
  <c r="M96" i="21"/>
  <c r="N94" i="21"/>
  <c r="M93" i="21"/>
  <c r="N91" i="21"/>
  <c r="Q89" i="21"/>
  <c r="M88" i="21"/>
  <c r="N86" i="21"/>
  <c r="M85" i="21"/>
  <c r="N83" i="21"/>
  <c r="Q81" i="21"/>
  <c r="M80" i="21"/>
  <c r="N78" i="21"/>
  <c r="M77" i="21"/>
  <c r="M76" i="21"/>
  <c r="M75" i="21"/>
  <c r="N67" i="21"/>
  <c r="N65" i="21"/>
  <c r="M64" i="21"/>
  <c r="N62" i="21"/>
  <c r="N60" i="21"/>
  <c r="M59" i="21"/>
  <c r="N57" i="21"/>
  <c r="M56" i="21"/>
  <c r="Q54" i="21"/>
  <c r="M53" i="21"/>
  <c r="M52" i="21"/>
  <c r="N49" i="21"/>
  <c r="N47" i="21"/>
  <c r="N41" i="21"/>
  <c r="N38" i="21"/>
  <c r="M28" i="21"/>
  <c r="N23" i="21"/>
  <c r="N19" i="21"/>
  <c r="M17" i="21"/>
  <c r="M13" i="21"/>
  <c r="N121" i="21"/>
  <c r="Q119" i="21"/>
  <c r="N118" i="21"/>
  <c r="Q116" i="21"/>
  <c r="N114" i="21"/>
  <c r="N112" i="21"/>
  <c r="N110" i="21"/>
  <c r="O110" i="21" s="1"/>
  <c r="P110" i="21" s="1"/>
  <c r="M109" i="21"/>
  <c r="N107" i="21"/>
  <c r="Q105" i="21"/>
  <c r="M104" i="21"/>
  <c r="N102" i="21"/>
  <c r="Q100" i="21"/>
  <c r="Q99" i="21"/>
  <c r="M98" i="21"/>
  <c r="N96" i="21"/>
  <c r="O96" i="21" s="1"/>
  <c r="P96" i="21" s="1"/>
  <c r="M95" i="21"/>
  <c r="N93" i="21"/>
  <c r="Q91" i="21"/>
  <c r="M90" i="21"/>
  <c r="N88" i="21"/>
  <c r="M87" i="21"/>
  <c r="N85" i="21"/>
  <c r="O85" i="21" s="1"/>
  <c r="P85" i="21" s="1"/>
  <c r="Q83" i="21"/>
  <c r="M82" i="21"/>
  <c r="N80" i="21"/>
  <c r="M79" i="21"/>
  <c r="N77" i="21"/>
  <c r="O77" i="21" s="1"/>
  <c r="P77" i="21" s="1"/>
  <c r="N75" i="21"/>
  <c r="M73" i="21"/>
  <c r="N71" i="21"/>
  <c r="M66" i="21"/>
  <c r="N64" i="21"/>
  <c r="Q62" i="21"/>
  <c r="Q61" i="21"/>
  <c r="M60" i="21"/>
  <c r="N58" i="21"/>
  <c r="N56" i="21"/>
  <c r="N52" i="21"/>
  <c r="O52" i="21" s="1"/>
  <c r="P52" i="21" s="1"/>
  <c r="M49" i="21"/>
  <c r="M48" i="21"/>
  <c r="M47" i="21"/>
  <c r="M42" i="21"/>
  <c r="M41" i="21"/>
  <c r="M38" i="21"/>
  <c r="Q31" i="21"/>
  <c r="R31" i="21" s="1"/>
  <c r="N28" i="21"/>
  <c r="M24" i="21"/>
  <c r="N22" i="21"/>
  <c r="N20" i="21"/>
  <c r="N17" i="21"/>
  <c r="O17" i="21" s="1"/>
  <c r="P17" i="21" s="1"/>
  <c r="M15" i="21"/>
  <c r="N13" i="21"/>
  <c r="N33" i="21"/>
  <c r="Q13" i="21"/>
  <c r="Q22" i="21"/>
  <c r="Q43" i="21"/>
  <c r="Q53" i="21"/>
  <c r="Q60" i="21"/>
  <c r="M68" i="21"/>
  <c r="M74" i="21"/>
  <c r="Q84" i="21"/>
  <c r="Q92" i="21"/>
  <c r="Q101" i="21"/>
  <c r="Q110" i="21"/>
  <c r="Q18" i="21"/>
  <c r="M25" i="21"/>
  <c r="Q28" i="21"/>
  <c r="M45" i="21"/>
  <c r="M51" i="21"/>
  <c r="M72" i="21"/>
  <c r="M117" i="21"/>
  <c r="N43" i="21"/>
  <c r="Q123" i="21"/>
  <c r="Q132" i="21"/>
  <c r="M149" i="21"/>
  <c r="Q154" i="21"/>
  <c r="M161" i="21"/>
  <c r="M165" i="21"/>
  <c r="M168" i="21"/>
  <c r="M176" i="21"/>
  <c r="M122" i="21"/>
  <c r="N127" i="21"/>
  <c r="N132" i="21"/>
  <c r="M139" i="21"/>
  <c r="Q152" i="21"/>
  <c r="N162" i="21"/>
  <c r="Q168" i="21"/>
  <c r="M174" i="21"/>
  <c r="M123" i="21"/>
  <c r="N163" i="21"/>
  <c r="N173" i="21"/>
  <c r="N177" i="21"/>
  <c r="M183" i="21"/>
  <c r="M190" i="21"/>
  <c r="Q193" i="21"/>
  <c r="N200" i="21"/>
  <c r="M205" i="21"/>
  <c r="Q214" i="21"/>
  <c r="Q217" i="21"/>
  <c r="N224" i="21"/>
  <c r="M229" i="21"/>
  <c r="M182" i="21"/>
  <c r="Q192" i="21"/>
  <c r="M197" i="21"/>
  <c r="M202" i="21"/>
  <c r="M214" i="21"/>
  <c r="M218" i="21"/>
  <c r="N225" i="21"/>
  <c r="Q230" i="21"/>
  <c r="N185" i="21"/>
  <c r="N198" i="21"/>
  <c r="N204" i="21"/>
  <c r="N213" i="21"/>
  <c r="O213" i="21" s="1"/>
  <c r="P213" i="21" s="1"/>
  <c r="N231" i="21"/>
  <c r="N36" i="21"/>
  <c r="Q17" i="21"/>
  <c r="Q23" i="21"/>
  <c r="M43" i="21"/>
  <c r="N51" i="21"/>
  <c r="O51" i="21" s="1"/>
  <c r="P51" i="21" s="1"/>
  <c r="Q58" i="21"/>
  <c r="Q67" i="21"/>
  <c r="Q72" i="21"/>
  <c r="Q82" i="21"/>
  <c r="Q90" i="21"/>
  <c r="Q98" i="21"/>
  <c r="Q108" i="21"/>
  <c r="N69" i="21"/>
  <c r="Q19" i="21"/>
  <c r="M26" i="21"/>
  <c r="N39" i="21"/>
  <c r="N45" i="21"/>
  <c r="O45" i="21" s="1"/>
  <c r="P45" i="21" s="1"/>
  <c r="N53" i="21"/>
  <c r="Q71" i="21"/>
  <c r="M121" i="21"/>
  <c r="M115" i="21"/>
  <c r="N138" i="21"/>
  <c r="Q155" i="21"/>
  <c r="M164" i="21"/>
  <c r="N167" i="21"/>
  <c r="M175" i="21"/>
  <c r="Q125" i="21"/>
  <c r="Q130" i="21"/>
  <c r="Q133" i="21"/>
  <c r="M151" i="21"/>
  <c r="Q158" i="21"/>
  <c r="Q167" i="21"/>
  <c r="M173" i="21"/>
  <c r="N139" i="21"/>
  <c r="O139" i="21" s="1"/>
  <c r="P139" i="21" s="1"/>
  <c r="M155" i="21"/>
  <c r="N165" i="21"/>
  <c r="O165" i="21" s="1"/>
  <c r="P165" i="21" s="1"/>
  <c r="N176" i="21"/>
  <c r="O176" i="21" s="1"/>
  <c r="P176" i="21" s="1"/>
  <c r="N179" i="21"/>
  <c r="M189" i="21"/>
  <c r="N192" i="21"/>
  <c r="M198" i="21"/>
  <c r="M204" i="21"/>
  <c r="Q212" i="21"/>
  <c r="Q216" i="21"/>
  <c r="Q223" i="21"/>
  <c r="N229" i="21"/>
  <c r="M184" i="21"/>
  <c r="N191" i="21"/>
  <c r="M194" i="21"/>
  <c r="M201" i="21"/>
  <c r="N214" i="21"/>
  <c r="O214" i="21" s="1"/>
  <c r="P214" i="21" s="1"/>
  <c r="R214" i="21" s="1"/>
  <c r="M219" i="21"/>
  <c r="Q227" i="21"/>
  <c r="N182" i="21"/>
  <c r="N186" i="21"/>
  <c r="N199" i="21"/>
  <c r="N212" i="21"/>
  <c r="Q15" i="21"/>
  <c r="M226" i="21"/>
  <c r="Q188" i="21"/>
  <c r="Q175" i="21"/>
  <c r="Q138" i="21"/>
  <c r="Q150" i="21"/>
  <c r="Q21" i="21"/>
  <c r="Q204" i="21"/>
  <c r="Q184" i="21"/>
  <c r="Q194" i="21"/>
  <c r="Q173" i="21"/>
  <c r="Q170" i="21"/>
  <c r="Q151" i="21"/>
  <c r="Q114" i="21"/>
  <c r="Q25" i="21"/>
  <c r="M33" i="21"/>
  <c r="M35" i="21"/>
  <c r="Q210" i="21"/>
  <c r="M39" i="21"/>
  <c r="Q218" i="21"/>
  <c r="Q185" i="21"/>
  <c r="Q177" i="21"/>
  <c r="Q139" i="21"/>
  <c r="Q143" i="21"/>
  <c r="R143" i="21" s="1"/>
  <c r="Q34" i="21"/>
  <c r="Q231" i="21"/>
  <c r="Q186" i="21"/>
  <c r="Q197" i="21"/>
  <c r="Q176" i="21"/>
  <c r="Q137" i="21"/>
  <c r="Q157" i="21"/>
  <c r="Q117" i="21"/>
  <c r="Q45" i="21"/>
  <c r="Q36" i="21"/>
  <c r="Q225" i="21"/>
  <c r="Q149" i="21"/>
  <c r="Q68" i="21"/>
  <c r="Q70" i="21"/>
  <c r="Q205" i="21"/>
  <c r="Q16" i="21"/>
  <c r="N226" i="21"/>
  <c r="N221" i="21"/>
  <c r="M216" i="21"/>
  <c r="M212" i="21"/>
  <c r="M210" i="21"/>
  <c r="Q196" i="21"/>
  <c r="Q195" i="21"/>
  <c r="Q187" i="21"/>
  <c r="N181" i="21"/>
  <c r="M230" i="21"/>
  <c r="M227" i="21"/>
  <c r="M223" i="21"/>
  <c r="M222" i="21"/>
  <c r="M221" i="21"/>
  <c r="N219" i="21"/>
  <c r="O219" i="21" s="1"/>
  <c r="P219" i="21" s="1"/>
  <c r="Q209" i="21"/>
  <c r="N196" i="21"/>
  <c r="N187" i="21"/>
  <c r="M181" i="21"/>
  <c r="M180" i="21"/>
  <c r="N171" i="21"/>
  <c r="O171" i="21" s="1"/>
  <c r="P171" i="21" s="1"/>
  <c r="M160" i="21"/>
  <c r="N158" i="21"/>
  <c r="M156" i="21"/>
  <c r="N154" i="21"/>
  <c r="N152" i="21"/>
  <c r="Q145" i="21"/>
  <c r="M141" i="21"/>
  <c r="M140" i="21"/>
  <c r="N135" i="21"/>
  <c r="N133" i="21"/>
  <c r="M130" i="21"/>
  <c r="N128" i="21"/>
  <c r="O128" i="21" s="1"/>
  <c r="P128" i="21" s="1"/>
  <c r="M125" i="21"/>
  <c r="Q172" i="21"/>
  <c r="Q171" i="21"/>
  <c r="N160" i="21"/>
  <c r="M159" i="21"/>
  <c r="N156" i="21"/>
  <c r="M153" i="21"/>
  <c r="Q148" i="21"/>
  <c r="N140" i="21"/>
  <c r="M136" i="21"/>
  <c r="M135" i="21"/>
  <c r="M134" i="21"/>
  <c r="M131" i="21"/>
  <c r="Q129" i="21"/>
  <c r="Q128" i="21"/>
  <c r="N126" i="21"/>
  <c r="N124" i="21"/>
  <c r="Q120" i="21"/>
  <c r="N119" i="21"/>
  <c r="N115" i="21"/>
  <c r="M113" i="21"/>
  <c r="M112" i="21"/>
  <c r="M111" i="21"/>
  <c r="N109" i="21"/>
  <c r="Q107" i="21"/>
  <c r="M106" i="21"/>
  <c r="N104" i="21"/>
  <c r="O104" i="21" s="1"/>
  <c r="P104" i="21" s="1"/>
  <c r="M103" i="21"/>
  <c r="M102" i="21"/>
  <c r="N100" i="21"/>
  <c r="N98" i="21"/>
  <c r="O98" i="21" s="1"/>
  <c r="P98" i="21" s="1"/>
  <c r="R98" i="21" s="1"/>
  <c r="M97" i="21"/>
  <c r="N95" i="21"/>
  <c r="O95" i="21" s="1"/>
  <c r="P95" i="21" s="1"/>
  <c r="Q93" i="21"/>
  <c r="M92" i="21"/>
  <c r="N90" i="21"/>
  <c r="M89" i="21"/>
  <c r="N87" i="21"/>
  <c r="Q85" i="21"/>
  <c r="M84" i="21"/>
  <c r="N82" i="21"/>
  <c r="O82" i="21" s="1"/>
  <c r="P82" i="21" s="1"/>
  <c r="M81" i="21"/>
  <c r="N79" i="21"/>
  <c r="O79" i="21" s="1"/>
  <c r="P79" i="21" s="1"/>
  <c r="Q77" i="21"/>
  <c r="Q76" i="21"/>
  <c r="Q75" i="21"/>
  <c r="N73" i="21"/>
  <c r="O73" i="21" s="1"/>
  <c r="P73" i="21" s="1"/>
  <c r="N66" i="21"/>
  <c r="Q64" i="21"/>
  <c r="M63" i="21"/>
  <c r="N61" i="21"/>
  <c r="Q59" i="21"/>
  <c r="M58" i="21"/>
  <c r="Q56" i="21"/>
  <c r="N55" i="21"/>
  <c r="M54" i="21"/>
  <c r="Q52" i="21"/>
  <c r="M50" i="21"/>
  <c r="N48" i="21"/>
  <c r="O48" i="21" s="1"/>
  <c r="P48" i="21" s="1"/>
  <c r="N42" i="21"/>
  <c r="O42" i="21" s="1"/>
  <c r="P42" i="21" s="1"/>
  <c r="M40" i="21"/>
  <c r="Q32" i="21"/>
  <c r="N24" i="21"/>
  <c r="O24" i="21" s="1"/>
  <c r="P24" i="21" s="1"/>
  <c r="M22" i="21"/>
  <c r="N18" i="21"/>
  <c r="N14" i="21"/>
  <c r="M12" i="21"/>
  <c r="N120" i="21"/>
  <c r="M119" i="21"/>
  <c r="N117" i="21"/>
  <c r="M116" i="21"/>
  <c r="N113" i="21"/>
  <c r="N111" i="21"/>
  <c r="Q109" i="21"/>
  <c r="M108" i="21"/>
  <c r="N106" i="21"/>
  <c r="M105" i="21"/>
  <c r="N103" i="21"/>
  <c r="O103" i="21" s="1"/>
  <c r="P103" i="21" s="1"/>
  <c r="R103" i="21" s="1"/>
  <c r="N101" i="21"/>
  <c r="O101" i="21" s="1"/>
  <c r="P101" i="21" s="1"/>
  <c r="R101" i="21" s="1"/>
  <c r="M100" i="21"/>
  <c r="M99" i="21"/>
  <c r="N97" i="21"/>
  <c r="O97" i="21" s="1"/>
  <c r="P97" i="21" s="1"/>
  <c r="R97" i="21" s="1"/>
  <c r="Q95" i="21"/>
  <c r="M94" i="21"/>
  <c r="N92" i="21"/>
  <c r="M91" i="21"/>
  <c r="N89" i="21"/>
  <c r="O89" i="21" s="1"/>
  <c r="P89" i="21" s="1"/>
  <c r="R89" i="21" s="1"/>
  <c r="Q87" i="21"/>
  <c r="M86" i="21"/>
  <c r="N84" i="21"/>
  <c r="O84" i="21" s="1"/>
  <c r="P84" i="21" s="1"/>
  <c r="M83" i="21"/>
  <c r="N81" i="21"/>
  <c r="Q79" i="21"/>
  <c r="M78" i="21"/>
  <c r="N76" i="21"/>
  <c r="O76" i="21" s="1"/>
  <c r="P76" i="21" s="1"/>
  <c r="R76" i="21" s="1"/>
  <c r="Q73" i="21"/>
  <c r="N72" i="21"/>
  <c r="O72" i="21" s="1"/>
  <c r="P72" i="21" s="1"/>
  <c r="R72" i="21" s="1"/>
  <c r="Q66" i="21"/>
  <c r="M65" i="21"/>
  <c r="N63" i="21"/>
  <c r="M62" i="21"/>
  <c r="M61" i="21"/>
  <c r="N59" i="21"/>
  <c r="O59" i="21" s="1"/>
  <c r="P59" i="21" s="1"/>
  <c r="M57" i="21"/>
  <c r="N54" i="21"/>
  <c r="Q49" i="21"/>
  <c r="Q48" i="21"/>
  <c r="Q47" i="21"/>
  <c r="Q42" i="21"/>
  <c r="Q41" i="21"/>
  <c r="N40" i="21"/>
  <c r="O40" i="21" s="1"/>
  <c r="P40" i="21" s="1"/>
  <c r="N34" i="21"/>
  <c r="Q29" i="21"/>
  <c r="R29" i="21" s="1"/>
  <c r="N25" i="21"/>
  <c r="O25" i="21" s="1"/>
  <c r="P25" i="21" s="1"/>
  <c r="R25" i="21" s="1"/>
  <c r="M23" i="21"/>
  <c r="N21" i="21"/>
  <c r="M19" i="21"/>
  <c r="N16" i="21"/>
  <c r="M14" i="21"/>
  <c r="N12" i="21"/>
  <c r="N35" i="21"/>
  <c r="O35" i="21" s="1"/>
  <c r="P35" i="21" s="1"/>
  <c r="M18" i="21"/>
  <c r="Q27" i="21"/>
  <c r="Q50" i="21"/>
  <c r="Q57" i="21"/>
  <c r="Q65" i="21"/>
  <c r="M71" i="21"/>
  <c r="Q80" i="21"/>
  <c r="Q88" i="21"/>
  <c r="Q96" i="21"/>
  <c r="Q106" i="21"/>
  <c r="M118" i="21"/>
  <c r="M20" i="21"/>
  <c r="M27" i="21"/>
  <c r="Q40" i="21"/>
  <c r="M46" i="21"/>
  <c r="M70" i="21"/>
  <c r="Q115" i="21"/>
  <c r="N37" i="21"/>
  <c r="M67" i="21"/>
  <c r="M124" i="21"/>
  <c r="Q142" i="21"/>
  <c r="R142" i="21" s="1"/>
  <c r="N151" i="21"/>
  <c r="O151" i="21" s="1"/>
  <c r="P151" i="21" s="1"/>
  <c r="R151" i="21" s="1"/>
  <c r="M158" i="21"/>
  <c r="M163" i="21"/>
  <c r="M167" i="21"/>
  <c r="Q174" i="21"/>
  <c r="N68" i="21"/>
  <c r="Q126" i="21"/>
  <c r="Q131" i="21"/>
  <c r="M137" i="21"/>
  <c r="M150" i="21"/>
  <c r="M157" i="21"/>
  <c r="N166" i="21"/>
  <c r="M170" i="21"/>
  <c r="M177" i="21"/>
  <c r="N137" i="21"/>
  <c r="N168" i="21"/>
  <c r="N175" i="21"/>
  <c r="O175" i="21" s="1"/>
  <c r="P175" i="21" s="1"/>
  <c r="R175" i="21" s="1"/>
  <c r="M179" i="21"/>
  <c r="M188" i="21"/>
  <c r="M192" i="21"/>
  <c r="N197" i="21"/>
  <c r="O197" i="21" s="1"/>
  <c r="P197" i="21" s="1"/>
  <c r="R197" i="21" s="1"/>
  <c r="Q203" i="21"/>
  <c r="Q211" i="21"/>
  <c r="N215" i="21"/>
  <c r="Q220" i="21"/>
  <c r="N227" i="21"/>
  <c r="O227" i="21" s="1"/>
  <c r="P227" i="21" s="1"/>
  <c r="N230" i="21"/>
  <c r="O230" i="21" s="1"/>
  <c r="P230" i="21" s="1"/>
  <c r="R230" i="21" s="1"/>
  <c r="N189" i="21"/>
  <c r="N193" i="21"/>
  <c r="M200" i="21"/>
  <c r="N205" i="21"/>
  <c r="O205" i="21" s="1"/>
  <c r="P205" i="21" s="1"/>
  <c r="R205" i="21" s="1"/>
  <c r="Q215" i="21"/>
  <c r="N223" i="21"/>
  <c r="O223" i="21" s="1"/>
  <c r="P223" i="21" s="1"/>
  <c r="R223" i="21" s="1"/>
  <c r="N228" i="21"/>
  <c r="O228" i="21" s="1"/>
  <c r="P228" i="21" s="1"/>
  <c r="N183" i="21"/>
  <c r="O183" i="21" s="1"/>
  <c r="P183" i="21" s="1"/>
  <c r="N188" i="21"/>
  <c r="N201" i="21"/>
  <c r="O201" i="21" s="1"/>
  <c r="P201" i="21" s="1"/>
  <c r="N211" i="21"/>
  <c r="N218" i="21"/>
  <c r="M34" i="21"/>
  <c r="Q14" i="21"/>
  <c r="M21" i="21"/>
  <c r="Q38" i="21"/>
  <c r="N46" i="21"/>
  <c r="O46" i="21" s="1"/>
  <c r="P46" i="21" s="1"/>
  <c r="Q55" i="21"/>
  <c r="Q63" i="21"/>
  <c r="M69" i="21"/>
  <c r="Q78" i="21"/>
  <c r="Q86" i="21"/>
  <c r="Q94" i="21"/>
  <c r="Q104" i="21"/>
  <c r="M114" i="21"/>
  <c r="N15" i="21"/>
  <c r="O15" i="21" s="1"/>
  <c r="P15" i="21" s="1"/>
  <c r="R15" i="21" s="1"/>
  <c r="Q24" i="21"/>
  <c r="N27" i="21"/>
  <c r="O27" i="21" s="1"/>
  <c r="P27" i="21" s="1"/>
  <c r="M44" i="21"/>
  <c r="N50" i="21"/>
  <c r="O50" i="21" s="1"/>
  <c r="P50" i="21" s="1"/>
  <c r="R50" i="21" s="1"/>
  <c r="M55" i="21"/>
  <c r="N74" i="21"/>
  <c r="O74" i="21" s="1"/>
  <c r="P74" i="21" s="1"/>
  <c r="N26" i="21"/>
  <c r="Q127" i="21"/>
  <c r="M152" i="21"/>
  <c r="M162" i="21"/>
  <c r="M166" i="21"/>
  <c r="N170" i="21"/>
  <c r="O170" i="21" s="1"/>
  <c r="P170" i="21" s="1"/>
  <c r="R170" i="21" s="1"/>
  <c r="M178" i="21"/>
  <c r="M127" i="21"/>
  <c r="M132" i="21"/>
  <c r="M138" i="21"/>
  <c r="M154" i="21"/>
  <c r="N164" i="21"/>
  <c r="O164" i="21" s="1"/>
  <c r="P164" i="21" s="1"/>
  <c r="M169" i="21"/>
  <c r="N174" i="21"/>
  <c r="O174" i="21" s="1"/>
  <c r="P174" i="21" s="1"/>
  <c r="R174" i="21" s="1"/>
  <c r="N150" i="21"/>
  <c r="O150" i="21" s="1"/>
  <c r="P150" i="21" s="1"/>
  <c r="N161" i="21"/>
  <c r="O161" i="21" s="1"/>
  <c r="P161" i="21" s="1"/>
  <c r="N169" i="21"/>
  <c r="O169" i="21" s="1"/>
  <c r="P169" i="21" s="1"/>
  <c r="N178" i="21"/>
  <c r="M185" i="21"/>
  <c r="M191" i="21"/>
  <c r="N194" i="21"/>
  <c r="N202" i="21"/>
  <c r="O202" i="21" s="1"/>
  <c r="P202" i="21" s="1"/>
  <c r="N210" i="21"/>
  <c r="O210" i="21" s="1"/>
  <c r="P210" i="21" s="1"/>
  <c r="M215" i="21"/>
  <c r="Q219" i="21"/>
  <c r="M225" i="21"/>
  <c r="M231" i="21"/>
  <c r="M186" i="21"/>
  <c r="M193" i="21"/>
  <c r="M199" i="21"/>
  <c r="M203" i="21"/>
  <c r="N217" i="21"/>
  <c r="Q224" i="21"/>
  <c r="Q229" i="21"/>
  <c r="N184" i="21"/>
  <c r="N190" i="21"/>
  <c r="O190" i="21" s="1"/>
  <c r="P190" i="21" s="1"/>
  <c r="N203" i="21"/>
  <c r="O203" i="21" s="1"/>
  <c r="P203" i="21" s="1"/>
  <c r="R203" i="21" s="1"/>
  <c r="N216" i="21"/>
  <c r="O216" i="21" s="1"/>
  <c r="P216" i="21" s="1"/>
  <c r="R216" i="21" s="1"/>
  <c r="Q179" i="21"/>
  <c r="Q201" i="21"/>
  <c r="Q183" i="21"/>
  <c r="Q163" i="21"/>
  <c r="Q122" i="21"/>
  <c r="Q121" i="21"/>
  <c r="N70" i="21"/>
  <c r="Q190" i="21"/>
  <c r="Q200" i="21"/>
  <c r="Q178" i="21"/>
  <c r="Q161" i="21"/>
  <c r="Q162" i="21"/>
  <c r="Q118" i="21"/>
  <c r="Q46" i="21"/>
  <c r="M16" i="21"/>
  <c r="M36" i="21"/>
  <c r="Q228" i="21"/>
  <c r="N44" i="21"/>
  <c r="O44" i="21" s="1"/>
  <c r="P44" i="21" s="1"/>
  <c r="M37" i="21"/>
  <c r="Q198" i="21"/>
  <c r="Q213" i="21"/>
  <c r="Q169" i="21"/>
  <c r="Q124" i="21"/>
  <c r="Q69" i="21"/>
  <c r="Q12" i="21"/>
  <c r="Q199" i="21"/>
  <c r="Q182" i="21"/>
  <c r="Q191" i="21"/>
  <c r="Q165" i="21"/>
  <c r="Q166" i="21"/>
  <c r="Q26" i="21"/>
  <c r="Q74" i="21"/>
  <c r="Q20" i="21"/>
  <c r="Q164" i="21"/>
  <c r="Q226" i="21"/>
  <c r="Q33" i="21"/>
  <c r="Q189" i="21"/>
  <c r="Q44" i="21"/>
  <c r="Q51" i="21"/>
  <c r="Q35" i="21"/>
  <c r="Q39" i="21"/>
  <c r="Q207" i="21"/>
  <c r="Q146" i="21"/>
  <c r="Q37" i="21"/>
  <c r="Q202" i="21"/>
  <c r="Q144" i="21"/>
  <c r="R144" i="21" s="1"/>
  <c r="Q233" i="21"/>
  <c r="P265" i="20"/>
  <c r="R214" i="19"/>
  <c r="R40" i="19"/>
  <c r="O148" i="19"/>
  <c r="P148" i="19" s="1"/>
  <c r="R148" i="19" s="1"/>
  <c r="R204" i="19"/>
  <c r="R188" i="19"/>
  <c r="R216" i="19"/>
  <c r="R203" i="19"/>
  <c r="R192" i="19"/>
  <c r="O197" i="19"/>
  <c r="P197" i="19" s="1"/>
  <c r="R197" i="19" s="1"/>
  <c r="O180" i="19"/>
  <c r="P180" i="19" s="1"/>
  <c r="R180" i="19" s="1"/>
  <c r="R142" i="19"/>
  <c r="R168" i="19"/>
  <c r="R70" i="19"/>
  <c r="R155" i="19"/>
  <c r="R141" i="19"/>
  <c r="R79" i="19"/>
  <c r="R74" i="19"/>
  <c r="O38" i="19"/>
  <c r="P38" i="19" s="1"/>
  <c r="R58" i="19"/>
  <c r="O206" i="19"/>
  <c r="P206" i="19" s="1"/>
  <c r="R206" i="19" s="1"/>
  <c r="O187" i="19"/>
  <c r="P187" i="19" s="1"/>
  <c r="R187" i="19" s="1"/>
  <c r="O173" i="19"/>
  <c r="P173" i="19" s="1"/>
  <c r="R173" i="19" s="1"/>
  <c r="O201" i="19"/>
  <c r="P201" i="19" s="1"/>
  <c r="R201" i="19" s="1"/>
  <c r="R196" i="19"/>
  <c r="R217" i="19"/>
  <c r="O189" i="19"/>
  <c r="P189" i="19" s="1"/>
  <c r="R189" i="19" s="1"/>
  <c r="R167" i="19"/>
  <c r="O166" i="19"/>
  <c r="P166" i="19" s="1"/>
  <c r="R166" i="19" s="1"/>
  <c r="O146" i="19"/>
  <c r="P146" i="19" s="1"/>
  <c r="R146" i="19" s="1"/>
  <c r="O172" i="19"/>
  <c r="P172" i="19" s="1"/>
  <c r="R172" i="19" s="1"/>
  <c r="O147" i="19"/>
  <c r="P147" i="19" s="1"/>
  <c r="R147" i="19" s="1"/>
  <c r="O44" i="19"/>
  <c r="P44" i="19" s="1"/>
  <c r="R44" i="19" s="1"/>
  <c r="O68" i="19"/>
  <c r="P68" i="19" s="1"/>
  <c r="R68" i="19" s="1"/>
  <c r="O55" i="19"/>
  <c r="P55" i="19" s="1"/>
  <c r="R55" i="19" s="1"/>
  <c r="O48" i="19"/>
  <c r="P48" i="19" s="1"/>
  <c r="R48" i="19" s="1"/>
  <c r="O31" i="19"/>
  <c r="P31" i="19" s="1"/>
  <c r="R31" i="19" s="1"/>
  <c r="O21" i="19"/>
  <c r="P21" i="19" s="1"/>
  <c r="R21" i="19" s="1"/>
  <c r="O30" i="19"/>
  <c r="P30" i="19" s="1"/>
  <c r="R30" i="19" s="1"/>
  <c r="O39" i="19"/>
  <c r="P39" i="19" s="1"/>
  <c r="R39" i="19" s="1"/>
  <c r="R63" i="19"/>
  <c r="O22" i="19"/>
  <c r="P22" i="19" s="1"/>
  <c r="R22" i="19" s="1"/>
  <c r="O26" i="19"/>
  <c r="P26" i="19" s="1"/>
  <c r="R26" i="19" s="1"/>
  <c r="O28" i="19"/>
  <c r="P28" i="19" s="1"/>
  <c r="R28" i="19" s="1"/>
  <c r="O33" i="19"/>
  <c r="P33" i="19" s="1"/>
  <c r="R33" i="19" s="1"/>
  <c r="O51" i="19"/>
  <c r="P51" i="19" s="1"/>
  <c r="R51" i="19" s="1"/>
  <c r="O77" i="19"/>
  <c r="P77" i="19" s="1"/>
  <c r="R77" i="19" s="1"/>
  <c r="O127" i="19"/>
  <c r="P127" i="19" s="1"/>
  <c r="R127" i="19" s="1"/>
  <c r="R138" i="19"/>
  <c r="O156" i="19"/>
  <c r="P156" i="19" s="1"/>
  <c r="R156" i="19" s="1"/>
  <c r="O120" i="19"/>
  <c r="P120" i="19" s="1"/>
  <c r="R120" i="19" s="1"/>
  <c r="O123" i="19"/>
  <c r="P123" i="19" s="1"/>
  <c r="R123" i="19" s="1"/>
  <c r="O126" i="19"/>
  <c r="P126" i="19" s="1"/>
  <c r="R126" i="19" s="1"/>
  <c r="O129" i="19"/>
  <c r="P129" i="19" s="1"/>
  <c r="R129" i="19" s="1"/>
  <c r="O158" i="19"/>
  <c r="P158" i="19" s="1"/>
  <c r="R158" i="19" s="1"/>
  <c r="O162" i="19"/>
  <c r="P162" i="19" s="1"/>
  <c r="R162" i="19" s="1"/>
  <c r="R224" i="19"/>
  <c r="R231" i="19"/>
  <c r="O223" i="19"/>
  <c r="P223" i="19" s="1"/>
  <c r="R223" i="19" s="1"/>
  <c r="R17" i="19"/>
  <c r="P257" i="19"/>
  <c r="P258" i="19" s="1"/>
  <c r="P259" i="19" s="1"/>
  <c r="R75" i="19"/>
  <c r="R137" i="19"/>
  <c r="R229" i="19"/>
  <c r="R209" i="19"/>
  <c r="R195" i="19"/>
  <c r="R186" i="19"/>
  <c r="R174" i="19"/>
  <c r="R218" i="19"/>
  <c r="R194" i="19"/>
  <c r="R232" i="19"/>
  <c r="R221" i="19"/>
  <c r="R171" i="19"/>
  <c r="R170" i="19"/>
  <c r="R154" i="19"/>
  <c r="O41" i="19"/>
  <c r="P41" i="19" s="1"/>
  <c r="R41" i="19" s="1"/>
  <c r="R20" i="19"/>
  <c r="O202" i="19"/>
  <c r="P202" i="19" s="1"/>
  <c r="R202" i="19" s="1"/>
  <c r="O190" i="19"/>
  <c r="P190" i="19" s="1"/>
  <c r="R190" i="19" s="1"/>
  <c r="O177" i="19"/>
  <c r="P177" i="19" s="1"/>
  <c r="R177" i="19" s="1"/>
  <c r="R233" i="19"/>
  <c r="R205" i="19"/>
  <c r="R215" i="19"/>
  <c r="R132" i="19"/>
  <c r="O143" i="19"/>
  <c r="P143" i="19" s="1"/>
  <c r="R143" i="19" s="1"/>
  <c r="O56" i="19"/>
  <c r="P56" i="19" s="1"/>
  <c r="R56" i="19" s="1"/>
  <c r="O32" i="19"/>
  <c r="P32" i="19" s="1"/>
  <c r="R32" i="19" s="1"/>
  <c r="O42" i="19"/>
  <c r="P42" i="19" s="1"/>
  <c r="R42" i="19" s="1"/>
  <c r="R19" i="19"/>
  <c r="R29" i="19"/>
  <c r="O60" i="19"/>
  <c r="P60" i="19" s="1"/>
  <c r="R60" i="19" s="1"/>
  <c r="O18" i="19"/>
  <c r="P18" i="19" s="1"/>
  <c r="R18" i="19" s="1"/>
  <c r="O23" i="19"/>
  <c r="P23" i="19" s="1"/>
  <c r="R23" i="19" s="1"/>
  <c r="O25" i="19"/>
  <c r="P25" i="19" s="1"/>
  <c r="R25" i="19" s="1"/>
  <c r="O50" i="19"/>
  <c r="P50" i="19" s="1"/>
  <c r="R50" i="19" s="1"/>
  <c r="O76" i="19"/>
  <c r="P76" i="19" s="1"/>
  <c r="R76" i="19" s="1"/>
  <c r="O119" i="19"/>
  <c r="P119" i="19" s="1"/>
  <c r="R119" i="19" s="1"/>
  <c r="O153" i="19"/>
  <c r="P153" i="19" s="1"/>
  <c r="O161" i="19"/>
  <c r="P161" i="19" s="1"/>
  <c r="R161" i="19" s="1"/>
  <c r="O72" i="19"/>
  <c r="P72" i="19" s="1"/>
  <c r="R72" i="19" s="1"/>
  <c r="O122" i="19"/>
  <c r="P122" i="19" s="1"/>
  <c r="R122" i="19" s="1"/>
  <c r="O128" i="19"/>
  <c r="P128" i="19" s="1"/>
  <c r="R128" i="19" s="1"/>
  <c r="O159" i="19"/>
  <c r="P159" i="19" s="1"/>
  <c r="R159" i="19" s="1"/>
  <c r="R230" i="19"/>
  <c r="R27" i="21" l="1"/>
  <c r="O218" i="21"/>
  <c r="P218" i="21" s="1"/>
  <c r="R218" i="21" s="1"/>
  <c r="O92" i="21"/>
  <c r="P92" i="21" s="1"/>
  <c r="R92" i="21" s="1"/>
  <c r="O111" i="21"/>
  <c r="P111" i="21" s="1"/>
  <c r="R111" i="21" s="1"/>
  <c r="R82" i="21"/>
  <c r="O56" i="21"/>
  <c r="P56" i="21" s="1"/>
  <c r="O80" i="21"/>
  <c r="P80" i="21" s="1"/>
  <c r="O93" i="21"/>
  <c r="P93" i="21" s="1"/>
  <c r="O184" i="21"/>
  <c r="P184" i="21" s="1"/>
  <c r="R184" i="21" s="1"/>
  <c r="R150" i="21"/>
  <c r="O211" i="21"/>
  <c r="P211" i="21" s="1"/>
  <c r="R211" i="21" s="1"/>
  <c r="R227" i="21"/>
  <c r="O68" i="21"/>
  <c r="P68" i="21" s="1"/>
  <c r="R68" i="21" s="1"/>
  <c r="O12" i="21"/>
  <c r="P12" i="21" s="1"/>
  <c r="O63" i="21"/>
  <c r="P63" i="21" s="1"/>
  <c r="R63" i="21" s="1"/>
  <c r="O81" i="21"/>
  <c r="P81" i="21" s="1"/>
  <c r="R81" i="21" s="1"/>
  <c r="O106" i="21"/>
  <c r="P106" i="21" s="1"/>
  <c r="O113" i="21"/>
  <c r="P113" i="21" s="1"/>
  <c r="R113" i="21" s="1"/>
  <c r="O120" i="21"/>
  <c r="P120" i="21" s="1"/>
  <c r="R120" i="21" s="1"/>
  <c r="O66" i="21"/>
  <c r="P66" i="21" s="1"/>
  <c r="O90" i="21"/>
  <c r="P90" i="21" s="1"/>
  <c r="R90" i="21" s="1"/>
  <c r="O109" i="21"/>
  <c r="P109" i="21" s="1"/>
  <c r="O115" i="21"/>
  <c r="P115" i="21" s="1"/>
  <c r="O126" i="21"/>
  <c r="P126" i="21" s="1"/>
  <c r="R126" i="21" s="1"/>
  <c r="O160" i="21"/>
  <c r="P160" i="21" s="1"/>
  <c r="R160" i="21" s="1"/>
  <c r="R128" i="21"/>
  <c r="R171" i="21"/>
  <c r="O196" i="21"/>
  <c r="P196" i="21" s="1"/>
  <c r="R196" i="21" s="1"/>
  <c r="O226" i="21"/>
  <c r="P226" i="21" s="1"/>
  <c r="O182" i="21"/>
  <c r="P182" i="21" s="1"/>
  <c r="O229" i="21"/>
  <c r="P229" i="21" s="1"/>
  <c r="R229" i="21" s="1"/>
  <c r="O53" i="21"/>
  <c r="P53" i="21" s="1"/>
  <c r="R53" i="21" s="1"/>
  <c r="O224" i="21"/>
  <c r="P224" i="21" s="1"/>
  <c r="O13" i="21"/>
  <c r="P13" i="21" s="1"/>
  <c r="O64" i="21"/>
  <c r="P64" i="21" s="1"/>
  <c r="R64" i="21" s="1"/>
  <c r="O75" i="21"/>
  <c r="P75" i="21" s="1"/>
  <c r="R75" i="21" s="1"/>
  <c r="O88" i="21"/>
  <c r="P88" i="21" s="1"/>
  <c r="O107" i="21"/>
  <c r="P107" i="21" s="1"/>
  <c r="O70" i="21"/>
  <c r="P70" i="21" s="1"/>
  <c r="R70" i="21" s="1"/>
  <c r="O194" i="21"/>
  <c r="P194" i="21" s="1"/>
  <c r="R194" i="21" s="1"/>
  <c r="O26" i="21"/>
  <c r="P26" i="21" s="1"/>
  <c r="O188" i="21"/>
  <c r="P188" i="21" s="1"/>
  <c r="R188" i="21" s="1"/>
  <c r="O189" i="21"/>
  <c r="P189" i="21" s="1"/>
  <c r="O168" i="21"/>
  <c r="P168" i="21" s="1"/>
  <c r="R168" i="21" s="1"/>
  <c r="R84" i="21"/>
  <c r="O117" i="21"/>
  <c r="P117" i="21" s="1"/>
  <c r="R117" i="21" s="1"/>
  <c r="O87" i="21"/>
  <c r="P87" i="21" s="1"/>
  <c r="R87" i="21" s="1"/>
  <c r="O156" i="21"/>
  <c r="P156" i="21" s="1"/>
  <c r="R156" i="21" s="1"/>
  <c r="O133" i="21"/>
  <c r="P133" i="21" s="1"/>
  <c r="R133" i="21" s="1"/>
  <c r="O28" i="21"/>
  <c r="P28" i="21" s="1"/>
  <c r="O217" i="21"/>
  <c r="P217" i="21" s="1"/>
  <c r="R217" i="21" s="1"/>
  <c r="O137" i="21"/>
  <c r="P137" i="21" s="1"/>
  <c r="R137" i="21" s="1"/>
  <c r="O187" i="21"/>
  <c r="P187" i="21" s="1"/>
  <c r="R187" i="21" s="1"/>
  <c r="R169" i="21"/>
  <c r="R106" i="21"/>
  <c r="O14" i="21"/>
  <c r="P14" i="21" s="1"/>
  <c r="R14" i="21" s="1"/>
  <c r="R42" i="21"/>
  <c r="R28" i="21"/>
  <c r="R210" i="21"/>
  <c r="R12" i="21"/>
  <c r="R26" i="21"/>
  <c r="R46" i="21"/>
  <c r="R228" i="21"/>
  <c r="R189" i="21"/>
  <c r="O215" i="21"/>
  <c r="P215" i="21" s="1"/>
  <c r="R215" i="21" s="1"/>
  <c r="O166" i="21"/>
  <c r="P166" i="21" s="1"/>
  <c r="R166" i="21" s="1"/>
  <c r="O16" i="21"/>
  <c r="P16" i="21" s="1"/>
  <c r="R16" i="21" s="1"/>
  <c r="O21" i="21"/>
  <c r="P21" i="21" s="1"/>
  <c r="R21" i="21" s="1"/>
  <c r="O34" i="21"/>
  <c r="P34" i="21" s="1"/>
  <c r="R34" i="21" s="1"/>
  <c r="R66" i="21"/>
  <c r="O100" i="21"/>
  <c r="P100" i="21" s="1"/>
  <c r="R100" i="21" s="1"/>
  <c r="R109" i="21"/>
  <c r="R115" i="21"/>
  <c r="O154" i="21"/>
  <c r="P154" i="21" s="1"/>
  <c r="R154" i="21" s="1"/>
  <c r="O158" i="21"/>
  <c r="P158" i="21" s="1"/>
  <c r="R158" i="21" s="1"/>
  <c r="R219" i="21"/>
  <c r="O181" i="21"/>
  <c r="P181" i="21" s="1"/>
  <c r="R181" i="21" s="1"/>
  <c r="R226" i="21"/>
  <c r="O199" i="21"/>
  <c r="P199" i="21" s="1"/>
  <c r="R199" i="21" s="1"/>
  <c r="R182" i="21"/>
  <c r="O191" i="21"/>
  <c r="P191" i="21" s="1"/>
  <c r="R191" i="21" s="1"/>
  <c r="O192" i="21"/>
  <c r="P192" i="21" s="1"/>
  <c r="R192" i="21" s="1"/>
  <c r="O179" i="21"/>
  <c r="P179" i="21" s="1"/>
  <c r="R179" i="21" s="1"/>
  <c r="R165" i="21"/>
  <c r="R139" i="21"/>
  <c r="O138" i="21"/>
  <c r="P138" i="21" s="1"/>
  <c r="R138" i="21" s="1"/>
  <c r="O39" i="21"/>
  <c r="P39" i="21" s="1"/>
  <c r="R39" i="21" s="1"/>
  <c r="O231" i="21"/>
  <c r="P231" i="21" s="1"/>
  <c r="R231" i="21" s="1"/>
  <c r="O204" i="21"/>
  <c r="P204" i="21" s="1"/>
  <c r="R204" i="21" s="1"/>
  <c r="O185" i="21"/>
  <c r="P185" i="21" s="1"/>
  <c r="R185" i="21" s="1"/>
  <c r="O225" i="21"/>
  <c r="P225" i="21" s="1"/>
  <c r="R225" i="21" s="1"/>
  <c r="R224" i="21"/>
  <c r="O200" i="21"/>
  <c r="P200" i="21" s="1"/>
  <c r="R200" i="21" s="1"/>
  <c r="O177" i="21"/>
  <c r="P177" i="21" s="1"/>
  <c r="R177" i="21" s="1"/>
  <c r="O163" i="21"/>
  <c r="P163" i="21" s="1"/>
  <c r="R163" i="21" s="1"/>
  <c r="O162" i="21"/>
  <c r="P162" i="21" s="1"/>
  <c r="R162" i="21" s="1"/>
  <c r="O127" i="21"/>
  <c r="P127" i="21" s="1"/>
  <c r="R127" i="21" s="1"/>
  <c r="O43" i="21"/>
  <c r="P43" i="21" s="1"/>
  <c r="R43" i="21" s="1"/>
  <c r="R13" i="21"/>
  <c r="R17" i="21"/>
  <c r="O22" i="21"/>
  <c r="P22" i="21" s="1"/>
  <c r="R22" i="21" s="1"/>
  <c r="R52" i="21"/>
  <c r="O58" i="21"/>
  <c r="P58" i="21" s="1"/>
  <c r="R58" i="21" s="1"/>
  <c r="O71" i="21"/>
  <c r="P71" i="21" s="1"/>
  <c r="R71" i="21" s="1"/>
  <c r="R85" i="21"/>
  <c r="R88" i="21"/>
  <c r="R107" i="21"/>
  <c r="R110" i="21"/>
  <c r="O114" i="21"/>
  <c r="P114" i="21" s="1"/>
  <c r="R114" i="21" s="1"/>
  <c r="O118" i="21"/>
  <c r="P118" i="21" s="1"/>
  <c r="R118" i="21" s="1"/>
  <c r="O121" i="21"/>
  <c r="P121" i="21" s="1"/>
  <c r="R121" i="21" s="1"/>
  <c r="O23" i="21"/>
  <c r="P23" i="21" s="1"/>
  <c r="R23" i="21" s="1"/>
  <c r="O38" i="21"/>
  <c r="P38" i="21" s="1"/>
  <c r="R38" i="21" s="1"/>
  <c r="O47" i="21"/>
  <c r="P47" i="21" s="1"/>
  <c r="R47" i="21" s="1"/>
  <c r="O57" i="21"/>
  <c r="P57" i="21" s="1"/>
  <c r="R57" i="21" s="1"/>
  <c r="O60" i="21"/>
  <c r="P60" i="21" s="1"/>
  <c r="R60" i="21" s="1"/>
  <c r="O67" i="21"/>
  <c r="P67" i="21" s="1"/>
  <c r="R67" i="21" s="1"/>
  <c r="O78" i="21"/>
  <c r="P78" i="21" s="1"/>
  <c r="R78" i="21" s="1"/>
  <c r="O91" i="21"/>
  <c r="P91" i="21" s="1"/>
  <c r="R91" i="21" s="1"/>
  <c r="O94" i="21"/>
  <c r="P94" i="21" s="1"/>
  <c r="R94" i="21" s="1"/>
  <c r="O116" i="21"/>
  <c r="P116" i="21" s="1"/>
  <c r="R116" i="21" s="1"/>
  <c r="O122" i="21"/>
  <c r="P122" i="21" s="1"/>
  <c r="R122" i="21" s="1"/>
  <c r="O130" i="21"/>
  <c r="P130" i="21" s="1"/>
  <c r="R130" i="21" s="1"/>
  <c r="O149" i="21"/>
  <c r="P149" i="21" s="1"/>
  <c r="O157" i="21"/>
  <c r="P157" i="21" s="1"/>
  <c r="R157" i="21" s="1"/>
  <c r="O123" i="21"/>
  <c r="P123" i="21" s="1"/>
  <c r="R123" i="21" s="1"/>
  <c r="O129" i="21"/>
  <c r="P129" i="21" s="1"/>
  <c r="R129" i="21" s="1"/>
  <c r="O134" i="21"/>
  <c r="P134" i="21" s="1"/>
  <c r="R134" i="21" s="1"/>
  <c r="O155" i="21"/>
  <c r="P155" i="21" s="1"/>
  <c r="R155" i="21" s="1"/>
  <c r="O159" i="21"/>
  <c r="P159" i="21" s="1"/>
  <c r="R159" i="21" s="1"/>
  <c r="O172" i="21"/>
  <c r="P172" i="21" s="1"/>
  <c r="R172" i="21" s="1"/>
  <c r="O180" i="21"/>
  <c r="P180" i="21" s="1"/>
  <c r="R180" i="21" s="1"/>
  <c r="O222" i="21"/>
  <c r="P222" i="21" s="1"/>
  <c r="R222" i="21" s="1"/>
  <c r="R44" i="21"/>
  <c r="R190" i="21"/>
  <c r="R202" i="21"/>
  <c r="O178" i="21"/>
  <c r="P178" i="21" s="1"/>
  <c r="R178" i="21" s="1"/>
  <c r="R161" i="21"/>
  <c r="R164" i="21"/>
  <c r="R74" i="21"/>
  <c r="R201" i="21"/>
  <c r="R183" i="21"/>
  <c r="O193" i="21"/>
  <c r="P193" i="21" s="1"/>
  <c r="R193" i="21" s="1"/>
  <c r="O37" i="21"/>
  <c r="P37" i="21" s="1"/>
  <c r="R37" i="21" s="1"/>
  <c r="R35" i="21"/>
  <c r="R40" i="21"/>
  <c r="O54" i="21"/>
  <c r="P54" i="21" s="1"/>
  <c r="R54" i="21" s="1"/>
  <c r="R59" i="21"/>
  <c r="O18" i="21"/>
  <c r="P18" i="21" s="1"/>
  <c r="R18" i="21" s="1"/>
  <c r="R24" i="21"/>
  <c r="R48" i="21"/>
  <c r="O55" i="21"/>
  <c r="P55" i="21" s="1"/>
  <c r="R55" i="21" s="1"/>
  <c r="O61" i="21"/>
  <c r="P61" i="21" s="1"/>
  <c r="R61" i="21" s="1"/>
  <c r="R73" i="21"/>
  <c r="R79" i="21"/>
  <c r="R95" i="21"/>
  <c r="R104" i="21"/>
  <c r="O119" i="21"/>
  <c r="P119" i="21" s="1"/>
  <c r="R119" i="21" s="1"/>
  <c r="O124" i="21"/>
  <c r="P124" i="21" s="1"/>
  <c r="R124" i="21" s="1"/>
  <c r="O140" i="21"/>
  <c r="P140" i="21" s="1"/>
  <c r="R140" i="21" s="1"/>
  <c r="O135" i="21"/>
  <c r="P135" i="21" s="1"/>
  <c r="R135" i="21" s="1"/>
  <c r="O152" i="21"/>
  <c r="P152" i="21" s="1"/>
  <c r="R152" i="21" s="1"/>
  <c r="O221" i="21"/>
  <c r="P221" i="21" s="1"/>
  <c r="R221" i="21" s="1"/>
  <c r="O212" i="21"/>
  <c r="P212" i="21" s="1"/>
  <c r="R212" i="21" s="1"/>
  <c r="O186" i="21"/>
  <c r="P186" i="21" s="1"/>
  <c r="R186" i="21" s="1"/>
  <c r="R176" i="21"/>
  <c r="O167" i="21"/>
  <c r="P167" i="21" s="1"/>
  <c r="R167" i="21" s="1"/>
  <c r="R45" i="21"/>
  <c r="O69" i="21"/>
  <c r="P69" i="21" s="1"/>
  <c r="R69" i="21" s="1"/>
  <c r="R51" i="21"/>
  <c r="O36" i="21"/>
  <c r="P36" i="21" s="1"/>
  <c r="R36" i="21" s="1"/>
  <c r="R213" i="21"/>
  <c r="O198" i="21"/>
  <c r="P198" i="21" s="1"/>
  <c r="R198" i="21" s="1"/>
  <c r="O173" i="21"/>
  <c r="P173" i="21" s="1"/>
  <c r="R173" i="21" s="1"/>
  <c r="O132" i="21"/>
  <c r="P132" i="21" s="1"/>
  <c r="R132" i="21" s="1"/>
  <c r="O33" i="21"/>
  <c r="P33" i="21" s="1"/>
  <c r="O20" i="21"/>
  <c r="P20" i="21" s="1"/>
  <c r="R20" i="21" s="1"/>
  <c r="R56" i="21"/>
  <c r="R77" i="21"/>
  <c r="R80" i="21"/>
  <c r="R93" i="21"/>
  <c r="R96" i="21"/>
  <c r="O102" i="21"/>
  <c r="P102" i="21" s="1"/>
  <c r="R102" i="21" s="1"/>
  <c r="O112" i="21"/>
  <c r="P112" i="21" s="1"/>
  <c r="R112" i="21" s="1"/>
  <c r="O19" i="21"/>
  <c r="P19" i="21" s="1"/>
  <c r="R19" i="21" s="1"/>
  <c r="O41" i="21"/>
  <c r="P41" i="21" s="1"/>
  <c r="R41" i="21" s="1"/>
  <c r="O49" i="21"/>
  <c r="P49" i="21" s="1"/>
  <c r="R49" i="21" s="1"/>
  <c r="O62" i="21"/>
  <c r="P62" i="21" s="1"/>
  <c r="R62" i="21" s="1"/>
  <c r="O65" i="21"/>
  <c r="P65" i="21" s="1"/>
  <c r="R65" i="21" s="1"/>
  <c r="O83" i="21"/>
  <c r="P83" i="21" s="1"/>
  <c r="R83" i="21" s="1"/>
  <c r="O86" i="21"/>
  <c r="P86" i="21" s="1"/>
  <c r="R86" i="21" s="1"/>
  <c r="O99" i="21"/>
  <c r="P99" i="21" s="1"/>
  <c r="R99" i="21" s="1"/>
  <c r="O105" i="21"/>
  <c r="P105" i="21" s="1"/>
  <c r="R105" i="21" s="1"/>
  <c r="O108" i="21"/>
  <c r="P108" i="21" s="1"/>
  <c r="R108" i="21" s="1"/>
  <c r="O125" i="21"/>
  <c r="P125" i="21" s="1"/>
  <c r="R125" i="21" s="1"/>
  <c r="O141" i="21"/>
  <c r="P141" i="21" s="1"/>
  <c r="R141" i="21" s="1"/>
  <c r="O131" i="21"/>
  <c r="P131" i="21" s="1"/>
  <c r="R131" i="21" s="1"/>
  <c r="O136" i="21"/>
  <c r="P136" i="21" s="1"/>
  <c r="R136" i="21" s="1"/>
  <c r="O153" i="21"/>
  <c r="P153" i="21" s="1"/>
  <c r="R153" i="21" s="1"/>
  <c r="R195" i="21"/>
  <c r="O220" i="21"/>
  <c r="P220" i="21" s="1"/>
  <c r="R220" i="21" s="1"/>
  <c r="N266" i="20"/>
  <c r="P266" i="20" s="1"/>
  <c r="P150" i="19"/>
  <c r="R150" i="19" s="1"/>
  <c r="R38" i="19"/>
  <c r="P236" i="19"/>
  <c r="P211" i="19"/>
  <c r="R211" i="19" s="1"/>
  <c r="R153" i="19"/>
  <c r="N260" i="19"/>
  <c r="P260" i="19"/>
  <c r="P35" i="19"/>
  <c r="R35" i="19" s="1"/>
  <c r="N227" i="20" l="1"/>
  <c r="M226" i="20"/>
  <c r="Q226" i="20"/>
  <c r="Q199" i="20"/>
  <c r="M227" i="20"/>
  <c r="Q227" i="20"/>
  <c r="N226" i="20"/>
  <c r="M199" i="20"/>
  <c r="N199" i="20"/>
  <c r="Q149" i="20"/>
  <c r="R149" i="20" s="1"/>
  <c r="Q148" i="20"/>
  <c r="R148" i="20" s="1"/>
  <c r="Q147" i="20"/>
  <c r="R147" i="20" s="1"/>
  <c r="P146" i="21"/>
  <c r="R146" i="21" s="1"/>
  <c r="R33" i="21"/>
  <c r="P207" i="21"/>
  <c r="R207" i="21" s="1"/>
  <c r="R149" i="21"/>
  <c r="P30" i="21"/>
  <c r="R30" i="21" s="1"/>
  <c r="P233" i="21"/>
  <c r="N238" i="20"/>
  <c r="M237" i="20"/>
  <c r="Q235" i="20"/>
  <c r="N234" i="20"/>
  <c r="M233" i="20"/>
  <c r="Q231" i="20"/>
  <c r="N230" i="20"/>
  <c r="M229" i="20"/>
  <c r="Q225" i="20"/>
  <c r="N224" i="20"/>
  <c r="M223" i="20"/>
  <c r="Q221" i="20"/>
  <c r="N220" i="20"/>
  <c r="M219" i="20"/>
  <c r="Q217" i="20"/>
  <c r="N216" i="20"/>
  <c r="M211" i="20"/>
  <c r="Q209" i="20"/>
  <c r="N208" i="20"/>
  <c r="M207" i="20"/>
  <c r="Q205" i="20"/>
  <c r="N204" i="20"/>
  <c r="M203" i="20"/>
  <c r="Q201" i="20"/>
  <c r="N200" i="20"/>
  <c r="M198" i="20"/>
  <c r="Q196" i="20"/>
  <c r="N195" i="20"/>
  <c r="M194" i="20"/>
  <c r="Q192" i="20"/>
  <c r="N191" i="20"/>
  <c r="M190" i="20"/>
  <c r="Q188" i="20"/>
  <c r="N187" i="20"/>
  <c r="M186" i="20"/>
  <c r="Q184" i="20"/>
  <c r="N183" i="20"/>
  <c r="M182" i="20"/>
  <c r="Q180" i="20"/>
  <c r="N179" i="20"/>
  <c r="M178" i="20"/>
  <c r="Q176" i="20"/>
  <c r="N175" i="20"/>
  <c r="M174" i="20"/>
  <c r="Q172" i="20"/>
  <c r="N171" i="20"/>
  <c r="M170" i="20"/>
  <c r="Q168" i="20"/>
  <c r="N167" i="20"/>
  <c r="M166" i="20"/>
  <c r="Q164" i="20"/>
  <c r="N163" i="20"/>
  <c r="M162" i="20"/>
  <c r="Q160" i="20"/>
  <c r="N159" i="20"/>
  <c r="M158" i="20"/>
  <c r="Q156" i="20"/>
  <c r="N155" i="20"/>
  <c r="M154" i="20"/>
  <c r="M146" i="20"/>
  <c r="Q144" i="20"/>
  <c r="N143" i="20"/>
  <c r="M142" i="20"/>
  <c r="Q140" i="20"/>
  <c r="N139" i="20"/>
  <c r="M138" i="20"/>
  <c r="Q136" i="20"/>
  <c r="N135" i="20"/>
  <c r="M134" i="20"/>
  <c r="Q132" i="20"/>
  <c r="N131" i="20"/>
  <c r="M130" i="20"/>
  <c r="Q128" i="20"/>
  <c r="N127" i="20"/>
  <c r="M126" i="20"/>
  <c r="Q124" i="20"/>
  <c r="N123" i="20"/>
  <c r="M122" i="20"/>
  <c r="Q120" i="20"/>
  <c r="N119" i="20"/>
  <c r="M118" i="20"/>
  <c r="Q116" i="20"/>
  <c r="N115" i="20"/>
  <c r="M114" i="20"/>
  <c r="Q112" i="20"/>
  <c r="N111" i="20"/>
  <c r="M110" i="20"/>
  <c r="Q108" i="20"/>
  <c r="N107" i="20"/>
  <c r="M106" i="20"/>
  <c r="Q104" i="20"/>
  <c r="N103" i="20"/>
  <c r="M102" i="20"/>
  <c r="Q100" i="20"/>
  <c r="N99" i="20"/>
  <c r="M98" i="20"/>
  <c r="Q96" i="20"/>
  <c r="N95" i="20"/>
  <c r="M94" i="20"/>
  <c r="Q92" i="20"/>
  <c r="N91" i="20"/>
  <c r="M90" i="20"/>
  <c r="Q88" i="20"/>
  <c r="N87" i="20"/>
  <c r="M86" i="20"/>
  <c r="Q84" i="20"/>
  <c r="N83" i="20"/>
  <c r="M82" i="20"/>
  <c r="Q80" i="20"/>
  <c r="N79" i="20"/>
  <c r="M78" i="20"/>
  <c r="Q76" i="20"/>
  <c r="N75" i="20"/>
  <c r="M74" i="20"/>
  <c r="Q72" i="20"/>
  <c r="N71" i="20"/>
  <c r="M70" i="20"/>
  <c r="Q68" i="20"/>
  <c r="N67" i="20"/>
  <c r="M66" i="20"/>
  <c r="Q64" i="20"/>
  <c r="N63" i="20"/>
  <c r="M62" i="20"/>
  <c r="Q60" i="20"/>
  <c r="N59" i="20"/>
  <c r="M238" i="20"/>
  <c r="Q236" i="20"/>
  <c r="N235" i="20"/>
  <c r="M234" i="20"/>
  <c r="Q232" i="20"/>
  <c r="N231" i="20"/>
  <c r="M230" i="20"/>
  <c r="Q228" i="20"/>
  <c r="N225" i="20"/>
  <c r="M224" i="20"/>
  <c r="Q222" i="20"/>
  <c r="N221" i="20"/>
  <c r="M220" i="20"/>
  <c r="Q218" i="20"/>
  <c r="N217" i="20"/>
  <c r="M216" i="20"/>
  <c r="Q210" i="20"/>
  <c r="N209" i="20"/>
  <c r="M208" i="20"/>
  <c r="Q206" i="20"/>
  <c r="N205" i="20"/>
  <c r="M204" i="20"/>
  <c r="Q202" i="20"/>
  <c r="N201" i="20"/>
  <c r="M200" i="20"/>
  <c r="Q197" i="20"/>
  <c r="N196" i="20"/>
  <c r="M195" i="20"/>
  <c r="Q193" i="20"/>
  <c r="N192" i="20"/>
  <c r="M191" i="20"/>
  <c r="Q189" i="20"/>
  <c r="N188" i="20"/>
  <c r="M187" i="20"/>
  <c r="Q185" i="20"/>
  <c r="N184" i="20"/>
  <c r="M183" i="20"/>
  <c r="Q181" i="20"/>
  <c r="N180" i="20"/>
  <c r="M179" i="20"/>
  <c r="Q177" i="20"/>
  <c r="N176" i="20"/>
  <c r="M175" i="20"/>
  <c r="Q173" i="20"/>
  <c r="N172" i="20"/>
  <c r="M171" i="20"/>
  <c r="Q169" i="20"/>
  <c r="N168" i="20"/>
  <c r="M167" i="20"/>
  <c r="Q165" i="20"/>
  <c r="N164" i="20"/>
  <c r="M163" i="20"/>
  <c r="Q161" i="20"/>
  <c r="N160" i="20"/>
  <c r="M159" i="20"/>
  <c r="Q157" i="20"/>
  <c r="N156" i="20"/>
  <c r="M155" i="20"/>
  <c r="Q145" i="20"/>
  <c r="N144" i="20"/>
  <c r="M143" i="20"/>
  <c r="Q141" i="20"/>
  <c r="N140" i="20"/>
  <c r="M139" i="20"/>
  <c r="Q137" i="20"/>
  <c r="N136" i="20"/>
  <c r="M135" i="20"/>
  <c r="Q133" i="20"/>
  <c r="N132" i="20"/>
  <c r="M131" i="20"/>
  <c r="Q129" i="20"/>
  <c r="N128" i="20"/>
  <c r="M127" i="20"/>
  <c r="Q125" i="20"/>
  <c r="N124" i="20"/>
  <c r="M123" i="20"/>
  <c r="Q121" i="20"/>
  <c r="N120" i="20"/>
  <c r="M119" i="20"/>
  <c r="Q117" i="20"/>
  <c r="N116" i="20"/>
  <c r="M115" i="20"/>
  <c r="Q113" i="20"/>
  <c r="N112" i="20"/>
  <c r="M111" i="20"/>
  <c r="Q109" i="20"/>
  <c r="N108" i="20"/>
  <c r="M107" i="20"/>
  <c r="Q105" i="20"/>
  <c r="N104" i="20"/>
  <c r="M103" i="20"/>
  <c r="Q101" i="20"/>
  <c r="N100" i="20"/>
  <c r="M99" i="20"/>
  <c r="Q97" i="20"/>
  <c r="N96" i="20"/>
  <c r="M95" i="20"/>
  <c r="Q93" i="20"/>
  <c r="N92" i="20"/>
  <c r="M91" i="20"/>
  <c r="Q89" i="20"/>
  <c r="N88" i="20"/>
  <c r="M87" i="20"/>
  <c r="Q85" i="20"/>
  <c r="N84" i="20"/>
  <c r="M83" i="20"/>
  <c r="Q81" i="20"/>
  <c r="N80" i="20"/>
  <c r="M79" i="20"/>
  <c r="Q77" i="20"/>
  <c r="N76" i="20"/>
  <c r="M75" i="20"/>
  <c r="Q73" i="20"/>
  <c r="N72" i="20"/>
  <c r="M71" i="20"/>
  <c r="Q69" i="20"/>
  <c r="N68" i="20"/>
  <c r="M67" i="20"/>
  <c r="Q65" i="20"/>
  <c r="N64" i="20"/>
  <c r="M63" i="20"/>
  <c r="Q61" i="20"/>
  <c r="N60" i="20"/>
  <c r="M59" i="20"/>
  <c r="M58" i="20"/>
  <c r="Q56" i="20"/>
  <c r="N55" i="20"/>
  <c r="M54" i="20"/>
  <c r="Q52" i="20"/>
  <c r="N51" i="20"/>
  <c r="M49" i="20"/>
  <c r="Q47" i="20"/>
  <c r="N46" i="20"/>
  <c r="M45" i="20"/>
  <c r="Q43" i="20"/>
  <c r="N42" i="20"/>
  <c r="M41" i="20"/>
  <c r="Q39" i="20"/>
  <c r="N38" i="20"/>
  <c r="M33" i="20"/>
  <c r="Q31" i="20"/>
  <c r="N30" i="20"/>
  <c r="M29" i="20"/>
  <c r="Q27" i="20"/>
  <c r="N26" i="20"/>
  <c r="M25" i="20"/>
  <c r="Q23" i="20"/>
  <c r="N22" i="20"/>
  <c r="M21" i="20"/>
  <c r="Q19" i="20"/>
  <c r="N18" i="20"/>
  <c r="M17" i="20"/>
  <c r="M57" i="20"/>
  <c r="M55" i="20"/>
  <c r="Q53" i="20"/>
  <c r="N52" i="20"/>
  <c r="M51" i="20"/>
  <c r="Q48" i="20"/>
  <c r="N47" i="20"/>
  <c r="M46" i="20"/>
  <c r="Q44" i="20"/>
  <c r="N43" i="20"/>
  <c r="M42" i="20"/>
  <c r="Q40" i="20"/>
  <c r="N39" i="20"/>
  <c r="M38" i="20"/>
  <c r="Q32" i="20"/>
  <c r="N31" i="20"/>
  <c r="M30" i="20"/>
  <c r="Q28" i="20"/>
  <c r="N27" i="20"/>
  <c r="M26" i="20"/>
  <c r="Q24" i="20"/>
  <c r="N23" i="20"/>
  <c r="M22" i="20"/>
  <c r="Q20" i="20"/>
  <c r="N19" i="20"/>
  <c r="Q55" i="20"/>
  <c r="Q237" i="20"/>
  <c r="N236" i="20"/>
  <c r="M235" i="20"/>
  <c r="Q233" i="20"/>
  <c r="N232" i="20"/>
  <c r="M231" i="20"/>
  <c r="Q229" i="20"/>
  <c r="N228" i="20"/>
  <c r="M225" i="20"/>
  <c r="Q223" i="20"/>
  <c r="N222" i="20"/>
  <c r="M221" i="20"/>
  <c r="Q219" i="20"/>
  <c r="N218" i="20"/>
  <c r="M217" i="20"/>
  <c r="Q211" i="20"/>
  <c r="N210" i="20"/>
  <c r="M209" i="20"/>
  <c r="Q207" i="20"/>
  <c r="N206" i="20"/>
  <c r="M205" i="20"/>
  <c r="Q203" i="20"/>
  <c r="N202" i="20"/>
  <c r="M201" i="20"/>
  <c r="Q198" i="20"/>
  <c r="N197" i="20"/>
  <c r="M196" i="20"/>
  <c r="Q194" i="20"/>
  <c r="N193" i="20"/>
  <c r="M192" i="20"/>
  <c r="Q190" i="20"/>
  <c r="N189" i="20"/>
  <c r="M188" i="20"/>
  <c r="Q186" i="20"/>
  <c r="N185" i="20"/>
  <c r="M184" i="20"/>
  <c r="Q182" i="20"/>
  <c r="N181" i="20"/>
  <c r="M180" i="20"/>
  <c r="Q178" i="20"/>
  <c r="N177" i="20"/>
  <c r="M176" i="20"/>
  <c r="Q174" i="20"/>
  <c r="N173" i="20"/>
  <c r="M172" i="20"/>
  <c r="Q170" i="20"/>
  <c r="N169" i="20"/>
  <c r="M168" i="20"/>
  <c r="Q166" i="20"/>
  <c r="N165" i="20"/>
  <c r="M164" i="20"/>
  <c r="Q162" i="20"/>
  <c r="N161" i="20"/>
  <c r="M160" i="20"/>
  <c r="Q158" i="20"/>
  <c r="N157" i="20"/>
  <c r="M156" i="20"/>
  <c r="Q154" i="20"/>
  <c r="Q146" i="20"/>
  <c r="N145" i="20"/>
  <c r="M144" i="20"/>
  <c r="Q142" i="20"/>
  <c r="N141" i="20"/>
  <c r="M140" i="20"/>
  <c r="Q138" i="20"/>
  <c r="N137" i="20"/>
  <c r="M136" i="20"/>
  <c r="Q134" i="20"/>
  <c r="N133" i="20"/>
  <c r="M132" i="20"/>
  <c r="Q130" i="20"/>
  <c r="N129" i="20"/>
  <c r="M128" i="20"/>
  <c r="Q126" i="20"/>
  <c r="N125" i="20"/>
  <c r="M124" i="20"/>
  <c r="Q122" i="20"/>
  <c r="N121" i="20"/>
  <c r="M120" i="20"/>
  <c r="Q118" i="20"/>
  <c r="N117" i="20"/>
  <c r="M116" i="20"/>
  <c r="Q114" i="20"/>
  <c r="N113" i="20"/>
  <c r="M112" i="20"/>
  <c r="Q110" i="20"/>
  <c r="N109" i="20"/>
  <c r="M108" i="20"/>
  <c r="Q106" i="20"/>
  <c r="N105" i="20"/>
  <c r="M104" i="20"/>
  <c r="Q102" i="20"/>
  <c r="N101" i="20"/>
  <c r="M100" i="20"/>
  <c r="Q98" i="20"/>
  <c r="N97" i="20"/>
  <c r="M96" i="20"/>
  <c r="Q94" i="20"/>
  <c r="N93" i="20"/>
  <c r="M92" i="20"/>
  <c r="Q90" i="20"/>
  <c r="N89" i="20"/>
  <c r="M88" i="20"/>
  <c r="Q86" i="20"/>
  <c r="N85" i="20"/>
  <c r="M84" i="20"/>
  <c r="Q82" i="20"/>
  <c r="N81" i="20"/>
  <c r="M80" i="20"/>
  <c r="Q78" i="20"/>
  <c r="N77" i="20"/>
  <c r="M76" i="20"/>
  <c r="Q74" i="20"/>
  <c r="N73" i="20"/>
  <c r="M72" i="20"/>
  <c r="Q70" i="20"/>
  <c r="N69" i="20"/>
  <c r="M68" i="20"/>
  <c r="Q66" i="20"/>
  <c r="N65" i="20"/>
  <c r="M64" i="20"/>
  <c r="Q62" i="20"/>
  <c r="N61" i="20"/>
  <c r="M60" i="20"/>
  <c r="Q58" i="20"/>
  <c r="Q238" i="20"/>
  <c r="N237" i="20"/>
  <c r="M236" i="20"/>
  <c r="Q234" i="20"/>
  <c r="N233" i="20"/>
  <c r="M232" i="20"/>
  <c r="Q230" i="20"/>
  <c r="N229" i="20"/>
  <c r="M228" i="20"/>
  <c r="Q224" i="20"/>
  <c r="N223" i="20"/>
  <c r="M222" i="20"/>
  <c r="Q220" i="20"/>
  <c r="N219" i="20"/>
  <c r="M218" i="20"/>
  <c r="Q216" i="20"/>
  <c r="N211" i="20"/>
  <c r="O211" i="20" s="1"/>
  <c r="P211" i="20" s="1"/>
  <c r="R211" i="20" s="1"/>
  <c r="M210" i="20"/>
  <c r="O210" i="20" s="1"/>
  <c r="P210" i="20" s="1"/>
  <c r="Q208" i="20"/>
  <c r="N207" i="20"/>
  <c r="O207" i="20" s="1"/>
  <c r="P207" i="20" s="1"/>
  <c r="M206" i="20"/>
  <c r="O206" i="20" s="1"/>
  <c r="P206" i="20" s="1"/>
  <c r="Q204" i="20"/>
  <c r="N203" i="20"/>
  <c r="O203" i="20" s="1"/>
  <c r="P203" i="20" s="1"/>
  <c r="M202" i="20"/>
  <c r="Q200" i="20"/>
  <c r="N198" i="20"/>
  <c r="O198" i="20" s="1"/>
  <c r="P198" i="20" s="1"/>
  <c r="R198" i="20" s="1"/>
  <c r="M197" i="20"/>
  <c r="Q195" i="20"/>
  <c r="N194" i="20"/>
  <c r="O194" i="20" s="1"/>
  <c r="P194" i="20" s="1"/>
  <c r="R194" i="20" s="1"/>
  <c r="M193" i="20"/>
  <c r="Q191" i="20"/>
  <c r="N190" i="20"/>
  <c r="O190" i="20" s="1"/>
  <c r="P190" i="20" s="1"/>
  <c r="M189" i="20"/>
  <c r="Q187" i="20"/>
  <c r="N186" i="20"/>
  <c r="O186" i="20" s="1"/>
  <c r="P186" i="20" s="1"/>
  <c r="M185" i="20"/>
  <c r="Q183" i="20"/>
  <c r="N182" i="20"/>
  <c r="O182" i="20" s="1"/>
  <c r="P182" i="20" s="1"/>
  <c r="R182" i="20" s="1"/>
  <c r="M181" i="20"/>
  <c r="Q179" i="20"/>
  <c r="N178" i="20"/>
  <c r="O178" i="20" s="1"/>
  <c r="P178" i="20" s="1"/>
  <c r="R178" i="20" s="1"/>
  <c r="M177" i="20"/>
  <c r="Q175" i="20"/>
  <c r="N174" i="20"/>
  <c r="M173" i="20"/>
  <c r="Q171" i="20"/>
  <c r="N170" i="20"/>
  <c r="M169" i="20"/>
  <c r="Q167" i="20"/>
  <c r="N166" i="20"/>
  <c r="M165" i="20"/>
  <c r="Q163" i="20"/>
  <c r="N162" i="20"/>
  <c r="M161" i="20"/>
  <c r="Q159" i="20"/>
  <c r="N158" i="20"/>
  <c r="M157" i="20"/>
  <c r="Q155" i="20"/>
  <c r="N154" i="20"/>
  <c r="N146" i="20"/>
  <c r="O146" i="20" s="1"/>
  <c r="P146" i="20" s="1"/>
  <c r="M145" i="20"/>
  <c r="Q143" i="20"/>
  <c r="N142" i="20"/>
  <c r="O142" i="20" s="1"/>
  <c r="P142" i="20" s="1"/>
  <c r="M141" i="20"/>
  <c r="Q139" i="20"/>
  <c r="N138" i="20"/>
  <c r="O138" i="20" s="1"/>
  <c r="P138" i="20" s="1"/>
  <c r="R138" i="20" s="1"/>
  <c r="M137" i="20"/>
  <c r="Q135" i="20"/>
  <c r="N134" i="20"/>
  <c r="O134" i="20" s="1"/>
  <c r="P134" i="20" s="1"/>
  <c r="R134" i="20" s="1"/>
  <c r="M133" i="20"/>
  <c r="Q131" i="20"/>
  <c r="N130" i="20"/>
  <c r="O130" i="20" s="1"/>
  <c r="P130" i="20" s="1"/>
  <c r="M129" i="20"/>
  <c r="Q127" i="20"/>
  <c r="N126" i="20"/>
  <c r="O126" i="20" s="1"/>
  <c r="P126" i="20" s="1"/>
  <c r="M125" i="20"/>
  <c r="Q123" i="20"/>
  <c r="N122" i="20"/>
  <c r="O122" i="20" s="1"/>
  <c r="P122" i="20" s="1"/>
  <c r="R122" i="20" s="1"/>
  <c r="M121" i="20"/>
  <c r="Q119" i="20"/>
  <c r="N118" i="20"/>
  <c r="O118" i="20" s="1"/>
  <c r="P118" i="20" s="1"/>
  <c r="R118" i="20" s="1"/>
  <c r="M117" i="20"/>
  <c r="Q115" i="20"/>
  <c r="N114" i="20"/>
  <c r="O114" i="20" s="1"/>
  <c r="P114" i="20" s="1"/>
  <c r="M113" i="20"/>
  <c r="O113" i="20" s="1"/>
  <c r="P113" i="20" s="1"/>
  <c r="Q111" i="20"/>
  <c r="N110" i="20"/>
  <c r="O110" i="20" s="1"/>
  <c r="P110" i="20" s="1"/>
  <c r="M109" i="20"/>
  <c r="Q107" i="20"/>
  <c r="N106" i="20"/>
  <c r="O106" i="20" s="1"/>
  <c r="P106" i="20" s="1"/>
  <c r="R106" i="20" s="1"/>
  <c r="M105" i="20"/>
  <c r="Q103" i="20"/>
  <c r="N102" i="20"/>
  <c r="O102" i="20" s="1"/>
  <c r="P102" i="20" s="1"/>
  <c r="R102" i="20" s="1"/>
  <c r="M101" i="20"/>
  <c r="O101" i="20" s="1"/>
  <c r="P101" i="20" s="1"/>
  <c r="Q99" i="20"/>
  <c r="N98" i="20"/>
  <c r="O98" i="20" s="1"/>
  <c r="P98" i="20" s="1"/>
  <c r="M97" i="20"/>
  <c r="O97" i="20" s="1"/>
  <c r="P97" i="20" s="1"/>
  <c r="Q95" i="20"/>
  <c r="N94" i="20"/>
  <c r="O94" i="20" s="1"/>
  <c r="P94" i="20" s="1"/>
  <c r="M93" i="20"/>
  <c r="Q91" i="20"/>
  <c r="N90" i="20"/>
  <c r="O90" i="20" s="1"/>
  <c r="P90" i="20" s="1"/>
  <c r="R90" i="20" s="1"/>
  <c r="M89" i="20"/>
  <c r="Q87" i="20"/>
  <c r="N86" i="20"/>
  <c r="O86" i="20" s="1"/>
  <c r="P86" i="20" s="1"/>
  <c r="R86" i="20" s="1"/>
  <c r="M85" i="20"/>
  <c r="O85" i="20" s="1"/>
  <c r="P85" i="20" s="1"/>
  <c r="Q83" i="20"/>
  <c r="N82" i="20"/>
  <c r="O82" i="20" s="1"/>
  <c r="P82" i="20" s="1"/>
  <c r="M81" i="20"/>
  <c r="O81" i="20" s="1"/>
  <c r="P81" i="20" s="1"/>
  <c r="Q79" i="20"/>
  <c r="N78" i="20"/>
  <c r="O78" i="20" s="1"/>
  <c r="P78" i="20" s="1"/>
  <c r="M77" i="20"/>
  <c r="Q75" i="20"/>
  <c r="N74" i="20"/>
  <c r="O74" i="20" s="1"/>
  <c r="P74" i="20" s="1"/>
  <c r="R74" i="20" s="1"/>
  <c r="M73" i="20"/>
  <c r="Q71" i="20"/>
  <c r="N70" i="20"/>
  <c r="O70" i="20" s="1"/>
  <c r="P70" i="20" s="1"/>
  <c r="R70" i="20" s="1"/>
  <c r="M69" i="20"/>
  <c r="O69" i="20" s="1"/>
  <c r="P69" i="20" s="1"/>
  <c r="Q67" i="20"/>
  <c r="N66" i="20"/>
  <c r="O66" i="20" s="1"/>
  <c r="P66" i="20" s="1"/>
  <c r="M65" i="20"/>
  <c r="O65" i="20" s="1"/>
  <c r="P65" i="20" s="1"/>
  <c r="Q63" i="20"/>
  <c r="N62" i="20"/>
  <c r="O62" i="20" s="1"/>
  <c r="P62" i="20" s="1"/>
  <c r="M61" i="20"/>
  <c r="Q59" i="20"/>
  <c r="N58" i="20"/>
  <c r="N57" i="20"/>
  <c r="M56" i="20"/>
  <c r="Q54" i="20"/>
  <c r="N53" i="20"/>
  <c r="M52" i="20"/>
  <c r="Q49" i="20"/>
  <c r="N48" i="20"/>
  <c r="M47" i="20"/>
  <c r="Q45" i="20"/>
  <c r="N44" i="20"/>
  <c r="M43" i="20"/>
  <c r="Q41" i="20"/>
  <c r="N40" i="20"/>
  <c r="M39" i="20"/>
  <c r="Q33" i="20"/>
  <c r="N32" i="20"/>
  <c r="M31" i="20"/>
  <c r="Q29" i="20"/>
  <c r="N28" i="20"/>
  <c r="M27" i="20"/>
  <c r="Q25" i="20"/>
  <c r="N24" i="20"/>
  <c r="M23" i="20"/>
  <c r="Q21" i="20"/>
  <c r="N20" i="20"/>
  <c r="M19" i="20"/>
  <c r="Q17" i="20"/>
  <c r="Q57" i="20"/>
  <c r="N56" i="20"/>
  <c r="N54" i="20"/>
  <c r="M53" i="20"/>
  <c r="Q51" i="20"/>
  <c r="N49" i="20"/>
  <c r="M48" i="20"/>
  <c r="Q46" i="20"/>
  <c r="N45" i="20"/>
  <c r="M44" i="20"/>
  <c r="Q42" i="20"/>
  <c r="N41" i="20"/>
  <c r="M40" i="20"/>
  <c r="Q38" i="20"/>
  <c r="N33" i="20"/>
  <c r="M32" i="20"/>
  <c r="Q30" i="20"/>
  <c r="N29" i="20"/>
  <c r="M28" i="20"/>
  <c r="Q26" i="20"/>
  <c r="N25" i="20"/>
  <c r="M24" i="20"/>
  <c r="Q22" i="20"/>
  <c r="N21" i="20"/>
  <c r="M20" i="20"/>
  <c r="Q18" i="20"/>
  <c r="N17" i="20"/>
  <c r="M18" i="20"/>
  <c r="N268" i="20"/>
  <c r="N269" i="20"/>
  <c r="N261" i="19"/>
  <c r="P261" i="19"/>
  <c r="P264" i="19" s="1"/>
  <c r="M238" i="19"/>
  <c r="R238" i="19" s="1"/>
  <c r="R236" i="19"/>
  <c r="N264" i="19"/>
  <c r="N263" i="19"/>
  <c r="O61" i="20" l="1"/>
  <c r="P61" i="20" s="1"/>
  <c r="R66" i="20"/>
  <c r="O77" i="20"/>
  <c r="P77" i="20" s="1"/>
  <c r="R77" i="20" s="1"/>
  <c r="R82" i="20"/>
  <c r="R98" i="20"/>
  <c r="O109" i="20"/>
  <c r="P109" i="20" s="1"/>
  <c r="R109" i="20" s="1"/>
  <c r="R114" i="20"/>
  <c r="R130" i="20"/>
  <c r="R146" i="20"/>
  <c r="O185" i="20"/>
  <c r="P185" i="20" s="1"/>
  <c r="R190" i="20"/>
  <c r="O202" i="20"/>
  <c r="P202" i="20" s="1"/>
  <c r="R207" i="20"/>
  <c r="R62" i="20"/>
  <c r="O73" i="20"/>
  <c r="P73" i="20" s="1"/>
  <c r="R73" i="20" s="1"/>
  <c r="R78" i="20"/>
  <c r="O89" i="20"/>
  <c r="P89" i="20" s="1"/>
  <c r="R89" i="20" s="1"/>
  <c r="R94" i="20"/>
  <c r="O105" i="20"/>
  <c r="P105" i="20" s="1"/>
  <c r="R105" i="20" s="1"/>
  <c r="R110" i="20"/>
  <c r="R126" i="20"/>
  <c r="R142" i="20"/>
  <c r="R186" i="20"/>
  <c r="R203" i="20"/>
  <c r="O21" i="20"/>
  <c r="P21" i="20" s="1"/>
  <c r="O29" i="20"/>
  <c r="P29" i="20" s="1"/>
  <c r="R29" i="20" s="1"/>
  <c r="O41" i="20"/>
  <c r="P41" i="20" s="1"/>
  <c r="O49" i="20"/>
  <c r="P49" i="20" s="1"/>
  <c r="R49" i="20" s="1"/>
  <c r="R65" i="20"/>
  <c r="R81" i="20"/>
  <c r="R97" i="20"/>
  <c r="R113" i="20"/>
  <c r="O187" i="20"/>
  <c r="P187" i="20" s="1"/>
  <c r="R187" i="20" s="1"/>
  <c r="O204" i="20"/>
  <c r="P204" i="20" s="1"/>
  <c r="O17" i="20"/>
  <c r="P17" i="20" s="1"/>
  <c r="R17" i="20" s="1"/>
  <c r="O25" i="20"/>
  <c r="P25" i="20" s="1"/>
  <c r="R25" i="20" s="1"/>
  <c r="O33" i="20"/>
  <c r="P33" i="20" s="1"/>
  <c r="R33" i="20" s="1"/>
  <c r="O45" i="20"/>
  <c r="P45" i="20" s="1"/>
  <c r="O54" i="20"/>
  <c r="P54" i="20" s="1"/>
  <c r="R54" i="20" s="1"/>
  <c r="R61" i="20"/>
  <c r="R69" i="20"/>
  <c r="R85" i="20"/>
  <c r="R101" i="20"/>
  <c r="O183" i="20"/>
  <c r="P183" i="20" s="1"/>
  <c r="O208" i="20"/>
  <c r="P208" i="20" s="1"/>
  <c r="R208" i="20" s="1"/>
  <c r="O199" i="20"/>
  <c r="P199" i="20" s="1"/>
  <c r="R199" i="20" s="1"/>
  <c r="O226" i="20"/>
  <c r="P226" i="20" s="1"/>
  <c r="R226" i="20" s="1"/>
  <c r="O227" i="20"/>
  <c r="P227" i="20" s="1"/>
  <c r="R227" i="20" s="1"/>
  <c r="R206" i="20"/>
  <c r="O160" i="20"/>
  <c r="P160" i="20" s="1"/>
  <c r="R160" i="20" s="1"/>
  <c r="O168" i="20"/>
  <c r="P168" i="20" s="1"/>
  <c r="R168" i="20" s="1"/>
  <c r="O176" i="20"/>
  <c r="P176" i="20" s="1"/>
  <c r="R176" i="20" s="1"/>
  <c r="O221" i="20"/>
  <c r="P221" i="20" s="1"/>
  <c r="R221" i="20" s="1"/>
  <c r="O231" i="20"/>
  <c r="P231" i="20" s="1"/>
  <c r="R231" i="20" s="1"/>
  <c r="O42" i="20"/>
  <c r="P42" i="20" s="1"/>
  <c r="R42" i="20" s="1"/>
  <c r="O51" i="20"/>
  <c r="P51" i="20" s="1"/>
  <c r="R51" i="20" s="1"/>
  <c r="O63" i="20"/>
  <c r="P63" i="20" s="1"/>
  <c r="R63" i="20" s="1"/>
  <c r="O71" i="20"/>
  <c r="P71" i="20" s="1"/>
  <c r="R71" i="20" s="1"/>
  <c r="O79" i="20"/>
  <c r="P79" i="20" s="1"/>
  <c r="R79" i="20" s="1"/>
  <c r="O87" i="20"/>
  <c r="P87" i="20" s="1"/>
  <c r="R87" i="20" s="1"/>
  <c r="O95" i="20"/>
  <c r="P95" i="20" s="1"/>
  <c r="R95" i="20" s="1"/>
  <c r="O103" i="20"/>
  <c r="P103" i="20" s="1"/>
  <c r="R103" i="20" s="1"/>
  <c r="O111" i="20"/>
  <c r="P111" i="20" s="1"/>
  <c r="R111" i="20" s="1"/>
  <c r="O40" i="20"/>
  <c r="P40" i="20" s="1"/>
  <c r="R40" i="20" s="1"/>
  <c r="R45" i="20"/>
  <c r="O48" i="20"/>
  <c r="P48" i="20" s="1"/>
  <c r="R48" i="20" s="1"/>
  <c r="O58" i="20"/>
  <c r="P58" i="20" s="1"/>
  <c r="R58" i="20" s="1"/>
  <c r="R185" i="20"/>
  <c r="R202" i="20"/>
  <c r="R210" i="20"/>
  <c r="O156" i="20"/>
  <c r="P156" i="20" s="1"/>
  <c r="R156" i="20" s="1"/>
  <c r="O164" i="20"/>
  <c r="P164" i="20" s="1"/>
  <c r="R164" i="20" s="1"/>
  <c r="O172" i="20"/>
  <c r="P172" i="20" s="1"/>
  <c r="R172" i="20" s="1"/>
  <c r="O180" i="20"/>
  <c r="P180" i="20" s="1"/>
  <c r="R180" i="20" s="1"/>
  <c r="O188" i="20"/>
  <c r="P188" i="20" s="1"/>
  <c r="R188" i="20" s="1"/>
  <c r="O217" i="20"/>
  <c r="P217" i="20" s="1"/>
  <c r="R217" i="20" s="1"/>
  <c r="O225" i="20"/>
  <c r="P225" i="20" s="1"/>
  <c r="R225" i="20" s="1"/>
  <c r="O235" i="20"/>
  <c r="P235" i="20" s="1"/>
  <c r="R235" i="20" s="1"/>
  <c r="O38" i="20"/>
  <c r="P38" i="20" s="1"/>
  <c r="R38" i="20" s="1"/>
  <c r="O46" i="20"/>
  <c r="P46" i="20" s="1"/>
  <c r="R46" i="20" s="1"/>
  <c r="O55" i="20"/>
  <c r="P55" i="20" s="1"/>
  <c r="R55" i="20" s="1"/>
  <c r="O59" i="20"/>
  <c r="P59" i="20" s="1"/>
  <c r="R59" i="20" s="1"/>
  <c r="O67" i="20"/>
  <c r="P67" i="20" s="1"/>
  <c r="R67" i="20" s="1"/>
  <c r="O75" i="20"/>
  <c r="P75" i="20" s="1"/>
  <c r="R75" i="20" s="1"/>
  <c r="O83" i="20"/>
  <c r="P83" i="20" s="1"/>
  <c r="R83" i="20" s="1"/>
  <c r="O99" i="20"/>
  <c r="P99" i="20" s="1"/>
  <c r="R99" i="20" s="1"/>
  <c r="O107" i="20"/>
  <c r="P107" i="20" s="1"/>
  <c r="R107" i="20" s="1"/>
  <c r="M235" i="21"/>
  <c r="R233" i="21"/>
  <c r="O24" i="20"/>
  <c r="P24" i="20" s="1"/>
  <c r="R24" i="20" s="1"/>
  <c r="O32" i="20"/>
  <c r="P32" i="20" s="1"/>
  <c r="R32" i="20" s="1"/>
  <c r="R21" i="20"/>
  <c r="R41" i="20"/>
  <c r="O44" i="20"/>
  <c r="P44" i="20" s="1"/>
  <c r="R44" i="20" s="1"/>
  <c r="O53" i="20"/>
  <c r="P53" i="20" s="1"/>
  <c r="R53" i="20" s="1"/>
  <c r="O56" i="20"/>
  <c r="P56" i="20" s="1"/>
  <c r="R56" i="20" s="1"/>
  <c r="O20" i="20"/>
  <c r="P20" i="20" s="1"/>
  <c r="R20" i="20" s="1"/>
  <c r="O28" i="20"/>
  <c r="P28" i="20" s="1"/>
  <c r="R28" i="20" s="1"/>
  <c r="O121" i="20"/>
  <c r="P121" i="20" s="1"/>
  <c r="R121" i="20" s="1"/>
  <c r="O129" i="20"/>
  <c r="P129" i="20" s="1"/>
  <c r="R129" i="20" s="1"/>
  <c r="O137" i="20"/>
  <c r="P137" i="20" s="1"/>
  <c r="R137" i="20" s="1"/>
  <c r="O145" i="20"/>
  <c r="P145" i="20" s="1"/>
  <c r="R145" i="20" s="1"/>
  <c r="O157" i="20"/>
  <c r="P157" i="20" s="1"/>
  <c r="R157" i="20" s="1"/>
  <c r="O165" i="20"/>
  <c r="P165" i="20" s="1"/>
  <c r="R165" i="20" s="1"/>
  <c r="O173" i="20"/>
  <c r="P173" i="20" s="1"/>
  <c r="R173" i="20" s="1"/>
  <c r="O181" i="20"/>
  <c r="P181" i="20" s="1"/>
  <c r="R181" i="20" s="1"/>
  <c r="O189" i="20"/>
  <c r="P189" i="20" s="1"/>
  <c r="R189" i="20" s="1"/>
  <c r="O197" i="20"/>
  <c r="P197" i="20" s="1"/>
  <c r="R197" i="20" s="1"/>
  <c r="O218" i="20"/>
  <c r="P218" i="20" s="1"/>
  <c r="R218" i="20" s="1"/>
  <c r="O228" i="20"/>
  <c r="P228" i="20" s="1"/>
  <c r="R228" i="20" s="1"/>
  <c r="O236" i="20"/>
  <c r="P236" i="20" s="1"/>
  <c r="R236" i="20" s="1"/>
  <c r="O19" i="20"/>
  <c r="P19" i="20" s="1"/>
  <c r="R19" i="20" s="1"/>
  <c r="O27" i="20"/>
  <c r="P27" i="20" s="1"/>
  <c r="R27" i="20" s="1"/>
  <c r="O39" i="20"/>
  <c r="P39" i="20" s="1"/>
  <c r="R39" i="20" s="1"/>
  <c r="O47" i="20"/>
  <c r="P47" i="20" s="1"/>
  <c r="R47" i="20" s="1"/>
  <c r="O57" i="20"/>
  <c r="P57" i="20" s="1"/>
  <c r="R57" i="20" s="1"/>
  <c r="O18" i="20"/>
  <c r="P18" i="20" s="1"/>
  <c r="R18" i="20" s="1"/>
  <c r="O26" i="20"/>
  <c r="P26" i="20" s="1"/>
  <c r="R26" i="20" s="1"/>
  <c r="O60" i="20"/>
  <c r="P60" i="20" s="1"/>
  <c r="R60" i="20" s="1"/>
  <c r="O68" i="20"/>
  <c r="P68" i="20" s="1"/>
  <c r="R68" i="20" s="1"/>
  <c r="O76" i="20"/>
  <c r="P76" i="20" s="1"/>
  <c r="R76" i="20" s="1"/>
  <c r="O84" i="20"/>
  <c r="P84" i="20" s="1"/>
  <c r="R84" i="20" s="1"/>
  <c r="O92" i="20"/>
  <c r="P92" i="20" s="1"/>
  <c r="R92" i="20" s="1"/>
  <c r="O100" i="20"/>
  <c r="P100" i="20" s="1"/>
  <c r="R100" i="20" s="1"/>
  <c r="O108" i="20"/>
  <c r="P108" i="20" s="1"/>
  <c r="R108" i="20" s="1"/>
  <c r="O116" i="20"/>
  <c r="P116" i="20" s="1"/>
  <c r="R116" i="20" s="1"/>
  <c r="O124" i="20"/>
  <c r="P124" i="20" s="1"/>
  <c r="R124" i="20" s="1"/>
  <c r="O132" i="20"/>
  <c r="P132" i="20" s="1"/>
  <c r="R132" i="20" s="1"/>
  <c r="O140" i="20"/>
  <c r="P140" i="20" s="1"/>
  <c r="R140" i="20" s="1"/>
  <c r="O184" i="20"/>
  <c r="P184" i="20" s="1"/>
  <c r="R184" i="20" s="1"/>
  <c r="O192" i="20"/>
  <c r="P192" i="20" s="1"/>
  <c r="R192" i="20" s="1"/>
  <c r="O201" i="20"/>
  <c r="P201" i="20" s="1"/>
  <c r="R201" i="20" s="1"/>
  <c r="R204" i="20"/>
  <c r="O209" i="20"/>
  <c r="P209" i="20" s="1"/>
  <c r="R209" i="20" s="1"/>
  <c r="O119" i="20"/>
  <c r="P119" i="20" s="1"/>
  <c r="R119" i="20" s="1"/>
  <c r="O127" i="20"/>
  <c r="P127" i="20" s="1"/>
  <c r="R127" i="20" s="1"/>
  <c r="O135" i="20"/>
  <c r="P135" i="20" s="1"/>
  <c r="R135" i="20" s="1"/>
  <c r="O143" i="20"/>
  <c r="P143" i="20" s="1"/>
  <c r="R143" i="20" s="1"/>
  <c r="O155" i="20"/>
  <c r="P155" i="20" s="1"/>
  <c r="R155" i="20" s="1"/>
  <c r="O158" i="20"/>
  <c r="P158" i="20" s="1"/>
  <c r="R158" i="20" s="1"/>
  <c r="O163" i="20"/>
  <c r="P163" i="20" s="1"/>
  <c r="R163" i="20" s="1"/>
  <c r="O166" i="20"/>
  <c r="P166" i="20" s="1"/>
  <c r="R166" i="20" s="1"/>
  <c r="O171" i="20"/>
  <c r="P171" i="20" s="1"/>
  <c r="R171" i="20" s="1"/>
  <c r="O174" i="20"/>
  <c r="P174" i="20" s="1"/>
  <c r="R174" i="20" s="1"/>
  <c r="O179" i="20"/>
  <c r="P179" i="20" s="1"/>
  <c r="R179" i="20" s="1"/>
  <c r="O195" i="20"/>
  <c r="P195" i="20" s="1"/>
  <c r="R195" i="20" s="1"/>
  <c r="O216" i="20"/>
  <c r="P216" i="20" s="1"/>
  <c r="R216" i="20" s="1"/>
  <c r="O219" i="20"/>
  <c r="P219" i="20" s="1"/>
  <c r="R219" i="20" s="1"/>
  <c r="O224" i="20"/>
  <c r="P224" i="20" s="1"/>
  <c r="R224" i="20" s="1"/>
  <c r="O229" i="20"/>
  <c r="P229" i="20" s="1"/>
  <c r="R229" i="20" s="1"/>
  <c r="O234" i="20"/>
  <c r="P234" i="20" s="1"/>
  <c r="R234" i="20" s="1"/>
  <c r="O237" i="20"/>
  <c r="P237" i="20" s="1"/>
  <c r="R237" i="20" s="1"/>
  <c r="O93" i="20"/>
  <c r="P93" i="20" s="1"/>
  <c r="R93" i="20" s="1"/>
  <c r="O117" i="20"/>
  <c r="P117" i="20" s="1"/>
  <c r="R117" i="20" s="1"/>
  <c r="O125" i="20"/>
  <c r="P125" i="20" s="1"/>
  <c r="R125" i="20" s="1"/>
  <c r="O133" i="20"/>
  <c r="P133" i="20" s="1"/>
  <c r="R133" i="20" s="1"/>
  <c r="O141" i="20"/>
  <c r="P141" i="20" s="1"/>
  <c r="R141" i="20" s="1"/>
  <c r="O161" i="20"/>
  <c r="P161" i="20" s="1"/>
  <c r="R161" i="20" s="1"/>
  <c r="O169" i="20"/>
  <c r="P169" i="20" s="1"/>
  <c r="R169" i="20" s="1"/>
  <c r="O177" i="20"/>
  <c r="P177" i="20" s="1"/>
  <c r="R177" i="20" s="1"/>
  <c r="O193" i="20"/>
  <c r="P193" i="20" s="1"/>
  <c r="R193" i="20" s="1"/>
  <c r="O222" i="20"/>
  <c r="P222" i="20" s="1"/>
  <c r="R222" i="20" s="1"/>
  <c r="O232" i="20"/>
  <c r="P232" i="20" s="1"/>
  <c r="R232" i="20" s="1"/>
  <c r="O23" i="20"/>
  <c r="P23" i="20" s="1"/>
  <c r="R23" i="20" s="1"/>
  <c r="O31" i="20"/>
  <c r="P31" i="20" s="1"/>
  <c r="R31" i="20" s="1"/>
  <c r="O43" i="20"/>
  <c r="P43" i="20" s="1"/>
  <c r="R43" i="20" s="1"/>
  <c r="O52" i="20"/>
  <c r="P52" i="20" s="1"/>
  <c r="R52" i="20" s="1"/>
  <c r="O22" i="20"/>
  <c r="P22" i="20" s="1"/>
  <c r="R22" i="20" s="1"/>
  <c r="O30" i="20"/>
  <c r="P30" i="20" s="1"/>
  <c r="R30" i="20" s="1"/>
  <c r="O64" i="20"/>
  <c r="P64" i="20" s="1"/>
  <c r="R64" i="20" s="1"/>
  <c r="O72" i="20"/>
  <c r="P72" i="20" s="1"/>
  <c r="R72" i="20" s="1"/>
  <c r="O80" i="20"/>
  <c r="P80" i="20" s="1"/>
  <c r="R80" i="20" s="1"/>
  <c r="O88" i="20"/>
  <c r="P88" i="20" s="1"/>
  <c r="R88" i="20" s="1"/>
  <c r="O96" i="20"/>
  <c r="P96" i="20" s="1"/>
  <c r="R96" i="20" s="1"/>
  <c r="O104" i="20"/>
  <c r="P104" i="20" s="1"/>
  <c r="R104" i="20" s="1"/>
  <c r="O112" i="20"/>
  <c r="P112" i="20" s="1"/>
  <c r="R112" i="20" s="1"/>
  <c r="O120" i="20"/>
  <c r="P120" i="20" s="1"/>
  <c r="R120" i="20" s="1"/>
  <c r="O128" i="20"/>
  <c r="P128" i="20" s="1"/>
  <c r="R128" i="20" s="1"/>
  <c r="O136" i="20"/>
  <c r="P136" i="20" s="1"/>
  <c r="R136" i="20" s="1"/>
  <c r="O144" i="20"/>
  <c r="P144" i="20" s="1"/>
  <c r="R144" i="20" s="1"/>
  <c r="R183" i="20"/>
  <c r="O196" i="20"/>
  <c r="P196" i="20" s="1"/>
  <c r="R196" i="20" s="1"/>
  <c r="O205" i="20"/>
  <c r="P205" i="20" s="1"/>
  <c r="R205" i="20" s="1"/>
  <c r="O91" i="20"/>
  <c r="P91" i="20" s="1"/>
  <c r="R91" i="20" s="1"/>
  <c r="O115" i="20"/>
  <c r="P115" i="20" s="1"/>
  <c r="R115" i="20" s="1"/>
  <c r="O123" i="20"/>
  <c r="P123" i="20" s="1"/>
  <c r="R123" i="20" s="1"/>
  <c r="O131" i="20"/>
  <c r="P131" i="20" s="1"/>
  <c r="R131" i="20" s="1"/>
  <c r="O139" i="20"/>
  <c r="P139" i="20" s="1"/>
  <c r="R139" i="20" s="1"/>
  <c r="O154" i="20"/>
  <c r="P154" i="20" s="1"/>
  <c r="O159" i="20"/>
  <c r="P159" i="20" s="1"/>
  <c r="R159" i="20" s="1"/>
  <c r="O162" i="20"/>
  <c r="P162" i="20" s="1"/>
  <c r="R162" i="20" s="1"/>
  <c r="O167" i="20"/>
  <c r="P167" i="20" s="1"/>
  <c r="R167" i="20" s="1"/>
  <c r="O170" i="20"/>
  <c r="P170" i="20" s="1"/>
  <c r="R170" i="20" s="1"/>
  <c r="O175" i="20"/>
  <c r="P175" i="20" s="1"/>
  <c r="R175" i="20" s="1"/>
  <c r="O191" i="20"/>
  <c r="P191" i="20" s="1"/>
  <c r="R191" i="20" s="1"/>
  <c r="O200" i="20"/>
  <c r="P200" i="20" s="1"/>
  <c r="R200" i="20" s="1"/>
  <c r="O220" i="20"/>
  <c r="P220" i="20" s="1"/>
  <c r="R220" i="20" s="1"/>
  <c r="O223" i="20"/>
  <c r="P223" i="20" s="1"/>
  <c r="R223" i="20" s="1"/>
  <c r="O230" i="20"/>
  <c r="P230" i="20" s="1"/>
  <c r="R230" i="20" s="1"/>
  <c r="O233" i="20"/>
  <c r="P233" i="20" s="1"/>
  <c r="R233" i="20" s="1"/>
  <c r="O238" i="20"/>
  <c r="P238" i="20" s="1"/>
  <c r="R238" i="20" s="1"/>
  <c r="P269" i="20"/>
  <c r="Q243" i="20"/>
  <c r="Q242" i="20"/>
  <c r="Q214" i="20"/>
  <c r="Q240" i="20"/>
  <c r="Q153" i="20"/>
  <c r="Q150" i="20"/>
  <c r="Q36" i="20"/>
  <c r="R36" i="20" s="1"/>
  <c r="M50" i="20"/>
  <c r="N50" i="20"/>
  <c r="Q35" i="20"/>
  <c r="Q215" i="20"/>
  <c r="Q212" i="20"/>
  <c r="Q152" i="20"/>
  <c r="Q34" i="20"/>
  <c r="R34" i="20" s="1"/>
  <c r="Q37" i="20"/>
  <c r="Q50" i="20"/>
  <c r="Q213" i="20"/>
  <c r="Q151" i="20"/>
  <c r="Q241" i="20"/>
  <c r="M43" i="19"/>
  <c r="N43" i="19"/>
  <c r="O43" i="19" s="1"/>
  <c r="R235" i="21" l="1"/>
  <c r="R258" i="21"/>
  <c r="R154" i="20"/>
  <c r="P213" i="20"/>
  <c r="R213" i="20" s="1"/>
  <c r="O50" i="20"/>
  <c r="P50" i="20" s="1"/>
  <c r="R50" i="20" s="1"/>
  <c r="L284" i="18"/>
  <c r="L271" i="18"/>
  <c r="L269" i="18"/>
  <c r="L265" i="18"/>
  <c r="AL264" i="18"/>
  <c r="Y263" i="18" s="1"/>
  <c r="AE263" i="18" s="1"/>
  <c r="AK264" i="18"/>
  <c r="Y262" i="18" s="1"/>
  <c r="AE262" i="18" s="1"/>
  <c r="AE264" i="18"/>
  <c r="AJ260" i="18"/>
  <c r="AI260" i="18"/>
  <c r="AJ259" i="18"/>
  <c r="AI259" i="18"/>
  <c r="AJ258" i="18"/>
  <c r="AI258" i="18"/>
  <c r="AJ257" i="18"/>
  <c r="AI257" i="18"/>
  <c r="AJ256" i="18"/>
  <c r="AI256" i="18"/>
  <c r="AL250" i="18"/>
  <c r="Y249" i="18" s="1"/>
  <c r="AE249" i="18" s="1"/>
  <c r="AK250" i="18"/>
  <c r="Y248" i="18" s="1"/>
  <c r="AE248" i="18" s="1"/>
  <c r="AE250" i="18"/>
  <c r="AJ246" i="18"/>
  <c r="AI246" i="18"/>
  <c r="AJ245" i="18"/>
  <c r="AI245" i="18"/>
  <c r="AJ244" i="18"/>
  <c r="AI244" i="18"/>
  <c r="AJ243" i="18"/>
  <c r="AI243" i="18"/>
  <c r="AJ242" i="18"/>
  <c r="AI242" i="18"/>
  <c r="AI250" i="18" s="1"/>
  <c r="Y246" i="18" s="1"/>
  <c r="AL236" i="18"/>
  <c r="AK236" i="18"/>
  <c r="Y233" i="18" s="1"/>
  <c r="AE233" i="18" s="1"/>
  <c r="AE235" i="18"/>
  <c r="J236" i="18"/>
  <c r="K236" i="18" s="1"/>
  <c r="H236" i="18"/>
  <c r="I236" i="18" s="1"/>
  <c r="E236" i="18"/>
  <c r="Y234" i="18"/>
  <c r="AE234" i="18" s="1"/>
  <c r="J234" i="18"/>
  <c r="K234" i="18" s="1"/>
  <c r="H234" i="18"/>
  <c r="I234" i="18" s="1"/>
  <c r="E234" i="18"/>
  <c r="J233" i="18"/>
  <c r="I233" i="18"/>
  <c r="J232" i="18"/>
  <c r="K232" i="18" s="1"/>
  <c r="I232" i="18"/>
  <c r="AJ231" i="18"/>
  <c r="AI231" i="18"/>
  <c r="K231" i="18"/>
  <c r="I231" i="18"/>
  <c r="AJ230" i="18"/>
  <c r="AI230" i="18"/>
  <c r="J230" i="18"/>
  <c r="I230" i="18"/>
  <c r="AJ229" i="18"/>
  <c r="AI229" i="18"/>
  <c r="J229" i="18"/>
  <c r="I229" i="18"/>
  <c r="J228" i="18"/>
  <c r="K228" i="18" s="1"/>
  <c r="I228" i="18"/>
  <c r="AJ227" i="18"/>
  <c r="AI227" i="18"/>
  <c r="AJ226" i="18"/>
  <c r="AJ236" i="18" s="1"/>
  <c r="Y232" i="18" s="1"/>
  <c r="AE232" i="18" s="1"/>
  <c r="AI226" i="18"/>
  <c r="K225" i="18"/>
  <c r="I225" i="18"/>
  <c r="K224" i="18"/>
  <c r="H224" i="18"/>
  <c r="I224" i="18" s="1"/>
  <c r="J223" i="18"/>
  <c r="K223" i="18" s="1"/>
  <c r="H223" i="18"/>
  <c r="J222" i="18"/>
  <c r="I222" i="18"/>
  <c r="J221" i="18"/>
  <c r="I221" i="18"/>
  <c r="J220" i="18"/>
  <c r="I220" i="18"/>
  <c r="AL219" i="18"/>
  <c r="Y218" i="18" s="1"/>
  <c r="AE218" i="18" s="1"/>
  <c r="AK219" i="18"/>
  <c r="AE219" i="18"/>
  <c r="J219" i="18"/>
  <c r="I219" i="18"/>
  <c r="J218" i="18"/>
  <c r="K218" i="18" s="1"/>
  <c r="I218" i="18"/>
  <c r="Y217" i="18"/>
  <c r="AE217" i="18" s="1"/>
  <c r="J217" i="18"/>
  <c r="I217" i="18"/>
  <c r="J216" i="18"/>
  <c r="K216" i="18" s="1"/>
  <c r="I216" i="18"/>
  <c r="AJ215" i="18"/>
  <c r="AI215" i="18"/>
  <c r="J215" i="18"/>
  <c r="I215" i="18"/>
  <c r="AJ214" i="18"/>
  <c r="AI214" i="18"/>
  <c r="AJ213" i="18"/>
  <c r="AI213" i="18"/>
  <c r="AJ212" i="18"/>
  <c r="AI212" i="18"/>
  <c r="AJ211" i="18"/>
  <c r="AJ219" i="18" s="1"/>
  <c r="Y216" i="18" s="1"/>
  <c r="AE216" i="18" s="1"/>
  <c r="AI211" i="18"/>
  <c r="W210" i="18"/>
  <c r="J210" i="18" s="1"/>
  <c r="K210" i="18" s="1"/>
  <c r="H210" i="18"/>
  <c r="I210" i="18" s="1"/>
  <c r="J209" i="18"/>
  <c r="K209" i="18" s="1"/>
  <c r="H209" i="18"/>
  <c r="J208" i="18"/>
  <c r="K208" i="18" s="1"/>
  <c r="H208" i="18"/>
  <c r="J207" i="18"/>
  <c r="K207" i="18" s="1"/>
  <c r="H207" i="18"/>
  <c r="I207" i="18" s="1"/>
  <c r="J206" i="18"/>
  <c r="K206" i="18" s="1"/>
  <c r="H206" i="18"/>
  <c r="J205" i="18"/>
  <c r="K205" i="18" s="1"/>
  <c r="H205" i="18"/>
  <c r="I205" i="18" s="1"/>
  <c r="J204" i="18"/>
  <c r="K204" i="18" s="1"/>
  <c r="H204" i="18"/>
  <c r="J203" i="18"/>
  <c r="K203" i="18" s="1"/>
  <c r="H203" i="18"/>
  <c r="I203" i="18" s="1"/>
  <c r="J202" i="18"/>
  <c r="K202" i="18" s="1"/>
  <c r="H202" i="18"/>
  <c r="J199" i="18"/>
  <c r="K199" i="18" s="1"/>
  <c r="H199" i="18"/>
  <c r="I199" i="18" s="1"/>
  <c r="J198" i="18"/>
  <c r="K198" i="18" s="1"/>
  <c r="H198" i="18"/>
  <c r="T197" i="18"/>
  <c r="H197" i="18" s="1"/>
  <c r="J197" i="18"/>
  <c r="K197" i="18" s="1"/>
  <c r="J196" i="18"/>
  <c r="K196" i="18" s="1"/>
  <c r="H196" i="18"/>
  <c r="I196" i="18" s="1"/>
  <c r="J195" i="18"/>
  <c r="K195" i="18" s="1"/>
  <c r="H195" i="18"/>
  <c r="J194" i="18"/>
  <c r="K194" i="18" s="1"/>
  <c r="H194" i="18"/>
  <c r="I194" i="18" s="1"/>
  <c r="J193" i="18"/>
  <c r="K193" i="18" s="1"/>
  <c r="H193" i="18"/>
  <c r="T191" i="18"/>
  <c r="H191" i="18" s="1"/>
  <c r="J191" i="18"/>
  <c r="K191" i="18" s="1"/>
  <c r="I191" i="18"/>
  <c r="T190" i="18"/>
  <c r="H190" i="18" s="1"/>
  <c r="J190" i="18"/>
  <c r="K190" i="18" s="1"/>
  <c r="I190" i="18"/>
  <c r="T189" i="18"/>
  <c r="H189" i="18" s="1"/>
  <c r="I189" i="18" s="1"/>
  <c r="J189" i="18"/>
  <c r="K189" i="18" s="1"/>
  <c r="T188" i="18"/>
  <c r="H188" i="18" s="1"/>
  <c r="I188" i="18" s="1"/>
  <c r="J188" i="18"/>
  <c r="K188" i="18" s="1"/>
  <c r="T187" i="18"/>
  <c r="H187" i="18" s="1"/>
  <c r="J187" i="18"/>
  <c r="K187" i="18" s="1"/>
  <c r="I187" i="18"/>
  <c r="J184" i="18"/>
  <c r="K184" i="18" s="1"/>
  <c r="H184" i="18"/>
  <c r="J183" i="18"/>
  <c r="K183" i="18" s="1"/>
  <c r="H183" i="18"/>
  <c r="I183" i="18" s="1"/>
  <c r="J182" i="18"/>
  <c r="K182" i="18" s="1"/>
  <c r="H182" i="18"/>
  <c r="J181" i="18"/>
  <c r="K181" i="18" s="1"/>
  <c r="H181" i="18"/>
  <c r="I181" i="18" s="1"/>
  <c r="J180" i="18"/>
  <c r="K180" i="18" s="1"/>
  <c r="H180" i="18"/>
  <c r="J179" i="18"/>
  <c r="K179" i="18" s="1"/>
  <c r="H179" i="18"/>
  <c r="I179" i="18" s="1"/>
  <c r="J178" i="18"/>
  <c r="K178" i="18" s="1"/>
  <c r="H178" i="18"/>
  <c r="J175" i="18"/>
  <c r="K175" i="18" s="1"/>
  <c r="H175" i="18"/>
  <c r="I175" i="18" s="1"/>
  <c r="L175" i="18" s="1"/>
  <c r="J174" i="18"/>
  <c r="K174" i="18" s="1"/>
  <c r="H174" i="18"/>
  <c r="J173" i="18"/>
  <c r="K173" i="18" s="1"/>
  <c r="H173" i="18"/>
  <c r="I173" i="18" s="1"/>
  <c r="J172" i="18"/>
  <c r="K172" i="18" s="1"/>
  <c r="H172" i="18"/>
  <c r="J171" i="18"/>
  <c r="K171" i="18" s="1"/>
  <c r="H171" i="18"/>
  <c r="I171" i="18" s="1"/>
  <c r="J170" i="18"/>
  <c r="K170" i="18" s="1"/>
  <c r="H170" i="18"/>
  <c r="J169" i="18"/>
  <c r="K169" i="18" s="1"/>
  <c r="H169" i="18"/>
  <c r="I169" i="18" s="1"/>
  <c r="J168" i="18"/>
  <c r="K168" i="18" s="1"/>
  <c r="H168" i="18"/>
  <c r="J167" i="18"/>
  <c r="K167" i="18" s="1"/>
  <c r="H167" i="18"/>
  <c r="I167" i="18" s="1"/>
  <c r="L167" i="18" s="1"/>
  <c r="J166" i="18"/>
  <c r="K166" i="18" s="1"/>
  <c r="H166" i="18"/>
  <c r="T163" i="18"/>
  <c r="K163" i="18"/>
  <c r="H163" i="18"/>
  <c r="I163" i="18" s="1"/>
  <c r="T162" i="18"/>
  <c r="K162" i="18"/>
  <c r="H162" i="18"/>
  <c r="I162" i="18" s="1"/>
  <c r="T160" i="18"/>
  <c r="K160" i="18"/>
  <c r="H160" i="18"/>
  <c r="I160" i="18" s="1"/>
  <c r="T159" i="18"/>
  <c r="K159" i="18"/>
  <c r="H159" i="18"/>
  <c r="I159" i="18" s="1"/>
  <c r="T157" i="18"/>
  <c r="K157" i="18"/>
  <c r="H157" i="18"/>
  <c r="I157" i="18" s="1"/>
  <c r="T156" i="18"/>
  <c r="J156" i="18"/>
  <c r="H156" i="18"/>
  <c r="F156" i="18"/>
  <c r="E156" i="18"/>
  <c r="T155" i="18"/>
  <c r="J155" i="18"/>
  <c r="K155" i="18" s="1"/>
  <c r="H155" i="18"/>
  <c r="I155" i="18" s="1"/>
  <c r="T154" i="18"/>
  <c r="H154" i="18"/>
  <c r="F154" i="18"/>
  <c r="K154" i="18" s="1"/>
  <c r="E154" i="18"/>
  <c r="K148" i="18"/>
  <c r="I148" i="18"/>
  <c r="K147" i="18"/>
  <c r="AH162" i="18"/>
  <c r="AF162" i="18"/>
  <c r="J144" i="18"/>
  <c r="K144" i="18" s="1"/>
  <c r="H144" i="18"/>
  <c r="I144" i="18" s="1"/>
  <c r="AH161" i="18"/>
  <c r="AF161" i="18"/>
  <c r="J143" i="18"/>
  <c r="K143" i="18" s="1"/>
  <c r="H143" i="18"/>
  <c r="AH160" i="18"/>
  <c r="AF160" i="18"/>
  <c r="J142" i="18"/>
  <c r="K142" i="18" s="1"/>
  <c r="H142" i="18"/>
  <c r="I142" i="18" s="1"/>
  <c r="AH159" i="18"/>
  <c r="AF159" i="18"/>
  <c r="AB159" i="18"/>
  <c r="AH157" i="18"/>
  <c r="AE157" i="18"/>
  <c r="AF157" i="18" s="1"/>
  <c r="AH156" i="18"/>
  <c r="AE156" i="18"/>
  <c r="AF156" i="18" s="1"/>
  <c r="K138" i="18"/>
  <c r="I138" i="18"/>
  <c r="AH155" i="18"/>
  <c r="AE155" i="18"/>
  <c r="AF155" i="18" s="1"/>
  <c r="AH154" i="18"/>
  <c r="AE154" i="18"/>
  <c r="AF154" i="18" s="1"/>
  <c r="AB154" i="18"/>
  <c r="AH153" i="18"/>
  <c r="AE153" i="18"/>
  <c r="AF153" i="18" s="1"/>
  <c r="AB153" i="18"/>
  <c r="AH152" i="18"/>
  <c r="AE152" i="18"/>
  <c r="AF152" i="18" s="1"/>
  <c r="AB152" i="18"/>
  <c r="AH151" i="18"/>
  <c r="AE151" i="18"/>
  <c r="AF151" i="18" s="1"/>
  <c r="AH150" i="18"/>
  <c r="AE150" i="18"/>
  <c r="AF150" i="18" s="1"/>
  <c r="AB150" i="18"/>
  <c r="J132" i="18"/>
  <c r="K132" i="18" s="1"/>
  <c r="H132" i="18"/>
  <c r="I132" i="18" s="1"/>
  <c r="AH149" i="18"/>
  <c r="AE149" i="18"/>
  <c r="AF149" i="18" s="1"/>
  <c r="AB149" i="18"/>
  <c r="K131" i="18"/>
  <c r="I131" i="18"/>
  <c r="K130" i="18"/>
  <c r="I130" i="18"/>
  <c r="K129" i="18"/>
  <c r="H129" i="18"/>
  <c r="I129" i="18" s="1"/>
  <c r="K128" i="18"/>
  <c r="H128" i="18"/>
  <c r="I128" i="18" s="1"/>
  <c r="E128" i="18"/>
  <c r="K127" i="18"/>
  <c r="H127" i="18"/>
  <c r="I127" i="18" s="1"/>
  <c r="K126" i="18"/>
  <c r="H126" i="18"/>
  <c r="I126" i="18" s="1"/>
  <c r="AT204" i="18"/>
  <c r="AR204" i="18"/>
  <c r="AT203" i="18"/>
  <c r="AR203" i="18"/>
  <c r="AO203" i="18"/>
  <c r="AT202" i="18"/>
  <c r="AQ202" i="18"/>
  <c r="AR202" i="18" s="1"/>
  <c r="AO202" i="18"/>
  <c r="K123" i="18"/>
  <c r="H123" i="18"/>
  <c r="I123" i="18" s="1"/>
  <c r="E123" i="18"/>
  <c r="AT201" i="18"/>
  <c r="AQ201" i="18"/>
  <c r="AR201" i="18" s="1"/>
  <c r="AO201" i="18"/>
  <c r="K122" i="18"/>
  <c r="H122" i="18"/>
  <c r="I122" i="18" s="1"/>
  <c r="AT200" i="18"/>
  <c r="AR200" i="18"/>
  <c r="AT199" i="18"/>
  <c r="AR199" i="18"/>
  <c r="AO199" i="18"/>
  <c r="K120" i="18"/>
  <c r="H120" i="18"/>
  <c r="I120" i="18" s="1"/>
  <c r="E120" i="18"/>
  <c r="AT198" i="18"/>
  <c r="AR198" i="18"/>
  <c r="K119" i="18"/>
  <c r="H119" i="18"/>
  <c r="I119" i="18" s="1"/>
  <c r="AT197" i="18"/>
  <c r="AR197" i="18"/>
  <c r="AQ196" i="18"/>
  <c r="AP196" i="18"/>
  <c r="AT196" i="18" s="1"/>
  <c r="AT192" i="18"/>
  <c r="AQ192" i="18"/>
  <c r="AR192" i="18" s="1"/>
  <c r="AT191" i="18"/>
  <c r="AQ191" i="18"/>
  <c r="AR191" i="18" s="1"/>
  <c r="AT190" i="18"/>
  <c r="AT193" i="18" s="1"/>
  <c r="AR190" i="18"/>
  <c r="AU182" i="18"/>
  <c r="AR182" i="18"/>
  <c r="AS182" i="18" s="1"/>
  <c r="AU181" i="18"/>
  <c r="AR181" i="18"/>
  <c r="AS181" i="18" s="1"/>
  <c r="AU180" i="18"/>
  <c r="AR180" i="18"/>
  <c r="AS180" i="18" s="1"/>
  <c r="AR179" i="18"/>
  <c r="AS179" i="18" s="1"/>
  <c r="AU174" i="18"/>
  <c r="AS174" i="18"/>
  <c r="AU173" i="18"/>
  <c r="AR173" i="18"/>
  <c r="AS173" i="18" s="1"/>
  <c r="AU172" i="18"/>
  <c r="AR172" i="18"/>
  <c r="AS172" i="18" s="1"/>
  <c r="AT171" i="18"/>
  <c r="AT179" i="18" s="1"/>
  <c r="AU179" i="18" s="1"/>
  <c r="AR171" i="18"/>
  <c r="AS171" i="18" s="1"/>
  <c r="AU166" i="18"/>
  <c r="AS166" i="18"/>
  <c r="AU165" i="18"/>
  <c r="AU164" i="18"/>
  <c r="AU163" i="18"/>
  <c r="AR163" i="18"/>
  <c r="AS163" i="18" s="1"/>
  <c r="AF131" i="18"/>
  <c r="AD131" i="18"/>
  <c r="AF130" i="18"/>
  <c r="AC130" i="18"/>
  <c r="AD130" i="18" s="1"/>
  <c r="AF129" i="18"/>
  <c r="AF128" i="18"/>
  <c r="AC128" i="18"/>
  <c r="AD128" i="18" s="1"/>
  <c r="AF124" i="18"/>
  <c r="AC124" i="18"/>
  <c r="AD124" i="18" s="1"/>
  <c r="AF123" i="18"/>
  <c r="AC123" i="18"/>
  <c r="AD123" i="18" s="1"/>
  <c r="AF122" i="18"/>
  <c r="AC122" i="18"/>
  <c r="AC129" i="18" s="1"/>
  <c r="AF121" i="18"/>
  <c r="AF125" i="18" s="1"/>
  <c r="J41" i="18" s="1"/>
  <c r="AC121" i="18"/>
  <c r="AD121" i="18" s="1"/>
  <c r="K70" i="18"/>
  <c r="I70" i="18"/>
  <c r="K68" i="18"/>
  <c r="K65" i="18"/>
  <c r="I65" i="18"/>
  <c r="K63" i="18"/>
  <c r="I63" i="18"/>
  <c r="AE62" i="18"/>
  <c r="AF62" i="18" s="1"/>
  <c r="AC62" i="18"/>
  <c r="AD62" i="18" s="1"/>
  <c r="K62" i="18"/>
  <c r="I62" i="18"/>
  <c r="E62" i="18"/>
  <c r="AE61" i="18"/>
  <c r="AF61" i="18" s="1"/>
  <c r="AC61" i="18"/>
  <c r="AD61" i="18" s="1"/>
  <c r="W61" i="18"/>
  <c r="W38" i="18" s="1"/>
  <c r="AF60" i="18"/>
  <c r="K60" i="18"/>
  <c r="H60" i="18"/>
  <c r="I60" i="18" s="1"/>
  <c r="AF59" i="18"/>
  <c r="AR29" i="18"/>
  <c r="AE38" i="18"/>
  <c r="AF38" i="18" s="1"/>
  <c r="AF37" i="18"/>
  <c r="AC37" i="18"/>
  <c r="AD37" i="18" s="1"/>
  <c r="AF36" i="18"/>
  <c r="AC36" i="18"/>
  <c r="AD36" i="18" s="1"/>
  <c r="K50" i="18"/>
  <c r="I50" i="18"/>
  <c r="E50" i="18"/>
  <c r="AF46" i="18"/>
  <c r="AD46" i="18"/>
  <c r="AR21" i="18"/>
  <c r="AF45" i="18"/>
  <c r="AC45" i="18"/>
  <c r="K45" i="18"/>
  <c r="I45" i="18"/>
  <c r="E45" i="18"/>
  <c r="AF44" i="18"/>
  <c r="AF43" i="18"/>
  <c r="AC43" i="18"/>
  <c r="AD43" i="18" s="1"/>
  <c r="K43" i="18"/>
  <c r="I43" i="18"/>
  <c r="E40" i="18"/>
  <c r="K39" i="18"/>
  <c r="E39" i="18"/>
  <c r="E38" i="18"/>
  <c r="AR12" i="18"/>
  <c r="K27" i="18"/>
  <c r="I27" i="18"/>
  <c r="K24" i="18"/>
  <c r="I24" i="18"/>
  <c r="K17" i="18"/>
  <c r="I17" i="18"/>
  <c r="D10" i="18"/>
  <c r="J208" i="17"/>
  <c r="J207" i="17"/>
  <c r="K207" i="17" s="1"/>
  <c r="J206" i="17"/>
  <c r="J205" i="17"/>
  <c r="J204" i="17"/>
  <c r="J203" i="17"/>
  <c r="K203" i="17" s="1"/>
  <c r="J202" i="17"/>
  <c r="J201" i="17"/>
  <c r="K201" i="17" s="1"/>
  <c r="J198" i="17"/>
  <c r="K198" i="17" s="1"/>
  <c r="J197" i="17"/>
  <c r="K197" i="17" s="1"/>
  <c r="J196" i="17"/>
  <c r="J195" i="17"/>
  <c r="K195" i="17" s="1"/>
  <c r="J194" i="17"/>
  <c r="K194" i="17" s="1"/>
  <c r="J193" i="17"/>
  <c r="K193" i="17" s="1"/>
  <c r="J192" i="17"/>
  <c r="J190" i="17"/>
  <c r="J189" i="17"/>
  <c r="K189" i="17" s="1"/>
  <c r="J188" i="17"/>
  <c r="K188" i="17" s="1"/>
  <c r="J187" i="17"/>
  <c r="J186" i="17"/>
  <c r="J183" i="17"/>
  <c r="K183" i="17" s="1"/>
  <c r="J182" i="17"/>
  <c r="K182" i="17" s="1"/>
  <c r="J181" i="17"/>
  <c r="J180" i="17"/>
  <c r="J179" i="17"/>
  <c r="K179" i="17" s="1"/>
  <c r="J178" i="17"/>
  <c r="K178" i="17" s="1"/>
  <c r="J177" i="17"/>
  <c r="K177" i="17" s="1"/>
  <c r="J166" i="17"/>
  <c r="K166" i="17" s="1"/>
  <c r="J167" i="17"/>
  <c r="K167" i="17" s="1"/>
  <c r="J168" i="17"/>
  <c r="K168" i="17" s="1"/>
  <c r="J169" i="17"/>
  <c r="J170" i="17"/>
  <c r="K170" i="17" s="1"/>
  <c r="J171" i="17"/>
  <c r="J172" i="17"/>
  <c r="K172" i="17" s="1"/>
  <c r="J173" i="17"/>
  <c r="J174" i="17"/>
  <c r="J165" i="17"/>
  <c r="J209" i="17"/>
  <c r="K209" i="17" s="1"/>
  <c r="L282" i="17"/>
  <c r="AL262" i="17"/>
  <c r="Y261" i="17" s="1"/>
  <c r="AE261" i="17" s="1"/>
  <c r="AK262" i="17"/>
  <c r="Y260" i="17" s="1"/>
  <c r="AE260" i="17" s="1"/>
  <c r="AE262" i="17"/>
  <c r="AJ258" i="17"/>
  <c r="AI258" i="17"/>
  <c r="AJ257" i="17"/>
  <c r="AI257" i="17"/>
  <c r="L269" i="17"/>
  <c r="AJ256" i="17"/>
  <c r="AI256" i="17"/>
  <c r="AJ255" i="17"/>
  <c r="AI255" i="17"/>
  <c r="L267" i="17"/>
  <c r="AJ254" i="17"/>
  <c r="AI254" i="17"/>
  <c r="L263" i="17"/>
  <c r="AL248" i="17"/>
  <c r="Y247" i="17" s="1"/>
  <c r="AE247" i="17" s="1"/>
  <c r="AK248" i="17"/>
  <c r="Y246" i="17" s="1"/>
  <c r="AE246" i="17" s="1"/>
  <c r="AE248" i="17"/>
  <c r="N258" i="17"/>
  <c r="AJ244" i="17"/>
  <c r="AI244" i="17"/>
  <c r="AJ243" i="17"/>
  <c r="AI243" i="17"/>
  <c r="AJ242" i="17"/>
  <c r="AI242" i="17"/>
  <c r="AJ241" i="17"/>
  <c r="AI241" i="17"/>
  <c r="AJ240" i="17"/>
  <c r="AJ248" i="17" s="1"/>
  <c r="Y245" i="17" s="1"/>
  <c r="AE245" i="17" s="1"/>
  <c r="AI240" i="17"/>
  <c r="AL234" i="17"/>
  <c r="AK234" i="17"/>
  <c r="Y232" i="17" s="1"/>
  <c r="AE232" i="17" s="1"/>
  <c r="AE234" i="17"/>
  <c r="J234" i="17"/>
  <c r="K234" i="17" s="1"/>
  <c r="H234" i="17"/>
  <c r="I234" i="17" s="1"/>
  <c r="L234" i="17" s="1"/>
  <c r="E234" i="17"/>
  <c r="Y233" i="17"/>
  <c r="AE233" i="17" s="1"/>
  <c r="J233" i="17"/>
  <c r="K233" i="17" s="1"/>
  <c r="H233" i="17"/>
  <c r="I233" i="17" s="1"/>
  <c r="L233" i="17" s="1"/>
  <c r="E233" i="17"/>
  <c r="J232" i="17"/>
  <c r="I232" i="17"/>
  <c r="J231" i="17"/>
  <c r="K231" i="17" s="1"/>
  <c r="I231" i="17"/>
  <c r="AJ230" i="17"/>
  <c r="AI230" i="17"/>
  <c r="K230" i="17"/>
  <c r="I230" i="17"/>
  <c r="L230" i="17" s="1"/>
  <c r="AJ229" i="17"/>
  <c r="AI229" i="17"/>
  <c r="J229" i="17"/>
  <c r="I229" i="17"/>
  <c r="AJ228" i="17"/>
  <c r="AI228" i="17"/>
  <c r="J228" i="17"/>
  <c r="I228" i="17"/>
  <c r="J227" i="17"/>
  <c r="K227" i="17" s="1"/>
  <c r="I227" i="17"/>
  <c r="AJ226" i="17"/>
  <c r="AI226" i="17"/>
  <c r="AJ225" i="17"/>
  <c r="AJ234" i="17" s="1"/>
  <c r="Y231" i="17" s="1"/>
  <c r="AE231" i="17" s="1"/>
  <c r="AI225" i="17"/>
  <c r="K224" i="17"/>
  <c r="I224" i="17"/>
  <c r="K223" i="17"/>
  <c r="H223" i="17"/>
  <c r="I223" i="17" s="1"/>
  <c r="J222" i="17"/>
  <c r="K222" i="17" s="1"/>
  <c r="H222" i="17"/>
  <c r="J221" i="17"/>
  <c r="I221" i="17"/>
  <c r="J220" i="17"/>
  <c r="I220" i="17"/>
  <c r="J219" i="17"/>
  <c r="I219" i="17"/>
  <c r="AL218" i="17"/>
  <c r="AK218" i="17"/>
  <c r="Y216" i="17" s="1"/>
  <c r="AE216" i="17" s="1"/>
  <c r="AE218" i="17"/>
  <c r="J218" i="17"/>
  <c r="I218" i="17"/>
  <c r="Y217" i="17"/>
  <c r="AE217" i="17" s="1"/>
  <c r="J217" i="17"/>
  <c r="K217" i="17" s="1"/>
  <c r="I217" i="17"/>
  <c r="J216" i="17"/>
  <c r="I216" i="17"/>
  <c r="J215" i="17"/>
  <c r="I215" i="17"/>
  <c r="AJ214" i="17"/>
  <c r="AI214" i="17"/>
  <c r="J214" i="17"/>
  <c r="I214" i="17"/>
  <c r="AJ213" i="17"/>
  <c r="AI213" i="17"/>
  <c r="AJ212" i="17"/>
  <c r="AI212" i="17"/>
  <c r="AJ211" i="17"/>
  <c r="AI211" i="17"/>
  <c r="AJ210" i="17"/>
  <c r="AJ218" i="17" s="1"/>
  <c r="Y215" i="17" s="1"/>
  <c r="AE215" i="17" s="1"/>
  <c r="AI210" i="17"/>
  <c r="I209" i="17"/>
  <c r="K208" i="17"/>
  <c r="H208" i="17"/>
  <c r="I208" i="17" s="1"/>
  <c r="H207" i="17"/>
  <c r="K206" i="17"/>
  <c r="H206" i="17"/>
  <c r="K205" i="17"/>
  <c r="H205" i="17"/>
  <c r="K204" i="17"/>
  <c r="H204" i="17"/>
  <c r="I204" i="17" s="1"/>
  <c r="H203" i="17"/>
  <c r="I203" i="17" s="1"/>
  <c r="K202" i="17"/>
  <c r="H202" i="17"/>
  <c r="I202" i="17" s="1"/>
  <c r="H201" i="17"/>
  <c r="I201" i="17" s="1"/>
  <c r="H198" i="17"/>
  <c r="I198" i="17" s="1"/>
  <c r="H197" i="17"/>
  <c r="T196" i="17"/>
  <c r="K196" i="17"/>
  <c r="H196" i="17"/>
  <c r="I196" i="17" s="1"/>
  <c r="H195" i="17"/>
  <c r="I195" i="17" s="1"/>
  <c r="H194" i="17"/>
  <c r="I194" i="17" s="1"/>
  <c r="H193" i="17"/>
  <c r="I193" i="17" s="1"/>
  <c r="K192" i="17"/>
  <c r="H192" i="17"/>
  <c r="I192" i="17" s="1"/>
  <c r="T190" i="17"/>
  <c r="K190" i="17"/>
  <c r="H190" i="17"/>
  <c r="I190" i="17" s="1"/>
  <c r="T189" i="17"/>
  <c r="H189" i="17"/>
  <c r="T188" i="17"/>
  <c r="H188" i="17" s="1"/>
  <c r="I188" i="17" s="1"/>
  <c r="T187" i="17"/>
  <c r="H187" i="17" s="1"/>
  <c r="K187" i="17"/>
  <c r="T186" i="17"/>
  <c r="K186" i="17"/>
  <c r="H186" i="17"/>
  <c r="I186" i="17" s="1"/>
  <c r="H183" i="17"/>
  <c r="I183" i="17" s="1"/>
  <c r="H182" i="17"/>
  <c r="I182" i="17" s="1"/>
  <c r="K181" i="17"/>
  <c r="H181" i="17"/>
  <c r="I181" i="17" s="1"/>
  <c r="K180" i="17"/>
  <c r="H180" i="17"/>
  <c r="I180" i="17" s="1"/>
  <c r="H179" i="17"/>
  <c r="I179" i="17" s="1"/>
  <c r="H178" i="17"/>
  <c r="I178" i="17" s="1"/>
  <c r="H177" i="17"/>
  <c r="I177" i="17" s="1"/>
  <c r="K174" i="17"/>
  <c r="H174" i="17"/>
  <c r="I174" i="17" s="1"/>
  <c r="K173" i="17"/>
  <c r="H173" i="17"/>
  <c r="I173" i="17" s="1"/>
  <c r="H172" i="17"/>
  <c r="I172" i="17" s="1"/>
  <c r="K171" i="17"/>
  <c r="H171" i="17"/>
  <c r="I171" i="17" s="1"/>
  <c r="H170" i="17"/>
  <c r="I170" i="17" s="1"/>
  <c r="K169" i="17"/>
  <c r="H169" i="17"/>
  <c r="I169" i="17" s="1"/>
  <c r="H168" i="17"/>
  <c r="I168" i="17" s="1"/>
  <c r="H167" i="17"/>
  <c r="I167" i="17" s="1"/>
  <c r="H166" i="17"/>
  <c r="I166" i="17" s="1"/>
  <c r="K165" i="17"/>
  <c r="H165" i="17"/>
  <c r="I165" i="17" s="1"/>
  <c r="T162" i="17"/>
  <c r="K162" i="17"/>
  <c r="H162" i="17"/>
  <c r="T161" i="17"/>
  <c r="K161" i="17"/>
  <c r="H161" i="17"/>
  <c r="I161" i="17" s="1"/>
  <c r="T159" i="17"/>
  <c r="K159" i="17"/>
  <c r="H159" i="17"/>
  <c r="I159" i="17" s="1"/>
  <c r="T158" i="17"/>
  <c r="K158" i="17"/>
  <c r="H158" i="17"/>
  <c r="T156" i="17"/>
  <c r="K156" i="17"/>
  <c r="H156" i="17"/>
  <c r="I156" i="17" s="1"/>
  <c r="T155" i="17"/>
  <c r="J155" i="17"/>
  <c r="H155" i="17"/>
  <c r="F155" i="17"/>
  <c r="E155" i="17"/>
  <c r="T154" i="17"/>
  <c r="J154" i="17"/>
  <c r="K154" i="17" s="1"/>
  <c r="H154" i="17"/>
  <c r="I154" i="17" s="1"/>
  <c r="T153" i="17"/>
  <c r="H153" i="17"/>
  <c r="F153" i="17"/>
  <c r="E153" i="17"/>
  <c r="J147" i="17"/>
  <c r="K147" i="17" s="1"/>
  <c r="H147" i="17"/>
  <c r="I147" i="17" s="1"/>
  <c r="J146" i="17"/>
  <c r="K146" i="17" s="1"/>
  <c r="H146" i="17"/>
  <c r="AF143" i="17"/>
  <c r="AD143" i="17"/>
  <c r="J143" i="17"/>
  <c r="K143" i="17" s="1"/>
  <c r="H143" i="17"/>
  <c r="I143" i="17" s="1"/>
  <c r="L143" i="17" s="1"/>
  <c r="AF142" i="17"/>
  <c r="AD142" i="17"/>
  <c r="J142" i="17"/>
  <c r="K142" i="17" s="1"/>
  <c r="H142" i="17"/>
  <c r="AF141" i="17"/>
  <c r="AD141" i="17"/>
  <c r="J141" i="17"/>
  <c r="K141" i="17" s="1"/>
  <c r="H141" i="17"/>
  <c r="I141" i="17" s="1"/>
  <c r="L141" i="17" s="1"/>
  <c r="AF140" i="17"/>
  <c r="AD140" i="17"/>
  <c r="Z140" i="17"/>
  <c r="AF139" i="17"/>
  <c r="AC139" i="17"/>
  <c r="AD139" i="17" s="1"/>
  <c r="AF138" i="17"/>
  <c r="AC138" i="17"/>
  <c r="AD138" i="17" s="1"/>
  <c r="K138" i="17"/>
  <c r="I138" i="17"/>
  <c r="AF137" i="17"/>
  <c r="AC137" i="17"/>
  <c r="AD137" i="17" s="1"/>
  <c r="AF136" i="17"/>
  <c r="AC136" i="17"/>
  <c r="AD136" i="17" s="1"/>
  <c r="Z136" i="17"/>
  <c r="J136" i="17"/>
  <c r="K136" i="17" s="1"/>
  <c r="H136" i="17"/>
  <c r="AF135" i="17"/>
  <c r="AC135" i="17"/>
  <c r="AD135" i="17" s="1"/>
  <c r="Z135" i="17"/>
  <c r="J135" i="17"/>
  <c r="K135" i="17" s="1"/>
  <c r="I135" i="17"/>
  <c r="AF134" i="17"/>
  <c r="AC134" i="17"/>
  <c r="AD134" i="17" s="1"/>
  <c r="Z134" i="17"/>
  <c r="AF133" i="17"/>
  <c r="AC133" i="17"/>
  <c r="AD133" i="17" s="1"/>
  <c r="AF132" i="17"/>
  <c r="AC132" i="17"/>
  <c r="AD132" i="17" s="1"/>
  <c r="Z132" i="17"/>
  <c r="J132" i="17"/>
  <c r="K132" i="17" s="1"/>
  <c r="H132" i="17"/>
  <c r="I132" i="17" s="1"/>
  <c r="AF131" i="17"/>
  <c r="AC131" i="17"/>
  <c r="AD131" i="17" s="1"/>
  <c r="Z131" i="17"/>
  <c r="K131" i="17"/>
  <c r="I131" i="17"/>
  <c r="L131" i="17" s="1"/>
  <c r="K130" i="17"/>
  <c r="I130" i="17"/>
  <c r="L130" i="17" s="1"/>
  <c r="K129" i="17"/>
  <c r="H129" i="17"/>
  <c r="I129" i="17" s="1"/>
  <c r="L129" i="17" s="1"/>
  <c r="K128" i="17"/>
  <c r="H128" i="17"/>
  <c r="I128" i="17" s="1"/>
  <c r="E128" i="17"/>
  <c r="K127" i="17"/>
  <c r="H127" i="17"/>
  <c r="I127" i="17" s="1"/>
  <c r="K126" i="17"/>
  <c r="H126" i="17"/>
  <c r="I126" i="17" s="1"/>
  <c r="L126" i="17" s="1"/>
  <c r="AE125" i="17"/>
  <c r="AC125" i="17"/>
  <c r="AE124" i="17"/>
  <c r="AC124" i="17"/>
  <c r="Z124" i="17"/>
  <c r="AE123" i="17"/>
  <c r="AB123" i="17"/>
  <c r="AC123" i="17" s="1"/>
  <c r="Z123" i="17"/>
  <c r="K123" i="17"/>
  <c r="H123" i="17"/>
  <c r="E123" i="17"/>
  <c r="AE122" i="17"/>
  <c r="AB122" i="17"/>
  <c r="AC122" i="17" s="1"/>
  <c r="Z122" i="17"/>
  <c r="K122" i="17"/>
  <c r="H122" i="17"/>
  <c r="I122" i="17" s="1"/>
  <c r="L122" i="17" s="1"/>
  <c r="AE121" i="17"/>
  <c r="AC121" i="17"/>
  <c r="AE120" i="17"/>
  <c r="AC120" i="17"/>
  <c r="Z120" i="17"/>
  <c r="K120" i="17"/>
  <c r="H120" i="17"/>
  <c r="E120" i="17"/>
  <c r="AE119" i="17"/>
  <c r="AC119" i="17"/>
  <c r="K119" i="17"/>
  <c r="H119" i="17"/>
  <c r="I119" i="17" s="1"/>
  <c r="L119" i="17" s="1"/>
  <c r="AE118" i="17"/>
  <c r="AC118" i="17"/>
  <c r="AB117" i="17"/>
  <c r="AA117" i="17"/>
  <c r="AC117" i="17" s="1"/>
  <c r="T115" i="17"/>
  <c r="J115" i="17" s="1"/>
  <c r="K115" i="17" s="1"/>
  <c r="S115" i="17"/>
  <c r="H115" i="17" s="1"/>
  <c r="AE113" i="17"/>
  <c r="AB113" i="17"/>
  <c r="AC113" i="17" s="1"/>
  <c r="T113" i="17"/>
  <c r="S113" i="17"/>
  <c r="J113" i="17"/>
  <c r="K113" i="17" s="1"/>
  <c r="H113" i="17"/>
  <c r="AE112" i="17"/>
  <c r="AB112" i="17"/>
  <c r="AC112" i="17" s="1"/>
  <c r="AE111" i="17"/>
  <c r="AE114" i="17" s="1"/>
  <c r="AC111" i="17"/>
  <c r="AC114" i="17" s="1"/>
  <c r="T111" i="17"/>
  <c r="S111" i="17"/>
  <c r="J111" i="17"/>
  <c r="K111" i="17" s="1"/>
  <c r="H111" i="17"/>
  <c r="T109" i="17"/>
  <c r="S109" i="17"/>
  <c r="J109" i="17"/>
  <c r="H109" i="17"/>
  <c r="T106" i="17"/>
  <c r="S106" i="17"/>
  <c r="J106" i="17"/>
  <c r="K106" i="17" s="1"/>
  <c r="H106" i="17"/>
  <c r="AF103" i="17"/>
  <c r="AC103" i="17"/>
  <c r="AD103" i="17" s="1"/>
  <c r="T103" i="17"/>
  <c r="J103" i="17" s="1"/>
  <c r="K103" i="17" s="1"/>
  <c r="S103" i="17"/>
  <c r="H103" i="17" s="1"/>
  <c r="I103" i="17" s="1"/>
  <c r="AF102" i="17"/>
  <c r="AC102" i="17"/>
  <c r="AD102" i="17" s="1"/>
  <c r="AF101" i="17"/>
  <c r="AC101" i="17"/>
  <c r="AD101" i="17" s="1"/>
  <c r="T101" i="17"/>
  <c r="J101" i="17" s="1"/>
  <c r="S101" i="17"/>
  <c r="H101" i="17"/>
  <c r="AC100" i="17"/>
  <c r="AD100" i="17" s="1"/>
  <c r="T99" i="17"/>
  <c r="S99" i="17"/>
  <c r="J99" i="17"/>
  <c r="K99" i="17" s="1"/>
  <c r="H99" i="17"/>
  <c r="I99" i="17" s="1"/>
  <c r="L99" i="17" s="1"/>
  <c r="T97" i="17"/>
  <c r="S97" i="17"/>
  <c r="J97" i="17"/>
  <c r="H97" i="17"/>
  <c r="AF95" i="17"/>
  <c r="AD95" i="17"/>
  <c r="T95" i="17"/>
  <c r="J95" i="17" s="1"/>
  <c r="K95" i="17" s="1"/>
  <c r="S95" i="17"/>
  <c r="H95" i="17" s="1"/>
  <c r="I95" i="17" s="1"/>
  <c r="L95" i="17" s="1"/>
  <c r="AF94" i="17"/>
  <c r="AC94" i="17"/>
  <c r="AD94" i="17" s="1"/>
  <c r="AF93" i="17"/>
  <c r="AC93" i="17"/>
  <c r="AD93" i="17" s="1"/>
  <c r="T93" i="17"/>
  <c r="J93" i="17" s="1"/>
  <c r="S93" i="17"/>
  <c r="H93" i="17" s="1"/>
  <c r="AE92" i="17"/>
  <c r="AE100" i="17" s="1"/>
  <c r="AF100" i="17" s="1"/>
  <c r="AF104" i="17" s="1"/>
  <c r="J49" i="17" s="1"/>
  <c r="K49" i="17" s="1"/>
  <c r="AC92" i="17"/>
  <c r="AD92" i="17" s="1"/>
  <c r="AD96" i="17" s="1"/>
  <c r="H48" i="17" s="1"/>
  <c r="T91" i="17"/>
  <c r="S91" i="17"/>
  <c r="J91" i="17"/>
  <c r="K91" i="17" s="1"/>
  <c r="H91" i="17"/>
  <c r="T89" i="17"/>
  <c r="S89" i="17"/>
  <c r="J89" i="17"/>
  <c r="K89" i="17" s="1"/>
  <c r="H89" i="17"/>
  <c r="I89" i="17" s="1"/>
  <c r="L89" i="17" s="1"/>
  <c r="AF87" i="17"/>
  <c r="AD87" i="17"/>
  <c r="T87" i="17"/>
  <c r="J87" i="17" s="1"/>
  <c r="K87" i="17" s="1"/>
  <c r="S87" i="17"/>
  <c r="H87" i="17" s="1"/>
  <c r="AF86" i="17"/>
  <c r="AF85" i="17"/>
  <c r="T85" i="17"/>
  <c r="S85" i="17"/>
  <c r="J85" i="17"/>
  <c r="K85" i="17" s="1"/>
  <c r="H85" i="17"/>
  <c r="I85" i="17" s="1"/>
  <c r="L85" i="17" s="1"/>
  <c r="AF84" i="17"/>
  <c r="AC84" i="17"/>
  <c r="AD84" i="17" s="1"/>
  <c r="T83" i="17"/>
  <c r="J83" i="17" s="1"/>
  <c r="K83" i="17" s="1"/>
  <c r="S83" i="17"/>
  <c r="H83" i="17" s="1"/>
  <c r="I83" i="17" s="1"/>
  <c r="AF80" i="17"/>
  <c r="AD80" i="17"/>
  <c r="AF79" i="17"/>
  <c r="AC79" i="17"/>
  <c r="AD79" i="17" s="1"/>
  <c r="J79" i="17"/>
  <c r="K79" i="17" s="1"/>
  <c r="H79" i="17"/>
  <c r="I79" i="17" s="1"/>
  <c r="L79" i="17" s="1"/>
  <c r="AF78" i="17"/>
  <c r="AF77" i="17"/>
  <c r="AC77" i="17"/>
  <c r="AD77" i="17" s="1"/>
  <c r="K77" i="17"/>
  <c r="H77" i="17"/>
  <c r="I77" i="17" s="1"/>
  <c r="K76" i="17"/>
  <c r="H76" i="17"/>
  <c r="H75" i="17"/>
  <c r="H74" i="17"/>
  <c r="I74" i="17" s="1"/>
  <c r="AF73" i="17"/>
  <c r="AC73" i="17"/>
  <c r="AD73" i="17" s="1"/>
  <c r="J73" i="17"/>
  <c r="J74" i="17" s="1"/>
  <c r="H73" i="17"/>
  <c r="I73" i="17" s="1"/>
  <c r="AF72" i="17"/>
  <c r="AC72" i="17"/>
  <c r="AD72" i="17" s="1"/>
  <c r="K72" i="17"/>
  <c r="H72" i="17"/>
  <c r="I72" i="17" s="1"/>
  <c r="AF71" i="17"/>
  <c r="AC71" i="17"/>
  <c r="AC78" i="17" s="1"/>
  <c r="AF70" i="17"/>
  <c r="AC70" i="17"/>
  <c r="AD70" i="17" s="1"/>
  <c r="J70" i="17"/>
  <c r="K70" i="17" s="1"/>
  <c r="H70" i="17"/>
  <c r="I70" i="17" s="1"/>
  <c r="J68" i="17"/>
  <c r="K68" i="17" s="1"/>
  <c r="H68" i="17"/>
  <c r="K65" i="17"/>
  <c r="I65" i="17"/>
  <c r="K63" i="17"/>
  <c r="I63" i="17"/>
  <c r="AE62" i="17"/>
  <c r="AF62" i="17" s="1"/>
  <c r="AC62" i="17"/>
  <c r="AD62" i="17" s="1"/>
  <c r="K62" i="17"/>
  <c r="I62" i="17"/>
  <c r="E62" i="17"/>
  <c r="AE61" i="17"/>
  <c r="AF61" i="17" s="1"/>
  <c r="AC61" i="17"/>
  <c r="AD61" i="17" s="1"/>
  <c r="W61" i="17"/>
  <c r="W53" i="17" s="1"/>
  <c r="AF60" i="17"/>
  <c r="K60" i="17"/>
  <c r="H60" i="17"/>
  <c r="I60" i="17" s="1"/>
  <c r="AF59" i="17"/>
  <c r="AF58" i="17"/>
  <c r="AC58" i="17"/>
  <c r="AD58" i="17" s="1"/>
  <c r="J58" i="17"/>
  <c r="K58" i="17" s="1"/>
  <c r="H58" i="17"/>
  <c r="I58" i="17" s="1"/>
  <c r="J56" i="17"/>
  <c r="K56" i="17" s="1"/>
  <c r="H56" i="17"/>
  <c r="J55" i="17"/>
  <c r="K55" i="17" s="1"/>
  <c r="H55" i="17"/>
  <c r="AP53" i="17"/>
  <c r="AR54" i="17" s="1"/>
  <c r="AE53" i="17"/>
  <c r="AF53" i="17" s="1"/>
  <c r="AF52" i="17"/>
  <c r="AC52" i="17"/>
  <c r="AD52" i="17" s="1"/>
  <c r="AF51" i="17"/>
  <c r="AC51" i="17"/>
  <c r="AD51" i="17" s="1"/>
  <c r="K51" i="17"/>
  <c r="L51" i="17" s="1"/>
  <c r="I51" i="17"/>
  <c r="E51" i="17"/>
  <c r="K50" i="17"/>
  <c r="I50" i="17"/>
  <c r="E50" i="17"/>
  <c r="AF46" i="17"/>
  <c r="AD46" i="17"/>
  <c r="AP45" i="17"/>
  <c r="AR46" i="17" s="1"/>
  <c r="AF45" i="17"/>
  <c r="AC45" i="17"/>
  <c r="AC86" i="17" s="1"/>
  <c r="AD86" i="17" s="1"/>
  <c r="K45" i="17"/>
  <c r="I45" i="17"/>
  <c r="E45" i="17"/>
  <c r="AF44" i="17"/>
  <c r="AF43" i="17"/>
  <c r="AC43" i="17"/>
  <c r="AD43" i="17" s="1"/>
  <c r="K43" i="17"/>
  <c r="I43" i="17"/>
  <c r="E40" i="17"/>
  <c r="AB39" i="17"/>
  <c r="K39" i="17"/>
  <c r="E39" i="17"/>
  <c r="E38" i="17"/>
  <c r="AP36" i="17"/>
  <c r="AR37" i="17" s="1"/>
  <c r="K33" i="17"/>
  <c r="I33" i="17"/>
  <c r="J32" i="17"/>
  <c r="K32" i="17" s="1"/>
  <c r="H32" i="17"/>
  <c r="I32" i="17" s="1"/>
  <c r="J31" i="17"/>
  <c r="H31" i="17"/>
  <c r="K30" i="17"/>
  <c r="H30" i="17"/>
  <c r="K29" i="17"/>
  <c r="I29" i="17"/>
  <c r="K28" i="17"/>
  <c r="I28" i="17"/>
  <c r="K27" i="17"/>
  <c r="I27" i="17"/>
  <c r="K26" i="17"/>
  <c r="H26" i="17"/>
  <c r="I26" i="17" s="1"/>
  <c r="H25" i="17"/>
  <c r="F25" i="17"/>
  <c r="K25" i="17" s="1"/>
  <c r="E25" i="17"/>
  <c r="K24" i="17"/>
  <c r="I24" i="17"/>
  <c r="L24" i="17" s="1"/>
  <c r="K23" i="17"/>
  <c r="H23" i="17"/>
  <c r="I23" i="17" s="1"/>
  <c r="K22" i="17"/>
  <c r="I22" i="17"/>
  <c r="L22" i="17" s="1"/>
  <c r="K21" i="17"/>
  <c r="J20" i="17"/>
  <c r="K20" i="17" s="1"/>
  <c r="I20" i="17"/>
  <c r="K19" i="17"/>
  <c r="I19" i="17"/>
  <c r="K18" i="17"/>
  <c r="I18" i="17"/>
  <c r="K17" i="17"/>
  <c r="I17" i="17"/>
  <c r="D10" i="17"/>
  <c r="L282" i="15"/>
  <c r="L263" i="15"/>
  <c r="L269" i="15"/>
  <c r="L267" i="15"/>
  <c r="H26" i="15"/>
  <c r="H25" i="15"/>
  <c r="AP53" i="15"/>
  <c r="AP45" i="15"/>
  <c r="AP36" i="15"/>
  <c r="AE92" i="15"/>
  <c r="H223" i="15"/>
  <c r="H222" i="15"/>
  <c r="J147" i="15"/>
  <c r="H147" i="15"/>
  <c r="J146" i="15"/>
  <c r="H146" i="15"/>
  <c r="J143" i="15"/>
  <c r="H143" i="15"/>
  <c r="J142" i="15"/>
  <c r="H142" i="15"/>
  <c r="J141" i="15"/>
  <c r="H141" i="15"/>
  <c r="J132" i="15"/>
  <c r="H132" i="15"/>
  <c r="J70" i="15"/>
  <c r="J68" i="15"/>
  <c r="H70" i="15"/>
  <c r="H68" i="15"/>
  <c r="J32" i="15"/>
  <c r="J31" i="15"/>
  <c r="H31" i="15"/>
  <c r="H30" i="15"/>
  <c r="H23" i="15"/>
  <c r="J20" i="15"/>
  <c r="H153" i="15"/>
  <c r="H154" i="15"/>
  <c r="H155" i="15"/>
  <c r="H156" i="15"/>
  <c r="H158" i="15"/>
  <c r="H159" i="15"/>
  <c r="H161" i="15"/>
  <c r="H162" i="15"/>
  <c r="F25" i="15"/>
  <c r="E25" i="15"/>
  <c r="J233" i="15"/>
  <c r="H233" i="15"/>
  <c r="T162" i="15"/>
  <c r="T161" i="15"/>
  <c r="T159" i="15"/>
  <c r="T158" i="15"/>
  <c r="T156" i="15"/>
  <c r="T155" i="15"/>
  <c r="T154" i="15"/>
  <c r="T153" i="15"/>
  <c r="J209" i="15"/>
  <c r="H209" i="15"/>
  <c r="H208" i="15"/>
  <c r="H207" i="15"/>
  <c r="H206" i="15"/>
  <c r="H205" i="15"/>
  <c r="H204" i="15"/>
  <c r="H203" i="15"/>
  <c r="H202" i="15"/>
  <c r="H201" i="15"/>
  <c r="H183" i="15"/>
  <c r="H182" i="15"/>
  <c r="H181" i="15"/>
  <c r="H180" i="15"/>
  <c r="H179" i="15"/>
  <c r="H178" i="15"/>
  <c r="H177" i="15"/>
  <c r="H198" i="15"/>
  <c r="H197" i="15"/>
  <c r="H195" i="15"/>
  <c r="H194" i="15"/>
  <c r="H193" i="15"/>
  <c r="H192" i="15"/>
  <c r="T196" i="15"/>
  <c r="H196" i="15" s="1"/>
  <c r="T190" i="15"/>
  <c r="H190" i="15" s="1"/>
  <c r="T189" i="15"/>
  <c r="H189" i="15" s="1"/>
  <c r="T188" i="15"/>
  <c r="H188" i="15" s="1"/>
  <c r="T187" i="15"/>
  <c r="H187" i="15" s="1"/>
  <c r="T186" i="15"/>
  <c r="H186" i="15" s="1"/>
  <c r="L83" i="17" l="1"/>
  <c r="AD104" i="17"/>
  <c r="H49" i="17" s="1"/>
  <c r="AF81" i="17"/>
  <c r="J42" i="17" s="1"/>
  <c r="K42" i="17" s="1"/>
  <c r="AF144" i="17"/>
  <c r="K155" i="17"/>
  <c r="N258" i="15"/>
  <c r="L23" i="17"/>
  <c r="L192" i="17"/>
  <c r="AI218" i="17"/>
  <c r="Y214" i="17" s="1"/>
  <c r="L223" i="17"/>
  <c r="AI234" i="17"/>
  <c r="Y230" i="17" s="1"/>
  <c r="AE230" i="17" s="1"/>
  <c r="AE235" i="17" s="1"/>
  <c r="AI248" i="17"/>
  <c r="Y244" i="17" s="1"/>
  <c r="AE244" i="17" s="1"/>
  <c r="AE249" i="17" s="1"/>
  <c r="K156" i="18"/>
  <c r="L70" i="17"/>
  <c r="L33" i="17"/>
  <c r="AC53" i="17"/>
  <c r="AD53" i="17" s="1"/>
  <c r="AD54" i="17" s="1"/>
  <c r="H39" i="17" s="1"/>
  <c r="I39" i="17" s="1"/>
  <c r="L39" i="17" s="1"/>
  <c r="AF74" i="17"/>
  <c r="J41" i="17" s="1"/>
  <c r="AD71" i="17"/>
  <c r="L72" i="17"/>
  <c r="L77" i="17"/>
  <c r="L132" i="17"/>
  <c r="L135" i="17"/>
  <c r="L138" i="17"/>
  <c r="AI262" i="17"/>
  <c r="Y258" i="17" s="1"/>
  <c r="Y255" i="17" s="1"/>
  <c r="AE255" i="17" s="1"/>
  <c r="AE256" i="17" s="1"/>
  <c r="L193" i="17"/>
  <c r="P35" i="20"/>
  <c r="R35" i="20" s="1"/>
  <c r="P241" i="20"/>
  <c r="P151" i="20"/>
  <c r="R151" i="20" s="1"/>
  <c r="L173" i="18"/>
  <c r="L163" i="18"/>
  <c r="L129" i="18"/>
  <c r="L171" i="18"/>
  <c r="L199" i="18"/>
  <c r="AF39" i="18"/>
  <c r="L169" i="18"/>
  <c r="L203" i="18"/>
  <c r="L205" i="18"/>
  <c r="L207" i="18"/>
  <c r="L132" i="18"/>
  <c r="AC38" i="18"/>
  <c r="AD38" i="18" s="1"/>
  <c r="AD39" i="18" s="1"/>
  <c r="H39" i="18" s="1"/>
  <c r="AU183" i="18"/>
  <c r="J49" i="18" s="1"/>
  <c r="K49" i="18" s="1"/>
  <c r="L119" i="18"/>
  <c r="L123" i="18"/>
  <c r="L126" i="18"/>
  <c r="L127" i="18"/>
  <c r="L130" i="18"/>
  <c r="AH163" i="18"/>
  <c r="L142" i="18"/>
  <c r="L159" i="18"/>
  <c r="L194" i="18"/>
  <c r="L196" i="18"/>
  <c r="AF47" i="18"/>
  <c r="J38" i="18" s="1"/>
  <c r="K38" i="18" s="1"/>
  <c r="L50" i="18"/>
  <c r="L62" i="18"/>
  <c r="L179" i="18"/>
  <c r="L63" i="18"/>
  <c r="L70" i="18"/>
  <c r="L144" i="18"/>
  <c r="L27" i="18"/>
  <c r="L120" i="18"/>
  <c r="L128" i="18"/>
  <c r="L155" i="18"/>
  <c r="L157" i="18"/>
  <c r="L224" i="18"/>
  <c r="L231" i="18"/>
  <c r="L234" i="18"/>
  <c r="N260" i="18"/>
  <c r="L148" i="18"/>
  <c r="L181" i="18"/>
  <c r="AD122" i="18"/>
  <c r="AR193" i="18"/>
  <c r="L218" i="18"/>
  <c r="L43" i="18"/>
  <c r="AF63" i="18"/>
  <c r="J40" i="18" s="1"/>
  <c r="L60" i="18"/>
  <c r="AD125" i="18"/>
  <c r="H41" i="18" s="1"/>
  <c r="I41" i="18" s="1"/>
  <c r="L183" i="18"/>
  <c r="L188" i="18"/>
  <c r="L189" i="18"/>
  <c r="AD129" i="18"/>
  <c r="AD132" i="18" s="1"/>
  <c r="H42" i="18" s="1"/>
  <c r="AC59" i="18"/>
  <c r="AD59" i="18" s="1"/>
  <c r="AC44" i="18"/>
  <c r="AD44" i="18" s="1"/>
  <c r="L45" i="18"/>
  <c r="L216" i="18"/>
  <c r="L232" i="18"/>
  <c r="L236" i="18"/>
  <c r="L24" i="18"/>
  <c r="L65" i="18"/>
  <c r="AS175" i="18"/>
  <c r="H48" i="18" s="1"/>
  <c r="I48" i="18" s="1"/>
  <c r="AS183" i="18"/>
  <c r="H49" i="18" s="1"/>
  <c r="I49" i="18" s="1"/>
  <c r="AR196" i="18"/>
  <c r="AR205" i="18" s="1"/>
  <c r="H137" i="18" s="1"/>
  <c r="I137" i="18" s="1"/>
  <c r="L187" i="18"/>
  <c r="L190" i="18"/>
  <c r="L191" i="18"/>
  <c r="L210" i="18"/>
  <c r="L228" i="18"/>
  <c r="AI264" i="18"/>
  <c r="Y260" i="18" s="1"/>
  <c r="Y257" i="18" s="1"/>
  <c r="AE257" i="18" s="1"/>
  <c r="AE258" i="18" s="1"/>
  <c r="AU171" i="18"/>
  <c r="AU175" i="18" s="1"/>
  <c r="J48" i="18" s="1"/>
  <c r="K48" i="18" s="1"/>
  <c r="AF132" i="18"/>
  <c r="J42" i="18" s="1"/>
  <c r="K42" i="18" s="1"/>
  <c r="AU167" i="18"/>
  <c r="J44" i="18" s="1"/>
  <c r="K44" i="18" s="1"/>
  <c r="K40" i="18"/>
  <c r="K41" i="18"/>
  <c r="AR14" i="18"/>
  <c r="AR15" i="18"/>
  <c r="AR13" i="18"/>
  <c r="K35" i="18"/>
  <c r="AR165" i="18"/>
  <c r="AS165" i="18" s="1"/>
  <c r="AC60" i="18"/>
  <c r="AD60" i="18" s="1"/>
  <c r="I143" i="18"/>
  <c r="L143" i="18" s="1"/>
  <c r="I166" i="18"/>
  <c r="L166" i="18" s="1"/>
  <c r="I170" i="18"/>
  <c r="L170" i="18" s="1"/>
  <c r="I174" i="18"/>
  <c r="L174" i="18" s="1"/>
  <c r="I178" i="18"/>
  <c r="L178" i="18" s="1"/>
  <c r="I198" i="18"/>
  <c r="L198" i="18" s="1"/>
  <c r="I202" i="18"/>
  <c r="L202" i="18" s="1"/>
  <c r="K217" i="18"/>
  <c r="L217" i="18" s="1"/>
  <c r="AE246" i="18"/>
  <c r="Y243" i="18"/>
  <c r="AE243" i="18" s="1"/>
  <c r="AE244" i="18" s="1"/>
  <c r="AR31" i="18"/>
  <c r="AR30" i="18"/>
  <c r="I68" i="18"/>
  <c r="L68" i="18" s="1"/>
  <c r="I147" i="18"/>
  <c r="L147" i="18" s="1"/>
  <c r="I168" i="18"/>
  <c r="L168" i="18" s="1"/>
  <c r="I172" i="18"/>
  <c r="L172" i="18" s="1"/>
  <c r="I182" i="18"/>
  <c r="L182" i="18" s="1"/>
  <c r="I195" i="18"/>
  <c r="L195" i="18" s="1"/>
  <c r="I206" i="18"/>
  <c r="L206" i="18" s="1"/>
  <c r="K220" i="18"/>
  <c r="L220" i="18" s="1"/>
  <c r="K221" i="18"/>
  <c r="L221" i="18" s="1"/>
  <c r="K222" i="18"/>
  <c r="L222" i="18" s="1"/>
  <c r="I223" i="18"/>
  <c r="L223" i="18" s="1"/>
  <c r="AR22" i="18"/>
  <c r="AR23" i="18"/>
  <c r="AR24" i="18"/>
  <c r="AR164" i="18"/>
  <c r="AS164" i="18" s="1"/>
  <c r="L17" i="18"/>
  <c r="AD45" i="18"/>
  <c r="AR32" i="18"/>
  <c r="AT205" i="18"/>
  <c r="J137" i="18" s="1"/>
  <c r="L122" i="18"/>
  <c r="L131" i="18"/>
  <c r="AF163" i="18"/>
  <c r="L138" i="18"/>
  <c r="I154" i="18"/>
  <c r="K212" i="18"/>
  <c r="I156" i="18"/>
  <c r="L156" i="18" s="1"/>
  <c r="L160" i="18"/>
  <c r="L162" i="18"/>
  <c r="AI219" i="18"/>
  <c r="Y215" i="18" s="1"/>
  <c r="AJ250" i="18"/>
  <c r="Y247" i="18" s="1"/>
  <c r="AE247" i="18" s="1"/>
  <c r="AJ264" i="18"/>
  <c r="Y261" i="18" s="1"/>
  <c r="AE261" i="18" s="1"/>
  <c r="I180" i="18"/>
  <c r="L180" i="18" s="1"/>
  <c r="I184" i="18"/>
  <c r="L184" i="18" s="1"/>
  <c r="I193" i="18"/>
  <c r="L193" i="18" s="1"/>
  <c r="I197" i="18"/>
  <c r="L197" i="18" s="1"/>
  <c r="I204" i="18"/>
  <c r="L204" i="18" s="1"/>
  <c r="I208" i="18"/>
  <c r="L208" i="18" s="1"/>
  <c r="I209" i="18"/>
  <c r="L209" i="18" s="1"/>
  <c r="K215" i="18"/>
  <c r="K219" i="18"/>
  <c r="L219" i="18" s="1"/>
  <c r="K229" i="18"/>
  <c r="L229" i="18" s="1"/>
  <c r="K230" i="18"/>
  <c r="L230" i="18" s="1"/>
  <c r="K233" i="18"/>
  <c r="L233" i="18" s="1"/>
  <c r="L225" i="18"/>
  <c r="AI236" i="18"/>
  <c r="Y231" i="18" s="1"/>
  <c r="L58" i="17"/>
  <c r="L128" i="17"/>
  <c r="L156" i="17"/>
  <c r="I25" i="17"/>
  <c r="AF63" i="17"/>
  <c r="J40" i="17" s="1"/>
  <c r="L60" i="17"/>
  <c r="AJ262" i="17"/>
  <c r="Y259" i="17" s="1"/>
  <c r="AE259" i="17" s="1"/>
  <c r="L103" i="17"/>
  <c r="L147" i="17"/>
  <c r="L18" i="17"/>
  <c r="L19" i="17"/>
  <c r="L20" i="17"/>
  <c r="L26" i="17"/>
  <c r="L27" i="17"/>
  <c r="L28" i="17"/>
  <c r="L29" i="17"/>
  <c r="L43" i="17"/>
  <c r="AF47" i="17"/>
  <c r="J38" i="17" s="1"/>
  <c r="K38" i="17" s="1"/>
  <c r="L45" i="17"/>
  <c r="AD45" i="17"/>
  <c r="L50" i="17"/>
  <c r="L127" i="17"/>
  <c r="L178" i="17"/>
  <c r="L194" i="17"/>
  <c r="L195" i="17"/>
  <c r="L217" i="17"/>
  <c r="L231" i="17"/>
  <c r="L62" i="17"/>
  <c r="L63" i="17"/>
  <c r="L65" i="17"/>
  <c r="K73" i="17"/>
  <c r="L73" i="17" s="1"/>
  <c r="AF88" i="17"/>
  <c r="J44" i="17" s="1"/>
  <c r="I153" i="17"/>
  <c r="K153" i="17"/>
  <c r="L153" i="17" s="1"/>
  <c r="L224" i="17"/>
  <c r="L227" i="17"/>
  <c r="L161" i="17"/>
  <c r="L159" i="17"/>
  <c r="L154" i="17"/>
  <c r="L186" i="17"/>
  <c r="L171" i="17"/>
  <c r="L173" i="17"/>
  <c r="L174" i="17"/>
  <c r="L188" i="17"/>
  <c r="L201" i="17"/>
  <c r="L203" i="17"/>
  <c r="L209" i="17"/>
  <c r="L208" i="17"/>
  <c r="L204" i="17"/>
  <c r="L196" i="17"/>
  <c r="L198" i="17"/>
  <c r="L190" i="17"/>
  <c r="L177" i="17"/>
  <c r="L179" i="17"/>
  <c r="L180" i="17"/>
  <c r="L181" i="17"/>
  <c r="L182" i="17"/>
  <c r="L183" i="17"/>
  <c r="L169" i="17"/>
  <c r="L170" i="17"/>
  <c r="L172" i="17"/>
  <c r="L168" i="17"/>
  <c r="L167" i="17"/>
  <c r="L166" i="17"/>
  <c r="L165" i="17"/>
  <c r="L202" i="17"/>
  <c r="AR40" i="17"/>
  <c r="AR38" i="17"/>
  <c r="AR39" i="17"/>
  <c r="AR56" i="17"/>
  <c r="AR55" i="17"/>
  <c r="AR57" i="17"/>
  <c r="K40" i="17"/>
  <c r="AD78" i="17"/>
  <c r="AC44" i="17"/>
  <c r="AC59" i="17"/>
  <c r="AD59" i="17" s="1"/>
  <c r="K44" i="17"/>
  <c r="L25" i="17"/>
  <c r="L32" i="17"/>
  <c r="AF54" i="17"/>
  <c r="AD74" i="17"/>
  <c r="H41" i="17" s="1"/>
  <c r="AD81" i="17"/>
  <c r="H42" i="17" s="1"/>
  <c r="AR49" i="17"/>
  <c r="AR48" i="17"/>
  <c r="AR47" i="17"/>
  <c r="AR51" i="17" s="1"/>
  <c r="K41" i="17"/>
  <c r="J75" i="17"/>
  <c r="K74" i="17"/>
  <c r="L74" i="17" s="1"/>
  <c r="L17" i="17"/>
  <c r="I30" i="17"/>
  <c r="L30" i="17" s="1"/>
  <c r="I31" i="17"/>
  <c r="K31" i="17"/>
  <c r="K35" i="17" s="1"/>
  <c r="I76" i="17"/>
  <c r="L76" i="17" s="1"/>
  <c r="I48" i="17"/>
  <c r="I49" i="17"/>
  <c r="L49" i="17" s="1"/>
  <c r="I55" i="17"/>
  <c r="L55" i="17" s="1"/>
  <c r="I56" i="17"/>
  <c r="L56" i="17" s="1"/>
  <c r="AC60" i="17"/>
  <c r="AD60" i="17" s="1"/>
  <c r="AD63" i="17" s="1"/>
  <c r="H40" i="17" s="1"/>
  <c r="I68" i="17"/>
  <c r="L68" i="17" s="1"/>
  <c r="I75" i="17"/>
  <c r="I87" i="17"/>
  <c r="L87" i="17" s="1"/>
  <c r="AC126" i="17"/>
  <c r="H137" i="17" s="1"/>
  <c r="AD144" i="17"/>
  <c r="AE214" i="17"/>
  <c r="AE219" i="17" s="1"/>
  <c r="Y211" i="17"/>
  <c r="AE211" i="17" s="1"/>
  <c r="AE212" i="17" s="1"/>
  <c r="AF92" i="17"/>
  <c r="AF96" i="17" s="1"/>
  <c r="J48" i="17" s="1"/>
  <c r="I93" i="17"/>
  <c r="K93" i="17"/>
  <c r="I97" i="17"/>
  <c r="K97" i="17"/>
  <c r="I101" i="17"/>
  <c r="L101" i="17" s="1"/>
  <c r="K101" i="17"/>
  <c r="I109" i="17"/>
  <c r="K109" i="17"/>
  <c r="AE117" i="17"/>
  <c r="AE126" i="17" s="1"/>
  <c r="J137" i="17" s="1"/>
  <c r="I120" i="17"/>
  <c r="L120" i="17" s="1"/>
  <c r="I123" i="17"/>
  <c r="L123" i="17" s="1"/>
  <c r="I155" i="17"/>
  <c r="L155" i="17" s="1"/>
  <c r="I158" i="17"/>
  <c r="L158" i="17" s="1"/>
  <c r="I162" i="17"/>
  <c r="L162" i="17" s="1"/>
  <c r="Y241" i="17"/>
  <c r="AE241" i="17" s="1"/>
  <c r="AE242" i="17" s="1"/>
  <c r="I91" i="17"/>
  <c r="L91" i="17" s="1"/>
  <c r="I106" i="17"/>
  <c r="L106" i="17" s="1"/>
  <c r="I111" i="17"/>
  <c r="L111" i="17" s="1"/>
  <c r="I113" i="17"/>
  <c r="L113" i="17" s="1"/>
  <c r="I115" i="17"/>
  <c r="L115" i="17" s="1"/>
  <c r="I136" i="17"/>
  <c r="L136" i="17" s="1"/>
  <c r="I142" i="17"/>
  <c r="L142" i="17" s="1"/>
  <c r="I146" i="17"/>
  <c r="L146" i="17" s="1"/>
  <c r="I187" i="17"/>
  <c r="L187" i="17" s="1"/>
  <c r="I189" i="17"/>
  <c r="L189" i="17" s="1"/>
  <c r="I197" i="17"/>
  <c r="L197" i="17" s="1"/>
  <c r="I205" i="17"/>
  <c r="L205" i="17" s="1"/>
  <c r="I206" i="17"/>
  <c r="L206" i="17" s="1"/>
  <c r="I207" i="17"/>
  <c r="L207" i="17" s="1"/>
  <c r="K215" i="17"/>
  <c r="L215" i="17" s="1"/>
  <c r="K214" i="17"/>
  <c r="K216" i="17"/>
  <c r="L216" i="17" s="1"/>
  <c r="K218" i="17"/>
  <c r="L218" i="17" s="1"/>
  <c r="K219" i="17"/>
  <c r="L219" i="17" s="1"/>
  <c r="K220" i="17"/>
  <c r="L220" i="17" s="1"/>
  <c r="K221" i="17"/>
  <c r="L221" i="17" s="1"/>
  <c r="I222" i="17"/>
  <c r="L222" i="17" s="1"/>
  <c r="K228" i="17"/>
  <c r="L228" i="17" s="1"/>
  <c r="K229" i="17"/>
  <c r="L229" i="17" s="1"/>
  <c r="K232" i="17"/>
  <c r="L232" i="17" s="1"/>
  <c r="AB39" i="15"/>
  <c r="J58" i="15"/>
  <c r="J56" i="15"/>
  <c r="J55" i="15"/>
  <c r="J234" i="15"/>
  <c r="J232" i="15"/>
  <c r="J231" i="15"/>
  <c r="J229" i="15"/>
  <c r="J228" i="15"/>
  <c r="J227" i="15"/>
  <c r="J222" i="15"/>
  <c r="J221" i="15"/>
  <c r="J220" i="15"/>
  <c r="J219" i="15"/>
  <c r="J218" i="15"/>
  <c r="J217" i="15"/>
  <c r="J216" i="15"/>
  <c r="J215" i="15"/>
  <c r="J214" i="15"/>
  <c r="AB117" i="15"/>
  <c r="AE100" i="15"/>
  <c r="AE258" i="17" l="1"/>
  <c r="AE263" i="17" s="1"/>
  <c r="L97" i="17"/>
  <c r="Y226" i="17"/>
  <c r="AE226" i="17" s="1"/>
  <c r="AE228" i="17" s="1"/>
  <c r="AE236" i="17" s="1"/>
  <c r="L31" i="17"/>
  <c r="AR42" i="17"/>
  <c r="K211" i="17"/>
  <c r="AE250" i="17"/>
  <c r="L93" i="17"/>
  <c r="M243" i="20"/>
  <c r="R266" i="20" s="1"/>
  <c r="R241" i="20"/>
  <c r="AD63" i="18"/>
  <c r="H40" i="18" s="1"/>
  <c r="I40" i="18" s="1"/>
  <c r="L40" i="18" s="1"/>
  <c r="AS167" i="18"/>
  <c r="H44" i="18" s="1"/>
  <c r="AD47" i="18"/>
  <c r="H38" i="18" s="1"/>
  <c r="I238" i="18"/>
  <c r="AE260" i="18"/>
  <c r="AE265" i="18" s="1"/>
  <c r="AE266" i="18" s="1"/>
  <c r="AR17" i="18"/>
  <c r="AR26" i="18"/>
  <c r="AR33" i="18"/>
  <c r="L48" i="18"/>
  <c r="I38" i="18"/>
  <c r="AE231" i="18"/>
  <c r="AE236" i="18" s="1"/>
  <c r="Y227" i="18"/>
  <c r="AE227" i="18" s="1"/>
  <c r="AE229" i="18" s="1"/>
  <c r="AE215" i="18"/>
  <c r="AE220" i="18" s="1"/>
  <c r="Y212" i="18"/>
  <c r="AE212" i="18" s="1"/>
  <c r="AE213" i="18" s="1"/>
  <c r="I42" i="18"/>
  <c r="L42" i="18" s="1"/>
  <c r="I39" i="18"/>
  <c r="L39" i="18" s="1"/>
  <c r="I44" i="18"/>
  <c r="L44" i="18" s="1"/>
  <c r="K238" i="18"/>
  <c r="L215" i="18"/>
  <c r="L154" i="18"/>
  <c r="I212" i="18"/>
  <c r="K137" i="18"/>
  <c r="L137" i="18" s="1"/>
  <c r="AE251" i="18"/>
  <c r="AE252" i="18" s="1"/>
  <c r="L49" i="18"/>
  <c r="L41" i="18"/>
  <c r="K236" i="17"/>
  <c r="AR58" i="17"/>
  <c r="H21" i="17" s="1"/>
  <c r="I40" i="17"/>
  <c r="K48" i="17"/>
  <c r="L48" i="17" s="1"/>
  <c r="AE220" i="17"/>
  <c r="L211" i="17"/>
  <c r="I42" i="17"/>
  <c r="L214" i="17"/>
  <c r="AE264" i="17"/>
  <c r="L109" i="17"/>
  <c r="L42" i="17"/>
  <c r="L40" i="17"/>
  <c r="K137" i="17"/>
  <c r="I137" i="17"/>
  <c r="K75" i="17"/>
  <c r="I41" i="17"/>
  <c r="L41" i="17" s="1"/>
  <c r="AC85" i="17"/>
  <c r="AD85" i="17" s="1"/>
  <c r="AD88" i="17" s="1"/>
  <c r="H44" i="17" s="1"/>
  <c r="AD44" i="17"/>
  <c r="AD47" i="17" s="1"/>
  <c r="H38" i="17" s="1"/>
  <c r="I236" i="17"/>
  <c r="J148" i="17"/>
  <c r="I211" i="17"/>
  <c r="G74" i="16"/>
  <c r="G73" i="16"/>
  <c r="G72" i="16"/>
  <c r="G71" i="16"/>
  <c r="G70" i="16"/>
  <c r="H70" i="16" s="1"/>
  <c r="G69" i="16"/>
  <c r="H69" i="16" s="1"/>
  <c r="G68" i="16"/>
  <c r="G67" i="16"/>
  <c r="G66" i="16"/>
  <c r="H66" i="16" s="1"/>
  <c r="G61" i="16"/>
  <c r="G60" i="16"/>
  <c r="G59" i="16"/>
  <c r="H59" i="16" s="1"/>
  <c r="G55" i="16"/>
  <c r="G54" i="16"/>
  <c r="H54" i="16" s="1"/>
  <c r="G53" i="16"/>
  <c r="G52" i="16"/>
  <c r="H52" i="16" s="1"/>
  <c r="G51" i="16"/>
  <c r="H51" i="16" s="1"/>
  <c r="G48" i="16"/>
  <c r="G46" i="16"/>
  <c r="G42" i="16"/>
  <c r="G39" i="16"/>
  <c r="G38" i="16"/>
  <c r="H38" i="16" s="1"/>
  <c r="G37" i="16"/>
  <c r="G36" i="16"/>
  <c r="H36" i="16" s="1"/>
  <c r="G35" i="16"/>
  <c r="G34" i="16"/>
  <c r="H34" i="16" s="1"/>
  <c r="G33" i="16"/>
  <c r="G32" i="16"/>
  <c r="H32" i="16" s="1"/>
  <c r="G31" i="16"/>
  <c r="G30" i="16"/>
  <c r="H30" i="16" s="1"/>
  <c r="J74" i="16"/>
  <c r="H74" i="16"/>
  <c r="K74" i="16" s="1"/>
  <c r="J73" i="16"/>
  <c r="H73" i="16"/>
  <c r="K73" i="16" s="1"/>
  <c r="J72" i="16"/>
  <c r="J71" i="16"/>
  <c r="H71" i="16"/>
  <c r="J70" i="16"/>
  <c r="J69" i="16"/>
  <c r="J68" i="16"/>
  <c r="H68" i="16"/>
  <c r="J67" i="16"/>
  <c r="H67" i="16"/>
  <c r="J66" i="16"/>
  <c r="J63" i="16"/>
  <c r="H63" i="16"/>
  <c r="J62" i="16"/>
  <c r="H62" i="16"/>
  <c r="J61" i="16"/>
  <c r="J60" i="16"/>
  <c r="H60" i="16"/>
  <c r="J59" i="16"/>
  <c r="J58" i="16"/>
  <c r="G58" i="16"/>
  <c r="H58" i="16" s="1"/>
  <c r="J57" i="16"/>
  <c r="G57" i="16"/>
  <c r="H57" i="16" s="1"/>
  <c r="J55" i="16"/>
  <c r="H55" i="16"/>
  <c r="J54" i="16"/>
  <c r="J53" i="16"/>
  <c r="H53" i="16"/>
  <c r="J52" i="16"/>
  <c r="J51" i="16"/>
  <c r="J48" i="16"/>
  <c r="J47" i="16"/>
  <c r="H47" i="16"/>
  <c r="J46" i="16"/>
  <c r="J45" i="16"/>
  <c r="H45" i="16"/>
  <c r="J44" i="16"/>
  <c r="H44" i="16"/>
  <c r="J43" i="16"/>
  <c r="H43" i="16"/>
  <c r="J42" i="16"/>
  <c r="H42" i="16"/>
  <c r="J39" i="16"/>
  <c r="J38" i="16"/>
  <c r="J37" i="16"/>
  <c r="J36" i="16"/>
  <c r="J35" i="16"/>
  <c r="J34" i="16"/>
  <c r="J33" i="16"/>
  <c r="H33" i="16"/>
  <c r="J32" i="16"/>
  <c r="J31" i="16"/>
  <c r="J30" i="16"/>
  <c r="J27" i="16"/>
  <c r="H27" i="16"/>
  <c r="J26" i="16"/>
  <c r="H26" i="16"/>
  <c r="J24" i="16"/>
  <c r="H24" i="16"/>
  <c r="J23" i="16"/>
  <c r="H23" i="16"/>
  <c r="J21" i="16"/>
  <c r="H21" i="16"/>
  <c r="I20" i="16"/>
  <c r="E20" i="16"/>
  <c r="I19" i="16"/>
  <c r="J19" i="16" s="1"/>
  <c r="H19" i="16"/>
  <c r="E18" i="16"/>
  <c r="J18" i="16" s="1"/>
  <c r="D10" i="16"/>
  <c r="K33" i="15"/>
  <c r="K23" i="15"/>
  <c r="I23" i="15"/>
  <c r="K31" i="15"/>
  <c r="I31" i="15"/>
  <c r="H32" i="15"/>
  <c r="I26" i="15"/>
  <c r="I30" i="15"/>
  <c r="K22" i="15"/>
  <c r="I22" i="15"/>
  <c r="K26" i="15"/>
  <c r="K25" i="15"/>
  <c r="I25" i="15"/>
  <c r="K32" i="15"/>
  <c r="K30" i="15"/>
  <c r="K29" i="15"/>
  <c r="I29" i="15"/>
  <c r="H234" i="15"/>
  <c r="K227" i="15"/>
  <c r="I227" i="15"/>
  <c r="H128" i="15"/>
  <c r="H122" i="15"/>
  <c r="H148" i="17" l="1"/>
  <c r="J149" i="18"/>
  <c r="H149" i="18"/>
  <c r="R243" i="20"/>
  <c r="H21" i="18"/>
  <c r="I21" i="18" s="1"/>
  <c r="L21" i="18" s="1"/>
  <c r="L212" i="18"/>
  <c r="K149" i="18"/>
  <c r="K151" i="18" s="1"/>
  <c r="K240" i="18" s="1"/>
  <c r="L238" i="18"/>
  <c r="AE221" i="18"/>
  <c r="L38" i="18"/>
  <c r="AE237" i="18"/>
  <c r="K67" i="16"/>
  <c r="K68" i="16"/>
  <c r="K69" i="16"/>
  <c r="K70" i="16"/>
  <c r="K71" i="16"/>
  <c r="K66" i="16"/>
  <c r="L137" i="17"/>
  <c r="I44" i="17"/>
  <c r="L44" i="17" s="1"/>
  <c r="L236" i="17"/>
  <c r="L75" i="17"/>
  <c r="AG207" i="17"/>
  <c r="K148" i="17"/>
  <c r="K150" i="17" s="1"/>
  <c r="K238" i="17" s="1"/>
  <c r="I38" i="17"/>
  <c r="I148" i="17"/>
  <c r="I21" i="17"/>
  <c r="L26" i="15"/>
  <c r="L227" i="15"/>
  <c r="L29" i="15"/>
  <c r="J20" i="16"/>
  <c r="K30" i="16"/>
  <c r="K34" i="16"/>
  <c r="K36" i="16"/>
  <c r="K32" i="16"/>
  <c r="K27" i="16"/>
  <c r="K19" i="16"/>
  <c r="K38" i="16"/>
  <c r="K42" i="16"/>
  <c r="K47" i="16"/>
  <c r="K21" i="16"/>
  <c r="K23" i="16"/>
  <c r="K26" i="16"/>
  <c r="K33" i="16"/>
  <c r="K43" i="16"/>
  <c r="K44" i="16"/>
  <c r="K45" i="16"/>
  <c r="K51" i="16"/>
  <c r="K52" i="16"/>
  <c r="K53" i="16"/>
  <c r="K54" i="16"/>
  <c r="K55" i="16"/>
  <c r="K57" i="16"/>
  <c r="K58" i="16"/>
  <c r="K59" i="16"/>
  <c r="K60" i="16"/>
  <c r="K62" i="16"/>
  <c r="K63" i="16"/>
  <c r="J76" i="16"/>
  <c r="H18" i="16"/>
  <c r="K24" i="16"/>
  <c r="H20" i="16"/>
  <c r="H31" i="16"/>
  <c r="K31" i="16" s="1"/>
  <c r="H35" i="16"/>
  <c r="K35" i="16" s="1"/>
  <c r="H37" i="16"/>
  <c r="K37" i="16" s="1"/>
  <c r="H39" i="16"/>
  <c r="K39" i="16" s="1"/>
  <c r="H46" i="16"/>
  <c r="K46" i="16" s="1"/>
  <c r="H48" i="16"/>
  <c r="K48" i="16" s="1"/>
  <c r="H61" i="16"/>
  <c r="K61" i="16" s="1"/>
  <c r="H72" i="16"/>
  <c r="K72" i="16" s="1"/>
  <c r="I33" i="15"/>
  <c r="L33" i="15" s="1"/>
  <c r="L30" i="15"/>
  <c r="L23" i="15"/>
  <c r="L31" i="15"/>
  <c r="L22" i="15"/>
  <c r="L25" i="15"/>
  <c r="I32" i="15"/>
  <c r="L32" i="15" s="1"/>
  <c r="L148" i="17" l="1"/>
  <c r="AG208" i="18"/>
  <c r="I149" i="18"/>
  <c r="I35" i="18"/>
  <c r="K20" i="16"/>
  <c r="L21" i="17"/>
  <c r="I35" i="17"/>
  <c r="I150" i="17"/>
  <c r="I238" i="17" s="1"/>
  <c r="L38" i="17"/>
  <c r="H76" i="16"/>
  <c r="K18" i="16"/>
  <c r="K76" i="16" s="1"/>
  <c r="L149" i="18" l="1"/>
  <c r="I151" i="18"/>
  <c r="I240" i="18" s="1"/>
  <c r="L35" i="18"/>
  <c r="L35" i="17"/>
  <c r="L150" i="17"/>
  <c r="H174" i="15"/>
  <c r="H173" i="15"/>
  <c r="H172" i="15"/>
  <c r="H171" i="15"/>
  <c r="H170" i="15"/>
  <c r="H169" i="15"/>
  <c r="H168" i="15"/>
  <c r="H167" i="15"/>
  <c r="H166" i="15"/>
  <c r="H165" i="15"/>
  <c r="J136" i="15"/>
  <c r="H136" i="15"/>
  <c r="J135" i="15"/>
  <c r="H135" i="15"/>
  <c r="S115" i="15"/>
  <c r="H115" i="15" s="1"/>
  <c r="T115" i="15"/>
  <c r="J115" i="15" s="1"/>
  <c r="T113" i="15"/>
  <c r="J113" i="15" s="1"/>
  <c r="S113" i="15"/>
  <c r="H113" i="15" s="1"/>
  <c r="S111" i="15"/>
  <c r="H111" i="15" s="1"/>
  <c r="T111" i="15"/>
  <c r="J111" i="15" s="1"/>
  <c r="T109" i="15"/>
  <c r="J109" i="15" s="1"/>
  <c r="S109" i="15"/>
  <c r="H109" i="15" s="1"/>
  <c r="S106" i="15"/>
  <c r="H106" i="15" s="1"/>
  <c r="T106" i="15"/>
  <c r="J106" i="15" s="1"/>
  <c r="T103" i="15"/>
  <c r="J103" i="15" s="1"/>
  <c r="S103" i="15"/>
  <c r="H103" i="15" s="1"/>
  <c r="S101" i="15"/>
  <c r="H101" i="15" s="1"/>
  <c r="T101" i="15"/>
  <c r="J101" i="15" s="1"/>
  <c r="T99" i="15"/>
  <c r="J99" i="15" s="1"/>
  <c r="S99" i="15"/>
  <c r="H99" i="15" s="1"/>
  <c r="S97" i="15"/>
  <c r="H97" i="15" s="1"/>
  <c r="T97" i="15"/>
  <c r="J97" i="15" s="1"/>
  <c r="T95" i="15"/>
  <c r="J95" i="15" s="1"/>
  <c r="S95" i="15"/>
  <c r="H95" i="15" s="1"/>
  <c r="S93" i="15"/>
  <c r="H93" i="15" s="1"/>
  <c r="T93" i="15"/>
  <c r="J93" i="15" s="1"/>
  <c r="T91" i="15"/>
  <c r="J91" i="15" s="1"/>
  <c r="S91" i="15"/>
  <c r="H91" i="15" s="1"/>
  <c r="S89" i="15"/>
  <c r="H89" i="15" s="1"/>
  <c r="T89" i="15"/>
  <c r="J89" i="15" s="1"/>
  <c r="T87" i="15"/>
  <c r="J87" i="15" s="1"/>
  <c r="S87" i="15"/>
  <c r="H87" i="15" s="1"/>
  <c r="T85" i="15"/>
  <c r="J85" i="15" s="1"/>
  <c r="S85" i="15"/>
  <c r="H85" i="15" s="1"/>
  <c r="T83" i="15"/>
  <c r="J83" i="15" s="1"/>
  <c r="S83" i="15"/>
  <c r="H83" i="15" s="1"/>
  <c r="H123" i="15"/>
  <c r="H120" i="15"/>
  <c r="H119" i="15"/>
  <c r="E51" i="15"/>
  <c r="L151" i="18" l="1"/>
  <c r="L240" i="18" s="1"/>
  <c r="L238" i="17"/>
  <c r="L237" i="17"/>
  <c r="H129" i="15"/>
  <c r="H76" i="15"/>
  <c r="H75" i="15"/>
  <c r="H74" i="15"/>
  <c r="H73" i="15"/>
  <c r="H72" i="15"/>
  <c r="H60" i="15"/>
  <c r="Z122" i="15"/>
  <c r="AB122" i="15"/>
  <c r="Z123" i="15"/>
  <c r="AB123" i="15"/>
  <c r="AC125" i="15"/>
  <c r="AE125" i="15"/>
  <c r="AC52" i="15"/>
  <c r="D10" i="15"/>
  <c r="K224" i="15"/>
  <c r="I224" i="15"/>
  <c r="P255" i="17" l="1"/>
  <c r="L224" i="15"/>
  <c r="R251" i="17" l="1"/>
  <c r="S264" i="17"/>
  <c r="P257" i="18"/>
  <c r="Q237" i="17"/>
  <c r="Q77" i="17"/>
  <c r="Q238" i="17"/>
  <c r="Q235" i="17"/>
  <c r="N230" i="17"/>
  <c r="O230" i="17" s="1"/>
  <c r="P230" i="17" s="1"/>
  <c r="Q226" i="17"/>
  <c r="N224" i="17"/>
  <c r="Q210" i="17"/>
  <c r="N208" i="17"/>
  <c r="Q199" i="17"/>
  <c r="N196" i="17"/>
  <c r="N195" i="17"/>
  <c r="N194" i="17"/>
  <c r="N193" i="17"/>
  <c r="N192" i="17"/>
  <c r="Q191" i="17"/>
  <c r="N190" i="17"/>
  <c r="N188" i="17"/>
  <c r="N186" i="17"/>
  <c r="Q185" i="17"/>
  <c r="N183" i="17"/>
  <c r="N182" i="17"/>
  <c r="N181" i="17"/>
  <c r="N180" i="17"/>
  <c r="N179" i="17"/>
  <c r="N178" i="17"/>
  <c r="N177" i="17"/>
  <c r="Q176" i="17"/>
  <c r="N174" i="17"/>
  <c r="N173" i="17"/>
  <c r="N172" i="17"/>
  <c r="N171" i="17"/>
  <c r="N170" i="17"/>
  <c r="N257" i="17"/>
  <c r="M234" i="17"/>
  <c r="M233" i="17"/>
  <c r="N231" i="17"/>
  <c r="O231" i="17" s="1"/>
  <c r="P231" i="17" s="1"/>
  <c r="N227" i="17"/>
  <c r="O227" i="17" s="1"/>
  <c r="P227" i="17" s="1"/>
  <c r="Q225" i="17"/>
  <c r="M224" i="17"/>
  <c r="N223" i="17"/>
  <c r="Q213" i="17"/>
  <c r="Q212" i="17"/>
  <c r="N207" i="17"/>
  <c r="N206" i="17"/>
  <c r="N205" i="17"/>
  <c r="N204" i="17"/>
  <c r="N203" i="17"/>
  <c r="N202" i="17"/>
  <c r="N201" i="17"/>
  <c r="Q200" i="17"/>
  <c r="N198" i="17"/>
  <c r="N197" i="17"/>
  <c r="N189" i="17"/>
  <c r="N187" i="17"/>
  <c r="Q184" i="17"/>
  <c r="Q175" i="17"/>
  <c r="N169" i="17"/>
  <c r="N168" i="17"/>
  <c r="N167" i="17"/>
  <c r="N166" i="17"/>
  <c r="N165" i="17"/>
  <c r="Q164" i="17"/>
  <c r="N161" i="17"/>
  <c r="Q160" i="17"/>
  <c r="N159" i="17"/>
  <c r="N153" i="17"/>
  <c r="Q152" i="17"/>
  <c r="Q149" i="17"/>
  <c r="Q145" i="17"/>
  <c r="Q140" i="17"/>
  <c r="Q139" i="17"/>
  <c r="N138" i="17"/>
  <c r="N131" i="17"/>
  <c r="O131" i="17" s="1"/>
  <c r="N130" i="17"/>
  <c r="O130" i="17" s="1"/>
  <c r="N127" i="17"/>
  <c r="N126" i="17"/>
  <c r="Q125" i="17"/>
  <c r="Q124" i="17"/>
  <c r="N122" i="17"/>
  <c r="N119" i="17"/>
  <c r="Q118" i="17"/>
  <c r="Q116" i="17"/>
  <c r="Q112" i="17"/>
  <c r="R112" i="17" s="1"/>
  <c r="Q108" i="17"/>
  <c r="R108" i="17" s="1"/>
  <c r="Q107" i="17"/>
  <c r="R107" i="17" s="1"/>
  <c r="Q102" i="17"/>
  <c r="R102" i="17" s="1"/>
  <c r="Q100" i="17"/>
  <c r="R100" i="17" s="1"/>
  <c r="Q96" i="17"/>
  <c r="R96" i="17" s="1"/>
  <c r="Q94" i="17"/>
  <c r="R94" i="17" s="1"/>
  <c r="Q92" i="17"/>
  <c r="R92" i="17" s="1"/>
  <c r="Q163" i="17"/>
  <c r="N162" i="17"/>
  <c r="N158" i="17"/>
  <c r="Q157" i="17"/>
  <c r="N156" i="17"/>
  <c r="M155" i="17"/>
  <c r="M154" i="17"/>
  <c r="Q151" i="17"/>
  <c r="M147" i="17"/>
  <c r="Q144" i="17"/>
  <c r="M143" i="17"/>
  <c r="M141" i="17"/>
  <c r="M138" i="17"/>
  <c r="Q134" i="17"/>
  <c r="Q133" i="17"/>
  <c r="M132" i="17"/>
  <c r="M131" i="17"/>
  <c r="M130" i="17"/>
  <c r="N129" i="17"/>
  <c r="N128" i="17"/>
  <c r="N123" i="17"/>
  <c r="Q121" i="17"/>
  <c r="R121" i="17" s="1"/>
  <c r="N120" i="17"/>
  <c r="Q117" i="17"/>
  <c r="Q114" i="17"/>
  <c r="R114" i="17" s="1"/>
  <c r="Q110" i="17"/>
  <c r="R110" i="17" s="1"/>
  <c r="Q105" i="17"/>
  <c r="R105" i="17" s="1"/>
  <c r="Q104" i="17"/>
  <c r="R104" i="17" s="1"/>
  <c r="Q98" i="17"/>
  <c r="R98" i="17" s="1"/>
  <c r="Q90" i="17"/>
  <c r="R90" i="17" s="1"/>
  <c r="Q88" i="17"/>
  <c r="R88" i="17" s="1"/>
  <c r="Q86" i="17"/>
  <c r="R86" i="17" s="1"/>
  <c r="Q82" i="17"/>
  <c r="R82" i="17" s="1"/>
  <c r="Q81" i="17"/>
  <c r="R81" i="17" s="1"/>
  <c r="Q80" i="17"/>
  <c r="R80" i="17" s="1"/>
  <c r="N72" i="17"/>
  <c r="Q71" i="17"/>
  <c r="R71" i="17" s="1"/>
  <c r="Q69" i="17"/>
  <c r="R69" i="17" s="1"/>
  <c r="M65" i="17"/>
  <c r="Q64" i="17"/>
  <c r="M63" i="17"/>
  <c r="M62" i="17"/>
  <c r="Q54" i="17"/>
  <c r="R54" i="17" s="1"/>
  <c r="Q53" i="17"/>
  <c r="R53" i="17" s="1"/>
  <c r="N51" i="17"/>
  <c r="N50" i="17"/>
  <c r="Q46" i="17"/>
  <c r="R46" i="17" s="1"/>
  <c r="N45" i="17"/>
  <c r="O45" i="17" s="1"/>
  <c r="Q37" i="17"/>
  <c r="N33" i="17"/>
  <c r="M29" i="17"/>
  <c r="N28" i="17"/>
  <c r="M27" i="17"/>
  <c r="N26" i="17"/>
  <c r="N25" i="17"/>
  <c r="M24" i="17"/>
  <c r="N23" i="17"/>
  <c r="N22" i="17"/>
  <c r="M20" i="17"/>
  <c r="M19" i="17"/>
  <c r="N18" i="17"/>
  <c r="M17" i="17"/>
  <c r="Q84" i="17"/>
  <c r="R84" i="17" s="1"/>
  <c r="Q78" i="17"/>
  <c r="R78" i="17" s="1"/>
  <c r="N77" i="17"/>
  <c r="N76" i="17"/>
  <c r="M73" i="17"/>
  <c r="M70" i="17"/>
  <c r="Q67" i="17"/>
  <c r="R67" i="17" s="1"/>
  <c r="Q66" i="17"/>
  <c r="R66" i="17" s="1"/>
  <c r="N65" i="17"/>
  <c r="O65" i="17" s="1"/>
  <c r="N63" i="17"/>
  <c r="N62" i="17"/>
  <c r="O62" i="17" s="1"/>
  <c r="Q61" i="17"/>
  <c r="R61" i="17" s="1"/>
  <c r="N60" i="17"/>
  <c r="Q59" i="17"/>
  <c r="R59" i="17" s="1"/>
  <c r="M58" i="17"/>
  <c r="Q57" i="17"/>
  <c r="R57" i="17" s="1"/>
  <c r="Q52" i="17"/>
  <c r="R52" i="17" s="1"/>
  <c r="M51" i="17"/>
  <c r="M50" i="17"/>
  <c r="Q47" i="17"/>
  <c r="M45" i="17"/>
  <c r="N39" i="17"/>
  <c r="Q36" i="17"/>
  <c r="R36" i="17" s="1"/>
  <c r="Q34" i="17"/>
  <c r="R34" i="17" s="1"/>
  <c r="M33" i="17"/>
  <c r="N30" i="17"/>
  <c r="N29" i="17"/>
  <c r="O29" i="17" s="1"/>
  <c r="P29" i="17" s="1"/>
  <c r="M28" i="17"/>
  <c r="N27" i="17"/>
  <c r="N24" i="17"/>
  <c r="O24" i="17" s="1"/>
  <c r="M22" i="17"/>
  <c r="N21" i="17"/>
  <c r="N19" i="17"/>
  <c r="M18" i="17"/>
  <c r="N17" i="17"/>
  <c r="N40" i="17"/>
  <c r="Q23" i="17"/>
  <c r="M60" i="17"/>
  <c r="Q63" i="17"/>
  <c r="M68" i="17"/>
  <c r="M77" i="17"/>
  <c r="Q79" i="17"/>
  <c r="Q85" i="17"/>
  <c r="N38" i="17"/>
  <c r="N41" i="17"/>
  <c r="N42" i="17"/>
  <c r="Q19" i="17"/>
  <c r="Q26" i="17"/>
  <c r="Q28" i="17"/>
  <c r="M30" i="17"/>
  <c r="M32" i="17"/>
  <c r="Q43" i="17"/>
  <c r="R43" i="17" s="1"/>
  <c r="M49" i="17"/>
  <c r="M55" i="17"/>
  <c r="N58" i="17"/>
  <c r="O58" i="17" s="1"/>
  <c r="P58" i="17" s="1"/>
  <c r="Q60" i="17"/>
  <c r="Q72" i="17"/>
  <c r="M75" i="17"/>
  <c r="M79" i="17"/>
  <c r="M83" i="17"/>
  <c r="N85" i="17"/>
  <c r="M23" i="17"/>
  <c r="M26" i="17"/>
  <c r="N32" i="17"/>
  <c r="N55" i="17"/>
  <c r="N68" i="17"/>
  <c r="O68" i="17" s="1"/>
  <c r="P68" i="17" s="1"/>
  <c r="Q89" i="17"/>
  <c r="Q95" i="17"/>
  <c r="Q99" i="17"/>
  <c r="Q103" i="17"/>
  <c r="M120" i="17"/>
  <c r="Q129" i="17"/>
  <c r="Q131" i="17"/>
  <c r="R131" i="17" s="1"/>
  <c r="Q135" i="17"/>
  <c r="Q141" i="17"/>
  <c r="Q147" i="17"/>
  <c r="N155" i="17"/>
  <c r="M158" i="17"/>
  <c r="Q161" i="17"/>
  <c r="Q166" i="17"/>
  <c r="Q168" i="17"/>
  <c r="N73" i="17"/>
  <c r="N89" i="17"/>
  <c r="M93" i="17"/>
  <c r="N95" i="17"/>
  <c r="M99" i="17"/>
  <c r="N101" i="17"/>
  <c r="N103" i="17"/>
  <c r="M109" i="17"/>
  <c r="M113" i="17"/>
  <c r="Q122" i="17"/>
  <c r="Q126" i="17"/>
  <c r="Q128" i="17"/>
  <c r="M135" i="17"/>
  <c r="M136" i="17"/>
  <c r="M142" i="17"/>
  <c r="M146" i="17"/>
  <c r="M153" i="17"/>
  <c r="Q156" i="17"/>
  <c r="M161" i="17"/>
  <c r="N91" i="17"/>
  <c r="N106" i="17"/>
  <c r="N113" i="17"/>
  <c r="M127" i="17"/>
  <c r="N142" i="17"/>
  <c r="M165" i="17"/>
  <c r="M167" i="17"/>
  <c r="M169" i="17"/>
  <c r="Q171" i="17"/>
  <c r="M173" i="17"/>
  <c r="M178" i="17"/>
  <c r="Q180" i="17"/>
  <c r="Q182" i="17"/>
  <c r="Q186" i="17"/>
  <c r="Q190" i="17"/>
  <c r="M198" i="17"/>
  <c r="M202" i="17"/>
  <c r="M204" i="17"/>
  <c r="M209" i="17"/>
  <c r="N220" i="17"/>
  <c r="O220" i="17" s="1"/>
  <c r="P220" i="17" s="1"/>
  <c r="Q223" i="17"/>
  <c r="Q227" i="17"/>
  <c r="N229" i="17"/>
  <c r="O229" i="17" s="1"/>
  <c r="P229" i="17" s="1"/>
  <c r="N234" i="17"/>
  <c r="O234" i="17" s="1"/>
  <c r="P234" i="17" s="1"/>
  <c r="M171" i="17"/>
  <c r="Q174" i="17"/>
  <c r="Q178" i="17"/>
  <c r="M187" i="17"/>
  <c r="Q192" i="17"/>
  <c r="Q194" i="17"/>
  <c r="Q196" i="17"/>
  <c r="M201" i="17"/>
  <c r="M203" i="17"/>
  <c r="M205" i="17"/>
  <c r="M207" i="17"/>
  <c r="Q209" i="17"/>
  <c r="N215" i="17"/>
  <c r="O215" i="17" s="1"/>
  <c r="P215" i="17" s="1"/>
  <c r="Q217" i="17"/>
  <c r="M222" i="17"/>
  <c r="Q230" i="17"/>
  <c r="N232" i="17"/>
  <c r="O232" i="17" s="1"/>
  <c r="P232" i="17" s="1"/>
  <c r="Q234" i="17"/>
  <c r="M174" i="17"/>
  <c r="M181" i="17"/>
  <c r="M183" i="17"/>
  <c r="M192" i="17"/>
  <c r="M194" i="17"/>
  <c r="N44" i="17"/>
  <c r="Q22" i="17"/>
  <c r="Q24" i="17"/>
  <c r="R24" i="17" s="1"/>
  <c r="N31" i="17"/>
  <c r="Q33" i="17"/>
  <c r="M48" i="17"/>
  <c r="Q51" i="17"/>
  <c r="Q58" i="17"/>
  <c r="Q62" i="17"/>
  <c r="R62" i="17" s="1"/>
  <c r="Q65" i="17"/>
  <c r="R65" i="17" s="1"/>
  <c r="N70" i="17"/>
  <c r="O70" i="17" s="1"/>
  <c r="P70" i="17" s="1"/>
  <c r="Q73" i="17"/>
  <c r="M76" i="17"/>
  <c r="Q83" i="17"/>
  <c r="M39" i="17"/>
  <c r="N74" i="17"/>
  <c r="Q18" i="17"/>
  <c r="Q20" i="17"/>
  <c r="Q27" i="17"/>
  <c r="Q29" i="17"/>
  <c r="M31" i="17"/>
  <c r="Q45" i="17"/>
  <c r="R45" i="17" s="1"/>
  <c r="Q50" i="17"/>
  <c r="M56" i="17"/>
  <c r="Q70" i="17"/>
  <c r="M74" i="17"/>
  <c r="N79" i="17"/>
  <c r="N83" i="17"/>
  <c r="M85" i="17"/>
  <c r="M87" i="17"/>
  <c r="N20" i="17"/>
  <c r="M25" i="17"/>
  <c r="N49" i="17"/>
  <c r="N56" i="17"/>
  <c r="M72" i="17"/>
  <c r="N87" i="17"/>
  <c r="O87" i="17" s="1"/>
  <c r="P87" i="17" s="1"/>
  <c r="N93" i="17"/>
  <c r="O93" i="17" s="1"/>
  <c r="P93" i="17" s="1"/>
  <c r="N97" i="17"/>
  <c r="M101" i="17"/>
  <c r="N109" i="17"/>
  <c r="M128" i="17"/>
  <c r="Q130" i="17"/>
  <c r="R130" i="17" s="1"/>
  <c r="Q132" i="17"/>
  <c r="Q138" i="17"/>
  <c r="Q143" i="17"/>
  <c r="N154" i="17"/>
  <c r="M156" i="17"/>
  <c r="Q159" i="17"/>
  <c r="Q165" i="17"/>
  <c r="Q167" i="17"/>
  <c r="Q169" i="17"/>
  <c r="M89" i="17"/>
  <c r="M91" i="17"/>
  <c r="M95" i="17"/>
  <c r="M97" i="17"/>
  <c r="N99" i="17"/>
  <c r="M103" i="17"/>
  <c r="M106" i="17"/>
  <c r="M111" i="17"/>
  <c r="M115" i="17"/>
  <c r="Q119" i="17"/>
  <c r="M123" i="17"/>
  <c r="Q127" i="17"/>
  <c r="M129" i="17"/>
  <c r="N132" i="17"/>
  <c r="O132" i="17" s="1"/>
  <c r="P132" i="17" s="1"/>
  <c r="N135" i="17"/>
  <c r="N141" i="17"/>
  <c r="O141" i="17" s="1"/>
  <c r="P141" i="17" s="1"/>
  <c r="N143" i="17"/>
  <c r="N147" i="17"/>
  <c r="Q154" i="17"/>
  <c r="M159" i="17"/>
  <c r="M162" i="17"/>
  <c r="N111" i="17"/>
  <c r="N115" i="17"/>
  <c r="M119" i="17"/>
  <c r="M122" i="17"/>
  <c r="M126" i="17"/>
  <c r="N136" i="17"/>
  <c r="N146" i="17"/>
  <c r="M166" i="17"/>
  <c r="M168" i="17"/>
  <c r="M170" i="17"/>
  <c r="Q172" i="17"/>
  <c r="Q177" i="17"/>
  <c r="Q179" i="17"/>
  <c r="Q181" i="17"/>
  <c r="Q183" i="17"/>
  <c r="Q188" i="17"/>
  <c r="M197" i="17"/>
  <c r="Q201" i="17"/>
  <c r="Q203" i="17"/>
  <c r="Q208" i="17"/>
  <c r="N209" i="17"/>
  <c r="N217" i="17"/>
  <c r="O217" i="17" s="1"/>
  <c r="P217" i="17" s="1"/>
  <c r="N219" i="17"/>
  <c r="O219" i="17" s="1"/>
  <c r="P219" i="17" s="1"/>
  <c r="N221" i="17"/>
  <c r="O221" i="17" s="1"/>
  <c r="P221" i="17" s="1"/>
  <c r="Q224" i="17"/>
  <c r="N228" i="17"/>
  <c r="O228" i="17" s="1"/>
  <c r="P228" i="17" s="1"/>
  <c r="N233" i="17"/>
  <c r="Q170" i="17"/>
  <c r="Q173" i="17"/>
  <c r="M177" i="17"/>
  <c r="M179" i="17"/>
  <c r="M189" i="17"/>
  <c r="Q193" i="17"/>
  <c r="Q195" i="17"/>
  <c r="Q198" i="17"/>
  <c r="Q202" i="17"/>
  <c r="Q204" i="17"/>
  <c r="M206" i="17"/>
  <c r="M208" i="17"/>
  <c r="N214" i="17"/>
  <c r="O214" i="17" s="1"/>
  <c r="P214" i="17" s="1"/>
  <c r="N216" i="17"/>
  <c r="O216" i="17" s="1"/>
  <c r="P216" i="17" s="1"/>
  <c r="N218" i="17"/>
  <c r="O218" i="17" s="1"/>
  <c r="P218" i="17" s="1"/>
  <c r="M223" i="17"/>
  <c r="Q231" i="17"/>
  <c r="Q233" i="17"/>
  <c r="M172" i="17"/>
  <c r="M180" i="17"/>
  <c r="M182" i="17"/>
  <c r="M186" i="17"/>
  <c r="M188" i="17"/>
  <c r="M190" i="17"/>
  <c r="M193" i="17"/>
  <c r="M195" i="17"/>
  <c r="N222" i="17"/>
  <c r="M196" i="17"/>
  <c r="Q215" i="17"/>
  <c r="Q49" i="17"/>
  <c r="N48" i="17"/>
  <c r="Q153" i="17"/>
  <c r="Q222" i="17"/>
  <c r="Q207" i="17"/>
  <c r="Q228" i="17"/>
  <c r="Q219" i="17"/>
  <c r="Q206" i="17"/>
  <c r="Q142" i="17"/>
  <c r="Q111" i="17"/>
  <c r="Q155" i="17"/>
  <c r="Q68" i="17"/>
  <c r="Q30" i="17"/>
  <c r="N75" i="17"/>
  <c r="Q205" i="17"/>
  <c r="Q187" i="17"/>
  <c r="Q136" i="17"/>
  <c r="Q106" i="17"/>
  <c r="Q158" i="17"/>
  <c r="Q120" i="17"/>
  <c r="Q97" i="17"/>
  <c r="Q55" i="17"/>
  <c r="Q31" i="17"/>
  <c r="Q32" i="17"/>
  <c r="M40" i="17"/>
  <c r="Q216" i="17"/>
  <c r="Q218" i="17"/>
  <c r="Q74" i="17"/>
  <c r="M42" i="17"/>
  <c r="Q229" i="17"/>
  <c r="Q220" i="17"/>
  <c r="Q232" i="17"/>
  <c r="Q221" i="17"/>
  <c r="Q197" i="17"/>
  <c r="Q115" i="17"/>
  <c r="Q91" i="17"/>
  <c r="Q162" i="17"/>
  <c r="Q56" i="17"/>
  <c r="Q39" i="17"/>
  <c r="N137" i="17"/>
  <c r="M137" i="17"/>
  <c r="Q17" i="17"/>
  <c r="M41" i="17"/>
  <c r="Q189" i="17"/>
  <c r="Q146" i="17"/>
  <c r="Q113" i="17"/>
  <c r="Q123" i="17"/>
  <c r="Q101" i="17"/>
  <c r="Q93" i="17"/>
  <c r="Q87" i="17"/>
  <c r="Q76" i="17"/>
  <c r="Q25" i="17"/>
  <c r="Q214" i="17"/>
  <c r="Q211" i="17"/>
  <c r="Q48" i="17"/>
  <c r="N148" i="17"/>
  <c r="Q41" i="17"/>
  <c r="M44" i="17"/>
  <c r="Q109" i="17"/>
  <c r="M38" i="17"/>
  <c r="M148" i="17"/>
  <c r="M21" i="17"/>
  <c r="Q137" i="17"/>
  <c r="Q42" i="17"/>
  <c r="Q40" i="17"/>
  <c r="Q148" i="17"/>
  <c r="Q44" i="17"/>
  <c r="Q236" i="17"/>
  <c r="Q75" i="17"/>
  <c r="Q38" i="17"/>
  <c r="Q21" i="17"/>
  <c r="Q35" i="17"/>
  <c r="Q150" i="17"/>
  <c r="K162" i="15"/>
  <c r="E62" i="15"/>
  <c r="O115" i="17" l="1"/>
  <c r="P115" i="17" s="1"/>
  <c r="O27" i="17"/>
  <c r="P27" i="17" s="1"/>
  <c r="O111" i="17"/>
  <c r="P111" i="17" s="1"/>
  <c r="R111" i="17" s="1"/>
  <c r="R132" i="17"/>
  <c r="O75" i="17"/>
  <c r="P75" i="17" s="1"/>
  <c r="R217" i="17"/>
  <c r="O135" i="17"/>
  <c r="P135" i="17" s="1"/>
  <c r="R135" i="17" s="1"/>
  <c r="O99" i="17"/>
  <c r="P99" i="17" s="1"/>
  <c r="O83" i="17"/>
  <c r="P83" i="17" s="1"/>
  <c r="O155" i="17"/>
  <c r="P155" i="17" s="1"/>
  <c r="R155" i="17" s="1"/>
  <c r="O17" i="17"/>
  <c r="P17" i="17" s="1"/>
  <c r="R17" i="17" s="1"/>
  <c r="O19" i="17"/>
  <c r="P19" i="17" s="1"/>
  <c r="O18" i="18"/>
  <c r="P18" i="18" s="1"/>
  <c r="O22" i="18"/>
  <c r="P22" i="18" s="1"/>
  <c r="O23" i="18"/>
  <c r="P23" i="18" s="1"/>
  <c r="O28" i="18"/>
  <c r="P28" i="18" s="1"/>
  <c r="O31" i="18"/>
  <c r="P31" i="18" s="1"/>
  <c r="O33" i="18"/>
  <c r="P33" i="18" s="1"/>
  <c r="N259" i="18"/>
  <c r="O216" i="18"/>
  <c r="P216" i="18" s="1"/>
  <c r="O131" i="18"/>
  <c r="O130" i="18"/>
  <c r="O65" i="18"/>
  <c r="O62" i="18"/>
  <c r="O218" i="18"/>
  <c r="P218" i="18" s="1"/>
  <c r="O45" i="18"/>
  <c r="O217" i="18"/>
  <c r="P217" i="18" s="1"/>
  <c r="O155" i="18"/>
  <c r="P155" i="18" s="1"/>
  <c r="O203" i="18"/>
  <c r="P203" i="18" s="1"/>
  <c r="O207" i="18"/>
  <c r="P207" i="18" s="1"/>
  <c r="O181" i="18"/>
  <c r="P181" i="18" s="1"/>
  <c r="O222" i="18"/>
  <c r="P222" i="18" s="1"/>
  <c r="O156" i="18"/>
  <c r="P156" i="18" s="1"/>
  <c r="O236" i="18"/>
  <c r="P236" i="18" s="1"/>
  <c r="O132" i="18"/>
  <c r="P132" i="18" s="1"/>
  <c r="O215" i="18"/>
  <c r="P215" i="18" s="1"/>
  <c r="O229" i="18"/>
  <c r="P229" i="18" s="1"/>
  <c r="O194" i="18"/>
  <c r="P194" i="18" s="1"/>
  <c r="O205" i="18"/>
  <c r="P205" i="18" s="1"/>
  <c r="O234" i="18"/>
  <c r="P234" i="18" s="1"/>
  <c r="O137" i="18"/>
  <c r="P137" i="18" s="1"/>
  <c r="O233" i="17"/>
  <c r="P233" i="17" s="1"/>
  <c r="R233" i="17" s="1"/>
  <c r="O209" i="17"/>
  <c r="P209" i="17" s="1"/>
  <c r="R209" i="17" s="1"/>
  <c r="O146" i="17"/>
  <c r="P146" i="17" s="1"/>
  <c r="R146" i="17" s="1"/>
  <c r="O147" i="17"/>
  <c r="P147" i="17" s="1"/>
  <c r="R147" i="17" s="1"/>
  <c r="R141" i="17"/>
  <c r="O49" i="17"/>
  <c r="P49" i="17" s="1"/>
  <c r="R49" i="17" s="1"/>
  <c r="O20" i="17"/>
  <c r="P20" i="17" s="1"/>
  <c r="R20" i="17" s="1"/>
  <c r="O79" i="17"/>
  <c r="P79" i="17" s="1"/>
  <c r="R79" i="17" s="1"/>
  <c r="O48" i="17"/>
  <c r="P48" i="17" s="1"/>
  <c r="O222" i="17"/>
  <c r="P222" i="17" s="1"/>
  <c r="R222" i="17" s="1"/>
  <c r="O136" i="17"/>
  <c r="P136" i="17" s="1"/>
  <c r="R136" i="17" s="1"/>
  <c r="O143" i="17"/>
  <c r="P143" i="17" s="1"/>
  <c r="R99" i="17"/>
  <c r="O154" i="17"/>
  <c r="P154" i="17" s="1"/>
  <c r="R154" i="17" s="1"/>
  <c r="O109" i="17"/>
  <c r="P109" i="17" s="1"/>
  <c r="R109" i="17" s="1"/>
  <c r="O73" i="17"/>
  <c r="P73" i="17" s="1"/>
  <c r="R73" i="17" s="1"/>
  <c r="O63" i="17"/>
  <c r="P63" i="17" s="1"/>
  <c r="R63" i="17" s="1"/>
  <c r="O148" i="17"/>
  <c r="P148" i="17" s="1"/>
  <c r="R148" i="17" s="1"/>
  <c r="O137" i="17"/>
  <c r="P137" i="17" s="1"/>
  <c r="R137" i="17" s="1"/>
  <c r="R75" i="17"/>
  <c r="R48" i="17"/>
  <c r="R218" i="17"/>
  <c r="R221" i="17"/>
  <c r="R143" i="17"/>
  <c r="O97" i="17"/>
  <c r="P97" i="17" s="1"/>
  <c r="R97" i="17" s="1"/>
  <c r="O56" i="17"/>
  <c r="P56" i="17" s="1"/>
  <c r="R56" i="17" s="1"/>
  <c r="R83" i="17"/>
  <c r="O32" i="17"/>
  <c r="P32" i="17" s="1"/>
  <c r="R32" i="17" s="1"/>
  <c r="P257" i="17"/>
  <c r="P258" i="17" s="1"/>
  <c r="P259" i="17" s="1"/>
  <c r="R216" i="17"/>
  <c r="R219" i="17"/>
  <c r="R93" i="17"/>
  <c r="O74" i="17"/>
  <c r="P74" i="17" s="1"/>
  <c r="R74" i="17" s="1"/>
  <c r="O31" i="17"/>
  <c r="P31" i="17" s="1"/>
  <c r="R31" i="17" s="1"/>
  <c r="R232" i="17"/>
  <c r="R215" i="17"/>
  <c r="R229" i="17"/>
  <c r="O142" i="17"/>
  <c r="P142" i="17" s="1"/>
  <c r="R142" i="17" s="1"/>
  <c r="O113" i="17"/>
  <c r="P113" i="17" s="1"/>
  <c r="R113" i="17" s="1"/>
  <c r="O91" i="17"/>
  <c r="P91" i="17" s="1"/>
  <c r="R91" i="17" s="1"/>
  <c r="O101" i="17"/>
  <c r="P101" i="17" s="1"/>
  <c r="R101" i="17" s="1"/>
  <c r="O95" i="17"/>
  <c r="P95" i="17" s="1"/>
  <c r="R95" i="17" s="1"/>
  <c r="O89" i="17"/>
  <c r="P89" i="17" s="1"/>
  <c r="R89" i="17" s="1"/>
  <c r="O55" i="17"/>
  <c r="P55" i="17" s="1"/>
  <c r="R55" i="17" s="1"/>
  <c r="O85" i="17"/>
  <c r="P85" i="17" s="1"/>
  <c r="R85" i="17" s="1"/>
  <c r="R58" i="17"/>
  <c r="O41" i="17"/>
  <c r="P41" i="17" s="1"/>
  <c r="R41" i="17" s="1"/>
  <c r="R19" i="17"/>
  <c r="R27" i="17"/>
  <c r="R29" i="17"/>
  <c r="O76" i="17"/>
  <c r="P76" i="17" s="1"/>
  <c r="R76" i="17" s="1"/>
  <c r="O22" i="17"/>
  <c r="P22" i="17" s="1"/>
  <c r="R22" i="17" s="1"/>
  <c r="O26" i="17"/>
  <c r="P26" i="17" s="1"/>
  <c r="R26" i="17" s="1"/>
  <c r="O28" i="17"/>
  <c r="P28" i="17" s="1"/>
  <c r="R28" i="17" s="1"/>
  <c r="O33" i="17"/>
  <c r="P33" i="17" s="1"/>
  <c r="R33" i="17" s="1"/>
  <c r="O51" i="17"/>
  <c r="P51" i="17" s="1"/>
  <c r="R51" i="17" s="1"/>
  <c r="O120" i="17"/>
  <c r="P120" i="17" s="1"/>
  <c r="R120" i="17" s="1"/>
  <c r="O123" i="17"/>
  <c r="P123" i="17" s="1"/>
  <c r="R123" i="17" s="1"/>
  <c r="O129" i="17"/>
  <c r="P129" i="17" s="1"/>
  <c r="R129" i="17" s="1"/>
  <c r="O156" i="17"/>
  <c r="P156" i="17" s="1"/>
  <c r="R156" i="17" s="1"/>
  <c r="O158" i="17"/>
  <c r="P158" i="17" s="1"/>
  <c r="R158" i="17" s="1"/>
  <c r="O122" i="17"/>
  <c r="P122" i="17" s="1"/>
  <c r="R122" i="17" s="1"/>
  <c r="O127" i="17"/>
  <c r="P127" i="17" s="1"/>
  <c r="R127" i="17" s="1"/>
  <c r="O159" i="17"/>
  <c r="P159" i="17" s="1"/>
  <c r="R159" i="17" s="1"/>
  <c r="O161" i="17"/>
  <c r="P161" i="17" s="1"/>
  <c r="R161" i="17" s="1"/>
  <c r="O165" i="17"/>
  <c r="P165" i="17" s="1"/>
  <c r="R165" i="17" s="1"/>
  <c r="O167" i="17"/>
  <c r="P167" i="17" s="1"/>
  <c r="R167" i="17" s="1"/>
  <c r="O169" i="17"/>
  <c r="P169" i="17" s="1"/>
  <c r="R169" i="17" s="1"/>
  <c r="O189" i="17"/>
  <c r="P189" i="17" s="1"/>
  <c r="R189" i="17" s="1"/>
  <c r="O198" i="17"/>
  <c r="P198" i="17" s="1"/>
  <c r="R198" i="17" s="1"/>
  <c r="O201" i="17"/>
  <c r="P201" i="17" s="1"/>
  <c r="R201" i="17" s="1"/>
  <c r="O203" i="17"/>
  <c r="P203" i="17" s="1"/>
  <c r="R203" i="17" s="1"/>
  <c r="O205" i="17"/>
  <c r="P205" i="17" s="1"/>
  <c r="R205" i="17" s="1"/>
  <c r="O207" i="17"/>
  <c r="P207" i="17" s="1"/>
  <c r="R207" i="17" s="1"/>
  <c r="R227" i="17"/>
  <c r="O171" i="17"/>
  <c r="P171" i="17" s="1"/>
  <c r="R171" i="17" s="1"/>
  <c r="O173" i="17"/>
  <c r="P173" i="17" s="1"/>
  <c r="R173" i="17" s="1"/>
  <c r="O178" i="17"/>
  <c r="P178" i="17" s="1"/>
  <c r="R178" i="17" s="1"/>
  <c r="O180" i="17"/>
  <c r="P180" i="17" s="1"/>
  <c r="R180" i="17" s="1"/>
  <c r="O182" i="17"/>
  <c r="P182" i="17" s="1"/>
  <c r="R182" i="17" s="1"/>
  <c r="O188" i="17"/>
  <c r="P188" i="17" s="1"/>
  <c r="R188" i="17" s="1"/>
  <c r="O193" i="17"/>
  <c r="P193" i="17" s="1"/>
  <c r="R193" i="17" s="1"/>
  <c r="O195" i="17"/>
  <c r="P195" i="17" s="1"/>
  <c r="R195" i="17" s="1"/>
  <c r="R214" i="17"/>
  <c r="R228" i="17"/>
  <c r="R115" i="17"/>
  <c r="R87" i="17"/>
  <c r="R70" i="17"/>
  <c r="O44" i="17"/>
  <c r="P44" i="17" s="1"/>
  <c r="R44" i="17" s="1"/>
  <c r="R234" i="17"/>
  <c r="R220" i="17"/>
  <c r="O106" i="17"/>
  <c r="P106" i="17" s="1"/>
  <c r="R106" i="17" s="1"/>
  <c r="O103" i="17"/>
  <c r="P103" i="17" s="1"/>
  <c r="R103" i="17" s="1"/>
  <c r="R68" i="17"/>
  <c r="O42" i="17"/>
  <c r="P42" i="17" s="1"/>
  <c r="R42" i="17" s="1"/>
  <c r="O38" i="17"/>
  <c r="P38" i="17" s="1"/>
  <c r="O40" i="17"/>
  <c r="P40" i="17" s="1"/>
  <c r="R40" i="17" s="1"/>
  <c r="O21" i="17"/>
  <c r="P21" i="17" s="1"/>
  <c r="R21" i="17" s="1"/>
  <c r="O30" i="17"/>
  <c r="P30" i="17" s="1"/>
  <c r="R30" i="17" s="1"/>
  <c r="O39" i="17"/>
  <c r="P39" i="17" s="1"/>
  <c r="R39" i="17" s="1"/>
  <c r="O60" i="17"/>
  <c r="P60" i="17" s="1"/>
  <c r="R60" i="17" s="1"/>
  <c r="O77" i="17"/>
  <c r="P77" i="17" s="1"/>
  <c r="R77" i="17" s="1"/>
  <c r="O18" i="17"/>
  <c r="P18" i="17" s="1"/>
  <c r="R18" i="17" s="1"/>
  <c r="O23" i="17"/>
  <c r="P23" i="17" s="1"/>
  <c r="R23" i="17" s="1"/>
  <c r="O25" i="17"/>
  <c r="P25" i="17" s="1"/>
  <c r="R25" i="17" s="1"/>
  <c r="O50" i="17"/>
  <c r="P50" i="17" s="1"/>
  <c r="R50" i="17" s="1"/>
  <c r="O72" i="17"/>
  <c r="P72" i="17" s="1"/>
  <c r="R72" i="17" s="1"/>
  <c r="O128" i="17"/>
  <c r="P128" i="17" s="1"/>
  <c r="R128" i="17" s="1"/>
  <c r="O162" i="17"/>
  <c r="P162" i="17" s="1"/>
  <c r="R162" i="17" s="1"/>
  <c r="O119" i="17"/>
  <c r="P119" i="17" s="1"/>
  <c r="R119" i="17" s="1"/>
  <c r="O126" i="17"/>
  <c r="P126" i="17" s="1"/>
  <c r="R126" i="17" s="1"/>
  <c r="O138" i="17"/>
  <c r="P138" i="17" s="1"/>
  <c r="R138" i="17" s="1"/>
  <c r="O153" i="17"/>
  <c r="P153" i="17" s="1"/>
  <c r="O166" i="17"/>
  <c r="P166" i="17" s="1"/>
  <c r="R166" i="17" s="1"/>
  <c r="O168" i="17"/>
  <c r="P168" i="17" s="1"/>
  <c r="R168" i="17" s="1"/>
  <c r="O187" i="17"/>
  <c r="P187" i="17" s="1"/>
  <c r="R187" i="17" s="1"/>
  <c r="O197" i="17"/>
  <c r="P197" i="17" s="1"/>
  <c r="R197" i="17" s="1"/>
  <c r="O202" i="17"/>
  <c r="P202" i="17" s="1"/>
  <c r="R202" i="17" s="1"/>
  <c r="O204" i="17"/>
  <c r="P204" i="17" s="1"/>
  <c r="R204" i="17" s="1"/>
  <c r="O206" i="17"/>
  <c r="P206" i="17" s="1"/>
  <c r="R206" i="17" s="1"/>
  <c r="O223" i="17"/>
  <c r="P223" i="17" s="1"/>
  <c r="R223" i="17" s="1"/>
  <c r="R231" i="17"/>
  <c r="O170" i="17"/>
  <c r="P170" i="17" s="1"/>
  <c r="R170" i="17" s="1"/>
  <c r="O172" i="17"/>
  <c r="P172" i="17" s="1"/>
  <c r="R172" i="17" s="1"/>
  <c r="O174" i="17"/>
  <c r="P174" i="17" s="1"/>
  <c r="R174" i="17" s="1"/>
  <c r="O177" i="17"/>
  <c r="P177" i="17" s="1"/>
  <c r="R177" i="17" s="1"/>
  <c r="O179" i="17"/>
  <c r="P179" i="17" s="1"/>
  <c r="R179" i="17" s="1"/>
  <c r="O181" i="17"/>
  <c r="P181" i="17" s="1"/>
  <c r="R181" i="17" s="1"/>
  <c r="O183" i="17"/>
  <c r="P183" i="17" s="1"/>
  <c r="R183" i="17" s="1"/>
  <c r="O186" i="17"/>
  <c r="P186" i="17" s="1"/>
  <c r="R186" i="17" s="1"/>
  <c r="O190" i="17"/>
  <c r="P190" i="17" s="1"/>
  <c r="R190" i="17" s="1"/>
  <c r="O192" i="17"/>
  <c r="P192" i="17" s="1"/>
  <c r="R192" i="17" s="1"/>
  <c r="O194" i="17"/>
  <c r="P194" i="17" s="1"/>
  <c r="R194" i="17" s="1"/>
  <c r="O196" i="17"/>
  <c r="P196" i="17" s="1"/>
  <c r="R196" i="17" s="1"/>
  <c r="O208" i="17"/>
  <c r="P208" i="17" s="1"/>
  <c r="R208" i="17" s="1"/>
  <c r="O224" i="17"/>
  <c r="P224" i="17" s="1"/>
  <c r="R224" i="17" s="1"/>
  <c r="R230" i="17"/>
  <c r="I162" i="15"/>
  <c r="L162" i="15" s="1"/>
  <c r="O21" i="18" l="1"/>
  <c r="P21" i="18" s="1"/>
  <c r="O19" i="18"/>
  <c r="P19" i="18" s="1"/>
  <c r="O20" i="18"/>
  <c r="P20" i="18" s="1"/>
  <c r="O25" i="18"/>
  <c r="P25" i="18" s="1"/>
  <c r="O26" i="18"/>
  <c r="P26" i="18" s="1"/>
  <c r="O29" i="18"/>
  <c r="P29" i="18" s="1"/>
  <c r="O32" i="18"/>
  <c r="P32" i="18" s="1"/>
  <c r="O30" i="18"/>
  <c r="P30" i="18" s="1"/>
  <c r="O174" i="18"/>
  <c r="P174" i="18" s="1"/>
  <c r="O166" i="18"/>
  <c r="P166" i="18" s="1"/>
  <c r="O223" i="18"/>
  <c r="P223" i="18" s="1"/>
  <c r="O182" i="18"/>
  <c r="P182" i="18" s="1"/>
  <c r="O171" i="18"/>
  <c r="P171" i="18" s="1"/>
  <c r="O202" i="18"/>
  <c r="P202" i="18" s="1"/>
  <c r="O169" i="18"/>
  <c r="P169" i="18" s="1"/>
  <c r="O198" i="18"/>
  <c r="P198" i="18" s="1"/>
  <c r="O183" i="18"/>
  <c r="P183" i="18" s="1"/>
  <c r="O142" i="18"/>
  <c r="P142" i="18" s="1"/>
  <c r="O173" i="18"/>
  <c r="P173" i="18" s="1"/>
  <c r="O63" i="18"/>
  <c r="P63" i="18" s="1"/>
  <c r="O143" i="18"/>
  <c r="P143" i="18" s="1"/>
  <c r="O179" i="18"/>
  <c r="P179" i="18" s="1"/>
  <c r="O190" i="18"/>
  <c r="P190" i="18" s="1"/>
  <c r="O144" i="18"/>
  <c r="P144" i="18" s="1"/>
  <c r="O157" i="18"/>
  <c r="P157" i="18" s="1"/>
  <c r="O48" i="18"/>
  <c r="P48" i="18" s="1"/>
  <c r="O41" i="18"/>
  <c r="P41" i="18" s="1"/>
  <c r="O123" i="18"/>
  <c r="P123" i="18" s="1"/>
  <c r="O163" i="18"/>
  <c r="P163" i="18" s="1"/>
  <c r="O119" i="18"/>
  <c r="P119" i="18" s="1"/>
  <c r="O225" i="18"/>
  <c r="P225" i="18" s="1"/>
  <c r="P259" i="18"/>
  <c r="P260" i="18" s="1"/>
  <c r="P261" i="18" s="1"/>
  <c r="O44" i="18"/>
  <c r="P44" i="18" s="1"/>
  <c r="O38" i="18"/>
  <c r="P38" i="18" s="1"/>
  <c r="O191" i="18"/>
  <c r="P191" i="18" s="1"/>
  <c r="O168" i="18"/>
  <c r="P168" i="18" s="1"/>
  <c r="O180" i="18"/>
  <c r="P180" i="18" s="1"/>
  <c r="O193" i="18"/>
  <c r="P193" i="18" s="1"/>
  <c r="O204" i="18"/>
  <c r="P204" i="18" s="1"/>
  <c r="O224" i="18"/>
  <c r="P224" i="18" s="1"/>
  <c r="O126" i="18"/>
  <c r="P126" i="18" s="1"/>
  <c r="O138" i="18"/>
  <c r="P138" i="18" s="1"/>
  <c r="O154" i="18"/>
  <c r="P154" i="18" s="1"/>
  <c r="O210" i="18"/>
  <c r="P210" i="18" s="1"/>
  <c r="O189" i="18"/>
  <c r="P189" i="18" s="1"/>
  <c r="O178" i="18"/>
  <c r="P178" i="18" s="1"/>
  <c r="O208" i="18"/>
  <c r="P208" i="18" s="1"/>
  <c r="O196" i="18"/>
  <c r="P196" i="18" s="1"/>
  <c r="O188" i="18"/>
  <c r="P188" i="18" s="1"/>
  <c r="O170" i="18"/>
  <c r="P170" i="18" s="1"/>
  <c r="O199" i="18"/>
  <c r="P199" i="18" s="1"/>
  <c r="O167" i="18"/>
  <c r="P167" i="18" s="1"/>
  <c r="O49" i="18"/>
  <c r="P49" i="18" s="1"/>
  <c r="O40" i="18"/>
  <c r="P40" i="18" s="1"/>
  <c r="O206" i="18"/>
  <c r="P206" i="18" s="1"/>
  <c r="O195" i="18"/>
  <c r="P195" i="18" s="1"/>
  <c r="O187" i="18"/>
  <c r="P187" i="18" s="1"/>
  <c r="O175" i="18"/>
  <c r="P175" i="18" s="1"/>
  <c r="O209" i="18"/>
  <c r="P209" i="18" s="1"/>
  <c r="O197" i="18"/>
  <c r="P197" i="18" s="1"/>
  <c r="O184" i="18"/>
  <c r="P184" i="18" s="1"/>
  <c r="O172" i="18"/>
  <c r="P172" i="18" s="1"/>
  <c r="O42" i="18"/>
  <c r="P42" i="18" s="1"/>
  <c r="O60" i="18"/>
  <c r="P60" i="18" s="1"/>
  <c r="O120" i="18"/>
  <c r="P120" i="18" s="1"/>
  <c r="O128" i="18"/>
  <c r="P128" i="18" s="1"/>
  <c r="O39" i="18"/>
  <c r="P39" i="18" s="1"/>
  <c r="O129" i="18"/>
  <c r="P129" i="18" s="1"/>
  <c r="O159" i="18"/>
  <c r="P159" i="18" s="1"/>
  <c r="O122" i="18"/>
  <c r="P122" i="18" s="1"/>
  <c r="O127" i="18"/>
  <c r="P127" i="18" s="1"/>
  <c r="O160" i="18"/>
  <c r="P160" i="18" s="1"/>
  <c r="O162" i="18"/>
  <c r="P162" i="18" s="1"/>
  <c r="P211" i="17"/>
  <c r="R211" i="17" s="1"/>
  <c r="R153" i="17"/>
  <c r="P236" i="17"/>
  <c r="P35" i="17"/>
  <c r="R35" i="17" s="1"/>
  <c r="P150" i="17"/>
  <c r="R150" i="17" s="1"/>
  <c r="R38" i="17"/>
  <c r="N260" i="17"/>
  <c r="I209" i="15"/>
  <c r="I208" i="15"/>
  <c r="I207" i="15"/>
  <c r="I206" i="15"/>
  <c r="I205" i="15"/>
  <c r="I203" i="15"/>
  <c r="I202" i="15"/>
  <c r="I201" i="15"/>
  <c r="K204" i="15"/>
  <c r="K203" i="15"/>
  <c r="K202" i="15"/>
  <c r="K201" i="15"/>
  <c r="K209" i="15"/>
  <c r="K208" i="15"/>
  <c r="K207" i="15"/>
  <c r="K206" i="15"/>
  <c r="K205" i="15"/>
  <c r="P212" i="18" l="1"/>
  <c r="N262" i="18"/>
  <c r="P262" i="18" s="1"/>
  <c r="M238" i="17"/>
  <c r="R238" i="17" s="1"/>
  <c r="R236" i="17"/>
  <c r="P260" i="17"/>
  <c r="L201" i="15"/>
  <c r="L209" i="15"/>
  <c r="L207" i="15"/>
  <c r="L205" i="15"/>
  <c r="L203" i="15"/>
  <c r="L202" i="15"/>
  <c r="L206" i="15"/>
  <c r="L208" i="15"/>
  <c r="I204" i="15"/>
  <c r="L204" i="15" s="1"/>
  <c r="N263" i="18" l="1"/>
  <c r="P263" i="18" s="1"/>
  <c r="P265" i="18" s="1"/>
  <c r="R253" i="18" s="1"/>
  <c r="N261" i="17"/>
  <c r="P261" i="17" s="1"/>
  <c r="P264" i="17" s="1"/>
  <c r="E123" i="15"/>
  <c r="E120" i="15"/>
  <c r="E233" i="15"/>
  <c r="I192" i="15"/>
  <c r="I190" i="15"/>
  <c r="I181" i="15"/>
  <c r="K193" i="15"/>
  <c r="K192" i="15"/>
  <c r="K190" i="15"/>
  <c r="K183" i="15"/>
  <c r="I183" i="15"/>
  <c r="K182" i="15"/>
  <c r="I182" i="15"/>
  <c r="K181" i="15"/>
  <c r="K180" i="15"/>
  <c r="I180" i="15"/>
  <c r="K179" i="15"/>
  <c r="K178" i="15"/>
  <c r="K177" i="15"/>
  <c r="K189" i="15"/>
  <c r="K188" i="15"/>
  <c r="I188" i="15"/>
  <c r="K187" i="15"/>
  <c r="I187" i="15"/>
  <c r="K186" i="15"/>
  <c r="I186" i="15"/>
  <c r="K198" i="15"/>
  <c r="K197" i="15"/>
  <c r="K196" i="15"/>
  <c r="K195" i="15"/>
  <c r="K194" i="15"/>
  <c r="I174" i="15"/>
  <c r="I172" i="15"/>
  <c r="I167" i="15"/>
  <c r="I170" i="15"/>
  <c r="I169" i="15"/>
  <c r="K168" i="15"/>
  <c r="K173" i="15"/>
  <c r="I166" i="15"/>
  <c r="K166" i="15"/>
  <c r="K167" i="15"/>
  <c r="K169" i="15"/>
  <c r="K170" i="15"/>
  <c r="I171" i="15"/>
  <c r="K171" i="15"/>
  <c r="K172" i="15"/>
  <c r="K174" i="15"/>
  <c r="J155" i="15"/>
  <c r="J154" i="15"/>
  <c r="K159" i="15"/>
  <c r="I159" i="15"/>
  <c r="I156" i="15"/>
  <c r="I154" i="15"/>
  <c r="K158" i="15"/>
  <c r="K156" i="15"/>
  <c r="F155" i="15"/>
  <c r="K155" i="15" s="1"/>
  <c r="E155" i="15"/>
  <c r="F153" i="15"/>
  <c r="K153" i="15" s="1"/>
  <c r="E153" i="15"/>
  <c r="K143" i="15"/>
  <c r="I143" i="15"/>
  <c r="K141" i="15"/>
  <c r="I141" i="15"/>
  <c r="I142" i="15"/>
  <c r="K142" i="15"/>
  <c r="K135" i="15"/>
  <c r="K136" i="15"/>
  <c r="E234" i="15"/>
  <c r="K234" i="15"/>
  <c r="K223" i="15"/>
  <c r="I223" i="15"/>
  <c r="K220" i="15"/>
  <c r="I220" i="15"/>
  <c r="K219" i="15"/>
  <c r="I219" i="15"/>
  <c r="K218" i="15"/>
  <c r="I218" i="15"/>
  <c r="AL261" i="15"/>
  <c r="Y260" i="15" s="1"/>
  <c r="AE260" i="15" s="1"/>
  <c r="AK261" i="15"/>
  <c r="Y259" i="15" s="1"/>
  <c r="AE259" i="15" s="1"/>
  <c r="AE261" i="15"/>
  <c r="AJ257" i="15"/>
  <c r="AI257" i="15"/>
  <c r="AJ256" i="15"/>
  <c r="AI256" i="15"/>
  <c r="AJ255" i="15"/>
  <c r="AI255" i="15"/>
  <c r="AJ254" i="15"/>
  <c r="AI254" i="15"/>
  <c r="AJ253" i="15"/>
  <c r="AI253" i="15"/>
  <c r="AI261" i="15" s="1"/>
  <c r="Y257" i="15" s="1"/>
  <c r="AJ240" i="15"/>
  <c r="AI240" i="15"/>
  <c r="AL248" i="15"/>
  <c r="Y247" i="15" s="1"/>
  <c r="AE247" i="15" s="1"/>
  <c r="AK248" i="15"/>
  <c r="Y246" i="15" s="1"/>
  <c r="AE246" i="15" s="1"/>
  <c r="AE248" i="15"/>
  <c r="AJ244" i="15"/>
  <c r="AI244" i="15"/>
  <c r="AJ243" i="15"/>
  <c r="AI243" i="15"/>
  <c r="AJ242" i="15"/>
  <c r="AI242" i="15"/>
  <c r="AJ241" i="15"/>
  <c r="AI241" i="15"/>
  <c r="AL234" i="15"/>
  <c r="Y233" i="15" s="1"/>
  <c r="AE233" i="15" s="1"/>
  <c r="AK234" i="15"/>
  <c r="Y232" i="15" s="1"/>
  <c r="AE232" i="15" s="1"/>
  <c r="AE234" i="15"/>
  <c r="AJ230" i="15"/>
  <c r="AI230" i="15"/>
  <c r="AJ229" i="15"/>
  <c r="AI229" i="15"/>
  <c r="AJ228" i="15"/>
  <c r="AI228" i="15"/>
  <c r="AJ226" i="15"/>
  <c r="AI226" i="15"/>
  <c r="AJ225" i="15"/>
  <c r="AI225" i="15"/>
  <c r="AL218" i="15"/>
  <c r="Y217" i="15" s="1"/>
  <c r="AE217" i="15" s="1"/>
  <c r="AI211" i="15"/>
  <c r="AK218" i="15"/>
  <c r="Y216" i="15" s="1"/>
  <c r="AE216" i="15" s="1"/>
  <c r="AE218" i="15"/>
  <c r="AJ214" i="15"/>
  <c r="AI214" i="15"/>
  <c r="AJ213" i="15"/>
  <c r="AI213" i="15"/>
  <c r="AJ212" i="15"/>
  <c r="AI212" i="15"/>
  <c r="AJ211" i="15"/>
  <c r="AJ210" i="15"/>
  <c r="AI210" i="15"/>
  <c r="AI234" i="15" l="1"/>
  <c r="Y230" i="15" s="1"/>
  <c r="AJ234" i="15"/>
  <c r="Y231" i="15" s="1"/>
  <c r="AE231" i="15" s="1"/>
  <c r="L159" i="15"/>
  <c r="Q232" i="18"/>
  <c r="Q233" i="18"/>
  <c r="N232" i="18"/>
  <c r="N233" i="18"/>
  <c r="M232" i="18"/>
  <c r="M233" i="18"/>
  <c r="N265" i="18"/>
  <c r="N266" i="18"/>
  <c r="O43" i="18"/>
  <c r="AJ261" i="15"/>
  <c r="Y258" i="15" s="1"/>
  <c r="AE258" i="15" s="1"/>
  <c r="N43" i="17"/>
  <c r="O43" i="17" s="1"/>
  <c r="M43" i="17"/>
  <c r="N264" i="17"/>
  <c r="N263" i="17"/>
  <c r="AI248" i="15"/>
  <c r="Y244" i="15" s="1"/>
  <c r="L174" i="15"/>
  <c r="L172" i="15"/>
  <c r="L180" i="15"/>
  <c r="AJ218" i="15"/>
  <c r="Y215" i="15" s="1"/>
  <c r="AE215" i="15" s="1"/>
  <c r="L188" i="15"/>
  <c r="L190" i="15"/>
  <c r="L187" i="15"/>
  <c r="L186" i="15"/>
  <c r="L182" i="15"/>
  <c r="L183" i="15"/>
  <c r="L181" i="15"/>
  <c r="L192" i="15"/>
  <c r="I193" i="15"/>
  <c r="L193" i="15" s="1"/>
  <c r="I177" i="15"/>
  <c r="L177" i="15" s="1"/>
  <c r="I178" i="15"/>
  <c r="L178" i="15" s="1"/>
  <c r="I179" i="15"/>
  <c r="L179" i="15" s="1"/>
  <c r="I189" i="15"/>
  <c r="L189" i="15" s="1"/>
  <c r="I194" i="15"/>
  <c r="L194" i="15" s="1"/>
  <c r="I195" i="15"/>
  <c r="L195" i="15" s="1"/>
  <c r="I196" i="15"/>
  <c r="L196" i="15" s="1"/>
  <c r="I197" i="15"/>
  <c r="L197" i="15" s="1"/>
  <c r="I198" i="15"/>
  <c r="L198" i="15" s="1"/>
  <c r="L166" i="15"/>
  <c r="L169" i="15"/>
  <c r="L167" i="15"/>
  <c r="L170" i="15"/>
  <c r="L171" i="15"/>
  <c r="I153" i="15"/>
  <c r="I168" i="15"/>
  <c r="L168" i="15" s="1"/>
  <c r="I173" i="15"/>
  <c r="L173" i="15" s="1"/>
  <c r="L156" i="15"/>
  <c r="L153" i="15"/>
  <c r="K154" i="15"/>
  <c r="L154" i="15" s="1"/>
  <c r="I155" i="15"/>
  <c r="L155" i="15" s="1"/>
  <c r="I158" i="15"/>
  <c r="L158" i="15" s="1"/>
  <c r="L143" i="15"/>
  <c r="L142" i="15"/>
  <c r="L141" i="15"/>
  <c r="I135" i="15"/>
  <c r="L135" i="15" s="1"/>
  <c r="I136" i="15"/>
  <c r="L136" i="15" s="1"/>
  <c r="AJ248" i="15"/>
  <c r="Y245" i="15" s="1"/>
  <c r="AE245" i="15" s="1"/>
  <c r="AI218" i="15"/>
  <c r="Y214" i="15" s="1"/>
  <c r="L220" i="15"/>
  <c r="L223" i="15"/>
  <c r="I234" i="15"/>
  <c r="L234" i="15" s="1"/>
  <c r="L219" i="15"/>
  <c r="L218" i="15"/>
  <c r="AE257" i="15"/>
  <c r="Y254" i="15"/>
  <c r="AE254" i="15" s="1"/>
  <c r="AE255" i="15" s="1"/>
  <c r="AE244" i="15"/>
  <c r="Y241" i="15"/>
  <c r="AE241" i="15" s="1"/>
  <c r="AE242" i="15" s="1"/>
  <c r="AE230" i="15"/>
  <c r="AE235" i="15" s="1"/>
  <c r="Y226" i="15"/>
  <c r="AE226" i="15" s="1"/>
  <c r="AE228" i="15" s="1"/>
  <c r="AE214" i="15"/>
  <c r="AE219" i="15" s="1"/>
  <c r="Y211" i="15"/>
  <c r="AE211" i="15" s="1"/>
  <c r="AE212" i="15" s="1"/>
  <c r="J148" i="15" l="1"/>
  <c r="O232" i="18"/>
  <c r="P232" i="18" s="1"/>
  <c r="R232" i="18" s="1"/>
  <c r="H148" i="15"/>
  <c r="O233" i="18"/>
  <c r="P233" i="18" s="1"/>
  <c r="R233" i="18" s="1"/>
  <c r="Q17" i="18"/>
  <c r="R17" i="18" s="1"/>
  <c r="Q56" i="18"/>
  <c r="R56" i="18" s="1"/>
  <c r="Q58" i="18"/>
  <c r="R58" i="18" s="1"/>
  <c r="Q55" i="18"/>
  <c r="R55" i="18" s="1"/>
  <c r="N51" i="18"/>
  <c r="M51" i="18"/>
  <c r="Q51" i="18"/>
  <c r="Q235" i="18"/>
  <c r="R235" i="18" s="1"/>
  <c r="M220" i="18"/>
  <c r="N220" i="18"/>
  <c r="M228" i="18"/>
  <c r="M219" i="18"/>
  <c r="N219" i="18"/>
  <c r="P266" i="18"/>
  <c r="N231" i="18"/>
  <c r="M231" i="18"/>
  <c r="N230" i="18"/>
  <c r="M135" i="18"/>
  <c r="N135" i="18"/>
  <c r="Q135" i="18"/>
  <c r="M24" i="18"/>
  <c r="N27" i="18"/>
  <c r="Q23" i="18"/>
  <c r="R23" i="18" s="1"/>
  <c r="Q19" i="18"/>
  <c r="R19" i="18" s="1"/>
  <c r="Q22" i="18"/>
  <c r="R22" i="18" s="1"/>
  <c r="Q25" i="18"/>
  <c r="R25" i="18" s="1"/>
  <c r="Q28" i="18"/>
  <c r="R28" i="18" s="1"/>
  <c r="Q30" i="18"/>
  <c r="R30" i="18" s="1"/>
  <c r="Q32" i="18"/>
  <c r="R32" i="18" s="1"/>
  <c r="Q88" i="18"/>
  <c r="R88" i="18" s="1"/>
  <c r="Q96" i="18"/>
  <c r="R96" i="18" s="1"/>
  <c r="Q104" i="18"/>
  <c r="R104" i="18" s="1"/>
  <c r="Q110" i="18"/>
  <c r="R110" i="18" s="1"/>
  <c r="Q86" i="18"/>
  <c r="R86" i="18" s="1"/>
  <c r="Q94" i="18"/>
  <c r="R94" i="18" s="1"/>
  <c r="Q102" i="18"/>
  <c r="R102" i="18" s="1"/>
  <c r="Q108" i="18"/>
  <c r="R108" i="18" s="1"/>
  <c r="Q116" i="18"/>
  <c r="M113" i="18"/>
  <c r="M109" i="18"/>
  <c r="M103" i="18"/>
  <c r="M99" i="18"/>
  <c r="M95" i="18"/>
  <c r="M91" i="18"/>
  <c r="M87" i="18"/>
  <c r="M83" i="18"/>
  <c r="N109" i="18"/>
  <c r="N99" i="18"/>
  <c r="N91" i="18"/>
  <c r="N83" i="18"/>
  <c r="O83" i="18" s="1"/>
  <c r="P83" i="18" s="1"/>
  <c r="N111" i="18"/>
  <c r="N101" i="18"/>
  <c r="N93" i="18"/>
  <c r="N85" i="18"/>
  <c r="Q99" i="18"/>
  <c r="Q83" i="18"/>
  <c r="Q101" i="18"/>
  <c r="Q85" i="18"/>
  <c r="Q103" i="18"/>
  <c r="Q87" i="18"/>
  <c r="Q106" i="18"/>
  <c r="Q89" i="18"/>
  <c r="Q240" i="18"/>
  <c r="Q211" i="18"/>
  <c r="Q192" i="18"/>
  <c r="Q177" i="18"/>
  <c r="N228" i="18"/>
  <c r="O228" i="18" s="1"/>
  <c r="P228" i="18" s="1"/>
  <c r="Q214" i="18"/>
  <c r="Q186" i="18"/>
  <c r="Q165" i="18"/>
  <c r="Q153" i="18"/>
  <c r="Q146" i="18"/>
  <c r="Q139" i="18"/>
  <c r="Q124" i="18"/>
  <c r="Q82" i="18"/>
  <c r="R82" i="18" s="1"/>
  <c r="Q69" i="18"/>
  <c r="R69" i="18" s="1"/>
  <c r="Q54" i="18"/>
  <c r="R54" i="18" s="1"/>
  <c r="Q236" i="18"/>
  <c r="R236" i="18" s="1"/>
  <c r="Q226" i="18"/>
  <c r="Q203" i="18"/>
  <c r="R203" i="18" s="1"/>
  <c r="Q190" i="18"/>
  <c r="R190" i="18" s="1"/>
  <c r="Q164" i="18"/>
  <c r="M148" i="18"/>
  <c r="Q61" i="18"/>
  <c r="R61" i="18" s="1"/>
  <c r="Q52" i="18"/>
  <c r="R52" i="18" s="1"/>
  <c r="M50" i="18"/>
  <c r="Q36" i="18"/>
  <c r="R36" i="18" s="1"/>
  <c r="Q196" i="18"/>
  <c r="R196" i="18" s="1"/>
  <c r="Q183" i="18"/>
  <c r="R183" i="18" s="1"/>
  <c r="Q167" i="18"/>
  <c r="R167" i="18" s="1"/>
  <c r="Q155" i="18"/>
  <c r="R155" i="18" s="1"/>
  <c r="Q134" i="18"/>
  <c r="Q121" i="18"/>
  <c r="R121" i="18" s="1"/>
  <c r="Q70" i="18"/>
  <c r="Q67" i="18"/>
  <c r="R67" i="18" s="1"/>
  <c r="Q46" i="18"/>
  <c r="R46" i="18" s="1"/>
  <c r="Q37" i="18"/>
  <c r="Q60" i="18"/>
  <c r="R60" i="18" s="1"/>
  <c r="Q128" i="18"/>
  <c r="R128" i="18" s="1"/>
  <c r="Q163" i="18"/>
  <c r="R163" i="18" s="1"/>
  <c r="Q27" i="18"/>
  <c r="Q65" i="18"/>
  <c r="R65" i="18" s="1"/>
  <c r="Q132" i="18"/>
  <c r="R132" i="18" s="1"/>
  <c r="N68" i="18"/>
  <c r="Q189" i="18"/>
  <c r="R189" i="18" s="1"/>
  <c r="Q216" i="18"/>
  <c r="R216" i="18" s="1"/>
  <c r="Q234" i="18"/>
  <c r="R234" i="18" s="1"/>
  <c r="Q181" i="18"/>
  <c r="R181" i="18" s="1"/>
  <c r="Q194" i="18"/>
  <c r="R194" i="18" s="1"/>
  <c r="Q127" i="18"/>
  <c r="R127" i="18" s="1"/>
  <c r="Q169" i="18"/>
  <c r="R169" i="18" s="1"/>
  <c r="Q24" i="18"/>
  <c r="R24" i="18" s="1"/>
  <c r="Q50" i="18"/>
  <c r="Q129" i="18"/>
  <c r="R129" i="18" s="1"/>
  <c r="Q210" i="18"/>
  <c r="R210" i="18" s="1"/>
  <c r="M147" i="18"/>
  <c r="N221" i="18"/>
  <c r="O221" i="18" s="1"/>
  <c r="P221" i="18" s="1"/>
  <c r="N70" i="18"/>
  <c r="Q130" i="18"/>
  <c r="R130" i="18" s="1"/>
  <c r="Q231" i="18"/>
  <c r="N148" i="18"/>
  <c r="Q205" i="18"/>
  <c r="R205" i="18" s="1"/>
  <c r="Q122" i="18"/>
  <c r="R122" i="18" s="1"/>
  <c r="Q198" i="18"/>
  <c r="R198" i="18" s="1"/>
  <c r="Q166" i="18"/>
  <c r="R166" i="18" s="1"/>
  <c r="Q209" i="18"/>
  <c r="R209" i="18" s="1"/>
  <c r="Q193" i="18"/>
  <c r="R193" i="18" s="1"/>
  <c r="Q160" i="18"/>
  <c r="R160" i="18" s="1"/>
  <c r="Q223" i="18"/>
  <c r="R223" i="18" s="1"/>
  <c r="Q206" i="18"/>
  <c r="R206" i="18" s="1"/>
  <c r="Q168" i="18"/>
  <c r="R168" i="18" s="1"/>
  <c r="Q131" i="18"/>
  <c r="R131" i="18" s="1"/>
  <c r="Q202" i="18"/>
  <c r="R202" i="18" s="1"/>
  <c r="Q170" i="18"/>
  <c r="R170" i="18" s="1"/>
  <c r="Q230" i="18"/>
  <c r="Q208" i="18"/>
  <c r="R208" i="18" s="1"/>
  <c r="Q184" i="18"/>
  <c r="R184" i="18" s="1"/>
  <c r="Q156" i="18"/>
  <c r="R156" i="18" s="1"/>
  <c r="Q222" i="18"/>
  <c r="R222" i="18" s="1"/>
  <c r="Q195" i="18"/>
  <c r="R195" i="18" s="1"/>
  <c r="Q147" i="18"/>
  <c r="Q48" i="18"/>
  <c r="R48" i="18" s="1"/>
  <c r="Q41" i="18"/>
  <c r="R41" i="18" s="1"/>
  <c r="Q154" i="18"/>
  <c r="R154" i="18" s="1"/>
  <c r="Q215" i="18"/>
  <c r="R215" i="18" s="1"/>
  <c r="Q44" i="18"/>
  <c r="R44" i="18" s="1"/>
  <c r="M149" i="18"/>
  <c r="Q212" i="18"/>
  <c r="R212" i="18" s="1"/>
  <c r="Q149" i="18"/>
  <c r="Q151" i="18"/>
  <c r="M230" i="18"/>
  <c r="N136" i="18"/>
  <c r="M136" i="18"/>
  <c r="Q136" i="18"/>
  <c r="M27" i="18"/>
  <c r="N24" i="18"/>
  <c r="Q18" i="18"/>
  <c r="R18" i="18" s="1"/>
  <c r="Q21" i="18"/>
  <c r="R21" i="18" s="1"/>
  <c r="Q20" i="18"/>
  <c r="R20" i="18" s="1"/>
  <c r="Q26" i="18"/>
  <c r="R26" i="18" s="1"/>
  <c r="Q33" i="18"/>
  <c r="R33" i="18" s="1"/>
  <c r="Q29" i="18"/>
  <c r="R29" i="18" s="1"/>
  <c r="Q31" i="18"/>
  <c r="R31" i="18" s="1"/>
  <c r="Q84" i="18"/>
  <c r="R84" i="18" s="1"/>
  <c r="Q92" i="18"/>
  <c r="R92" i="18" s="1"/>
  <c r="Q100" i="18"/>
  <c r="R100" i="18" s="1"/>
  <c r="Q105" i="18"/>
  <c r="R105" i="18" s="1"/>
  <c r="Q114" i="18"/>
  <c r="R114" i="18" s="1"/>
  <c r="Q90" i="18"/>
  <c r="R90" i="18" s="1"/>
  <c r="Q98" i="18"/>
  <c r="R98" i="18" s="1"/>
  <c r="Q107" i="18"/>
  <c r="R107" i="18" s="1"/>
  <c r="Q112" i="18"/>
  <c r="R112" i="18" s="1"/>
  <c r="M115" i="18"/>
  <c r="M111" i="18"/>
  <c r="M106" i="18"/>
  <c r="M101" i="18"/>
  <c r="M97" i="18"/>
  <c r="M93" i="18"/>
  <c r="M89" i="18"/>
  <c r="M85" i="18"/>
  <c r="N113" i="18"/>
  <c r="N103" i="18"/>
  <c r="N95" i="18"/>
  <c r="N87" i="18"/>
  <c r="N115" i="18"/>
  <c r="O115" i="18" s="1"/>
  <c r="P115" i="18" s="1"/>
  <c r="N106" i="18"/>
  <c r="N97" i="18"/>
  <c r="O97" i="18" s="1"/>
  <c r="P97" i="18" s="1"/>
  <c r="N89" i="18"/>
  <c r="Q109" i="18"/>
  <c r="Q91" i="18"/>
  <c r="Q111" i="18"/>
  <c r="Q93" i="18"/>
  <c r="Q113" i="18"/>
  <c r="Q95" i="18"/>
  <c r="Q115" i="18"/>
  <c r="Q97" i="18"/>
  <c r="Q239" i="18"/>
  <c r="Q237" i="18"/>
  <c r="Q227" i="18"/>
  <c r="Q201" i="18"/>
  <c r="Q185" i="18"/>
  <c r="Q200" i="18"/>
  <c r="Q176" i="18"/>
  <c r="Q161" i="18"/>
  <c r="Q150" i="18"/>
  <c r="Q141" i="18"/>
  <c r="Q125" i="18"/>
  <c r="Q118" i="18"/>
  <c r="Q81" i="18"/>
  <c r="R81" i="18" s="1"/>
  <c r="Q71" i="18"/>
  <c r="R71" i="18" s="1"/>
  <c r="Q64" i="18"/>
  <c r="Q53" i="18"/>
  <c r="R53" i="18" s="1"/>
  <c r="Q213" i="18"/>
  <c r="Q199" i="18"/>
  <c r="R199" i="18" s="1"/>
  <c r="Q179" i="18"/>
  <c r="R179" i="18" s="1"/>
  <c r="Q152" i="18"/>
  <c r="Q145" i="18"/>
  <c r="Q66" i="18"/>
  <c r="R66" i="18" s="1"/>
  <c r="Q59" i="18"/>
  <c r="R59" i="18" s="1"/>
  <c r="Q47" i="18"/>
  <c r="Q34" i="18"/>
  <c r="R34" i="18" s="1"/>
  <c r="Q207" i="18"/>
  <c r="R207" i="18" s="1"/>
  <c r="Q188" i="18"/>
  <c r="R188" i="18" s="1"/>
  <c r="Q171" i="18"/>
  <c r="R171" i="18" s="1"/>
  <c r="Q158" i="18"/>
  <c r="Q144" i="18"/>
  <c r="R144" i="18" s="1"/>
  <c r="Q133" i="18"/>
  <c r="Q117" i="18"/>
  <c r="M70" i="18"/>
  <c r="N50" i="18"/>
  <c r="Q45" i="18"/>
  <c r="R45" i="18" s="1"/>
  <c r="Q126" i="18"/>
  <c r="R126" i="18" s="1"/>
  <c r="Q157" i="18"/>
  <c r="R157" i="18" s="1"/>
  <c r="Q173" i="18"/>
  <c r="R173" i="18" s="1"/>
  <c r="Q62" i="18"/>
  <c r="R62" i="18" s="1"/>
  <c r="Q120" i="18"/>
  <c r="R120" i="18" s="1"/>
  <c r="Q148" i="18"/>
  <c r="Q228" i="18"/>
  <c r="Q191" i="18"/>
  <c r="R191" i="18" s="1"/>
  <c r="Q218" i="18"/>
  <c r="R218" i="18" s="1"/>
  <c r="Q123" i="18"/>
  <c r="R123" i="18" s="1"/>
  <c r="Q159" i="18"/>
  <c r="R159" i="18" s="1"/>
  <c r="Q175" i="18"/>
  <c r="R175" i="18" s="1"/>
  <c r="Q43" i="18"/>
  <c r="R43" i="18" s="1"/>
  <c r="Q63" i="18"/>
  <c r="R63" i="18" s="1"/>
  <c r="Q119" i="18"/>
  <c r="R119" i="18" s="1"/>
  <c r="Q142" i="18"/>
  <c r="R142" i="18" s="1"/>
  <c r="M68" i="18"/>
  <c r="N147" i="18"/>
  <c r="Q224" i="18"/>
  <c r="R224" i="18" s="1"/>
  <c r="Q187" i="18"/>
  <c r="R187" i="18" s="1"/>
  <c r="Q217" i="18"/>
  <c r="R217" i="18" s="1"/>
  <c r="Q174" i="18"/>
  <c r="R174" i="18" s="1"/>
  <c r="Q229" i="18"/>
  <c r="R229" i="18" s="1"/>
  <c r="Q204" i="18"/>
  <c r="R204" i="18" s="1"/>
  <c r="Q180" i="18"/>
  <c r="R180" i="18" s="1"/>
  <c r="Q138" i="18"/>
  <c r="R138" i="18" s="1"/>
  <c r="Q221" i="18"/>
  <c r="Q182" i="18"/>
  <c r="R182" i="18" s="1"/>
  <c r="Q178" i="18"/>
  <c r="R178" i="18" s="1"/>
  <c r="Q143" i="18"/>
  <c r="R143" i="18" s="1"/>
  <c r="Q225" i="18"/>
  <c r="R225" i="18" s="1"/>
  <c r="Q219" i="18"/>
  <c r="Q197" i="18"/>
  <c r="R197" i="18" s="1"/>
  <c r="Q162" i="18"/>
  <c r="R162" i="18" s="1"/>
  <c r="Q220" i="18"/>
  <c r="Q172" i="18"/>
  <c r="R172" i="18" s="1"/>
  <c r="Q68" i="18"/>
  <c r="Q40" i="18"/>
  <c r="R40" i="18" s="1"/>
  <c r="Q39" i="18"/>
  <c r="R39" i="18" s="1"/>
  <c r="Q137" i="18"/>
  <c r="R137" i="18" s="1"/>
  <c r="N149" i="18"/>
  <c r="Q49" i="18"/>
  <c r="R49" i="18" s="1"/>
  <c r="Q42" i="18"/>
  <c r="R42" i="18" s="1"/>
  <c r="Q238" i="18"/>
  <c r="Q38" i="18"/>
  <c r="R38" i="18" s="1"/>
  <c r="Q35" i="18"/>
  <c r="AE262" i="15"/>
  <c r="AE263" i="15" s="1"/>
  <c r="AE249" i="15"/>
  <c r="AE250" i="15" s="1"/>
  <c r="AE220" i="15"/>
  <c r="AE236" i="15"/>
  <c r="O99" i="18" l="1"/>
  <c r="P99" i="18" s="1"/>
  <c r="O87" i="18"/>
  <c r="P87" i="18" s="1"/>
  <c r="R87" i="18" s="1"/>
  <c r="O103" i="18"/>
  <c r="P103" i="18" s="1"/>
  <c r="R103" i="18" s="1"/>
  <c r="O149" i="18"/>
  <c r="P149" i="18" s="1"/>
  <c r="R149" i="18" s="1"/>
  <c r="O147" i="18"/>
  <c r="P147" i="18" s="1"/>
  <c r="R147" i="18" s="1"/>
  <c r="O50" i="18"/>
  <c r="P50" i="18" s="1"/>
  <c r="R50" i="18" s="1"/>
  <c r="O89" i="18"/>
  <c r="P89" i="18" s="1"/>
  <c r="R89" i="18" s="1"/>
  <c r="O106" i="18"/>
  <c r="P106" i="18" s="1"/>
  <c r="R106" i="18" s="1"/>
  <c r="O24" i="18"/>
  <c r="O148" i="18"/>
  <c r="P148" i="18" s="1"/>
  <c r="R148" i="18" s="1"/>
  <c r="O91" i="18"/>
  <c r="P91" i="18" s="1"/>
  <c r="R91" i="18" s="1"/>
  <c r="O109" i="18"/>
  <c r="P109" i="18" s="1"/>
  <c r="R109" i="18" s="1"/>
  <c r="O135" i="18"/>
  <c r="P135" i="18" s="1"/>
  <c r="R135" i="18" s="1"/>
  <c r="O220" i="18"/>
  <c r="P220" i="18" s="1"/>
  <c r="R220" i="18" s="1"/>
  <c r="O51" i="18"/>
  <c r="P51" i="18" s="1"/>
  <c r="R51" i="18" s="1"/>
  <c r="O219" i="18"/>
  <c r="P219" i="18" s="1"/>
  <c r="R219" i="18" s="1"/>
  <c r="O95" i="18"/>
  <c r="P95" i="18" s="1"/>
  <c r="R95" i="18" s="1"/>
  <c r="O113" i="18"/>
  <c r="P113" i="18" s="1"/>
  <c r="R113" i="18" s="1"/>
  <c r="O231" i="18"/>
  <c r="P231" i="18" s="1"/>
  <c r="R231" i="18" s="1"/>
  <c r="R97" i="18"/>
  <c r="R115" i="18"/>
  <c r="O136" i="18"/>
  <c r="P136" i="18" s="1"/>
  <c r="R136" i="18" s="1"/>
  <c r="R221" i="18"/>
  <c r="O68" i="18"/>
  <c r="P68" i="18" s="1"/>
  <c r="R68" i="18" s="1"/>
  <c r="O85" i="18"/>
  <c r="P85" i="18" s="1"/>
  <c r="R85" i="18" s="1"/>
  <c r="O101" i="18"/>
  <c r="P101" i="18" s="1"/>
  <c r="R101" i="18" s="1"/>
  <c r="R83" i="18"/>
  <c r="R99" i="18"/>
  <c r="O27" i="18"/>
  <c r="P27" i="18" s="1"/>
  <c r="R27" i="18" s="1"/>
  <c r="O230" i="18"/>
  <c r="P230" i="18" s="1"/>
  <c r="R230" i="18" s="1"/>
  <c r="O70" i="18"/>
  <c r="P70" i="18" s="1"/>
  <c r="R70" i="18" s="1"/>
  <c r="R228" i="18"/>
  <c r="O93" i="18"/>
  <c r="P93" i="18" s="1"/>
  <c r="R93" i="18" s="1"/>
  <c r="O111" i="18"/>
  <c r="P111" i="18" s="1"/>
  <c r="R111" i="18" s="1"/>
  <c r="AG207" i="15"/>
  <c r="P35" i="18" l="1"/>
  <c r="R35" i="18" s="1"/>
  <c r="P151" i="18"/>
  <c r="R151" i="18" s="1"/>
  <c r="P238" i="18"/>
  <c r="H79" i="15"/>
  <c r="AF143" i="15"/>
  <c r="AD143" i="15"/>
  <c r="AF142" i="15"/>
  <c r="AD142" i="15"/>
  <c r="AF141" i="15"/>
  <c r="AD141" i="15"/>
  <c r="AF140" i="15"/>
  <c r="AD140" i="15"/>
  <c r="Z140" i="15"/>
  <c r="AF139" i="15"/>
  <c r="AC139" i="15"/>
  <c r="AD139" i="15" s="1"/>
  <c r="AF138" i="15"/>
  <c r="AC138" i="15"/>
  <c r="AD138" i="15" s="1"/>
  <c r="AF137" i="15"/>
  <c r="AC137" i="15"/>
  <c r="AD137" i="15" s="1"/>
  <c r="AF136" i="15"/>
  <c r="AC136" i="15"/>
  <c r="AD136" i="15" s="1"/>
  <c r="Z136" i="15"/>
  <c r="AF135" i="15"/>
  <c r="AC135" i="15"/>
  <c r="AD135" i="15" s="1"/>
  <c r="Z135" i="15"/>
  <c r="AF134" i="15"/>
  <c r="AC134" i="15"/>
  <c r="AD134" i="15" s="1"/>
  <c r="Z134" i="15"/>
  <c r="AF133" i="15"/>
  <c r="AC133" i="15"/>
  <c r="AD133" i="15" s="1"/>
  <c r="AF132" i="15"/>
  <c r="AC132" i="15"/>
  <c r="AD132" i="15" s="1"/>
  <c r="Z132" i="15"/>
  <c r="AF131" i="15"/>
  <c r="AC131" i="15"/>
  <c r="AD131" i="15" s="1"/>
  <c r="Z131" i="15"/>
  <c r="K229" i="15"/>
  <c r="I229" i="15"/>
  <c r="I230" i="15"/>
  <c r="K230" i="15"/>
  <c r="I231" i="15"/>
  <c r="K231" i="15"/>
  <c r="I232" i="15"/>
  <c r="K232" i="15"/>
  <c r="K217" i="15"/>
  <c r="I217" i="15"/>
  <c r="K148" i="15"/>
  <c r="I148" i="15"/>
  <c r="K222" i="15"/>
  <c r="I222" i="15"/>
  <c r="M240" i="18" l="1"/>
  <c r="R238" i="18"/>
  <c r="L230" i="15"/>
  <c r="L222" i="15"/>
  <c r="L232" i="15"/>
  <c r="L231" i="15"/>
  <c r="AF144" i="15"/>
  <c r="L148" i="15"/>
  <c r="AD144" i="15"/>
  <c r="L229" i="15"/>
  <c r="L217" i="15"/>
  <c r="R240" i="18" l="1"/>
  <c r="I132" i="15"/>
  <c r="K132" i="15"/>
  <c r="K233" i="15"/>
  <c r="I233" i="15"/>
  <c r="K228" i="15"/>
  <c r="I228" i="15"/>
  <c r="E50" i="15"/>
  <c r="J79" i="15"/>
  <c r="H77" i="15"/>
  <c r="H127" i="15"/>
  <c r="H126" i="15"/>
  <c r="J73" i="15"/>
  <c r="J74" i="15" s="1"/>
  <c r="J75" i="15" s="1"/>
  <c r="H58" i="15"/>
  <c r="H56" i="15"/>
  <c r="H55" i="15"/>
  <c r="AC84" i="15"/>
  <c r="AC51" i="15"/>
  <c r="L228" i="15" l="1"/>
  <c r="L233" i="15"/>
  <c r="L132" i="15"/>
  <c r="AF103" i="15"/>
  <c r="AF102" i="15"/>
  <c r="AF101" i="15"/>
  <c r="AF100" i="15"/>
  <c r="AC103" i="15"/>
  <c r="AD103" i="15" s="1"/>
  <c r="AC102" i="15"/>
  <c r="AD102" i="15" s="1"/>
  <c r="AC101" i="15"/>
  <c r="AD101" i="15" s="1"/>
  <c r="AC100" i="15"/>
  <c r="AD100" i="15" s="1"/>
  <c r="AD104" i="15" l="1"/>
  <c r="H49" i="15" s="1"/>
  <c r="AF104" i="15"/>
  <c r="J49" i="15" s="1"/>
  <c r="AF84" i="15"/>
  <c r="AF87" i="15"/>
  <c r="AD87" i="15"/>
  <c r="AF86" i="15"/>
  <c r="AF85" i="15"/>
  <c r="AD84" i="15"/>
  <c r="K221" i="15"/>
  <c r="I221" i="15"/>
  <c r="K215" i="15"/>
  <c r="I215" i="15"/>
  <c r="K216" i="15"/>
  <c r="I216" i="15"/>
  <c r="K214" i="15"/>
  <c r="K236" i="15" s="1"/>
  <c r="I214" i="15"/>
  <c r="K165" i="15"/>
  <c r="K161" i="15"/>
  <c r="K147" i="15"/>
  <c r="K146" i="15"/>
  <c r="K138" i="15"/>
  <c r="K131" i="15"/>
  <c r="K130" i="15"/>
  <c r="AR54" i="15"/>
  <c r="AR57" i="15" s="1"/>
  <c r="AR46" i="15"/>
  <c r="AR49" i="15" s="1"/>
  <c r="AR37" i="15"/>
  <c r="AR40" i="15" s="1"/>
  <c r="I147" i="15"/>
  <c r="I146" i="15"/>
  <c r="I138" i="15"/>
  <c r="K211" i="15" l="1"/>
  <c r="AF88" i="15"/>
  <c r="J44" i="15" s="1"/>
  <c r="L138" i="15"/>
  <c r="L147" i="15"/>
  <c r="I236" i="15"/>
  <c r="L146" i="15"/>
  <c r="L221" i="15"/>
  <c r="L215" i="15"/>
  <c r="L216" i="15"/>
  <c r="L214" i="15"/>
  <c r="AR39" i="15"/>
  <c r="AR48" i="15"/>
  <c r="AR56" i="15"/>
  <c r="AR38" i="15"/>
  <c r="AR47" i="15"/>
  <c r="AR55" i="15"/>
  <c r="I130" i="15"/>
  <c r="L130" i="15" s="1"/>
  <c r="I131" i="15"/>
  <c r="L131" i="15" s="1"/>
  <c r="E128" i="15"/>
  <c r="I27" i="15"/>
  <c r="K28" i="15"/>
  <c r="K27" i="15"/>
  <c r="K24" i="15"/>
  <c r="I24" i="15"/>
  <c r="K21" i="15"/>
  <c r="K20" i="15"/>
  <c r="I20" i="15"/>
  <c r="K19" i="15"/>
  <c r="I19" i="15"/>
  <c r="K18" i="15"/>
  <c r="I18" i="15"/>
  <c r="K17" i="15"/>
  <c r="L236" i="15" l="1"/>
  <c r="K35" i="15"/>
  <c r="AR58" i="15"/>
  <c r="AR42" i="15"/>
  <c r="L27" i="15"/>
  <c r="AR51" i="15"/>
  <c r="L19" i="15"/>
  <c r="L20" i="15"/>
  <c r="L24" i="15"/>
  <c r="L18" i="15"/>
  <c r="I28" i="15"/>
  <c r="L28" i="15" s="1"/>
  <c r="I17" i="15"/>
  <c r="H21" i="15" l="1"/>
  <c r="I21" i="15" s="1"/>
  <c r="L17" i="15"/>
  <c r="L21" i="15" l="1"/>
  <c r="L35" i="15" s="1"/>
  <c r="I35" i="15"/>
  <c r="I165" i="15"/>
  <c r="L165" i="15" s="1"/>
  <c r="I161" i="15"/>
  <c r="AE124" i="15"/>
  <c r="AC124" i="15"/>
  <c r="Z124" i="15"/>
  <c r="AE123" i="15"/>
  <c r="AC123" i="15"/>
  <c r="AE122" i="15"/>
  <c r="AC122" i="15"/>
  <c r="AE121" i="15"/>
  <c r="AC121" i="15"/>
  <c r="AE120" i="15"/>
  <c r="AC120" i="15"/>
  <c r="Z120" i="15"/>
  <c r="AE119" i="15"/>
  <c r="AC119" i="15"/>
  <c r="K129" i="15"/>
  <c r="I129" i="15"/>
  <c r="AE118" i="15"/>
  <c r="AC118" i="15"/>
  <c r="AA117" i="15"/>
  <c r="AE117" i="15" s="1"/>
  <c r="K128" i="15"/>
  <c r="I128" i="15"/>
  <c r="K127" i="15"/>
  <c r="I127" i="15"/>
  <c r="K126" i="15"/>
  <c r="I126" i="15"/>
  <c r="K123" i="15"/>
  <c r="I123" i="15"/>
  <c r="K122" i="15"/>
  <c r="I122" i="15"/>
  <c r="K120" i="15"/>
  <c r="I120" i="15"/>
  <c r="K119" i="15"/>
  <c r="I119" i="15"/>
  <c r="K115" i="15"/>
  <c r="I115" i="15"/>
  <c r="AE113" i="15"/>
  <c r="AB113" i="15"/>
  <c r="AC113" i="15" s="1"/>
  <c r="K113" i="15"/>
  <c r="I113" i="15"/>
  <c r="AE112" i="15"/>
  <c r="AB112" i="15"/>
  <c r="AC112" i="15" s="1"/>
  <c r="AE111" i="15"/>
  <c r="AC111" i="15"/>
  <c r="K111" i="15"/>
  <c r="I111" i="15"/>
  <c r="K109" i="15"/>
  <c r="I109" i="15"/>
  <c r="K106" i="15"/>
  <c r="I106" i="15"/>
  <c r="K103" i="15"/>
  <c r="I103" i="15"/>
  <c r="K101" i="15"/>
  <c r="I101" i="15"/>
  <c r="K99" i="15"/>
  <c r="I99" i="15"/>
  <c r="AF95" i="15"/>
  <c r="AD95" i="15"/>
  <c r="AF94" i="15"/>
  <c r="AC94" i="15"/>
  <c r="AD94" i="15" s="1"/>
  <c r="K97" i="15"/>
  <c r="I97" i="15"/>
  <c r="AF93" i="15"/>
  <c r="AC93" i="15"/>
  <c r="AD93" i="15" s="1"/>
  <c r="AF92" i="15"/>
  <c r="AC92" i="15"/>
  <c r="AD92" i="15" s="1"/>
  <c r="K95" i="15"/>
  <c r="I95" i="15"/>
  <c r="K93" i="15"/>
  <c r="I93" i="15"/>
  <c r="K91" i="15"/>
  <c r="I91" i="15"/>
  <c r="AE53" i="15"/>
  <c r="AF53" i="15" s="1"/>
  <c r="AF52" i="15"/>
  <c r="AD52" i="15"/>
  <c r="K89" i="15"/>
  <c r="I89" i="15"/>
  <c r="AF51" i="15"/>
  <c r="AD51" i="15"/>
  <c r="K87" i="15"/>
  <c r="I87" i="15"/>
  <c r="K85" i="15"/>
  <c r="I85" i="15"/>
  <c r="K83" i="15"/>
  <c r="I83" i="15"/>
  <c r="AE62" i="15"/>
  <c r="AF62" i="15" s="1"/>
  <c r="AE61" i="15"/>
  <c r="AF61" i="15" s="1"/>
  <c r="W61" i="15"/>
  <c r="W53" i="15" s="1"/>
  <c r="AF60" i="15"/>
  <c r="K79" i="15"/>
  <c r="I79" i="15"/>
  <c r="AF59" i="15"/>
  <c r="AF58" i="15"/>
  <c r="AC58" i="15"/>
  <c r="AD58" i="15" s="1"/>
  <c r="K77" i="15"/>
  <c r="I77" i="15"/>
  <c r="K76" i="15"/>
  <c r="I76" i="15"/>
  <c r="AF46" i="15"/>
  <c r="AC62" i="15"/>
  <c r="K75" i="15"/>
  <c r="I75" i="15"/>
  <c r="AF45" i="15"/>
  <c r="AC45" i="15"/>
  <c r="AF44" i="15"/>
  <c r="K74" i="15"/>
  <c r="I74" i="15"/>
  <c r="AF43" i="15"/>
  <c r="AC43" i="15"/>
  <c r="AD43" i="15" s="1"/>
  <c r="K73" i="15"/>
  <c r="I73" i="15"/>
  <c r="K72" i="15"/>
  <c r="I72" i="15"/>
  <c r="AF80" i="15"/>
  <c r="AD80" i="15"/>
  <c r="K70" i="15"/>
  <c r="I70" i="15"/>
  <c r="AF79" i="15"/>
  <c r="AC79" i="15"/>
  <c r="AD79" i="15" s="1"/>
  <c r="AF78" i="15"/>
  <c r="AF77" i="15"/>
  <c r="AC77" i="15"/>
  <c r="AD77" i="15" s="1"/>
  <c r="K68" i="15"/>
  <c r="I68" i="15"/>
  <c r="AF73" i="15"/>
  <c r="AC73" i="15"/>
  <c r="AD73" i="15" s="1"/>
  <c r="K65" i="15"/>
  <c r="I65" i="15"/>
  <c r="AF72" i="15"/>
  <c r="AC72" i="15"/>
  <c r="AD72" i="15" s="1"/>
  <c r="AF71" i="15"/>
  <c r="AC71" i="15"/>
  <c r="AC78" i="15" s="1"/>
  <c r="K63" i="15"/>
  <c r="I63" i="15"/>
  <c r="AF70" i="15"/>
  <c r="AC70" i="15"/>
  <c r="AD70" i="15" s="1"/>
  <c r="K62" i="15"/>
  <c r="I62" i="15"/>
  <c r="K60" i="15"/>
  <c r="I60" i="15"/>
  <c r="K58" i="15"/>
  <c r="I58" i="15"/>
  <c r="K56" i="15"/>
  <c r="I56" i="15"/>
  <c r="K55" i="15"/>
  <c r="I55" i="15"/>
  <c r="K51" i="15"/>
  <c r="I51" i="15"/>
  <c r="K50" i="15"/>
  <c r="I50" i="15"/>
  <c r="K49" i="15"/>
  <c r="I49" i="15"/>
  <c r="K45" i="15"/>
  <c r="I45" i="15"/>
  <c r="E45" i="15"/>
  <c r="K44" i="15"/>
  <c r="K43" i="15"/>
  <c r="I43" i="15"/>
  <c r="E40" i="15"/>
  <c r="E39" i="15"/>
  <c r="E38" i="15"/>
  <c r="J120" i="14"/>
  <c r="H120" i="14"/>
  <c r="J119" i="14"/>
  <c r="H119" i="14"/>
  <c r="AF88" i="14"/>
  <c r="AC81" i="14"/>
  <c r="AC56" i="14"/>
  <c r="AC63" i="14" s="1"/>
  <c r="AC49" i="14"/>
  <c r="D21" i="14"/>
  <c r="D23" i="14"/>
  <c r="D22" i="14"/>
  <c r="D28" i="14"/>
  <c r="AF96" i="15" l="1"/>
  <c r="J48" i="15" s="1"/>
  <c r="K48" i="15" s="1"/>
  <c r="AC70" i="14"/>
  <c r="AE126" i="15"/>
  <c r="J137" i="15" s="1"/>
  <c r="K137" i="15" s="1"/>
  <c r="L161" i="15"/>
  <c r="L211" i="15" s="1"/>
  <c r="I211" i="15"/>
  <c r="L62" i="15"/>
  <c r="L65" i="15"/>
  <c r="L68" i="15"/>
  <c r="L91" i="15"/>
  <c r="L93" i="15"/>
  <c r="L97" i="15"/>
  <c r="L101" i="15"/>
  <c r="L103" i="15"/>
  <c r="L106" i="15"/>
  <c r="L109" i="15"/>
  <c r="L111" i="15"/>
  <c r="L113" i="15"/>
  <c r="L99" i="15"/>
  <c r="L95" i="15"/>
  <c r="L87" i="15"/>
  <c r="L115" i="15"/>
  <c r="L119" i="15"/>
  <c r="L70" i="15"/>
  <c r="AC60" i="15"/>
  <c r="AD60" i="15" s="1"/>
  <c r="AC86" i="15"/>
  <c r="AD86" i="15" s="1"/>
  <c r="L129" i="15"/>
  <c r="L128" i="15"/>
  <c r="L127" i="15"/>
  <c r="L76" i="15"/>
  <c r="L75" i="15"/>
  <c r="L74" i="15"/>
  <c r="L73" i="15"/>
  <c r="L72" i="15"/>
  <c r="L89" i="15"/>
  <c r="L85" i="15"/>
  <c r="L83" i="15"/>
  <c r="L126" i="15"/>
  <c r="L79" i="15"/>
  <c r="L77" i="15"/>
  <c r="L55" i="15"/>
  <c r="L63" i="15"/>
  <c r="L60" i="15"/>
  <c r="L58" i="15"/>
  <c r="L56" i="15"/>
  <c r="L123" i="15"/>
  <c r="L120" i="15"/>
  <c r="L122" i="15"/>
  <c r="AC117" i="15"/>
  <c r="AC126" i="15" s="1"/>
  <c r="H137" i="15" s="1"/>
  <c r="I137" i="15" s="1"/>
  <c r="AC114" i="15"/>
  <c r="L49" i="15"/>
  <c r="AD45" i="15"/>
  <c r="L50" i="15"/>
  <c r="L51" i="15"/>
  <c r="L43" i="15"/>
  <c r="AF81" i="15"/>
  <c r="AF63" i="15"/>
  <c r="J40" i="15" s="1"/>
  <c r="K40" i="15" s="1"/>
  <c r="AF54" i="15"/>
  <c r="K39" i="15" s="1"/>
  <c r="AD96" i="15"/>
  <c r="H48" i="15" s="1"/>
  <c r="L45" i="15"/>
  <c r="AF74" i="15"/>
  <c r="J41" i="15" s="1"/>
  <c r="K41" i="15" s="1"/>
  <c r="AF47" i="15"/>
  <c r="J38" i="15" s="1"/>
  <c r="AE114" i="15"/>
  <c r="AC59" i="15"/>
  <c r="AD59" i="15" s="1"/>
  <c r="AC44" i="15"/>
  <c r="AD78" i="15"/>
  <c r="AD81" i="15" s="1"/>
  <c r="H42" i="15" s="1"/>
  <c r="AC53" i="15"/>
  <c r="AD53" i="15" s="1"/>
  <c r="AD54" i="15" s="1"/>
  <c r="H39" i="15" s="1"/>
  <c r="AD62" i="15"/>
  <c r="AD71" i="15"/>
  <c r="AD74" i="15" s="1"/>
  <c r="H41" i="15" s="1"/>
  <c r="AD46" i="15"/>
  <c r="AC61" i="15"/>
  <c r="AD61" i="15" s="1"/>
  <c r="AB126" i="14"/>
  <c r="AB131" i="14"/>
  <c r="AB132" i="14"/>
  <c r="AC132" i="14" s="1"/>
  <c r="AB128" i="14"/>
  <c r="AB127" i="14"/>
  <c r="AC127" i="14" s="1"/>
  <c r="AE127" i="14"/>
  <c r="AE128" i="14"/>
  <c r="AE129" i="14"/>
  <c r="AE130" i="14"/>
  <c r="AE131" i="14"/>
  <c r="AE132" i="14"/>
  <c r="AE133" i="14"/>
  <c r="AC128" i="14"/>
  <c r="AC129" i="14"/>
  <c r="AC130" i="14"/>
  <c r="AC131" i="14"/>
  <c r="AC133" i="14"/>
  <c r="Z131" i="14"/>
  <c r="Z133" i="14"/>
  <c r="Z132" i="14"/>
  <c r="Z129" i="14"/>
  <c r="AA126" i="14"/>
  <c r="AE126" i="14" s="1"/>
  <c r="L196" i="14"/>
  <c r="L197" i="14"/>
  <c r="L185" i="14"/>
  <c r="L184" i="14"/>
  <c r="J129" i="14"/>
  <c r="J128" i="14"/>
  <c r="J131" i="14" s="1"/>
  <c r="J126" i="14"/>
  <c r="J125" i="14"/>
  <c r="J124" i="14"/>
  <c r="J118" i="14"/>
  <c r="J117" i="14"/>
  <c r="J114" i="14"/>
  <c r="J113" i="14"/>
  <c r="J108" i="14"/>
  <c r="J106" i="14"/>
  <c r="J104" i="14"/>
  <c r="J102" i="14"/>
  <c r="J99" i="14"/>
  <c r="J96" i="14"/>
  <c r="J94" i="14"/>
  <c r="J92" i="14"/>
  <c r="J90" i="14"/>
  <c r="J88" i="14"/>
  <c r="J86" i="14"/>
  <c r="J84" i="14"/>
  <c r="J82" i="14"/>
  <c r="J80" i="14"/>
  <c r="J78" i="14"/>
  <c r="J76" i="14"/>
  <c r="J71" i="14"/>
  <c r="J69" i="14"/>
  <c r="J67" i="14"/>
  <c r="J65" i="14"/>
  <c r="J63" i="14"/>
  <c r="J62" i="14"/>
  <c r="J61" i="14"/>
  <c r="J58" i="14"/>
  <c r="J55" i="14"/>
  <c r="J73" i="14" s="1"/>
  <c r="H154" i="14"/>
  <c r="H153" i="14"/>
  <c r="H152" i="14"/>
  <c r="H151" i="14"/>
  <c r="H150" i="14"/>
  <c r="H149" i="14"/>
  <c r="H148" i="14"/>
  <c r="H142" i="14"/>
  <c r="H141" i="14"/>
  <c r="H139" i="14"/>
  <c r="H138" i="14"/>
  <c r="H137" i="14"/>
  <c r="H136" i="14"/>
  <c r="H129" i="14"/>
  <c r="H128" i="14"/>
  <c r="H126" i="14"/>
  <c r="H125" i="14"/>
  <c r="H124" i="14"/>
  <c r="H118" i="14"/>
  <c r="H117" i="14"/>
  <c r="H114" i="14"/>
  <c r="H113" i="14"/>
  <c r="H108" i="14"/>
  <c r="H106" i="14"/>
  <c r="H104" i="14"/>
  <c r="H102" i="14"/>
  <c r="H99" i="14"/>
  <c r="H96" i="14"/>
  <c r="H94" i="14"/>
  <c r="H92" i="14"/>
  <c r="H90" i="14"/>
  <c r="H88" i="14"/>
  <c r="H86" i="14"/>
  <c r="H84" i="14"/>
  <c r="H82" i="14"/>
  <c r="H80" i="14"/>
  <c r="H110" i="14" s="1"/>
  <c r="H78" i="14"/>
  <c r="H76" i="14"/>
  <c r="H71" i="14"/>
  <c r="H69" i="14"/>
  <c r="H67" i="14"/>
  <c r="H65" i="14"/>
  <c r="H63" i="14"/>
  <c r="H62" i="14"/>
  <c r="H61" i="14"/>
  <c r="H58" i="14"/>
  <c r="H55" i="14"/>
  <c r="J51" i="14"/>
  <c r="J49" i="14"/>
  <c r="J48" i="14"/>
  <c r="J46" i="14"/>
  <c r="J44" i="14"/>
  <c r="J42" i="14"/>
  <c r="J40" i="14"/>
  <c r="H51" i="14"/>
  <c r="H49" i="14"/>
  <c r="H48" i="14"/>
  <c r="H46" i="14"/>
  <c r="H44" i="14"/>
  <c r="H42" i="14"/>
  <c r="H52" i="14" s="1"/>
  <c r="H40" i="14"/>
  <c r="J33" i="14"/>
  <c r="J34" i="14"/>
  <c r="J35" i="14"/>
  <c r="J32" i="14"/>
  <c r="H33" i="14"/>
  <c r="H34" i="14"/>
  <c r="H35" i="14"/>
  <c r="AC88" i="14"/>
  <c r="AD88" i="14" s="1"/>
  <c r="AF91" i="14"/>
  <c r="AC91" i="14"/>
  <c r="AD91" i="14" s="1"/>
  <c r="AF90" i="14"/>
  <c r="AC90" i="14"/>
  <c r="AD90" i="14" s="1"/>
  <c r="AF89" i="14"/>
  <c r="AC89" i="14"/>
  <c r="AD89" i="14" s="1"/>
  <c r="AC48" i="14"/>
  <c r="AD48" i="14" s="1"/>
  <c r="AF51" i="14"/>
  <c r="AC51" i="14"/>
  <c r="AD51" i="14" s="1"/>
  <c r="AF50" i="14"/>
  <c r="AC50" i="14"/>
  <c r="AD50" i="14" s="1"/>
  <c r="AF49" i="14"/>
  <c r="AD49" i="14"/>
  <c r="AF48" i="14"/>
  <c r="AC55" i="14"/>
  <c r="AD55" i="14" s="1"/>
  <c r="AC69" i="14"/>
  <c r="AD69" i="14" s="1"/>
  <c r="AD81" i="14"/>
  <c r="AF58" i="14"/>
  <c r="AC58" i="14"/>
  <c r="AD58" i="14" s="1"/>
  <c r="AF57" i="14"/>
  <c r="AC57" i="14"/>
  <c r="AD57" i="14" s="1"/>
  <c r="AF56" i="14"/>
  <c r="AD56" i="14"/>
  <c r="AF55" i="14"/>
  <c r="AC64" i="14"/>
  <c r="AC62" i="14"/>
  <c r="AD62" i="14" s="1"/>
  <c r="AE106" i="14"/>
  <c r="AB106" i="14"/>
  <c r="AC106" i="14" s="1"/>
  <c r="AE105" i="14"/>
  <c r="AB105" i="14"/>
  <c r="AC105" i="14" s="1"/>
  <c r="AE104" i="14"/>
  <c r="AC104" i="14"/>
  <c r="AE100" i="14"/>
  <c r="AB100" i="14"/>
  <c r="AC100" i="14" s="1"/>
  <c r="AE99" i="14"/>
  <c r="AB99" i="14"/>
  <c r="AC99" i="14" s="1"/>
  <c r="Z99" i="14"/>
  <c r="AF98" i="14"/>
  <c r="AE83" i="14"/>
  <c r="AF83" i="14" s="1"/>
  <c r="AF82" i="14"/>
  <c r="AC82" i="14"/>
  <c r="AD82" i="14" s="1"/>
  <c r="AF81" i="14"/>
  <c r="AE73" i="14"/>
  <c r="AF73" i="14" s="1"/>
  <c r="AE72" i="14"/>
  <c r="AF72" i="14" s="1"/>
  <c r="W72" i="14"/>
  <c r="W83" i="14" s="1"/>
  <c r="AF71" i="14"/>
  <c r="AF70" i="14"/>
  <c r="AF69" i="14"/>
  <c r="AF65" i="14"/>
  <c r="AC65" i="14"/>
  <c r="AC73" i="14" s="1"/>
  <c r="AF64" i="14"/>
  <c r="AD64" i="14"/>
  <c r="AC71" i="14"/>
  <c r="AD71" i="14" s="1"/>
  <c r="AF63" i="14"/>
  <c r="AF62" i="14"/>
  <c r="K108" i="14"/>
  <c r="K102" i="14"/>
  <c r="J37" i="14"/>
  <c r="K145" i="14"/>
  <c r="J145" i="14"/>
  <c r="P131" i="14"/>
  <c r="K131" i="14"/>
  <c r="P121" i="14"/>
  <c r="K121" i="14"/>
  <c r="H121" i="14"/>
  <c r="K73" i="14"/>
  <c r="P52" i="14"/>
  <c r="J26" i="14"/>
  <c r="J27" i="14"/>
  <c r="J28" i="14"/>
  <c r="H26" i="14"/>
  <c r="H27" i="14"/>
  <c r="H28" i="14"/>
  <c r="L189" i="14"/>
  <c r="AF66" i="14" l="1"/>
  <c r="H131" i="14"/>
  <c r="K28" i="14"/>
  <c r="H155" i="14"/>
  <c r="J110" i="14"/>
  <c r="AF92" i="14"/>
  <c r="K110" i="14"/>
  <c r="AC126" i="14"/>
  <c r="AC134" i="14" s="1"/>
  <c r="G32" i="14"/>
  <c r="H32" i="14" s="1"/>
  <c r="H37" i="14" s="1"/>
  <c r="AD92" i="14"/>
  <c r="AF84" i="14"/>
  <c r="I22" i="14" s="1"/>
  <c r="J22" i="14" s="1"/>
  <c r="AD52" i="14"/>
  <c r="G24" i="14" s="1"/>
  <c r="H24" i="14" s="1"/>
  <c r="AD59" i="14"/>
  <c r="G25" i="14" s="1"/>
  <c r="H25" i="14" s="1"/>
  <c r="J42" i="15"/>
  <c r="K42" i="15" s="1"/>
  <c r="K38" i="15"/>
  <c r="L137" i="15"/>
  <c r="I48" i="15"/>
  <c r="L48" i="15" s="1"/>
  <c r="AD44" i="15"/>
  <c r="AD47" i="15" s="1"/>
  <c r="H38" i="15" s="1"/>
  <c r="I38" i="15" s="1"/>
  <c r="AC85" i="15"/>
  <c r="AD85" i="15" s="1"/>
  <c r="AD88" i="15" s="1"/>
  <c r="H44" i="15" s="1"/>
  <c r="I44" i="15" s="1"/>
  <c r="L44" i="15" s="1"/>
  <c r="AD63" i="15"/>
  <c r="H40" i="15" s="1"/>
  <c r="I40" i="15" s="1"/>
  <c r="L40" i="15" s="1"/>
  <c r="I41" i="15"/>
  <c r="L41" i="15" s="1"/>
  <c r="I39" i="15"/>
  <c r="L39" i="15" s="1"/>
  <c r="I42" i="15"/>
  <c r="AF74" i="14"/>
  <c r="I23" i="14" s="1"/>
  <c r="J23" i="14" s="1"/>
  <c r="AF52" i="14"/>
  <c r="I24" i="14" s="1"/>
  <c r="J24" i="14" s="1"/>
  <c r="AF59" i="14"/>
  <c r="I25" i="14" s="1"/>
  <c r="J25" i="14" s="1"/>
  <c r="K34" i="14"/>
  <c r="K42" i="14"/>
  <c r="K46" i="14"/>
  <c r="K49" i="14"/>
  <c r="AC107" i="14"/>
  <c r="K27" i="14"/>
  <c r="AE107" i="14"/>
  <c r="K35" i="14"/>
  <c r="K33" i="14"/>
  <c r="K44" i="14"/>
  <c r="K48" i="14"/>
  <c r="K51" i="14"/>
  <c r="O179" i="14"/>
  <c r="AE134" i="14"/>
  <c r="K32" i="14"/>
  <c r="H73" i="14"/>
  <c r="I21" i="14"/>
  <c r="AC101" i="14"/>
  <c r="K40" i="14"/>
  <c r="J121" i="14"/>
  <c r="H145" i="14"/>
  <c r="J52" i="14"/>
  <c r="K26" i="14"/>
  <c r="AC83" i="14"/>
  <c r="AD83" i="14" s="1"/>
  <c r="AD84" i="14" s="1"/>
  <c r="G22" i="14" s="1"/>
  <c r="H22" i="14" s="1"/>
  <c r="AD73" i="14"/>
  <c r="AD63" i="14"/>
  <c r="AD65" i="14"/>
  <c r="AC72" i="14"/>
  <c r="AD72" i="14" s="1"/>
  <c r="K37" i="14" l="1"/>
  <c r="K52" i="14"/>
  <c r="K22" i="14"/>
  <c r="AD66" i="14"/>
  <c r="G21" i="14"/>
  <c r="K24" i="14"/>
  <c r="L42" i="15"/>
  <c r="K150" i="15"/>
  <c r="K238" i="15" s="1"/>
  <c r="I150" i="15"/>
  <c r="I238" i="15" s="1"/>
  <c r="L38" i="15"/>
  <c r="K25" i="14"/>
  <c r="AD70" i="14"/>
  <c r="J21" i="14"/>
  <c r="J29" i="14" s="1"/>
  <c r="J160" i="14" s="1"/>
  <c r="H21" i="14"/>
  <c r="O108" i="14"/>
  <c r="O102" i="14"/>
  <c r="L150" i="15" l="1"/>
  <c r="L238" i="15" s="1"/>
  <c r="P255" i="15" s="1"/>
  <c r="N257" i="15" s="1"/>
  <c r="AD74" i="14"/>
  <c r="G23" i="14" s="1"/>
  <c r="H23" i="14" s="1"/>
  <c r="K21" i="14"/>
  <c r="D113" i="14"/>
  <c r="D141" i="14"/>
  <c r="D138" i="14"/>
  <c r="D137" i="14"/>
  <c r="D136" i="14"/>
  <c r="L237" i="15" l="1"/>
  <c r="K23" i="14"/>
  <c r="H29" i="14"/>
  <c r="H160" i="14" s="1"/>
  <c r="K29" i="14"/>
  <c r="K160" i="14" s="1"/>
  <c r="P176" i="14" s="1"/>
  <c r="O178" i="14" s="1"/>
  <c r="P170" i="14"/>
  <c r="O143" i="14"/>
  <c r="P143" i="14" s="1"/>
  <c r="O142" i="14"/>
  <c r="P142" i="14" s="1"/>
  <c r="O139" i="14"/>
  <c r="P139" i="14" s="1"/>
  <c r="O138" i="14"/>
  <c r="P138" i="14" s="1"/>
  <c r="O137" i="14"/>
  <c r="P137" i="14" s="1"/>
  <c r="O136" i="14"/>
  <c r="P136" i="14" s="1"/>
  <c r="P145" i="14" s="1"/>
  <c r="P108" i="14"/>
  <c r="P106" i="14"/>
  <c r="P104" i="14"/>
  <c r="P102" i="14"/>
  <c r="P99" i="14"/>
  <c r="P96" i="14"/>
  <c r="P94" i="14"/>
  <c r="P92" i="14"/>
  <c r="O90" i="14"/>
  <c r="P90" i="14" s="1"/>
  <c r="O88" i="14"/>
  <c r="P88" i="14" s="1"/>
  <c r="O86" i="14"/>
  <c r="P86" i="14" s="1"/>
  <c r="O84" i="14"/>
  <c r="P84" i="14" s="1"/>
  <c r="P82" i="14"/>
  <c r="P80" i="14"/>
  <c r="P78" i="14"/>
  <c r="P76" i="14"/>
  <c r="P110" i="14" s="1"/>
  <c r="O71" i="14"/>
  <c r="P71" i="14" s="1"/>
  <c r="O69" i="14"/>
  <c r="P69" i="14" s="1"/>
  <c r="O67" i="14"/>
  <c r="P67" i="14" s="1"/>
  <c r="O65" i="14"/>
  <c r="P65" i="14" s="1"/>
  <c r="O63" i="14"/>
  <c r="P63" i="14" s="1"/>
  <c r="O62" i="14"/>
  <c r="P62" i="14" s="1"/>
  <c r="O61" i="14"/>
  <c r="P61" i="14" s="1"/>
  <c r="P58" i="14"/>
  <c r="P55" i="14"/>
  <c r="R24" i="14"/>
  <c r="J136" i="12"/>
  <c r="I123" i="12"/>
  <c r="J123" i="12" s="1"/>
  <c r="I122" i="12"/>
  <c r="J122" i="12" s="1"/>
  <c r="I121" i="12"/>
  <c r="J121" i="12" s="1"/>
  <c r="I118" i="12"/>
  <c r="J118" i="12" s="1"/>
  <c r="I117" i="12"/>
  <c r="J117" i="12" s="1"/>
  <c r="I116" i="12"/>
  <c r="J116" i="12" s="1"/>
  <c r="I113" i="12"/>
  <c r="J113" i="12" s="1"/>
  <c r="I112" i="12"/>
  <c r="J112" i="12" s="1"/>
  <c r="I111" i="12"/>
  <c r="J111" i="12" s="1"/>
  <c r="I110" i="12"/>
  <c r="J110" i="12" s="1"/>
  <c r="I104" i="12"/>
  <c r="J104" i="12" s="1"/>
  <c r="I102" i="12"/>
  <c r="J102" i="12" s="1"/>
  <c r="I100" i="12"/>
  <c r="J100" i="12" s="1"/>
  <c r="I98" i="12"/>
  <c r="J98" i="12" s="1"/>
  <c r="I95" i="12"/>
  <c r="J95" i="12" s="1"/>
  <c r="I92" i="12"/>
  <c r="J92" i="12" s="1"/>
  <c r="I90" i="12"/>
  <c r="J90" i="12" s="1"/>
  <c r="I88" i="12"/>
  <c r="J88" i="12" s="1"/>
  <c r="I86" i="12"/>
  <c r="J86" i="12" s="1"/>
  <c r="I84" i="12"/>
  <c r="J84" i="12" s="1"/>
  <c r="I82" i="12"/>
  <c r="J82" i="12" s="1"/>
  <c r="I80" i="12"/>
  <c r="J80" i="12" s="1"/>
  <c r="I78" i="12"/>
  <c r="J78" i="12" s="1"/>
  <c r="I76" i="12"/>
  <c r="J76" i="12" s="1"/>
  <c r="I74" i="12"/>
  <c r="J74" i="12" s="1"/>
  <c r="I72" i="12"/>
  <c r="J72" i="12" s="1"/>
  <c r="I68" i="12"/>
  <c r="J68" i="12" s="1"/>
  <c r="I66" i="12"/>
  <c r="J66" i="12" s="1"/>
  <c r="I64" i="12"/>
  <c r="J64" i="12" s="1"/>
  <c r="I62" i="12"/>
  <c r="J62" i="12" s="1"/>
  <c r="I60" i="12"/>
  <c r="J60" i="12" s="1"/>
  <c r="I59" i="12"/>
  <c r="J59" i="12" s="1"/>
  <c r="I58" i="12"/>
  <c r="J58" i="12" s="1"/>
  <c r="I55" i="12"/>
  <c r="J55" i="12" s="1"/>
  <c r="I52" i="12"/>
  <c r="J52" i="12" s="1"/>
  <c r="I27" i="12"/>
  <c r="J27" i="12" s="1"/>
  <c r="I26" i="12"/>
  <c r="J26" i="12" s="1"/>
  <c r="I25" i="12"/>
  <c r="J25" i="12" s="1"/>
  <c r="L24" i="12"/>
  <c r="I24" i="12"/>
  <c r="J24" i="12" s="1"/>
  <c r="I23" i="12"/>
  <c r="J23" i="12" s="1"/>
  <c r="I22" i="12"/>
  <c r="J22" i="12" s="1"/>
  <c r="I21" i="12"/>
  <c r="J21" i="12" s="1"/>
  <c r="J126" i="12" l="1"/>
  <c r="J135" i="12" s="1"/>
  <c r="J138" i="12" s="1"/>
  <c r="P257" i="15"/>
  <c r="P258" i="15" s="1"/>
  <c r="P259" i="15" s="1"/>
  <c r="N260" i="15" s="1"/>
  <c r="P178" i="14"/>
  <c r="P179" i="14" s="1"/>
  <c r="P180" i="14" s="1"/>
  <c r="O181" i="14" s="1"/>
  <c r="P181" i="14" s="1"/>
  <c r="P182" i="14" s="1"/>
  <c r="O183" i="14" s="1"/>
  <c r="P183" i="14" s="1"/>
  <c r="P73" i="14"/>
  <c r="P185" i="14" l="1"/>
  <c r="O185" i="14"/>
  <c r="O186" i="14"/>
  <c r="P169" i="14"/>
  <c r="P172" i="14" s="1"/>
  <c r="P260" i="15" l="1"/>
  <c r="N261" i="15" s="1"/>
  <c r="P186" i="14"/>
  <c r="L21" i="14"/>
  <c r="M21" i="14" s="1"/>
  <c r="N49" i="14"/>
  <c r="N46" i="14"/>
  <c r="N42" i="14"/>
  <c r="N35" i="14"/>
  <c r="O35" i="14" s="1"/>
  <c r="N28" i="14"/>
  <c r="O28" i="14" s="1"/>
  <c r="N33" i="14"/>
  <c r="O33" i="14" s="1"/>
  <c r="N21" i="14"/>
  <c r="O21" i="14" s="1"/>
  <c r="N51" i="14"/>
  <c r="N48" i="14"/>
  <c r="N44" i="14"/>
  <c r="N40" i="14"/>
  <c r="N34" i="14"/>
  <c r="O34" i="14" s="1"/>
  <c r="N27" i="14"/>
  <c r="O27" i="14" s="1"/>
  <c r="N32" i="14"/>
  <c r="O32" i="14" s="1"/>
  <c r="L46" i="14"/>
  <c r="M46" i="14" s="1"/>
  <c r="L51" i="14"/>
  <c r="M51" i="14" s="1"/>
  <c r="L44" i="14"/>
  <c r="M44" i="14" s="1"/>
  <c r="L34" i="14"/>
  <c r="M34" i="14" s="1"/>
  <c r="L33" i="14"/>
  <c r="M33" i="14" s="1"/>
  <c r="N22" i="14"/>
  <c r="O22" i="14" s="1"/>
  <c r="N24" i="14"/>
  <c r="O24" i="14" s="1"/>
  <c r="L27" i="14"/>
  <c r="M27" i="14" s="1"/>
  <c r="N23" i="14"/>
  <c r="O23" i="14" s="1"/>
  <c r="L23" i="14"/>
  <c r="M23" i="14" s="1"/>
  <c r="L22" i="14"/>
  <c r="M22" i="14" s="1"/>
  <c r="L26" i="14"/>
  <c r="M26" i="14" s="1"/>
  <c r="L49" i="14"/>
  <c r="M49" i="14" s="1"/>
  <c r="L42" i="14"/>
  <c r="M42" i="14" s="1"/>
  <c r="L48" i="14"/>
  <c r="M48" i="14" s="1"/>
  <c r="L40" i="14"/>
  <c r="M40" i="14" s="1"/>
  <c r="L32" i="14"/>
  <c r="M32" i="14" s="1"/>
  <c r="L35" i="14"/>
  <c r="M35" i="14" s="1"/>
  <c r="N25" i="14"/>
  <c r="O25" i="14" s="1"/>
  <c r="N26" i="14"/>
  <c r="O26" i="14" s="1"/>
  <c r="L25" i="14"/>
  <c r="M25" i="14" s="1"/>
  <c r="L24" i="14"/>
  <c r="M24" i="14" s="1"/>
  <c r="P24" i="14" s="1"/>
  <c r="L28" i="14"/>
  <c r="M28" i="14" s="1"/>
  <c r="P261" i="15" l="1"/>
  <c r="N263" i="15"/>
  <c r="N264" i="15"/>
  <c r="P21" i="14"/>
  <c r="P22" i="14"/>
  <c r="P27" i="14"/>
  <c r="P25" i="14"/>
  <c r="P23" i="14"/>
  <c r="P32" i="14"/>
  <c r="P34" i="14"/>
  <c r="P33" i="14"/>
  <c r="P35" i="14"/>
  <c r="P264" i="15" l="1"/>
  <c r="M55" i="15"/>
  <c r="P29" i="14"/>
  <c r="P37" i="14"/>
  <c r="N101" i="15" l="1"/>
  <c r="Q207" i="15"/>
  <c r="N165" i="15"/>
  <c r="N39" i="15"/>
  <c r="Q35" i="15"/>
  <c r="Q162" i="15"/>
  <c r="M170" i="15"/>
  <c r="N75" i="15"/>
  <c r="M155" i="15"/>
  <c r="M120" i="15"/>
  <c r="Q165" i="15"/>
  <c r="Q118" i="15"/>
  <c r="Q77" i="15"/>
  <c r="Q27" i="15"/>
  <c r="M209" i="15"/>
  <c r="N204" i="15"/>
  <c r="M74" i="15"/>
  <c r="M87" i="15"/>
  <c r="N230" i="15"/>
  <c r="O230" i="15" s="1"/>
  <c r="P230" i="15" s="1"/>
  <c r="N146" i="15"/>
  <c r="N60" i="15"/>
  <c r="M189" i="15"/>
  <c r="Q230" i="15"/>
  <c r="Q99" i="15"/>
  <c r="Q184" i="15"/>
  <c r="Q54" i="15"/>
  <c r="R54" i="15" s="1"/>
  <c r="Q143" i="15"/>
  <c r="Q226" i="15"/>
  <c r="Q96" i="15"/>
  <c r="R96" i="15" s="1"/>
  <c r="M30" i="15"/>
  <c r="M190" i="15"/>
  <c r="M146" i="15"/>
  <c r="O146" i="15" s="1"/>
  <c r="P146" i="15" s="1"/>
  <c r="N183" i="15"/>
  <c r="M135" i="15"/>
  <c r="N136" i="15"/>
  <c r="N17" i="15"/>
  <c r="N18" i="15"/>
  <c r="N42" i="15"/>
  <c r="M196" i="15"/>
  <c r="N190" i="15"/>
  <c r="M38" i="15"/>
  <c r="M48" i="15"/>
  <c r="N217" i="15"/>
  <c r="O217" i="15" s="1"/>
  <c r="P217" i="15" s="1"/>
  <c r="M130" i="15"/>
  <c r="N182" i="15"/>
  <c r="N214" i="15"/>
  <c r="O214" i="15" s="1"/>
  <c r="P214" i="15" s="1"/>
  <c r="Q197" i="15"/>
  <c r="Q131" i="15"/>
  <c r="R131" i="15" s="1"/>
  <c r="Q67" i="15"/>
  <c r="R67" i="15" s="1"/>
  <c r="Q216" i="15"/>
  <c r="Q152" i="15"/>
  <c r="Q86" i="15"/>
  <c r="R86" i="15" s="1"/>
  <c r="Q150" i="15"/>
  <c r="Q175" i="15"/>
  <c r="Q109" i="15"/>
  <c r="Q45" i="15"/>
  <c r="R45" i="15" s="1"/>
  <c r="Q194" i="15"/>
  <c r="Q128" i="15"/>
  <c r="Q64" i="15"/>
  <c r="N31" i="15"/>
  <c r="M22" i="15"/>
  <c r="N220" i="15"/>
  <c r="O220" i="15" s="1"/>
  <c r="P220" i="15" s="1"/>
  <c r="M201" i="15"/>
  <c r="M180" i="15"/>
  <c r="M159" i="15"/>
  <c r="N233" i="15"/>
  <c r="N194" i="15"/>
  <c r="N173" i="15"/>
  <c r="N153" i="15"/>
  <c r="M106" i="15"/>
  <c r="M45" i="15"/>
  <c r="N109" i="15"/>
  <c r="N48" i="15"/>
  <c r="M122" i="15"/>
  <c r="M58" i="15"/>
  <c r="N131" i="15"/>
  <c r="O131" i="15" s="1"/>
  <c r="N72" i="15"/>
  <c r="N228" i="15"/>
  <c r="O228" i="15" s="1"/>
  <c r="P228" i="15" s="1"/>
  <c r="M206" i="15"/>
  <c r="M177" i="15"/>
  <c r="N209" i="15"/>
  <c r="N170" i="15"/>
  <c r="M93" i="15"/>
  <c r="N95" i="15"/>
  <c r="M109" i="15"/>
  <c r="N123" i="15"/>
  <c r="M183" i="15"/>
  <c r="N178" i="15"/>
  <c r="N122" i="15"/>
  <c r="N141" i="15"/>
  <c r="N231" i="15"/>
  <c r="O231" i="15" s="1"/>
  <c r="P231" i="15" s="1"/>
  <c r="M42" i="15"/>
  <c r="N162" i="15"/>
  <c r="N40" i="15"/>
  <c r="Q213" i="15"/>
  <c r="Q181" i="15"/>
  <c r="Q149" i="15"/>
  <c r="Q115" i="15"/>
  <c r="Q83" i="15"/>
  <c r="Q51" i="15"/>
  <c r="Q233" i="15"/>
  <c r="Q200" i="15"/>
  <c r="Q168" i="15"/>
  <c r="Q134" i="15"/>
  <c r="Q102" i="15"/>
  <c r="R102" i="15" s="1"/>
  <c r="Q70" i="15"/>
  <c r="Q38" i="15"/>
  <c r="Q223" i="15"/>
  <c r="Q191" i="15"/>
  <c r="Q159" i="15"/>
  <c r="Q125" i="15"/>
  <c r="Q93" i="15"/>
  <c r="Q61" i="15"/>
  <c r="R61" i="15" s="1"/>
  <c r="Q20" i="15"/>
  <c r="Q210" i="15"/>
  <c r="Q178" i="15"/>
  <c r="Q144" i="15"/>
  <c r="Q112" i="15"/>
  <c r="R112" i="15" s="1"/>
  <c r="Q80" i="15"/>
  <c r="R80" i="15" s="1"/>
  <c r="Q48" i="15"/>
  <c r="Q227" i="15"/>
  <c r="Q31" i="15"/>
  <c r="N26" i="15"/>
  <c r="Q25" i="15"/>
  <c r="M234" i="15"/>
  <c r="M205" i="15"/>
  <c r="M195" i="15"/>
  <c r="M186" i="15"/>
  <c r="M174" i="15"/>
  <c r="M166" i="15"/>
  <c r="M154" i="15"/>
  <c r="N219" i="15"/>
  <c r="O219" i="15" s="1"/>
  <c r="P219" i="15" s="1"/>
  <c r="N208" i="15"/>
  <c r="N198" i="15"/>
  <c r="N189" i="15"/>
  <c r="N179" i="15"/>
  <c r="N169" i="15"/>
  <c r="N158" i="15"/>
  <c r="M17" i="15"/>
  <c r="M123" i="15"/>
  <c r="M89" i="15"/>
  <c r="M60" i="15"/>
  <c r="N28" i="15"/>
  <c r="N126" i="15"/>
  <c r="N91" i="15"/>
  <c r="N62" i="15"/>
  <c r="O62" i="15" s="1"/>
  <c r="N24" i="15"/>
  <c r="M132" i="15"/>
  <c r="M103" i="15"/>
  <c r="M73" i="15"/>
  <c r="M44" i="15"/>
  <c r="N143" i="15"/>
  <c r="N120" i="15"/>
  <c r="N85" i="15"/>
  <c r="N56" i="15"/>
  <c r="M19" i="15"/>
  <c r="M224" i="15"/>
  <c r="M222" i="15"/>
  <c r="M202" i="15"/>
  <c r="M187" i="15"/>
  <c r="M167" i="15"/>
  <c r="N221" i="15"/>
  <c r="O221" i="15" s="1"/>
  <c r="P221" i="15" s="1"/>
  <c r="N201" i="15"/>
  <c r="N180" i="15"/>
  <c r="N159" i="15"/>
  <c r="M127" i="15"/>
  <c r="M63" i="15"/>
  <c r="N128" i="15"/>
  <c r="N65" i="15"/>
  <c r="O65" i="15" s="1"/>
  <c r="M136" i="15"/>
  <c r="M75" i="15"/>
  <c r="N21" i="15"/>
  <c r="N89" i="15"/>
  <c r="O89" i="15" s="1"/>
  <c r="P89" i="15" s="1"/>
  <c r="N27" i="15"/>
  <c r="M165" i="15"/>
  <c r="O165" i="15" s="1"/>
  <c r="P165" i="15" s="1"/>
  <c r="N197" i="15"/>
  <c r="N156" i="15"/>
  <c r="M56" i="15"/>
  <c r="N58" i="15"/>
  <c r="M70" i="15"/>
  <c r="N79" i="15"/>
  <c r="M169" i="15"/>
  <c r="N203" i="15"/>
  <c r="N148" i="15"/>
  <c r="N44" i="15"/>
  <c r="N68" i="15"/>
  <c r="M131" i="15"/>
  <c r="M83" i="15"/>
  <c r="Q137" i="15"/>
  <c r="Q221" i="15"/>
  <c r="Q205" i="15"/>
  <c r="Q189" i="15"/>
  <c r="Q173" i="15"/>
  <c r="Q157" i="15"/>
  <c r="Q141" i="15"/>
  <c r="Q123" i="15"/>
  <c r="Q107" i="15"/>
  <c r="R107" i="15" s="1"/>
  <c r="Q91" i="15"/>
  <c r="Q75" i="15"/>
  <c r="Q59" i="15"/>
  <c r="R59" i="15" s="1"/>
  <c r="Q43" i="15"/>
  <c r="R43" i="15" s="1"/>
  <c r="Q18" i="15"/>
  <c r="Q224" i="15"/>
  <c r="Q208" i="15"/>
  <c r="Q192" i="15"/>
  <c r="Q176" i="15"/>
  <c r="Q160" i="15"/>
  <c r="Q142" i="15"/>
  <c r="Q126" i="15"/>
  <c r="Q110" i="15"/>
  <c r="R110" i="15" s="1"/>
  <c r="Q94" i="15"/>
  <c r="R94" i="15" s="1"/>
  <c r="Q78" i="15"/>
  <c r="R78" i="15" s="1"/>
  <c r="Q62" i="15"/>
  <c r="R62" i="15" s="1"/>
  <c r="Q46" i="15"/>
  <c r="R46" i="15" s="1"/>
  <c r="Q21" i="15"/>
  <c r="Q232" i="15"/>
  <c r="Q215" i="15"/>
  <c r="Q199" i="15"/>
  <c r="Q183" i="15"/>
  <c r="Q167" i="15"/>
  <c r="Q151" i="15"/>
  <c r="Q133" i="15"/>
  <c r="Q117" i="15"/>
  <c r="Q101" i="15"/>
  <c r="Q85" i="15"/>
  <c r="Q69" i="15"/>
  <c r="R69" i="15" s="1"/>
  <c r="Q53" i="15"/>
  <c r="R53" i="15" s="1"/>
  <c r="Q37" i="15"/>
  <c r="Q235" i="15"/>
  <c r="Q218" i="15"/>
  <c r="Q202" i="15"/>
  <c r="Q186" i="15"/>
  <c r="Q170" i="15"/>
  <c r="Q154" i="15"/>
  <c r="Q136" i="15"/>
  <c r="Q120" i="15"/>
  <c r="Q104" i="15"/>
  <c r="R104" i="15" s="1"/>
  <c r="Q88" i="15"/>
  <c r="R88" i="15" s="1"/>
  <c r="Q72" i="15"/>
  <c r="Q56" i="15"/>
  <c r="Q40" i="15"/>
  <c r="N132" i="15"/>
  <c r="Q29" i="15"/>
  <c r="M31" i="15"/>
  <c r="N30" i="15"/>
  <c r="M25" i="15"/>
  <c r="Q22" i="15"/>
  <c r="N23" i="15"/>
  <c r="N33" i="15"/>
  <c r="N216" i="15"/>
  <c r="O216" i="15" s="1"/>
  <c r="P216" i="15" s="1"/>
  <c r="M223" i="15"/>
  <c r="M207" i="15"/>
  <c r="M203" i="15"/>
  <c r="M197" i="15"/>
  <c r="M193" i="15"/>
  <c r="M188" i="15"/>
  <c r="M182" i="15"/>
  <c r="M178" i="15"/>
  <c r="M172" i="15"/>
  <c r="M168" i="15"/>
  <c r="M162" i="15"/>
  <c r="O162" i="15" s="1"/>
  <c r="P162" i="15" s="1"/>
  <c r="M156" i="15"/>
  <c r="M148" i="15"/>
  <c r="N229" i="15"/>
  <c r="O229" i="15" s="1"/>
  <c r="P229" i="15" s="1"/>
  <c r="N215" i="15"/>
  <c r="O215" i="15" s="1"/>
  <c r="P215" i="15" s="1"/>
  <c r="N222" i="15"/>
  <c r="N206" i="15"/>
  <c r="O206" i="15" s="1"/>
  <c r="P206" i="15" s="1"/>
  <c r="N202" i="15"/>
  <c r="N196" i="15"/>
  <c r="N192" i="15"/>
  <c r="N187" i="15"/>
  <c r="N181" i="15"/>
  <c r="N177" i="15"/>
  <c r="N171" i="15"/>
  <c r="N167" i="15"/>
  <c r="N161" i="15"/>
  <c r="N155" i="15"/>
  <c r="O155" i="15" s="1"/>
  <c r="P155" i="15" s="1"/>
  <c r="N147" i="15"/>
  <c r="M141" i="15"/>
  <c r="M129" i="15"/>
  <c r="M115" i="15"/>
  <c r="M97" i="15"/>
  <c r="M79" i="15"/>
  <c r="M68" i="15"/>
  <c r="M51" i="15"/>
  <c r="M40" i="15"/>
  <c r="N142" i="15"/>
  <c r="N130" i="15"/>
  <c r="O130" i="15" s="1"/>
  <c r="N119" i="15"/>
  <c r="N99" i="15"/>
  <c r="N83" i="15"/>
  <c r="N70" i="15"/>
  <c r="N55" i="15"/>
  <c r="O55" i="15" s="1"/>
  <c r="P55" i="15" s="1"/>
  <c r="N41" i="15"/>
  <c r="M18" i="15"/>
  <c r="M138" i="15"/>
  <c r="M128" i="15"/>
  <c r="M113" i="15"/>
  <c r="M95" i="15"/>
  <c r="M77" i="15"/>
  <c r="M65" i="15"/>
  <c r="M50" i="15"/>
  <c r="M39" i="15"/>
  <c r="N20" i="15"/>
  <c r="N137" i="15"/>
  <c r="N127" i="15"/>
  <c r="N111" i="15"/>
  <c r="N93" i="15"/>
  <c r="N76" i="15"/>
  <c r="N63" i="15"/>
  <c r="N49" i="15"/>
  <c r="N38" i="15"/>
  <c r="N232" i="15"/>
  <c r="O232" i="15" s="1"/>
  <c r="P232" i="15" s="1"/>
  <c r="N218" i="15"/>
  <c r="O218" i="15" s="1"/>
  <c r="P218" i="15" s="1"/>
  <c r="N224" i="15"/>
  <c r="M233" i="15"/>
  <c r="M208" i="15"/>
  <c r="M204" i="15"/>
  <c r="M198" i="15"/>
  <c r="M192" i="15"/>
  <c r="M181" i="15"/>
  <c r="M171" i="15"/>
  <c r="M161" i="15"/>
  <c r="M147" i="15"/>
  <c r="N234" i="15"/>
  <c r="N205" i="15"/>
  <c r="N195" i="15"/>
  <c r="N186" i="15"/>
  <c r="N174" i="15"/>
  <c r="N166" i="15"/>
  <c r="N154" i="15"/>
  <c r="M137" i="15"/>
  <c r="M111" i="15"/>
  <c r="M76" i="15"/>
  <c r="M49" i="15"/>
  <c r="N138" i="15"/>
  <c r="N113" i="15"/>
  <c r="N77" i="15"/>
  <c r="N50" i="15"/>
  <c r="M20" i="15"/>
  <c r="M126" i="15"/>
  <c r="M91" i="15"/>
  <c r="M62" i="15"/>
  <c r="M24" i="15"/>
  <c r="N135" i="15"/>
  <c r="N106" i="15"/>
  <c r="O106" i="15" s="1"/>
  <c r="P106" i="15" s="1"/>
  <c r="N74" i="15"/>
  <c r="O74" i="15" s="1"/>
  <c r="P74" i="15" s="1"/>
  <c r="N45" i="15"/>
  <c r="O45" i="15" s="1"/>
  <c r="M194" i="15"/>
  <c r="M173" i="15"/>
  <c r="M153" i="15"/>
  <c r="N207" i="15"/>
  <c r="N188" i="15"/>
  <c r="N168" i="15"/>
  <c r="M143" i="15"/>
  <c r="M85" i="15"/>
  <c r="M27" i="15"/>
  <c r="N87" i="15"/>
  <c r="O87" i="15" s="1"/>
  <c r="P87" i="15" s="1"/>
  <c r="M28" i="15"/>
  <c r="M99" i="15"/>
  <c r="M41" i="15"/>
  <c r="N115" i="15"/>
  <c r="N51" i="15"/>
  <c r="M179" i="15"/>
  <c r="M158" i="15"/>
  <c r="N223" i="15"/>
  <c r="N193" i="15"/>
  <c r="N172" i="15"/>
  <c r="M101" i="15"/>
  <c r="O101" i="15" s="1"/>
  <c r="P101" i="15" s="1"/>
  <c r="N103" i="15"/>
  <c r="M119" i="15"/>
  <c r="N129" i="15"/>
  <c r="M21" i="15"/>
  <c r="M72" i="15"/>
  <c r="N73" i="15"/>
  <c r="M142" i="15"/>
  <c r="N19" i="15"/>
  <c r="N97" i="15"/>
  <c r="Q234" i="15"/>
  <c r="Q225" i="15"/>
  <c r="Q217" i="15"/>
  <c r="Q209" i="15"/>
  <c r="Q201" i="15"/>
  <c r="Q193" i="15"/>
  <c r="Q185" i="15"/>
  <c r="Q177" i="15"/>
  <c r="Q169" i="15"/>
  <c r="Q161" i="15"/>
  <c r="Q153" i="15"/>
  <c r="Q145" i="15"/>
  <c r="Q135" i="15"/>
  <c r="Q127" i="15"/>
  <c r="Q119" i="15"/>
  <c r="Q111" i="15"/>
  <c r="Q103" i="15"/>
  <c r="Q95" i="15"/>
  <c r="Q87" i="15"/>
  <c r="Q79" i="15"/>
  <c r="Q71" i="15"/>
  <c r="R71" i="15" s="1"/>
  <c r="Q63" i="15"/>
  <c r="Q55" i="15"/>
  <c r="Q47" i="15"/>
  <c r="Q39" i="15"/>
  <c r="Q24" i="15"/>
  <c r="R24" i="15" s="1"/>
  <c r="Q237" i="15"/>
  <c r="Q229" i="15"/>
  <c r="Q220" i="15"/>
  <c r="Q212" i="15"/>
  <c r="Q204" i="15"/>
  <c r="Q196" i="15"/>
  <c r="Q188" i="15"/>
  <c r="Q180" i="15"/>
  <c r="Q172" i="15"/>
  <c r="Q164" i="15"/>
  <c r="Q156" i="15"/>
  <c r="Q146" i="15"/>
  <c r="R146" i="15" s="1"/>
  <c r="Q138" i="15"/>
  <c r="Q130" i="15"/>
  <c r="R130" i="15" s="1"/>
  <c r="Q122" i="15"/>
  <c r="Q114" i="15"/>
  <c r="R114" i="15" s="1"/>
  <c r="Q106" i="15"/>
  <c r="Q98" i="15"/>
  <c r="R98" i="15" s="1"/>
  <c r="Q90" i="15"/>
  <c r="R90" i="15" s="1"/>
  <c r="Q82" i="15"/>
  <c r="R82" i="15" s="1"/>
  <c r="Q74" i="15"/>
  <c r="Q66" i="15"/>
  <c r="R66" i="15" s="1"/>
  <c r="Q58" i="15"/>
  <c r="Q50" i="15"/>
  <c r="Q42" i="15"/>
  <c r="Q34" i="15"/>
  <c r="R34" i="15" s="1"/>
  <c r="Q238" i="15"/>
  <c r="Q236" i="15"/>
  <c r="Q228" i="15"/>
  <c r="Q219" i="15"/>
  <c r="Q211" i="15"/>
  <c r="Q203" i="15"/>
  <c r="Q195" i="15"/>
  <c r="Q187" i="15"/>
  <c r="Q179" i="15"/>
  <c r="Q171" i="15"/>
  <c r="Q163" i="15"/>
  <c r="Q155" i="15"/>
  <c r="Q147" i="15"/>
  <c r="Q139" i="15"/>
  <c r="Q129" i="15"/>
  <c r="Q121" i="15"/>
  <c r="R121" i="15" s="1"/>
  <c r="Q113" i="15"/>
  <c r="Q105" i="15"/>
  <c r="R105" i="15" s="1"/>
  <c r="Q97" i="15"/>
  <c r="Q89" i="15"/>
  <c r="Q81" i="15"/>
  <c r="R81" i="15" s="1"/>
  <c r="Q73" i="15"/>
  <c r="Q65" i="15"/>
  <c r="R65" i="15" s="1"/>
  <c r="Q57" i="15"/>
  <c r="R57" i="15" s="1"/>
  <c r="Q49" i="15"/>
  <c r="Q41" i="15"/>
  <c r="Q28" i="15"/>
  <c r="Q17" i="15"/>
  <c r="Q231" i="15"/>
  <c r="Q222" i="15"/>
  <c r="Q214" i="15"/>
  <c r="Q206" i="15"/>
  <c r="Q198" i="15"/>
  <c r="Q190" i="15"/>
  <c r="Q182" i="15"/>
  <c r="Q174" i="15"/>
  <c r="Q166" i="15"/>
  <c r="Q158" i="15"/>
  <c r="Q148" i="15"/>
  <c r="Q140" i="15"/>
  <c r="Q132" i="15"/>
  <c r="Q124" i="15"/>
  <c r="Q116" i="15"/>
  <c r="Q108" i="15"/>
  <c r="R108" i="15" s="1"/>
  <c r="Q100" i="15"/>
  <c r="R100" i="15" s="1"/>
  <c r="Q92" i="15"/>
  <c r="R92" i="15" s="1"/>
  <c r="Q84" i="15"/>
  <c r="R84" i="15" s="1"/>
  <c r="Q76" i="15"/>
  <c r="Q68" i="15"/>
  <c r="Q60" i="15"/>
  <c r="Q52" i="15"/>
  <c r="R52" i="15" s="1"/>
  <c r="Q44" i="15"/>
  <c r="Q36" i="15"/>
  <c r="R36" i="15" s="1"/>
  <c r="Q19" i="15"/>
  <c r="N227" i="15"/>
  <c r="O227" i="15" s="1"/>
  <c r="P227" i="15" s="1"/>
  <c r="R227" i="15" s="1"/>
  <c r="M29" i="15"/>
  <c r="Q30" i="15"/>
  <c r="N29" i="15"/>
  <c r="Q32" i="15"/>
  <c r="M32" i="15"/>
  <c r="N32" i="15"/>
  <c r="N25" i="15"/>
  <c r="Q26" i="15"/>
  <c r="M26" i="15"/>
  <c r="N22" i="15"/>
  <c r="Q23" i="15"/>
  <c r="M23" i="15"/>
  <c r="Q33" i="15"/>
  <c r="M33" i="15"/>
  <c r="M43" i="15"/>
  <c r="N43" i="15"/>
  <c r="O43" i="15" s="1"/>
  <c r="R216" i="15"/>
  <c r="P160" i="14"/>
  <c r="O29" i="15" l="1"/>
  <c r="P29" i="15" s="1"/>
  <c r="O42" i="15"/>
  <c r="P42" i="15" s="1"/>
  <c r="R42" i="15" s="1"/>
  <c r="O209" i="15"/>
  <c r="P209" i="15" s="1"/>
  <c r="R209" i="15" s="1"/>
  <c r="O17" i="15"/>
  <c r="P17" i="15" s="1"/>
  <c r="R17" i="15" s="1"/>
  <c r="O204" i="15"/>
  <c r="P204" i="15" s="1"/>
  <c r="R204" i="15" s="1"/>
  <c r="O23" i="15"/>
  <c r="P23" i="15" s="1"/>
  <c r="R23" i="15" s="1"/>
  <c r="O19" i="15"/>
  <c r="P19" i="15" s="1"/>
  <c r="R19" i="15" s="1"/>
  <c r="O73" i="15"/>
  <c r="P73" i="15" s="1"/>
  <c r="R73" i="15" s="1"/>
  <c r="R101" i="15"/>
  <c r="R232" i="15"/>
  <c r="O83" i="15"/>
  <c r="P83" i="15" s="1"/>
  <c r="R83" i="15" s="1"/>
  <c r="O187" i="15"/>
  <c r="P187" i="15" s="1"/>
  <c r="R187" i="15" s="1"/>
  <c r="O30" i="15"/>
  <c r="P30" i="15" s="1"/>
  <c r="R30" i="15" s="1"/>
  <c r="O75" i="15"/>
  <c r="P75" i="15" s="1"/>
  <c r="R75" i="15" s="1"/>
  <c r="O120" i="15"/>
  <c r="P120" i="15" s="1"/>
  <c r="R120" i="15" s="1"/>
  <c r="O189" i="15"/>
  <c r="P189" i="15" s="1"/>
  <c r="R189" i="15" s="1"/>
  <c r="R29" i="15"/>
  <c r="O103" i="15"/>
  <c r="P103" i="15" s="1"/>
  <c r="R103" i="15" s="1"/>
  <c r="O63" i="15"/>
  <c r="P63" i="15" s="1"/>
  <c r="R63" i="15" s="1"/>
  <c r="O202" i="15"/>
  <c r="P202" i="15" s="1"/>
  <c r="R202" i="15" s="1"/>
  <c r="O60" i="15"/>
  <c r="P60" i="15" s="1"/>
  <c r="R60" i="15" s="1"/>
  <c r="O178" i="15"/>
  <c r="P178" i="15" s="1"/>
  <c r="R178" i="15" s="1"/>
  <c r="O31" i="15"/>
  <c r="P31" i="15" s="1"/>
  <c r="R31" i="15" s="1"/>
  <c r="O48" i="15"/>
  <c r="P48" i="15" s="1"/>
  <c r="R48" i="15" s="1"/>
  <c r="R214" i="15"/>
  <c r="O135" i="15"/>
  <c r="P135" i="15" s="1"/>
  <c r="R135" i="15" s="1"/>
  <c r="O39" i="15"/>
  <c r="P39" i="15" s="1"/>
  <c r="R39" i="15" s="1"/>
  <c r="R162" i="15"/>
  <c r="R165" i="15"/>
  <c r="O170" i="15"/>
  <c r="P170" i="15" s="1"/>
  <c r="R170" i="15" s="1"/>
  <c r="R230" i="15"/>
  <c r="O38" i="15"/>
  <c r="P38" i="15" s="1"/>
  <c r="O190" i="15"/>
  <c r="P190" i="15" s="1"/>
  <c r="R190" i="15" s="1"/>
  <c r="R89" i="15"/>
  <c r="O91" i="15"/>
  <c r="P91" i="15" s="1"/>
  <c r="R91" i="15" s="1"/>
  <c r="O141" i="15"/>
  <c r="P141" i="15" s="1"/>
  <c r="R141" i="15" s="1"/>
  <c r="O173" i="15"/>
  <c r="P173" i="15" s="1"/>
  <c r="R173" i="15" s="1"/>
  <c r="O22" i="15"/>
  <c r="P22" i="15" s="1"/>
  <c r="R22" i="15" s="1"/>
  <c r="R217" i="15"/>
  <c r="O95" i="15"/>
  <c r="P95" i="15" s="1"/>
  <c r="R95" i="15" s="1"/>
  <c r="O18" i="15"/>
  <c r="P18" i="15" s="1"/>
  <c r="R18" i="15" s="1"/>
  <c r="O196" i="15"/>
  <c r="P196" i="15" s="1"/>
  <c r="R196" i="15" s="1"/>
  <c r="O182" i="15"/>
  <c r="P182" i="15" s="1"/>
  <c r="R182" i="15" s="1"/>
  <c r="O136" i="15"/>
  <c r="P136" i="15" s="1"/>
  <c r="R136" i="15" s="1"/>
  <c r="O183" i="15"/>
  <c r="P183" i="15" s="1"/>
  <c r="R183" i="15" s="1"/>
  <c r="O27" i="15"/>
  <c r="P27" i="15" s="1"/>
  <c r="R27" i="15" s="1"/>
  <c r="R219" i="15"/>
  <c r="O148" i="15"/>
  <c r="P148" i="15" s="1"/>
  <c r="R148" i="15" s="1"/>
  <c r="O186" i="15"/>
  <c r="P186" i="15" s="1"/>
  <c r="R186" i="15" s="1"/>
  <c r="R231" i="15"/>
  <c r="O153" i="15"/>
  <c r="P153" i="15" s="1"/>
  <c r="O194" i="15"/>
  <c r="P194" i="15" s="1"/>
  <c r="R194" i="15" s="1"/>
  <c r="O179" i="15"/>
  <c r="P179" i="15" s="1"/>
  <c r="O85" i="15"/>
  <c r="P85" i="15" s="1"/>
  <c r="R85" i="15" s="1"/>
  <c r="O93" i="15"/>
  <c r="P93" i="15" s="1"/>
  <c r="R93" i="15" s="1"/>
  <c r="O58" i="15"/>
  <c r="P58" i="15" s="1"/>
  <c r="R58" i="15" s="1"/>
  <c r="R179" i="15"/>
  <c r="R215" i="15"/>
  <c r="O156" i="15"/>
  <c r="P156" i="15" s="1"/>
  <c r="R156" i="15" s="1"/>
  <c r="O24" i="15"/>
  <c r="O28" i="15"/>
  <c r="P28" i="15" s="1"/>
  <c r="R28" i="15" s="1"/>
  <c r="O40" i="15"/>
  <c r="P40" i="15" s="1"/>
  <c r="R40" i="15" s="1"/>
  <c r="O177" i="15"/>
  <c r="P177" i="15" s="1"/>
  <c r="R177" i="15" s="1"/>
  <c r="O233" i="15"/>
  <c r="P233" i="15" s="1"/>
  <c r="R233" i="15" s="1"/>
  <c r="O33" i="15"/>
  <c r="P33" i="15" s="1"/>
  <c r="R33" i="15" s="1"/>
  <c r="R228" i="15"/>
  <c r="R220" i="15"/>
  <c r="O154" i="15"/>
  <c r="P154" i="15" s="1"/>
  <c r="R154" i="15" s="1"/>
  <c r="O174" i="15"/>
  <c r="P174" i="15" s="1"/>
  <c r="R174" i="15" s="1"/>
  <c r="O195" i="15"/>
  <c r="P195" i="15" s="1"/>
  <c r="R195" i="15" s="1"/>
  <c r="O234" i="15"/>
  <c r="P234" i="15" s="1"/>
  <c r="R234" i="15" s="1"/>
  <c r="O208" i="15"/>
  <c r="P208" i="15" s="1"/>
  <c r="R208" i="15" s="1"/>
  <c r="O224" i="15"/>
  <c r="P224" i="15" s="1"/>
  <c r="R224" i="15" s="1"/>
  <c r="O79" i="15"/>
  <c r="P79" i="15" s="1"/>
  <c r="R79" i="15" s="1"/>
  <c r="O167" i="15"/>
  <c r="P167" i="15" s="1"/>
  <c r="R167" i="15" s="1"/>
  <c r="O203" i="15"/>
  <c r="P203" i="15" s="1"/>
  <c r="R203" i="15" s="1"/>
  <c r="O180" i="15"/>
  <c r="P180" i="15" s="1"/>
  <c r="R180" i="15" s="1"/>
  <c r="O123" i="15"/>
  <c r="P123" i="15" s="1"/>
  <c r="R123" i="15" s="1"/>
  <c r="R155" i="15"/>
  <c r="R206" i="15"/>
  <c r="R218" i="15"/>
  <c r="O70" i="15"/>
  <c r="P70" i="15" s="1"/>
  <c r="R70" i="15" s="1"/>
  <c r="O21" i="15"/>
  <c r="P21" i="15" s="1"/>
  <c r="R21" i="15" s="1"/>
  <c r="O127" i="15"/>
  <c r="P127" i="15" s="1"/>
  <c r="R127" i="15" s="1"/>
  <c r="O166" i="15"/>
  <c r="P166" i="15" s="1"/>
  <c r="R166" i="15" s="1"/>
  <c r="O205" i="15"/>
  <c r="P205" i="15" s="1"/>
  <c r="R205" i="15" s="1"/>
  <c r="O72" i="15"/>
  <c r="P72" i="15" s="1"/>
  <c r="R72" i="15" s="1"/>
  <c r="R87" i="15"/>
  <c r="R106" i="15"/>
  <c r="O26" i="15"/>
  <c r="P26" i="15" s="1"/>
  <c r="R26" i="15" s="1"/>
  <c r="O159" i="15"/>
  <c r="P159" i="15" s="1"/>
  <c r="R159" i="15" s="1"/>
  <c r="O201" i="15"/>
  <c r="P201" i="15" s="1"/>
  <c r="R201" i="15" s="1"/>
  <c r="O122" i="15"/>
  <c r="P122" i="15" s="1"/>
  <c r="R122" i="15" s="1"/>
  <c r="O109" i="15"/>
  <c r="P109" i="15" s="1"/>
  <c r="R109" i="15" s="1"/>
  <c r="O32" i="15"/>
  <c r="P32" i="15" s="1"/>
  <c r="R32" i="15" s="1"/>
  <c r="R74" i="15"/>
  <c r="R55" i="15"/>
  <c r="O68" i="15"/>
  <c r="P68" i="15" s="1"/>
  <c r="R68" i="15" s="1"/>
  <c r="O197" i="15"/>
  <c r="P197" i="15" s="1"/>
  <c r="R197" i="15" s="1"/>
  <c r="O128" i="15"/>
  <c r="P128" i="15" s="1"/>
  <c r="R128" i="15" s="1"/>
  <c r="O222" i="15"/>
  <c r="P222" i="15" s="1"/>
  <c r="R222" i="15" s="1"/>
  <c r="O143" i="15"/>
  <c r="P143" i="15" s="1"/>
  <c r="R143" i="15" s="1"/>
  <c r="O126" i="15"/>
  <c r="P126" i="15" s="1"/>
  <c r="R126" i="15" s="1"/>
  <c r="O158" i="15"/>
  <c r="P158" i="15" s="1"/>
  <c r="R158" i="15" s="1"/>
  <c r="O198" i="15"/>
  <c r="P198" i="15" s="1"/>
  <c r="R198" i="15" s="1"/>
  <c r="R221" i="15"/>
  <c r="O132" i="15"/>
  <c r="P132" i="15" s="1"/>
  <c r="R132" i="15" s="1"/>
  <c r="O25" i="15"/>
  <c r="P25" i="15" s="1"/>
  <c r="R25" i="15" s="1"/>
  <c r="O56" i="15"/>
  <c r="P56" i="15" s="1"/>
  <c r="R56" i="15" s="1"/>
  <c r="O44" i="15"/>
  <c r="P44" i="15" s="1"/>
  <c r="R44" i="15" s="1"/>
  <c r="O169" i="15"/>
  <c r="P169" i="15" s="1"/>
  <c r="R169" i="15" s="1"/>
  <c r="O20" i="15"/>
  <c r="P20" i="15" s="1"/>
  <c r="R20" i="15" s="1"/>
  <c r="O50" i="15"/>
  <c r="P50" i="15" s="1"/>
  <c r="R50" i="15" s="1"/>
  <c r="O77" i="15"/>
  <c r="P77" i="15" s="1"/>
  <c r="R77" i="15" s="1"/>
  <c r="O113" i="15"/>
  <c r="P113" i="15" s="1"/>
  <c r="R113" i="15" s="1"/>
  <c r="O138" i="15"/>
  <c r="P138" i="15" s="1"/>
  <c r="R138" i="15" s="1"/>
  <c r="O41" i="15"/>
  <c r="P41" i="15" s="1"/>
  <c r="R41" i="15" s="1"/>
  <c r="O99" i="15"/>
  <c r="P99" i="15" s="1"/>
  <c r="R99" i="15" s="1"/>
  <c r="O97" i="15"/>
  <c r="P97" i="15" s="1"/>
  <c r="R97" i="15" s="1"/>
  <c r="O129" i="15"/>
  <c r="P129" i="15" s="1"/>
  <c r="R129" i="15" s="1"/>
  <c r="O147" i="15"/>
  <c r="P147" i="15" s="1"/>
  <c r="R147" i="15" s="1"/>
  <c r="O161" i="15"/>
  <c r="P161" i="15" s="1"/>
  <c r="R161" i="15" s="1"/>
  <c r="O171" i="15"/>
  <c r="P171" i="15" s="1"/>
  <c r="R171" i="15" s="1"/>
  <c r="O181" i="15"/>
  <c r="P181" i="15" s="1"/>
  <c r="R181" i="15" s="1"/>
  <c r="O192" i="15"/>
  <c r="P192" i="15" s="1"/>
  <c r="R192" i="15" s="1"/>
  <c r="R229" i="15"/>
  <c r="O168" i="15"/>
  <c r="P168" i="15" s="1"/>
  <c r="R168" i="15" s="1"/>
  <c r="O188" i="15"/>
  <c r="P188" i="15" s="1"/>
  <c r="R188" i="15" s="1"/>
  <c r="O207" i="15"/>
  <c r="P207" i="15" s="1"/>
  <c r="R207" i="15" s="1"/>
  <c r="O49" i="15"/>
  <c r="P49" i="15" s="1"/>
  <c r="R49" i="15" s="1"/>
  <c r="O76" i="15"/>
  <c r="P76" i="15" s="1"/>
  <c r="R76" i="15" s="1"/>
  <c r="O111" i="15"/>
  <c r="P111" i="15" s="1"/>
  <c r="R111" i="15" s="1"/>
  <c r="O137" i="15"/>
  <c r="P137" i="15" s="1"/>
  <c r="R137" i="15" s="1"/>
  <c r="O119" i="15"/>
  <c r="P119" i="15" s="1"/>
  <c r="R119" i="15" s="1"/>
  <c r="O142" i="15"/>
  <c r="P142" i="15" s="1"/>
  <c r="R142" i="15" s="1"/>
  <c r="O51" i="15"/>
  <c r="P51" i="15" s="1"/>
  <c r="R51" i="15" s="1"/>
  <c r="O115" i="15"/>
  <c r="P115" i="15" s="1"/>
  <c r="R115" i="15" s="1"/>
  <c r="O172" i="15"/>
  <c r="P172" i="15" s="1"/>
  <c r="R172" i="15" s="1"/>
  <c r="O193" i="15"/>
  <c r="P193" i="15" s="1"/>
  <c r="R193" i="15" s="1"/>
  <c r="O223" i="15"/>
  <c r="P223" i="15" s="1"/>
  <c r="R223" i="15" s="1"/>
  <c r="R38" i="15" l="1"/>
  <c r="P150" i="15"/>
  <c r="R150" i="15" s="1"/>
  <c r="R153" i="15"/>
  <c r="P211" i="15"/>
  <c r="R211" i="15" s="1"/>
  <c r="P35" i="15"/>
  <c r="R35" i="15" s="1"/>
  <c r="P236" i="15"/>
  <c r="R236" i="15" l="1"/>
  <c r="M238" i="15"/>
  <c r="R238" i="15" s="1"/>
</calcChain>
</file>

<file path=xl/comments1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D22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D23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0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10.xml><?xml version="1.0" encoding="utf-8"?>
<comments xmlns="http://schemas.openxmlformats.org/spreadsheetml/2006/main">
  <authors>
    <author>Add-on 2</author>
    <author>KCI PC#04-1</author>
  </authors>
  <commentList>
    <comment ref="H39" authorId="0">
      <text>
        <r>
          <rPr>
            <b/>
            <sz val="8"/>
            <color indexed="81"/>
            <rFont val="Tahoma"/>
            <family val="2"/>
          </rPr>
          <t>Add-on 2:</t>
        </r>
        <r>
          <rPr>
            <sz val="8"/>
            <color indexed="81"/>
            <rFont val="Tahoma"/>
            <family val="2"/>
          </rPr>
          <t xml:space="preserve">
tama naman ung price
</t>
        </r>
      </text>
    </comment>
    <comment ref="E5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
nasama na to sa structural works.</t>
        </r>
      </text>
    </comment>
    <comment ref="H7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7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8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7" authorId="1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na dito ung sa meter post</t>
        </r>
      </text>
    </comment>
    <comment ref="W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 na dito ung sa meter post</t>
        </r>
      </text>
    </comment>
    <comment ref="S21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discounted price</t>
        </r>
      </text>
    </comment>
    <comment ref="D22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H23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ung 2000 para sa magiging add'l na tubo </t>
        </r>
      </text>
    </comment>
    <comment ref="D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9" authorId="1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2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D22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D23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0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3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D22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D23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2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4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14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disc. From 7% to 10%</t>
        </r>
      </text>
    </comment>
    <comment ref="H14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disc. From 7% to 10%</t>
        </r>
      </text>
    </comment>
    <comment ref="H14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Disco</t>
        </r>
      </text>
    </comment>
    <comment ref="D22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D23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D23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0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5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21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na dito ung sa meter post</t>
        </r>
      </text>
    </comment>
    <comment ref="W21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 na dito ung sa meter post</t>
        </r>
      </text>
    </comment>
    <comment ref="D22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H22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ung 2000 para sa magiging add'l na tubo </t>
        </r>
      </text>
    </comment>
    <comment ref="D22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for 34 persons,</t>
        </r>
      </text>
    </comment>
    <comment ref="D23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5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6.xml><?xml version="1.0" encoding="utf-8"?>
<comments xmlns="http://schemas.openxmlformats.org/spreadsheetml/2006/main">
  <authors>
    <author>KCI PC#04-1</author>
  </authors>
  <commentList>
    <comment ref="E4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4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5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6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6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6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1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18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D21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D22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2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2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2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77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7.xml><?xml version="1.0" encoding="utf-8"?>
<comments xmlns="http://schemas.openxmlformats.org/spreadsheetml/2006/main">
  <authors>
    <author>KCI PC#04-1</author>
  </authors>
  <commentList>
    <comment ref="E5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5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</t>
        </r>
      </text>
    </comment>
    <comment ref="H72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4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79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0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3" authorId="0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21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na dito ung sa meter post</t>
        </r>
      </text>
    </comment>
    <comment ref="W211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 na dito ung sa meter post</t>
        </r>
      </text>
    </comment>
    <comment ref="D22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H227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ung 2000 para sa magiging add'l na tubo </t>
        </r>
      </text>
    </comment>
    <comment ref="D22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for 34 persons,</t>
        </r>
      </text>
    </comment>
    <comment ref="D23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5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6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38" authorId="0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5" authorId="0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8.xml><?xml version="1.0" encoding="utf-8"?>
<comments xmlns="http://schemas.openxmlformats.org/spreadsheetml/2006/main">
  <authors>
    <author>Add-on 2</author>
    <author>KCI PC#04-1</author>
  </authors>
  <commentList>
    <comment ref="H39" authorId="0">
      <text>
        <r>
          <rPr>
            <b/>
            <sz val="8"/>
            <color indexed="81"/>
            <rFont val="Tahoma"/>
            <family val="2"/>
          </rPr>
          <t>Add-on 2:</t>
        </r>
        <r>
          <rPr>
            <sz val="8"/>
            <color indexed="81"/>
            <rFont val="Tahoma"/>
            <family val="2"/>
          </rPr>
          <t xml:space="preserve">
tama naman ung price
</t>
        </r>
      </text>
    </comment>
    <comment ref="E5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
nasama na to sa structural works.</t>
        </r>
      </text>
    </comment>
    <comment ref="H7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7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8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7" authorId="1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na dito ung sa meter post</t>
        </r>
      </text>
    </comment>
    <comment ref="W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 na dito ung sa meter post</t>
        </r>
      </text>
    </comment>
    <comment ref="S21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discounted price</t>
        </r>
      </text>
    </comment>
    <comment ref="D22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H23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ung 2000 para sa magiging add'l na tubo </t>
        </r>
      </text>
    </comment>
    <comment ref="D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9" authorId="1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comments9.xml><?xml version="1.0" encoding="utf-8"?>
<comments xmlns="http://schemas.openxmlformats.org/spreadsheetml/2006/main">
  <authors>
    <author>Add-on 2</author>
    <author>KCI PC#04-1</author>
  </authors>
  <commentList>
    <comment ref="H39" authorId="0">
      <text>
        <r>
          <rPr>
            <b/>
            <sz val="8"/>
            <color indexed="81"/>
            <rFont val="Tahoma"/>
            <family val="2"/>
          </rPr>
          <t>Add-on 2:</t>
        </r>
        <r>
          <rPr>
            <sz val="8"/>
            <color indexed="81"/>
            <rFont val="Tahoma"/>
            <family val="2"/>
          </rPr>
          <t xml:space="preserve">
tama naman ung price
</t>
        </r>
      </text>
    </comment>
    <comment ref="E5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10"/>
            <color indexed="81"/>
            <rFont val="Tahoma"/>
            <family val="2"/>
          </rPr>
          <t xml:space="preserve">
ung 85 para sa stair under slab (main &amp; fire exit stair)</t>
        </r>
      </text>
    </comment>
    <comment ref="E5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yung 46 sq.m para sa ficemboard parapet</t>
        </r>
      </text>
    </comment>
    <comment ref="H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5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J6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H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paintng dito</t>
        </r>
      </text>
    </comment>
    <comment ref="J6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painting dito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ilalim ng hagdan
(main stair at fire exit)
nasama na to sa structural works.</t>
        </r>
      </text>
    </comment>
    <comment ref="H76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7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7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H8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kasama na hamba at pintura ng hamba( labor &amp; material)</t>
        </r>
      </text>
    </comment>
    <comment ref="D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D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By: Rapid Forming</t>
        </r>
      </text>
    </comment>
    <comment ref="H83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POWDER COATED FINISH NA.</t>
        </r>
      </text>
    </comment>
    <comment ref="E124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3 pcs. Per door</t>
        </r>
      </text>
    </comment>
    <comment ref="E127" authorId="1">
      <text>
        <r>
          <rPr>
            <sz val="10"/>
            <color indexed="81"/>
            <rFont val="Tahoma"/>
            <family val="2"/>
          </rPr>
          <t>4 pcs. Per door( metal door w/ panic device)</t>
        </r>
      </text>
    </comment>
    <comment ref="H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kasama na dito ung sa meter post</t>
        </r>
      </text>
    </comment>
    <comment ref="W215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kasam na dito ung sa meter post</t>
        </r>
      </text>
    </comment>
    <comment ref="S218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discounted price</t>
        </r>
      </text>
    </comment>
    <comment ref="D22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5GPM</t>
        </r>
      </text>
    </comment>
    <comment ref="H231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ung 2000 para sa magiging add'l na tubo </t>
        </r>
      </text>
    </comment>
    <comment ref="D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39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at slop sink</t>
        </r>
      </text>
    </comment>
    <comment ref="H240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pinresyohan q lang.</t>
        </r>
      </text>
    </comment>
    <comment ref="D242" authorId="1">
      <text>
        <r>
          <rPr>
            <b/>
            <sz val="8"/>
            <color indexed="81"/>
            <rFont val="Tahoma"/>
            <family val="2"/>
          </rPr>
          <t>KCI PC#04-1: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@ slop sink</t>
        </r>
      </text>
    </comment>
    <comment ref="L289" authorId="1">
      <text>
        <r>
          <rPr>
            <b/>
            <sz val="10"/>
            <color indexed="81"/>
            <rFont val="Tahoma"/>
            <family val="2"/>
          </rPr>
          <t>PPE</t>
        </r>
      </text>
    </comment>
  </commentList>
</comments>
</file>

<file path=xl/sharedStrings.xml><?xml version="1.0" encoding="utf-8"?>
<sst xmlns="http://schemas.openxmlformats.org/spreadsheetml/2006/main" count="10100" uniqueCount="550">
  <si>
    <t>Project</t>
  </si>
  <si>
    <t>:</t>
  </si>
  <si>
    <t>Vertis North Sales Pavilion</t>
  </si>
  <si>
    <t>Location</t>
  </si>
  <si>
    <t>ITEM</t>
  </si>
  <si>
    <t>UNIT</t>
  </si>
  <si>
    <t>QTY</t>
  </si>
  <si>
    <t>DESCRIPTION</t>
  </si>
  <si>
    <t>UNIT RATE</t>
  </si>
  <si>
    <t>MATERIAL</t>
  </si>
  <si>
    <t>LABOR</t>
  </si>
  <si>
    <t>GROSS AMOUNT</t>
  </si>
  <si>
    <t>TOTAL STRUCTURAL WORKS</t>
  </si>
  <si>
    <t>TOTAL MEPF WORKS</t>
  </si>
  <si>
    <t>TOTAL CONSTRUCTION COST</t>
  </si>
  <si>
    <t>UNIT TOTAL</t>
  </si>
  <si>
    <t>sq. m</t>
  </si>
  <si>
    <t>Edsa, North Triangle, Brgy. Bagong Pag-asa Quezon City</t>
  </si>
  <si>
    <t>Prepared by:</t>
  </si>
  <si>
    <t>For KONSTRUKTURA</t>
  </si>
  <si>
    <t>Engr. Gerald Borja</t>
  </si>
  <si>
    <t>Engineering</t>
  </si>
  <si>
    <t>Subject</t>
  </si>
  <si>
    <t>Bill of Quantities</t>
  </si>
  <si>
    <t xml:space="preserve">Date </t>
  </si>
  <si>
    <t>FLOOR FINISHES</t>
  </si>
  <si>
    <t>DOORS</t>
  </si>
  <si>
    <t>WINDOWS</t>
  </si>
  <si>
    <t>sets</t>
  </si>
  <si>
    <t>PAINTING WORKS</t>
  </si>
  <si>
    <t>EXTERIOR WALLS</t>
  </si>
  <si>
    <t>Front Elevation</t>
  </si>
  <si>
    <t>Rear Elevation</t>
  </si>
  <si>
    <t>Left Elevation</t>
  </si>
  <si>
    <t>Right Elevation</t>
  </si>
  <si>
    <t>INTERIOR WALLS</t>
  </si>
  <si>
    <t>Roof Deck</t>
  </si>
  <si>
    <t>on Aluminum frame Powder coated finish</t>
  </si>
  <si>
    <t>glass on Aluminum frame Powder coated finish</t>
  </si>
  <si>
    <t>N/A</t>
  </si>
  <si>
    <t>FF-02 450x450mm Homogenous Vinyl tiles Carpet finish</t>
  </si>
  <si>
    <t>FF-03 300x300mm non-skid Ceramic tiles</t>
  </si>
  <si>
    <t>FF-04 400x200mm non-skid Porcelain tiles (Accent)</t>
  </si>
  <si>
    <t>FF-04a 600x200mm non-skid Porcelain tiles (Field)</t>
  </si>
  <si>
    <t>FF-05 Plain cement</t>
  </si>
  <si>
    <t>FF-06 Concrete Pavers</t>
  </si>
  <si>
    <t>clear Tempered glass door on Aluminum frame</t>
  </si>
  <si>
    <t xml:space="preserve"> clear Tempered glass door on Aluminum frame</t>
  </si>
  <si>
    <t>Wooden Louver</t>
  </si>
  <si>
    <t xml:space="preserve"> Galvanized Steel w/ Rockwool infill</t>
  </si>
  <si>
    <t>Galvanized Steel w/ Rockwool infill</t>
  </si>
  <si>
    <t xml:space="preserve"> glass on Aluminum frame Powder coated finish</t>
  </si>
  <si>
    <t xml:space="preserve">10mm thk. clear float tempered glass on Aluminum </t>
  </si>
  <si>
    <t>10mm thk. clear float tempered glass on Aluminum</t>
  </si>
  <si>
    <t>tempered glass on Aluminum frame Powder coated finish</t>
  </si>
  <si>
    <t>set</t>
  </si>
  <si>
    <t>FF-01 600x600mm non-skid Homogenous Tiles</t>
  </si>
  <si>
    <t>Powder coated</t>
  </si>
  <si>
    <t>frame Powder coated finish</t>
  </si>
  <si>
    <t xml:space="preserve"> frame Powder coated finish</t>
  </si>
  <si>
    <t>Ground Floor</t>
  </si>
  <si>
    <t>Second Floor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</si>
  <si>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</si>
  <si>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</si>
  <si>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</si>
  <si>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</si>
  <si>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</si>
  <si>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</si>
  <si>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</si>
  <si>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</si>
  <si>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</si>
  <si>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</si>
  <si>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</si>
  <si>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</si>
  <si>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</si>
  <si>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</si>
  <si>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</si>
  <si>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</si>
  <si>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SUBTOTAL (FINISHING WORKS)</t>
  </si>
  <si>
    <t>ARCHITECTURAL WORKS</t>
  </si>
  <si>
    <t>I</t>
  </si>
  <si>
    <t>KCI QTY</t>
  </si>
  <si>
    <t>II</t>
  </si>
  <si>
    <t>WALL FINISHES</t>
  </si>
  <si>
    <t>WF-  600mm x 200mm Non-skid Porcelain Tiles (Accent)</t>
  </si>
  <si>
    <t>WF-  600mm x 200mm Non-skid Porcelain Tiles (Field)</t>
  </si>
  <si>
    <t>III</t>
  </si>
  <si>
    <t>CEILING FINISHES</t>
  </si>
  <si>
    <t xml:space="preserve">CF-1 12mm thk. Gypsum Board on Metal Furring </t>
  </si>
  <si>
    <t>Painted finish (color to be verify)</t>
  </si>
  <si>
    <t>CF-2 12mm thk. Moisture Resistant Gypsum Board</t>
  </si>
  <si>
    <t>on Metal Furring Painted Finish (color to be verify)</t>
  </si>
  <si>
    <t>CF-3 6mm thk. Fiber Cement Board on Metal Furring</t>
  </si>
  <si>
    <t xml:space="preserve">CF4- 20mm thk x 600mm x 600mm Acoustic Ceiling </t>
  </si>
  <si>
    <t>Board on Oven-baked T-runners</t>
  </si>
  <si>
    <t>CF5- Exposed Slab</t>
  </si>
  <si>
    <t>hallway and bedroom units)</t>
  </si>
  <si>
    <t>By Others (lobby, SLMG area, exhibit, video room,</t>
  </si>
  <si>
    <t>Covelight on Gypsum Board on Metal Furring</t>
  </si>
  <si>
    <t>Others (Bedroom Units excluded)</t>
  </si>
  <si>
    <t>lm</t>
  </si>
  <si>
    <t>sq.m</t>
  </si>
  <si>
    <t>Paint Finish interior (color to be verify)</t>
  </si>
  <si>
    <t>Paint Finish exterior (color to be verify)</t>
  </si>
  <si>
    <t xml:space="preserve">D1- 2400x2000mm - Double Swing glass door &amp; 12mm thk. </t>
  </si>
  <si>
    <t>D2- 2400x2050mm - Double Swing glass door &amp; 12mm thk.</t>
  </si>
  <si>
    <t>D3- 2100x900mm - 45mm thk. Hollow Core HDF door</t>
  </si>
  <si>
    <t>D4- 2100x800mm - 45mm thk. Hollow Core HDF door</t>
  </si>
  <si>
    <t xml:space="preserve">D5- 2100x750mm - 45mm thk. Hollow Core HDF door w/ </t>
  </si>
  <si>
    <t xml:space="preserve">D6- 2100x900mm - 45mm thk. Hollow Core HDF door w/ </t>
  </si>
  <si>
    <t xml:space="preserve">D7- 2100x500mm - 45mm thk. Hollow Core HDF door w/ </t>
  </si>
  <si>
    <t>D8- 2100x900mm - 18 GA. Cold rolled, hot dipped</t>
  </si>
  <si>
    <t xml:space="preserve">D9- 2400x900mm - 18 GA. Cold rolled, hot dipped </t>
  </si>
  <si>
    <t xml:space="preserve">W1- 6800x4555mm - (Fixed window) 10mm thk. Clear  </t>
  </si>
  <si>
    <t>W2- (Fixed window) 10mm thk. Clear tempered glass</t>
  </si>
  <si>
    <t>W3- (Fixed window) 10mm thk. Clear tempered glass</t>
  </si>
  <si>
    <t>W4- (Fixed window) 10mm thk. Clear tempered glass</t>
  </si>
  <si>
    <t xml:space="preserve">W5- 600x2750mm - (Awning window) 6mm thk., Annealed </t>
  </si>
  <si>
    <t>W6- 600x3550mm - (Awning window) 6mm thk., Annealed</t>
  </si>
  <si>
    <t xml:space="preserve">W7- 600x1800mm - (Awning window) 6mm thk., Annealed </t>
  </si>
  <si>
    <t>W8- 600x900mm - (Awning window) 6mm thk., Annealed</t>
  </si>
  <si>
    <t xml:space="preserve">W9- 8510x2400mm - (Fixed window) 10mm thk. Clear </t>
  </si>
  <si>
    <t>W10- (Fixed window) 10mm thk. Clear tempered glass</t>
  </si>
  <si>
    <t xml:space="preserve">W11- 2400x900mm - (Awning type window w/ Fixed glass) </t>
  </si>
  <si>
    <t xml:space="preserve">W12- 2400x1200mm - (Awning type window w/ Fixed glass) </t>
  </si>
  <si>
    <t xml:space="preserve">W13- 2400x6700mm - (Fixed window) 10mm thk. Clear float </t>
  </si>
  <si>
    <t xml:space="preserve">W14- 2400x9000mm - (Fixed window) 10mm thk. Clear float </t>
  </si>
  <si>
    <t>W15- 2400x6900mm - (Fixed window) 10mm thk. Clear float</t>
  </si>
  <si>
    <t xml:space="preserve">W16- 2400x3660mm - (Fixed window) 10mm thk. Clear float </t>
  </si>
  <si>
    <t>IV</t>
  </si>
  <si>
    <t>V</t>
  </si>
  <si>
    <t>TOILET PARTITIONS</t>
  </si>
  <si>
    <t>LIGHTING FIXTURES</t>
  </si>
  <si>
    <t>Pin Light</t>
  </si>
  <si>
    <t>150mmX150mm Recessed Pinlight w/ 13W CFL</t>
  </si>
  <si>
    <t>Porcelain Receptacle w/ 15W CFL</t>
  </si>
  <si>
    <t>100X100X200mm Wall lamp w/ Glass Diffuser Alum</t>
  </si>
  <si>
    <t>CAS Body powder coated finish and 18W Warm White CFL</t>
  </si>
  <si>
    <t>Wall Lamp</t>
  </si>
  <si>
    <t>600mmX1200mm Lighting fixture w/ 4-36W Fluorescent</t>
  </si>
  <si>
    <t>Lamp, 220V 60HZ (Phillips) w/ Mirrorized Louvers</t>
  </si>
  <si>
    <t>HARDWARES</t>
  </si>
  <si>
    <t>Mortise Leverset in Satin Finish or approved equal</t>
  </si>
  <si>
    <t>1 1/2 pairs 3 1/2" x 3 1/2" x 0.13 standard weight and</t>
  </si>
  <si>
    <t>standard duty 2-ball bearing hinges non removable</t>
  </si>
  <si>
    <t>in satin finish</t>
  </si>
  <si>
    <t>Panic Hardware</t>
  </si>
  <si>
    <t>Koyo Ball Bearing S/S Hinges</t>
  </si>
  <si>
    <t>MISCELLANEOUS</t>
  </si>
  <si>
    <t>Non-slip Aluminum Stair Nosing</t>
  </si>
  <si>
    <t>38mm x 38mm Non-slip Angle bar Nosing</t>
  </si>
  <si>
    <t>6mm x 38mm x38mm Brass Threaded Nosing welded to</t>
  </si>
  <si>
    <t>10mmØ anchor</t>
  </si>
  <si>
    <t>Others (model units)</t>
  </si>
  <si>
    <t>on Latex Flat Painted Finish</t>
  </si>
  <si>
    <t>on Metal Furring on Latex Flat Painted Finish</t>
  </si>
  <si>
    <t>Plain Cement Plaster, Painted Finish (color to be verify)</t>
  </si>
  <si>
    <t xml:space="preserve">Signage </t>
  </si>
  <si>
    <t xml:space="preserve">e. </t>
  </si>
  <si>
    <t>Green Wall</t>
  </si>
  <si>
    <t>CF5- Exposed Slab (Plain Cement Plastered Finish)</t>
  </si>
  <si>
    <t>by owner</t>
  </si>
  <si>
    <t>FF-06 600x600mm Homogenous Tiles Lapatto Finish</t>
  </si>
  <si>
    <t>Exhaust S/S Cowl</t>
  </si>
  <si>
    <t>tempered glass on Aluminum frame Brown Powder coated finish</t>
  </si>
  <si>
    <t>PLUMBING FIXTURES</t>
  </si>
  <si>
    <t>PLUMBING FIXTURE</t>
  </si>
  <si>
    <t xml:space="preserve"> Water closet</t>
  </si>
  <si>
    <t xml:space="preserve"> Water Closet (Dummy)</t>
  </si>
  <si>
    <t xml:space="preserve"> Lavatory</t>
  </si>
  <si>
    <t xml:space="preserve"> Lavatory (Dummy)</t>
  </si>
  <si>
    <t xml:space="preserve"> Urinal</t>
  </si>
  <si>
    <t xml:space="preserve"> Floor Drain</t>
  </si>
  <si>
    <t xml:space="preserve"> Floor Drain (Dummy)</t>
  </si>
  <si>
    <t>UM</t>
  </si>
  <si>
    <t>TM</t>
  </si>
  <si>
    <t>UL</t>
  </si>
  <si>
    <t>TL</t>
  </si>
  <si>
    <t>DC</t>
  </si>
  <si>
    <t>Mobilization</t>
  </si>
  <si>
    <t>incl</t>
  </si>
  <si>
    <t xml:space="preserve">CONT </t>
  </si>
  <si>
    <t>Demobilization</t>
  </si>
  <si>
    <t>OH</t>
  </si>
  <si>
    <t>Bonds/Ins</t>
  </si>
  <si>
    <t>OTHERS</t>
  </si>
  <si>
    <t>Permits</t>
  </si>
  <si>
    <t>PROF</t>
  </si>
  <si>
    <t>Contractors Tax</t>
  </si>
  <si>
    <t>none</t>
  </si>
  <si>
    <t>TAX</t>
  </si>
  <si>
    <t>Supervision</t>
  </si>
  <si>
    <t>TK</t>
  </si>
  <si>
    <t>GT W/O VAT</t>
  </si>
  <si>
    <t>ofc staff</t>
  </si>
  <si>
    <t>GT W/VAT</t>
  </si>
  <si>
    <t>ofc suppplies</t>
  </si>
  <si>
    <t>Transportation Staff</t>
  </si>
  <si>
    <t>Communication</t>
  </si>
  <si>
    <t>Tools/equipt.</t>
  </si>
  <si>
    <t>Barracks</t>
  </si>
  <si>
    <t>temfacil</t>
  </si>
  <si>
    <t>TOILET</t>
  </si>
  <si>
    <t>H. Keeping</t>
  </si>
  <si>
    <t>Demolition</t>
  </si>
  <si>
    <t>handling</t>
  </si>
  <si>
    <t>hauling materials</t>
  </si>
  <si>
    <t>hauling debris/out</t>
  </si>
  <si>
    <t>utilities water</t>
  </si>
  <si>
    <t>utilities electric</t>
  </si>
  <si>
    <t>temp util connect</t>
  </si>
  <si>
    <t>safety</t>
  </si>
  <si>
    <t>Rep</t>
  </si>
  <si>
    <t>Line/Grade</t>
  </si>
  <si>
    <t>Professional Fee</t>
  </si>
  <si>
    <t>Security</t>
  </si>
  <si>
    <t>Plans Preparation</t>
  </si>
  <si>
    <t>As-built plans</t>
  </si>
  <si>
    <t>Shop dwg</t>
  </si>
  <si>
    <t>Board up</t>
  </si>
  <si>
    <t>Signboards</t>
  </si>
  <si>
    <t>Signals &amp; warnings</t>
  </si>
  <si>
    <t>Final Cleaning</t>
  </si>
  <si>
    <t>Protection of prop</t>
  </si>
  <si>
    <t>debris chute</t>
  </si>
  <si>
    <t>PONCHOS</t>
  </si>
  <si>
    <t>AIRCON</t>
  </si>
  <si>
    <t>NURSE</t>
  </si>
  <si>
    <t>ADS</t>
  </si>
  <si>
    <t>MESS</t>
  </si>
  <si>
    <t>TOTAL</t>
  </si>
  <si>
    <t xml:space="preserve">                   SUBTOTAL FOR ITEM I</t>
  </si>
  <si>
    <t xml:space="preserve">                   SUBTOTAL FOR ITEM II</t>
  </si>
  <si>
    <t xml:space="preserve">                   SUBTOTAL FOR ITEM III</t>
  </si>
  <si>
    <t xml:space="preserve">                   SUBTOTAL FOR ITEM IV</t>
  </si>
  <si>
    <t xml:space="preserve">                   SUBTOTAL FOR ITEM V</t>
  </si>
  <si>
    <t xml:space="preserve">                   SUBTOTAL FOR ITEM VI</t>
  </si>
  <si>
    <t xml:space="preserve">                   SUBTOTAL FOR ITEM VII</t>
  </si>
  <si>
    <t xml:space="preserve">                   SUBTOTAL FOR ITEM VIII</t>
  </si>
  <si>
    <t xml:space="preserve">                   SUBTOTAL FOR ITEM IX</t>
  </si>
  <si>
    <t>GRAND TOTAL</t>
  </si>
  <si>
    <t xml:space="preserve">FF-04 400x200mm non-skid Porcelain tiles (Accent) </t>
  </si>
  <si>
    <t>FF-04a 600x200mm non-skid Porcelain tiles (Field) COTTO Cement Wood City Lt. Grey</t>
  </si>
  <si>
    <t>unit</t>
  </si>
  <si>
    <t>kci qty</t>
  </si>
  <si>
    <t>qty</t>
  </si>
  <si>
    <t>um</t>
  </si>
  <si>
    <t>tm</t>
  </si>
  <si>
    <t>ul</t>
  </si>
  <si>
    <t>tl</t>
  </si>
  <si>
    <t>600mmx600mm tiles</t>
  </si>
  <si>
    <t>pc</t>
  </si>
  <si>
    <t>tile adhesive</t>
  </si>
  <si>
    <t>bag</t>
  </si>
  <si>
    <t>tile grout</t>
  </si>
  <si>
    <t>kg</t>
  </si>
  <si>
    <t>mortar (topping) included @ other item</t>
  </si>
  <si>
    <t>sq m</t>
  </si>
  <si>
    <t>300mmx300mm tiles</t>
  </si>
  <si>
    <t>mortar</t>
  </si>
  <si>
    <t>3.0mmx450mmx450mm vinyl tiles</t>
  </si>
  <si>
    <t>adhesive</t>
  </si>
  <si>
    <t>gallon</t>
  </si>
  <si>
    <t>Plastering (20mm thk)</t>
  </si>
  <si>
    <t>cement</t>
  </si>
  <si>
    <t>sand</t>
  </si>
  <si>
    <t>cu.m</t>
  </si>
  <si>
    <t>PEBBLES(per sq m)</t>
  </si>
  <si>
    <t>cu m</t>
  </si>
  <si>
    <t>pebbles</t>
  </si>
  <si>
    <t>FF-02 450x450mm Vinyl tiles Carpet finish (HANWHA GT-C9710)</t>
  </si>
  <si>
    <t>600mmx200mm tiles</t>
  </si>
  <si>
    <t>400mmx200mm tiles</t>
  </si>
  <si>
    <t>600mmx200mm tiles Accent</t>
  </si>
  <si>
    <t>Wall TILE INSTALLATION (per sq m)</t>
  </si>
  <si>
    <t>Ramp railing</t>
  </si>
  <si>
    <t>38mm dia. B.I pipe</t>
  </si>
  <si>
    <t>6mm thk steel plate w/ 50mm long bar</t>
  </si>
  <si>
    <r>
      <t>6mm thk steel plate w/ 12mm</t>
    </r>
    <r>
      <rPr>
        <sz val="10"/>
        <rFont val="Calibri"/>
        <family val="2"/>
      </rPr>
      <t>Ø</t>
    </r>
    <r>
      <rPr>
        <sz val="10"/>
        <rFont val="Calibri"/>
        <family val="2"/>
        <scheme val="minor"/>
      </rPr>
      <t xml:space="preserve"> 75mm long bar</t>
    </r>
  </si>
  <si>
    <t>concrete</t>
  </si>
  <si>
    <t>plain cement w/ 10mmx10mm reveal</t>
  </si>
  <si>
    <t>formworks</t>
  </si>
  <si>
    <t>rebar</t>
  </si>
  <si>
    <t>pcs</t>
  </si>
  <si>
    <t>kgs</t>
  </si>
  <si>
    <t>automotive lacquer paint</t>
  </si>
  <si>
    <t>Exit Light</t>
  </si>
  <si>
    <t>Floor finish @ model units and video room</t>
  </si>
  <si>
    <t>BY OTHERS</t>
  </si>
  <si>
    <t>FF-01 600x600mm non-skid Homogenous Tiles (TAICERA G68428 bush hammer grey)</t>
  </si>
  <si>
    <t>FF-03 300x300mm non-skid Ceramic tiles (TAICERA G38529 Rustik DK Grey)</t>
  </si>
  <si>
    <t>"FF-01" TILE INSTALLATION (per sq m)</t>
  </si>
  <si>
    <t>"FF-02" VINYL TILE INSTALLATION (per sq m)</t>
  </si>
  <si>
    <t>"FF-03" TILE INSTALLATION (per sq m)</t>
  </si>
  <si>
    <t>"FFD-04" TILE INSTALLATION (per sq m)</t>
  </si>
  <si>
    <t>"FF-04a" TILE INSTALLATION (per sq m)</t>
  </si>
  <si>
    <t>INCLUDED</t>
  </si>
  <si>
    <t>Aluminum Threshold</t>
  </si>
  <si>
    <t>Brass nosing</t>
  </si>
  <si>
    <t>LGT</t>
  </si>
  <si>
    <t>Mobilization / Demobilization</t>
  </si>
  <si>
    <t>lot</t>
  </si>
  <si>
    <t>Notarial Fee</t>
  </si>
  <si>
    <t xml:space="preserve">Temporary Facilities </t>
  </si>
  <si>
    <t>Total Gross Prem.</t>
  </si>
  <si>
    <t>General Cleaning and Clearing of Site</t>
  </si>
  <si>
    <t>Note: GUARANTEE BOND EQUALS TO SURETY BOND</t>
  </si>
  <si>
    <t>Bonds and Insurances</t>
  </si>
  <si>
    <t>PERFORMANCE BOND</t>
  </si>
  <si>
    <t>Permits, Clearances &amp; Licenses (By Owner)</t>
  </si>
  <si>
    <t>Net Premium</t>
  </si>
  <si>
    <t>Temporary Enclosure</t>
  </si>
  <si>
    <t>Doc. Stamps Tax</t>
  </si>
  <si>
    <t>As-built Plans</t>
  </si>
  <si>
    <t>12% VAT</t>
  </si>
  <si>
    <t>PRELIMINARIES</t>
  </si>
  <si>
    <t>SUBTOTAL I</t>
  </si>
  <si>
    <t>GUARANTEE BOND</t>
  </si>
  <si>
    <t>CARI</t>
  </si>
  <si>
    <t>A.</t>
  </si>
  <si>
    <t>B.</t>
  </si>
  <si>
    <t>C.</t>
  </si>
  <si>
    <t>CF-1 12mm thk. Gypsum Board on Metal Furring on Latex Flat Painted Finish</t>
  </si>
  <si>
    <t>D.</t>
  </si>
  <si>
    <t>clear Tempered glass door on Aluminum frame Powder coated</t>
  </si>
  <si>
    <t xml:space="preserve"> clear Tempered glass door on Aluminum frame Powder coated</t>
  </si>
  <si>
    <t>D5- 2100x750mm - 45mm thk. Hollow Core HDF door w/ Wooden Louver</t>
  </si>
  <si>
    <t>D6- 2100x900mm - 45mm thk. Hollow Core HDF door w/ Wooden Louver</t>
  </si>
  <si>
    <t>D7- 2100x500mm - 45mm thk. Hollow Core HDF door w/ Wooden Louver</t>
  </si>
  <si>
    <t>E.</t>
  </si>
  <si>
    <t>F.</t>
  </si>
  <si>
    <t>standard duty 2-ball bearing hinges non removable in satin finish</t>
  </si>
  <si>
    <t>G.</t>
  </si>
  <si>
    <t>BY OWNER</t>
  </si>
  <si>
    <t>Wall finish @ model units and video room</t>
  </si>
  <si>
    <t>H.</t>
  </si>
  <si>
    <t>Ramp Railing</t>
  </si>
  <si>
    <t>Paint finish for Entrance Canopy</t>
  </si>
  <si>
    <t>I.</t>
  </si>
  <si>
    <t>J.</t>
  </si>
  <si>
    <t>CABINETRY</t>
  </si>
  <si>
    <t xml:space="preserve">Overhead, Under counter cabinet &amp; granite countertop @ Ground Floor Pantry </t>
  </si>
  <si>
    <t xml:space="preserve">Overhead, Under counter cabinet &amp; granite countertop @ Second Floor Pantry </t>
  </si>
  <si>
    <t>SUBTOTAL II</t>
  </si>
  <si>
    <t>ELECTRICALWORKS</t>
  </si>
  <si>
    <t>SUBTOTAL III</t>
  </si>
  <si>
    <t>VI</t>
  </si>
  <si>
    <t>GRAND TOTAL AMOUNT (VAT INC.)</t>
  </si>
  <si>
    <t>SUBTOTAL VI</t>
  </si>
  <si>
    <t>Engineering Department</t>
  </si>
  <si>
    <t>"FF-06" TILE INSTALLATION (per sq m)</t>
  </si>
  <si>
    <t>"WF-" Wall TILE INSTALLATION (per sq m)</t>
  </si>
  <si>
    <t>600mmx200mm tiles "Accent"</t>
  </si>
  <si>
    <t>600mmx200mm tiles "Field"</t>
  </si>
  <si>
    <t>3mm x 38mm x38mm Brass Threaded Nosing welded to 10mmØ anchor</t>
  </si>
  <si>
    <t>TOILET ACCESSORIES</t>
  </si>
  <si>
    <t>PLUMBING WORKS (MODEL UNITS EXCLUDED)</t>
  </si>
  <si>
    <t>Others (Model Units excluded)</t>
  </si>
  <si>
    <t>Hygienical Spray (OSM)</t>
  </si>
  <si>
    <t>Granite countertop at toilets (model units excluded)</t>
  </si>
  <si>
    <t>Aluminum Tile Trim</t>
  </si>
  <si>
    <t>Toilet Paper Holder (OSM)</t>
  </si>
  <si>
    <t>Stainless Steel Grab Bar (OSM)</t>
  </si>
  <si>
    <t>1100mm x 60mm x 6mm THK mirror on 6mm THK marine plywood backing (OSM)</t>
  </si>
  <si>
    <t>Ga. 18 steel shelving 250mm x 600mm (OSM)</t>
  </si>
  <si>
    <t>Mop Rack (OSM)</t>
  </si>
  <si>
    <t>ENTRANCE CANOPY SKYLIGHT</t>
  </si>
  <si>
    <t>10mm thk. Canadian Grey Color tempered</t>
  </si>
  <si>
    <t>150Ømm Pipe Sched. 40</t>
  </si>
  <si>
    <t>200mmx 300mm x 6mm Tubular Steel</t>
  </si>
  <si>
    <t>50mmx 300mm x 6mm Tubular Steel</t>
  </si>
  <si>
    <t>50mmx 150mm x 6mm Tubular Steel</t>
  </si>
  <si>
    <t>50mm x 50mm x 3mm thk. SS cube w/ extruded aluminum and rubber gasket</t>
  </si>
  <si>
    <t>0.60mm thk. SS End-Flashing</t>
  </si>
  <si>
    <t>300mmx 300mmx 20mm thk plate w/</t>
  </si>
  <si>
    <t>350mm x 450mmx 20mm thk. base plate w/</t>
  </si>
  <si>
    <t xml:space="preserve">20mmØ anchor bolts </t>
  </si>
  <si>
    <t>primer paint</t>
  </si>
  <si>
    <t>welding</t>
  </si>
  <si>
    <t>consumables</t>
  </si>
  <si>
    <t xml:space="preserve">             UNIT PRICE (Php)</t>
  </si>
  <si>
    <t xml:space="preserve">      AMOUNT (Php)</t>
  </si>
  <si>
    <t>JET BLACK</t>
  </si>
  <si>
    <r>
      <t>m</t>
    </r>
    <r>
      <rPr>
        <vertAlign val="superscript"/>
        <sz val="10"/>
        <rFont val="Calibri"/>
        <family val="2"/>
      </rPr>
      <t>2</t>
    </r>
  </si>
  <si>
    <t>P</t>
  </si>
  <si>
    <r>
      <t>/m</t>
    </r>
    <r>
      <rPr>
        <vertAlign val="superscript"/>
        <sz val="10"/>
        <rFont val="Calibri"/>
        <family val="2"/>
      </rPr>
      <t>2</t>
    </r>
  </si>
  <si>
    <t>Material Cost    :</t>
  </si>
  <si>
    <t>Installation works</t>
  </si>
  <si>
    <t>Cutting Works</t>
  </si>
  <si>
    <t>Top Flat Edge Polished</t>
  </si>
  <si>
    <t>/lm</t>
  </si>
  <si>
    <t>SB Flat Edge Polished</t>
  </si>
  <si>
    <t>Sink Hole</t>
  </si>
  <si>
    <t>hole</t>
  </si>
  <si>
    <t>/hole</t>
  </si>
  <si>
    <t>Labor Cost    :</t>
  </si>
  <si>
    <t>Sub-Total Materials and Labor Cost   :</t>
  </si>
  <si>
    <t>top</t>
  </si>
  <si>
    <t>SB</t>
  </si>
  <si>
    <t>2.  LAVATORY  COUNTERTOP, Dim. 600mm x 1000mm with 150mm Splash Board and 200mm Fascia Board</t>
  </si>
  <si>
    <t>1.  LAVATORY  COUNTERTOP, Dim. 600mm x 1800mm with 150mm Splash Board and 200mm Fascia Board</t>
  </si>
  <si>
    <t>3.  LAVATORY  COUNTERTOP, Dim. 600mm x 2250mm with 100mm Splash Board and 65mm Fascia Board</t>
  </si>
  <si>
    <t>4.  LAVATORY  COUNTERTOP, Dim. 600mm x 3200mm with 100mm Splash Board and 65mm Fascia Board</t>
  </si>
  <si>
    <t>TOILET/KITCHEN FIXTURES</t>
  </si>
  <si>
    <t>Water closet (OSM)</t>
  </si>
  <si>
    <t>Urinal (OSM)</t>
  </si>
  <si>
    <t>Lavatory (OSM)</t>
  </si>
  <si>
    <t>Lavatory Faucet (OSM)</t>
  </si>
  <si>
    <t>Stainless Steel Kitchen Sink (OSM)</t>
  </si>
  <si>
    <t>Kitchen Sink Faucet (OSM)</t>
  </si>
  <si>
    <t>Slop Sink Faucet (OSM)</t>
  </si>
  <si>
    <t>1.2mm THK Stainless Steel End Cap</t>
  </si>
  <si>
    <t>Emergency Light</t>
  </si>
  <si>
    <t>METAL/GLASS WORKS</t>
  </si>
  <si>
    <t>10mm THK Tempered Glass for Main Stair Railings</t>
  </si>
  <si>
    <t>10mm THK Tempered Glass for View Deck Railings</t>
  </si>
  <si>
    <t>Signage</t>
  </si>
  <si>
    <t>6mm THK coated glass at toilet</t>
  </si>
  <si>
    <t>Urinal Partition (JEBSEN Bescube)</t>
  </si>
  <si>
    <t>6" CFL Pin Light w/o diffuser</t>
  </si>
  <si>
    <t>WIRES &amp; CABLES</t>
  </si>
  <si>
    <t xml:space="preserve">2.0mm² THHN </t>
  </si>
  <si>
    <t xml:space="preserve">3.5mm² THHN </t>
  </si>
  <si>
    <t xml:space="preserve">5.5mm² THHN </t>
  </si>
  <si>
    <t xml:space="preserve">14mm² THHN </t>
  </si>
  <si>
    <t xml:space="preserve">22mm² THHN </t>
  </si>
  <si>
    <t xml:space="preserve">30mm² THHN </t>
  </si>
  <si>
    <t xml:space="preserve">50mm² THHN </t>
  </si>
  <si>
    <t xml:space="preserve">150mm² THHN </t>
  </si>
  <si>
    <t xml:space="preserve">250mm² THHN </t>
  </si>
  <si>
    <t xml:space="preserve">8mm² THHN </t>
  </si>
  <si>
    <t>SWITCHES &amp; OUTLETS</t>
  </si>
  <si>
    <t>One Gang switch</t>
  </si>
  <si>
    <t>Two Gang switch</t>
  </si>
  <si>
    <t>Three Gang switch</t>
  </si>
  <si>
    <t>Three Way switch</t>
  </si>
  <si>
    <t>2-Gang CO w/ ground rod</t>
  </si>
  <si>
    <t xml:space="preserve">1-Gang CO w/ ground </t>
  </si>
  <si>
    <t>2-Gang CO w/ ground slot wp</t>
  </si>
  <si>
    <t xml:space="preserve">D. </t>
  </si>
  <si>
    <t>400A 3P MCB in NEMA 4X</t>
  </si>
  <si>
    <t>70A 3P Lugs only, 18-20A2PCB</t>
  </si>
  <si>
    <t>100A 3P Lugs only, 18-20A2PCB</t>
  </si>
  <si>
    <t>300A 3P Lugs only, 2-20A2PCB</t>
  </si>
  <si>
    <t>2-30A 2PCB, 9-50A2PCB, 5-50A3PCB</t>
  </si>
  <si>
    <t>400A 3PCB, 1-70A3PCB, 1-100A3PCB</t>
  </si>
  <si>
    <t>20A 2P w/ NEMA 3R</t>
  </si>
  <si>
    <t>30A 2P w/ NEMA 3R</t>
  </si>
  <si>
    <t>50A 2P w/ NEMA 3R</t>
  </si>
  <si>
    <t>50A 3P w/ NEMA 3R</t>
  </si>
  <si>
    <t>1/2" Flexible Connector</t>
  </si>
  <si>
    <t>1/2" Flexible Pipe</t>
  </si>
  <si>
    <t>Electrical Tape Big</t>
  </si>
  <si>
    <t>mts</t>
  </si>
  <si>
    <t>PANEL BOARDS</t>
  </si>
  <si>
    <t xml:space="preserve">Mortise Leverset in Satin Finish Schlage or approved equal </t>
  </si>
  <si>
    <t>Ground Floor Male &amp; Female Toilet Partition (JEBSEN Bescube)</t>
  </si>
  <si>
    <t>Second Floor Male &amp; Female Toilet Partition (JEBSEN Bescube)</t>
  </si>
  <si>
    <t>TELEPHONE &amp; DATA</t>
  </si>
  <si>
    <t># 22/3C Telephone wire</t>
  </si>
  <si>
    <t>CAT 5 UTP Cable</t>
  </si>
  <si>
    <t>1 - Gang Telephone Outlet</t>
  </si>
  <si>
    <t>1 - Gang Data Outlet</t>
  </si>
  <si>
    <t>Telephone Terminal Cabinet</t>
  </si>
  <si>
    <t>Data Cabinet</t>
  </si>
  <si>
    <t>2RU cable management</t>
  </si>
  <si>
    <t>Patch panel 24 Port</t>
  </si>
  <si>
    <t>Miscellaneous</t>
  </si>
  <si>
    <t xml:space="preserve">Floor Drain </t>
  </si>
  <si>
    <t>OSM</t>
  </si>
  <si>
    <t>Grease Trap 5GPM</t>
  </si>
  <si>
    <t>Bill of Quantities for Architectural,Electrical &amp; Plumbing Works</t>
  </si>
  <si>
    <t>TK/Foreman</t>
  </si>
  <si>
    <t>hauling out of debris</t>
  </si>
  <si>
    <t>temp util deposits</t>
  </si>
  <si>
    <t>bodegero w/ cellphone</t>
  </si>
  <si>
    <t>reports</t>
  </si>
  <si>
    <t xml:space="preserve">Plans </t>
  </si>
  <si>
    <t>Shop drawing</t>
  </si>
  <si>
    <t>Sec guard</t>
  </si>
  <si>
    <t>exhaust fans/vac</t>
  </si>
  <si>
    <t>ads</t>
  </si>
  <si>
    <t>messenger</t>
  </si>
  <si>
    <t>janitor</t>
  </si>
  <si>
    <t>Testing and Commissioning</t>
  </si>
  <si>
    <t>Restoration</t>
  </si>
  <si>
    <t>Nurse</t>
  </si>
  <si>
    <t>Scaffolding</t>
  </si>
  <si>
    <t>Health Certificate</t>
  </si>
  <si>
    <t>Warranty</t>
  </si>
  <si>
    <t>Paint Finish interior (color to be verified)</t>
  </si>
  <si>
    <t>Paint Finish Exterior (color to be verified)</t>
  </si>
  <si>
    <t>Cove Ceiling Painted finish (color to be verified)</t>
  </si>
  <si>
    <t>Hand Dryer</t>
  </si>
  <si>
    <t>xx</t>
  </si>
  <si>
    <t>??</t>
  </si>
  <si>
    <t>xx??</t>
  </si>
  <si>
    <t>Tools and Equipment</t>
  </si>
  <si>
    <t>Portable Toilet</t>
  </si>
  <si>
    <t>Electric Consumption (Genset)</t>
  </si>
  <si>
    <t>Water Consumption</t>
  </si>
  <si>
    <t>Handling and Hauling of Materials</t>
  </si>
  <si>
    <t>Hauling out of Debris</t>
  </si>
  <si>
    <t>AMOUNT</t>
  </si>
  <si>
    <t>Project Supervision (including safety officer)</t>
  </si>
  <si>
    <t>Safety Requirements (Signages,PPE etc.)</t>
  </si>
  <si>
    <t>hrs.</t>
  </si>
  <si>
    <t xml:space="preserve">Kitchen Sink Faucet </t>
  </si>
  <si>
    <t xml:space="preserve">Slop Sink Faucet </t>
  </si>
  <si>
    <t xml:space="preserve">Stainless Steel Grab Bar </t>
  </si>
  <si>
    <t>WINDOWS (BY OTHERS)</t>
  </si>
  <si>
    <t>facial mirror</t>
  </si>
  <si>
    <t>6mm THK mirror</t>
  </si>
  <si>
    <t>sq.ft</t>
  </si>
  <si>
    <t>edge polish</t>
  </si>
  <si>
    <t>1" wide beveled</t>
  </si>
  <si>
    <t>plywood backing</t>
  </si>
  <si>
    <t>Stainless Steel Grab Bar</t>
  </si>
  <si>
    <t xml:space="preserve">1100mm x 60mm x 6mm THK mirror on 6mm THK marine plywood backing </t>
  </si>
  <si>
    <t xml:space="preserve">Ga. 18 steel shelving 250mm x 600mm </t>
  </si>
  <si>
    <t>Mop Rack</t>
  </si>
  <si>
    <t xml:space="preserve">Mop Rack </t>
  </si>
  <si>
    <t>6mm THK coated glass</t>
  </si>
  <si>
    <t xml:space="preserve">Stainless Steel Kitchen Sink </t>
  </si>
  <si>
    <t>Sub-meter</t>
  </si>
  <si>
    <t>units</t>
  </si>
  <si>
    <t>American Standard Automatic Hand Dryer</t>
  </si>
  <si>
    <t>Weida PVC Septic Tank 6800 L Capacity (for 34 persons)</t>
  </si>
  <si>
    <t xml:space="preserve"> Sub-meter </t>
  </si>
  <si>
    <t>FF-01 600x600mm non-skid Homogenous Tiles (Architect White Rock,Architect White Matt)</t>
  </si>
  <si>
    <t>FF-02 450x450mm Vinyl tiles Carpet finish (Butter Ginger)</t>
  </si>
  <si>
    <t>excavation</t>
  </si>
  <si>
    <t>manhole</t>
  </si>
  <si>
    <t>FF-03 300x300mm non-skid Ceramic tiles (Maskara White)</t>
  </si>
  <si>
    <t>FF-4A-1 200x600mm non-skid floor tiles (Nisea Beige-Field)</t>
  </si>
  <si>
    <t xml:space="preserve">FF-4.1 200x400mm non-skid floor tiles (Nisea Gres-Accent) </t>
  </si>
  <si>
    <t>FF-4.2 200x400mm non-skid floor tiles (Architect Brown Rock-Accent)</t>
  </si>
  <si>
    <t>FF-4A.2 200x600mm non-skid floor tiles (Sandstone Superwhite Rock-Field)</t>
  </si>
  <si>
    <t>WF-  600mm x 200mm Non-skid Porcelain Tiles (Accent) Female Toilet - Grd &amp; 2nd Floor</t>
  </si>
  <si>
    <t>WF-  600mm x 200mm Non-skid Porcelain Tiles (Field) Female Toliet - Grd &amp; 2nd Floor</t>
  </si>
  <si>
    <t>WF-  600mm x 200mm Non-skid Porcelain Tiles (Accent) Male &amp; Pwd Toilet - Grd &amp; 2nd Floor</t>
  </si>
  <si>
    <t>WF-  600mm x 200mm Non-skid Porcelain Tiles (Field) Male &amp; Pwd Toilet - Grd &amp; 2nd Floor</t>
  </si>
  <si>
    <t>"FF-4.1" TILE INSTALLATION (per sq m)</t>
  </si>
  <si>
    <t>"FF-4A.1" TILE INSTALLATION (per sq m)</t>
  </si>
  <si>
    <t>"FF-4.2" TILE INSTALLATION (per sq m)</t>
  </si>
  <si>
    <t>"FF-4A.2" TILE INSTALLATION (per sq m)</t>
  </si>
  <si>
    <t>Septic Tank (As Per Plan)</t>
  </si>
  <si>
    <t>.</t>
  </si>
  <si>
    <t>Septic Tank</t>
  </si>
  <si>
    <t>American Standard Automatic Hand dryer (OSM)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</si>
</sst>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  <numFmt numFmtId="166" formatCode="0.000"/>
    <numFmt numFmtId="167" formatCode="[$-409]mmmm\ d\,\ yyyy;@"/>
    <numFmt numFmtId="168" formatCode="[$-F800]dddd\,\ mmmm\ dd\,\ yyyy"/>
    <numFmt numFmtId="169" formatCode="_(* #,##0.0000_);_(* \(#,##0.0000\);_(* &quot;-&quot;??_);_(@_)"/>
    <numFmt numFmtId="170" formatCode="_(* #,##0.000_);_(* \(#,##0.000\);_(* &quot;-&quot;??_);_(@_)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b/>
      <sz val="10.5"/>
      <name val="Arial"/>
      <family val="2"/>
    </font>
    <font>
      <sz val="10.5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9"/>
      <name val="Calibri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sz val="10"/>
      <color indexed="8"/>
      <name val="Calibri"/>
      <family val="2"/>
      <scheme val="minor"/>
    </font>
    <font>
      <vertAlign val="superscript"/>
      <sz val="10"/>
      <name val="Calibri"/>
      <family val="2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0"/>
      <color indexed="81"/>
      <name val="Tahoma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</cellStyleXfs>
  <cellXfs count="959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0" xfId="1" applyNumberFormat="1" applyFont="1" applyFill="1" applyBorder="1"/>
    <xf numFmtId="164" fontId="0" fillId="0" borderId="10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/>
    <xf numFmtId="164" fontId="1" fillId="2" borderId="2" xfId="1" applyNumberFormat="1" applyFont="1" applyFill="1" applyBorder="1" applyAlignment="1">
      <alignment horizontal="center"/>
    </xf>
    <xf numFmtId="164" fontId="1" fillId="2" borderId="2" xfId="1" applyNumberFormat="1" applyFont="1" applyFill="1" applyBorder="1"/>
    <xf numFmtId="164" fontId="1" fillId="2" borderId="3" xfId="1" applyNumberFormat="1" applyFont="1" applyFill="1" applyBorder="1"/>
    <xf numFmtId="164" fontId="1" fillId="0" borderId="0" xfId="1" applyNumberFormat="1" applyFont="1" applyBorder="1" applyAlignment="1">
      <alignment horizontal="center"/>
    </xf>
    <xf numFmtId="164" fontId="1" fillId="0" borderId="0" xfId="1" applyNumberFormat="1" applyFont="1" applyBorder="1"/>
    <xf numFmtId="164" fontId="1" fillId="0" borderId="7" xfId="1" applyNumberFormat="1" applyFont="1" applyBorder="1"/>
    <xf numFmtId="164" fontId="1" fillId="3" borderId="2" xfId="1" applyNumberFormat="1" applyFont="1" applyFill="1" applyBorder="1" applyAlignment="1">
      <alignment horizontal="center"/>
    </xf>
    <xf numFmtId="164" fontId="1" fillId="3" borderId="2" xfId="1" applyNumberFormat="1" applyFont="1" applyFill="1" applyBorder="1"/>
    <xf numFmtId="164" fontId="1" fillId="3" borderId="3" xfId="1" applyNumberFormat="1" applyFont="1" applyFill="1" applyBorder="1"/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quotePrefix="1" applyNumberFormat="1" applyAlignment="1">
      <alignment horizontal="left"/>
    </xf>
    <xf numFmtId="164" fontId="0" fillId="0" borderId="4" xfId="0" applyNumberFormat="1" applyFont="1" applyBorder="1"/>
    <xf numFmtId="164" fontId="0" fillId="0" borderId="5" xfId="0" applyNumberFormat="1" applyFont="1" applyBorder="1"/>
    <xf numFmtId="164" fontId="0" fillId="0" borderId="14" xfId="0" applyNumberFormat="1" applyFont="1" applyBorder="1"/>
    <xf numFmtId="164" fontId="0" fillId="0" borderId="10" xfId="0" applyNumberFormat="1" applyFont="1" applyBorder="1" applyAlignment="1">
      <alignment horizontal="center"/>
    </xf>
    <xf numFmtId="164" fontId="0" fillId="0" borderId="6" xfId="0" applyNumberFormat="1" applyFont="1" applyBorder="1"/>
    <xf numFmtId="164" fontId="0" fillId="0" borderId="0" xfId="0" applyNumberFormat="1" applyFont="1" applyBorder="1"/>
    <xf numFmtId="164" fontId="3" fillId="0" borderId="0" xfId="0" applyNumberFormat="1" applyFont="1"/>
    <xf numFmtId="164" fontId="1" fillId="0" borderId="0" xfId="0" applyNumberFormat="1" applyFont="1" applyBorder="1"/>
    <xf numFmtId="164" fontId="0" fillId="0" borderId="15" xfId="0" applyNumberFormat="1" applyFont="1" applyBorder="1"/>
    <xf numFmtId="164" fontId="0" fillId="0" borderId="15" xfId="0" applyNumberFormat="1" applyFill="1" applyBorder="1"/>
    <xf numFmtId="164" fontId="0" fillId="0" borderId="15" xfId="0" applyNumberFormat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0" borderId="6" xfId="0" applyNumberFormat="1" applyFont="1" applyFill="1" applyBorder="1"/>
    <xf numFmtId="164" fontId="1" fillId="0" borderId="0" xfId="0" applyNumberFormat="1" applyFont="1" applyFill="1" applyBorder="1"/>
    <xf numFmtId="164" fontId="1" fillId="0" borderId="6" xfId="0" applyNumberFormat="1" applyFont="1" applyBorder="1"/>
    <xf numFmtId="164" fontId="0" fillId="0" borderId="15" xfId="0" applyNumberFormat="1" applyFont="1" applyFill="1" applyBorder="1"/>
    <xf numFmtId="164" fontId="0" fillId="0" borderId="1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6" fillId="3" borderId="1" xfId="0" applyNumberFormat="1" applyFont="1" applyFill="1" applyBorder="1"/>
    <xf numFmtId="164" fontId="1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3" fillId="0" borderId="0" xfId="0" applyNumberFormat="1" applyFont="1" applyFill="1"/>
    <xf numFmtId="164" fontId="0" fillId="0" borderId="11" xfId="1" applyNumberFormat="1" applyFont="1" applyFill="1" applyBorder="1"/>
    <xf numFmtId="164" fontId="1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64" fontId="1" fillId="0" borderId="21" xfId="1" applyNumberFormat="1" applyFont="1" applyBorder="1" applyAlignment="1">
      <alignment horizontal="center"/>
    </xf>
    <xf numFmtId="164" fontId="1" fillId="0" borderId="15" xfId="0" applyNumberFormat="1" applyFont="1" applyFill="1" applyBorder="1"/>
    <xf numFmtId="164" fontId="0" fillId="0" borderId="15" xfId="0" applyNumberFormat="1" applyFill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2" fontId="0" fillId="0" borderId="0" xfId="0" applyNumberFormat="1"/>
    <xf numFmtId="164" fontId="0" fillId="0" borderId="10" xfId="0" applyNumberFormat="1" applyBorder="1" applyAlignment="1">
      <alignment horizontal="center"/>
    </xf>
    <xf numFmtId="43" fontId="0" fillId="0" borderId="0" xfId="1" applyFont="1"/>
    <xf numFmtId="43" fontId="1" fillId="2" borderId="2" xfId="1" applyFont="1" applyFill="1" applyBorder="1"/>
    <xf numFmtId="43" fontId="1" fillId="0" borderId="0" xfId="1" applyFont="1" applyBorder="1"/>
    <xf numFmtId="43" fontId="1" fillId="3" borderId="2" xfId="1" applyFont="1" applyFill="1" applyBorder="1"/>
    <xf numFmtId="164" fontId="0" fillId="0" borderId="22" xfId="1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164" fontId="0" fillId="0" borderId="22" xfId="1" applyNumberFormat="1" applyFont="1" applyBorder="1"/>
    <xf numFmtId="164" fontId="0" fillId="0" borderId="24" xfId="1" applyNumberFormat="1" applyFont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164" fontId="0" fillId="0" borderId="24" xfId="1" applyNumberFormat="1" applyFont="1" applyBorder="1"/>
    <xf numFmtId="43" fontId="0" fillId="0" borderId="24" xfId="1" applyFont="1" applyBorder="1"/>
    <xf numFmtId="43" fontId="0" fillId="0" borderId="24" xfId="1" applyFont="1" applyFill="1" applyBorder="1" applyAlignment="1"/>
    <xf numFmtId="164" fontId="0" fillId="0" borderId="24" xfId="1" applyNumberFormat="1" applyFont="1" applyFill="1" applyBorder="1" applyAlignment="1"/>
    <xf numFmtId="164" fontId="0" fillId="0" borderId="24" xfId="0" applyNumberFormat="1" applyBorder="1" applyAlignment="1">
      <alignment horizontal="center"/>
    </xf>
    <xf numFmtId="164" fontId="0" fillId="0" borderId="24" xfId="1" applyNumberFormat="1" applyFont="1" applyFill="1" applyBorder="1" applyAlignment="1">
      <alignment horizontal="center"/>
    </xf>
    <xf numFmtId="164" fontId="0" fillId="0" borderId="24" xfId="0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24" xfId="0" applyNumberFormat="1" applyFill="1" applyBorder="1" applyAlignment="1">
      <alignment horizontal="center"/>
    </xf>
    <xf numFmtId="164" fontId="1" fillId="0" borderId="20" xfId="0" applyNumberFormat="1" applyFont="1" applyFill="1" applyBorder="1"/>
    <xf numFmtId="164" fontId="0" fillId="0" borderId="28" xfId="0" applyNumberFormat="1" applyFont="1" applyBorder="1"/>
    <xf numFmtId="164" fontId="1" fillId="0" borderId="27" xfId="0" applyNumberFormat="1" applyFont="1" applyBorder="1" applyAlignment="1">
      <alignment horizontal="left" vertical="center"/>
    </xf>
    <xf numFmtId="164" fontId="0" fillId="0" borderId="28" xfId="0" applyNumberFormat="1" applyBorder="1"/>
    <xf numFmtId="164" fontId="0" fillId="0" borderId="28" xfId="0" applyNumberFormat="1" applyFont="1" applyFill="1" applyBorder="1"/>
    <xf numFmtId="164" fontId="0" fillId="0" borderId="28" xfId="0" applyNumberFormat="1" applyFill="1" applyBorder="1"/>
    <xf numFmtId="164" fontId="0" fillId="0" borderId="28" xfId="0" applyNumberFormat="1" applyFill="1" applyBorder="1" applyAlignment="1">
      <alignment horizontal="left"/>
    </xf>
    <xf numFmtId="164" fontId="1" fillId="0" borderId="31" xfId="0" applyNumberFormat="1" applyFont="1" applyFill="1" applyBorder="1"/>
    <xf numFmtId="164" fontId="1" fillId="0" borderId="32" xfId="0" applyNumberFormat="1" applyFont="1" applyBorder="1"/>
    <xf numFmtId="164" fontId="1" fillId="0" borderId="32" xfId="0" applyNumberFormat="1" applyFont="1" applyBorder="1" applyAlignment="1">
      <alignment horizontal="right"/>
    </xf>
    <xf numFmtId="164" fontId="0" fillId="0" borderId="32" xfId="0" applyNumberFormat="1" applyFont="1" applyBorder="1"/>
    <xf numFmtId="164" fontId="0" fillId="0" borderId="33" xfId="0" applyNumberFormat="1" applyFont="1" applyBorder="1"/>
    <xf numFmtId="0" fontId="4" fillId="0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3" fontId="7" fillId="0" borderId="0" xfId="1" applyNumberFormat="1" applyFont="1" applyFill="1" applyAlignment="1">
      <alignment horizontal="center" vertical="center"/>
    </xf>
    <xf numFmtId="3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3" fontId="4" fillId="0" borderId="0" xfId="1" applyNumberFormat="1" applyFont="1" applyFill="1" applyBorder="1" applyAlignment="1">
      <alignment horizontal="center" vertical="center"/>
    </xf>
    <xf numFmtId="3" fontId="4" fillId="0" borderId="0" xfId="0" applyNumberFormat="1" applyFont="1" applyFill="1" applyAlignment="1">
      <alignment horizontal="center"/>
    </xf>
    <xf numFmtId="3" fontId="4" fillId="5" borderId="0" xfId="0" applyNumberFormat="1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11" fillId="0" borderId="0" xfId="1" applyNumberFormat="1" applyFont="1" applyFill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164" fontId="0" fillId="6" borderId="0" xfId="0" applyNumberFormat="1" applyFont="1" applyFill="1" applyBorder="1"/>
    <xf numFmtId="164" fontId="0" fillId="0" borderId="36" xfId="0" applyNumberFormat="1" applyFont="1" applyBorder="1"/>
    <xf numFmtId="164" fontId="0" fillId="0" borderId="37" xfId="1" applyNumberFormat="1" applyFont="1" applyFill="1" applyBorder="1" applyAlignment="1">
      <alignment horizontal="center"/>
    </xf>
    <xf numFmtId="164" fontId="0" fillId="0" borderId="37" xfId="0" applyNumberFormat="1" applyFont="1" applyFill="1" applyBorder="1" applyAlignment="1">
      <alignment horizontal="center"/>
    </xf>
    <xf numFmtId="164" fontId="0" fillId="0" borderId="37" xfId="1" applyNumberFormat="1" applyFont="1" applyFill="1" applyBorder="1"/>
    <xf numFmtId="164" fontId="0" fillId="0" borderId="37" xfId="1" applyNumberFormat="1" applyFont="1" applyBorder="1"/>
    <xf numFmtId="164" fontId="1" fillId="6" borderId="29" xfId="0" applyNumberFormat="1" applyFont="1" applyFill="1" applyBorder="1" applyAlignment="1">
      <alignment horizontal="left" vertical="center"/>
    </xf>
    <xf numFmtId="164" fontId="1" fillId="6" borderId="29" xfId="0" applyNumberFormat="1" applyFont="1" applyFill="1" applyBorder="1"/>
    <xf numFmtId="164" fontId="1" fillId="6" borderId="29" xfId="1" applyNumberFormat="1" applyFont="1" applyFill="1" applyBorder="1" applyAlignment="1">
      <alignment horizontal="center"/>
    </xf>
    <xf numFmtId="164" fontId="1" fillId="6" borderId="29" xfId="0" applyNumberFormat="1" applyFont="1" applyFill="1" applyBorder="1" applyAlignment="1">
      <alignment horizontal="center"/>
    </xf>
    <xf numFmtId="164" fontId="0" fillId="6" borderId="21" xfId="0" applyNumberFormat="1" applyFill="1" applyBorder="1" applyAlignment="1">
      <alignment horizontal="center"/>
    </xf>
    <xf numFmtId="164" fontId="1" fillId="6" borderId="29" xfId="1" applyNumberFormat="1" applyFont="1" applyFill="1" applyBorder="1"/>
    <xf numFmtId="43" fontId="1" fillId="6" borderId="29" xfId="1" applyFont="1" applyFill="1" applyBorder="1"/>
    <xf numFmtId="164" fontId="0" fillId="0" borderId="39" xfId="0" applyNumberFormat="1" applyFont="1" applyBorder="1"/>
    <xf numFmtId="164" fontId="0" fillId="0" borderId="39" xfId="1" applyNumberFormat="1" applyFont="1" applyBorder="1" applyAlignment="1">
      <alignment horizontal="center"/>
    </xf>
    <xf numFmtId="164" fontId="0" fillId="0" borderId="39" xfId="0" applyNumberFormat="1" applyFont="1" applyBorder="1" applyAlignment="1">
      <alignment horizontal="center"/>
    </xf>
    <xf numFmtId="164" fontId="0" fillId="0" borderId="39" xfId="1" applyNumberFormat="1" applyFont="1" applyBorder="1"/>
    <xf numFmtId="43" fontId="0" fillId="0" borderId="39" xfId="1" applyFont="1" applyBorder="1"/>
    <xf numFmtId="164" fontId="1" fillId="6" borderId="41" xfId="0" applyNumberFormat="1" applyFont="1" applyFill="1" applyBorder="1" applyAlignment="1">
      <alignment horizontal="left"/>
    </xf>
    <xf numFmtId="164" fontId="1" fillId="2" borderId="30" xfId="0" applyNumberFormat="1" applyFont="1" applyFill="1" applyBorder="1"/>
    <xf numFmtId="164" fontId="6" fillId="3" borderId="30" xfId="0" applyNumberFormat="1" applyFont="1" applyFill="1" applyBorder="1"/>
    <xf numFmtId="0" fontId="12" fillId="0" borderId="0" xfId="0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/>
    <xf numFmtId="165" fontId="4" fillId="0" borderId="0" xfId="1" applyNumberFormat="1" applyFont="1" applyFill="1"/>
    <xf numFmtId="0" fontId="15" fillId="0" borderId="0" xfId="0" applyFont="1" applyAlignment="1">
      <alignment vertical="center"/>
    </xf>
    <xf numFmtId="2" fontId="16" fillId="0" borderId="0" xfId="0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2" fontId="18" fillId="8" borderId="0" xfId="0" applyNumberFormat="1" applyFont="1" applyFill="1" applyBorder="1" applyAlignment="1">
      <alignment horizontal="center" vertical="center"/>
    </xf>
    <xf numFmtId="165" fontId="4" fillId="8" borderId="0" xfId="1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2" fontId="15" fillId="0" borderId="0" xfId="0" applyNumberFormat="1" applyFont="1" applyAlignment="1">
      <alignment vertical="center"/>
    </xf>
    <xf numFmtId="164" fontId="19" fillId="0" borderId="0" xfId="1" applyNumberFormat="1" applyFont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43" fontId="18" fillId="8" borderId="0" xfId="1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 applyFill="1" applyBorder="1" applyAlignment="1">
      <alignment horizontal="center" vertical="center" wrapText="1"/>
    </xf>
    <xf numFmtId="164" fontId="22" fillId="0" borderId="0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164" fontId="20" fillId="9" borderId="0" xfId="1" applyNumberFormat="1" applyFont="1" applyFill="1" applyBorder="1" applyAlignment="1">
      <alignment horizontal="center" vertical="center" wrapText="1"/>
    </xf>
    <xf numFmtId="1" fontId="20" fillId="9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164" fontId="0" fillId="0" borderId="34" xfId="0" applyNumberFormat="1" applyBorder="1" applyAlignment="1">
      <alignment horizontal="left" vertical="center" wrapText="1"/>
    </xf>
    <xf numFmtId="0" fontId="22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  <xf numFmtId="164" fontId="1" fillId="0" borderId="19" xfId="0" applyNumberFormat="1" applyFont="1" applyFill="1" applyBorder="1" applyAlignment="1">
      <alignment horizontal="right" vertical="center" wrapText="1"/>
    </xf>
    <xf numFmtId="164" fontId="0" fillId="0" borderId="27" xfId="0" applyNumberFormat="1" applyFont="1" applyBorder="1" applyAlignment="1">
      <alignment horizontal="right" vertical="center" wrapText="1"/>
    </xf>
    <xf numFmtId="2" fontId="0" fillId="0" borderId="27" xfId="0" applyNumberFormat="1" applyBorder="1" applyAlignment="1">
      <alignment horizontal="right" vertical="center" wrapText="1"/>
    </xf>
    <xf numFmtId="164" fontId="1" fillId="0" borderId="27" xfId="0" applyNumberFormat="1" applyFont="1" applyBorder="1" applyAlignment="1">
      <alignment horizontal="right" vertical="center" wrapText="1"/>
    </xf>
    <xf numFmtId="164" fontId="0" fillId="0" borderId="27" xfId="0" applyNumberFormat="1" applyBorder="1" applyAlignment="1">
      <alignment horizontal="right" vertical="center" wrapText="1"/>
    </xf>
    <xf numFmtId="164" fontId="0" fillId="0" borderId="35" xfId="0" applyNumberFormat="1" applyFont="1" applyBorder="1" applyAlignment="1">
      <alignment horizontal="right" vertical="center" wrapText="1"/>
    </xf>
    <xf numFmtId="164" fontId="1" fillId="0" borderId="0" xfId="0" applyNumberFormat="1" applyFont="1" applyBorder="1" applyAlignment="1">
      <alignment horizontal="right" vertical="center" wrapText="1"/>
    </xf>
    <xf numFmtId="164" fontId="1" fillId="3" borderId="2" xfId="0" applyNumberFormat="1" applyFont="1" applyFill="1" applyBorder="1" applyAlignment="1">
      <alignment horizontal="right" vertical="center" wrapText="1"/>
    </xf>
    <xf numFmtId="164" fontId="0" fillId="0" borderId="39" xfId="0" applyNumberFormat="1" applyFont="1" applyBorder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4" fontId="0" fillId="0" borderId="28" xfId="0" applyNumberFormat="1" applyFont="1" applyBorder="1" applyAlignment="1">
      <alignment wrapText="1"/>
    </xf>
    <xf numFmtId="164" fontId="1" fillId="4" borderId="27" xfId="0" applyNumberFormat="1" applyFont="1" applyFill="1" applyBorder="1" applyAlignment="1">
      <alignment horizontal="left" vertical="center"/>
    </xf>
    <xf numFmtId="164" fontId="1" fillId="4" borderId="28" xfId="0" applyNumberFormat="1" applyFont="1" applyFill="1" applyBorder="1"/>
    <xf numFmtId="164" fontId="0" fillId="4" borderId="34" xfId="0" applyNumberFormat="1" applyFill="1" applyBorder="1" applyAlignment="1">
      <alignment horizontal="right" vertical="center" wrapText="1"/>
    </xf>
    <xf numFmtId="164" fontId="0" fillId="4" borderId="28" xfId="0" applyNumberFormat="1" applyFill="1" applyBorder="1"/>
    <xf numFmtId="164" fontId="0" fillId="4" borderId="34" xfId="0" applyNumberFormat="1" applyFont="1" applyFill="1" applyBorder="1" applyAlignment="1">
      <alignment horizontal="right" vertical="center" wrapText="1"/>
    </xf>
    <xf numFmtId="164" fontId="0" fillId="4" borderId="27" xfId="0" applyNumberFormat="1" applyFill="1" applyBorder="1" applyAlignment="1">
      <alignment horizontal="right" vertical="center" wrapText="1"/>
    </xf>
    <xf numFmtId="2" fontId="22" fillId="0" borderId="0" xfId="0" applyNumberFormat="1" applyFont="1" applyFill="1" applyBorder="1" applyAlignment="1">
      <alignment horizontal="center" vertical="center" wrapText="1"/>
    </xf>
    <xf numFmtId="2" fontId="0" fillId="0" borderId="35" xfId="0" applyNumberFormat="1" applyBorder="1" applyAlignment="1">
      <alignment horizontal="right" vertical="center" wrapText="1"/>
    </xf>
    <xf numFmtId="164" fontId="0" fillId="0" borderId="36" xfId="0" applyNumberFormat="1" applyBorder="1"/>
    <xf numFmtId="43" fontId="0" fillId="0" borderId="0" xfId="1" applyFont="1" applyAlignment="1">
      <alignment horizontal="right" vertical="center"/>
    </xf>
    <xf numFmtId="43" fontId="0" fillId="0" borderId="37" xfId="1" applyFont="1" applyBorder="1" applyAlignment="1">
      <alignment horizontal="right" vertical="center"/>
    </xf>
    <xf numFmtId="43" fontId="0" fillId="0" borderId="37" xfId="1" applyFont="1" applyBorder="1" applyAlignment="1">
      <alignment horizontal="center" vertical="center"/>
    </xf>
    <xf numFmtId="164" fontId="1" fillId="0" borderId="24" xfId="1" applyNumberFormat="1" applyFont="1" applyBorder="1" applyAlignment="1">
      <alignment horizontal="center"/>
    </xf>
    <xf numFmtId="164" fontId="1" fillId="0" borderId="25" xfId="1" applyNumberFormat="1" applyFont="1" applyBorder="1" applyAlignment="1">
      <alignment horizontal="center"/>
    </xf>
    <xf numFmtId="43" fontId="0" fillId="0" borderId="0" xfId="1" quotePrefix="1" applyFont="1" applyAlignment="1">
      <alignment horizontal="left"/>
    </xf>
    <xf numFmtId="43" fontId="0" fillId="0" borderId="15" xfId="1" applyFont="1" applyBorder="1"/>
    <xf numFmtId="43" fontId="1" fillId="0" borderId="22" xfId="1" applyFont="1" applyFill="1" applyBorder="1"/>
    <xf numFmtId="43" fontId="0" fillId="4" borderId="24" xfId="1" applyFont="1" applyFill="1" applyBorder="1"/>
    <xf numFmtId="43" fontId="0" fillId="0" borderId="24" xfId="1" applyFont="1" applyFill="1" applyBorder="1"/>
    <xf numFmtId="43" fontId="0" fillId="0" borderId="24" xfId="1" applyFont="1" applyFill="1" applyBorder="1" applyAlignment="1">
      <alignment horizontal="left"/>
    </xf>
    <xf numFmtId="43" fontId="1" fillId="0" borderId="24" xfId="1" applyFont="1" applyFill="1" applyBorder="1"/>
    <xf numFmtId="43" fontId="0" fillId="0" borderId="37" xfId="1" applyFont="1" applyFill="1" applyBorder="1"/>
    <xf numFmtId="43" fontId="3" fillId="0" borderId="0" xfId="1" applyFont="1"/>
    <xf numFmtId="43" fontId="3" fillId="0" borderId="0" xfId="1" applyFont="1" applyFill="1"/>
    <xf numFmtId="164" fontId="0" fillId="0" borderId="37" xfId="1" applyNumberFormat="1" applyFont="1" applyBorder="1" applyAlignment="1">
      <alignment horizontal="right" vertical="center"/>
    </xf>
    <xf numFmtId="164" fontId="0" fillId="0" borderId="37" xfId="1" applyNumberFormat="1" applyFont="1" applyFill="1" applyBorder="1" applyAlignment="1">
      <alignment horizontal="right" vertical="center"/>
    </xf>
    <xf numFmtId="164" fontId="8" fillId="0" borderId="0" xfId="1" applyNumberFormat="1" applyFont="1" applyFill="1" applyAlignment="1">
      <alignment horizontal="center"/>
    </xf>
    <xf numFmtId="164" fontId="7" fillId="0" borderId="0" xfId="1" applyNumberFormat="1" applyFont="1" applyFill="1" applyAlignment="1">
      <alignment horizontal="center"/>
    </xf>
    <xf numFmtId="164" fontId="9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9" fillId="0" borderId="34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0" borderId="0" xfId="1" applyNumberFormat="1" applyFont="1" applyFill="1" applyAlignment="1">
      <alignment horizontal="center"/>
    </xf>
    <xf numFmtId="164" fontId="11" fillId="0" borderId="0" xfId="1" applyNumberFormat="1" applyFont="1" applyFill="1" applyAlignment="1">
      <alignment horizontal="center"/>
    </xf>
    <xf numFmtId="164" fontId="0" fillId="0" borderId="23" xfId="1" applyNumberFormat="1" applyFont="1" applyBorder="1"/>
    <xf numFmtId="164" fontId="0" fillId="0" borderId="25" xfId="1" applyNumberFormat="1" applyFont="1" applyBorder="1"/>
    <xf numFmtId="164" fontId="0" fillId="0" borderId="38" xfId="1" applyNumberFormat="1" applyFont="1" applyBorder="1" applyAlignment="1">
      <alignment horizontal="right" vertical="center"/>
    </xf>
    <xf numFmtId="164" fontId="0" fillId="0" borderId="25" xfId="1" applyNumberFormat="1" applyFont="1" applyFill="1" applyBorder="1"/>
    <xf numFmtId="164" fontId="0" fillId="0" borderId="25" xfId="1" applyNumberFormat="1" applyFont="1" applyFill="1" applyBorder="1" applyAlignment="1">
      <alignment horizontal="center"/>
    </xf>
    <xf numFmtId="164" fontId="0" fillId="0" borderId="38" xfId="1" applyNumberFormat="1" applyFont="1" applyFill="1" applyBorder="1"/>
    <xf numFmtId="164" fontId="0" fillId="6" borderId="26" xfId="1" applyNumberFormat="1" applyFont="1" applyFill="1" applyBorder="1" applyAlignment="1">
      <alignment horizontal="center"/>
    </xf>
    <xf numFmtId="164" fontId="0" fillId="0" borderId="40" xfId="1" applyNumberFormat="1" applyFont="1" applyBorder="1"/>
    <xf numFmtId="165" fontId="4" fillId="8" borderId="0" xfId="1" applyNumberFormat="1" applyFont="1" applyFill="1" applyAlignment="1">
      <alignment horizontal="center"/>
    </xf>
    <xf numFmtId="164" fontId="0" fillId="0" borderId="0" xfId="1" applyNumberFormat="1" applyFont="1" applyBorder="1"/>
    <xf numFmtId="164" fontId="12" fillId="0" borderId="0" xfId="1" applyNumberFormat="1" applyFont="1" applyFill="1" applyAlignment="1">
      <alignment horizontal="center"/>
    </xf>
    <xf numFmtId="164" fontId="4" fillId="0" borderId="0" xfId="1" applyNumberFormat="1" applyFont="1" applyFill="1"/>
    <xf numFmtId="164" fontId="4" fillId="0" borderId="0" xfId="1" applyNumberFormat="1" applyFont="1" applyBorder="1" applyAlignment="1">
      <alignment vertical="center"/>
    </xf>
    <xf numFmtId="164" fontId="4" fillId="8" borderId="0" xfId="1" applyNumberFormat="1" applyFont="1" applyFill="1" applyBorder="1" applyAlignment="1">
      <alignment horizontal="center" vertical="center"/>
    </xf>
    <xf numFmtId="164" fontId="20" fillId="0" borderId="0" xfId="1" applyNumberFormat="1" applyFont="1" applyFill="1" applyBorder="1" applyAlignment="1">
      <alignment horizontal="center" vertical="center" wrapText="1"/>
    </xf>
    <xf numFmtId="164" fontId="20" fillId="0" borderId="0" xfId="1" applyNumberFormat="1" applyFont="1" applyFill="1" applyBorder="1" applyAlignment="1">
      <alignment vertical="center" wrapText="1"/>
    </xf>
    <xf numFmtId="164" fontId="0" fillId="6" borderId="0" xfId="1" applyNumberFormat="1" applyFont="1" applyFill="1" applyBorder="1"/>
    <xf numFmtId="164" fontId="13" fillId="0" borderId="0" xfId="1" applyNumberFormat="1" applyFont="1" applyFill="1" applyAlignment="1">
      <alignment horizontal="center"/>
    </xf>
    <xf numFmtId="164" fontId="13" fillId="0" borderId="0" xfId="1" applyNumberFormat="1" applyFont="1" applyFill="1"/>
    <xf numFmtId="164" fontId="0" fillId="0" borderId="25" xfId="1" applyNumberFormat="1" applyFont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0" fillId="0" borderId="0" xfId="1" applyNumberFormat="1" applyFont="1" applyFill="1"/>
    <xf numFmtId="0" fontId="0" fillId="0" borderId="0" xfId="0" applyFont="1" applyFill="1"/>
    <xf numFmtId="0" fontId="0" fillId="0" borderId="0" xfId="0" applyFont="1"/>
    <xf numFmtId="0" fontId="0" fillId="11" borderId="0" xfId="0" applyFill="1"/>
    <xf numFmtId="4" fontId="0" fillId="11" borderId="0" xfId="0" applyNumberFormat="1" applyFill="1"/>
    <xf numFmtId="165" fontId="4" fillId="11" borderId="0" xfId="1" applyNumberFormat="1" applyFont="1" applyFill="1"/>
    <xf numFmtId="0" fontId="24" fillId="0" borderId="0" xfId="0" applyFont="1" applyFill="1" applyAlignment="1">
      <alignment vertical="center"/>
    </xf>
    <xf numFmtId="165" fontId="9" fillId="11" borderId="0" xfId="1" applyNumberFormat="1" applyFont="1" applyFill="1"/>
    <xf numFmtId="3" fontId="23" fillId="10" borderId="0" xfId="2" applyNumberFormat="1" applyFont="1" applyFill="1" applyAlignment="1">
      <alignment horizontal="center" vertical="center"/>
    </xf>
    <xf numFmtId="0" fontId="9" fillId="11" borderId="0" xfId="0" applyFont="1" applyFill="1" applyAlignment="1"/>
    <xf numFmtId="0" fontId="0" fillId="0" borderId="0" xfId="0" applyFont="1" applyBorder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45" xfId="0" applyNumberFormat="1" applyFont="1" applyBorder="1" applyAlignment="1">
      <alignment horizontal="center"/>
    </xf>
    <xf numFmtId="164" fontId="0" fillId="0" borderId="45" xfId="0" applyNumberFormat="1" applyFont="1" applyBorder="1" applyAlignment="1">
      <alignment horizontal="center"/>
    </xf>
    <xf numFmtId="43" fontId="0" fillId="0" borderId="28" xfId="1" applyFont="1" applyBorder="1"/>
    <xf numFmtId="43" fontId="0" fillId="0" borderId="36" xfId="1" applyFont="1" applyBorder="1" applyAlignment="1">
      <alignment horizontal="right" vertical="center"/>
    </xf>
    <xf numFmtId="43" fontId="0" fillId="4" borderId="28" xfId="1" applyFont="1" applyFill="1" applyBorder="1"/>
    <xf numFmtId="43" fontId="0" fillId="0" borderId="28" xfId="1" applyFont="1" applyFill="1" applyBorder="1"/>
    <xf numFmtId="43" fontId="0" fillId="0" borderId="28" xfId="1" applyFont="1" applyFill="1" applyBorder="1" applyAlignment="1">
      <alignment horizontal="left"/>
    </xf>
    <xf numFmtId="43" fontId="1" fillId="0" borderId="28" xfId="1" applyFont="1" applyFill="1" applyBorder="1"/>
    <xf numFmtId="164" fontId="0" fillId="0" borderId="49" xfId="0" applyNumberFormat="1" applyFont="1" applyBorder="1" applyAlignment="1">
      <alignment horizontal="right" vertical="center" wrapText="1"/>
    </xf>
    <xf numFmtId="2" fontId="0" fillId="0" borderId="49" xfId="0" applyNumberFormat="1" applyBorder="1" applyAlignment="1">
      <alignment horizontal="right" vertical="center" wrapText="1"/>
    </xf>
    <xf numFmtId="2" fontId="0" fillId="0" borderId="50" xfId="0" applyNumberFormat="1" applyBorder="1" applyAlignment="1">
      <alignment horizontal="right" vertical="center" wrapText="1"/>
    </xf>
    <xf numFmtId="164" fontId="1" fillId="0" borderId="49" xfId="0" applyNumberFormat="1" applyFont="1" applyBorder="1" applyAlignment="1">
      <alignment horizontal="right" vertical="center" wrapText="1"/>
    </xf>
    <xf numFmtId="164" fontId="0" fillId="0" borderId="49" xfId="0" applyNumberFormat="1" applyBorder="1" applyAlignment="1">
      <alignment horizontal="right" vertical="center" wrapText="1"/>
    </xf>
    <xf numFmtId="164" fontId="0" fillId="0" borderId="49" xfId="0" applyNumberFormat="1" applyBorder="1" applyAlignment="1">
      <alignment horizontal="left" vertical="center" wrapText="1"/>
    </xf>
    <xf numFmtId="0" fontId="25" fillId="0" borderId="49" xfId="0" applyFont="1" applyBorder="1"/>
    <xf numFmtId="0" fontId="25" fillId="0" borderId="48" xfId="0" applyFont="1" applyBorder="1"/>
    <xf numFmtId="0" fontId="3" fillId="0" borderId="20" xfId="0" applyFont="1" applyBorder="1"/>
    <xf numFmtId="43" fontId="3" fillId="0" borderId="22" xfId="1" applyFont="1" applyBorder="1"/>
    <xf numFmtId="0" fontId="3" fillId="0" borderId="22" xfId="0" applyFont="1" applyBorder="1" applyAlignment="1">
      <alignment horizontal="center"/>
    </xf>
    <xf numFmtId="164" fontId="3" fillId="0" borderId="22" xfId="1" applyNumberFormat="1" applyFont="1" applyFill="1" applyBorder="1"/>
    <xf numFmtId="164" fontId="0" fillId="0" borderId="23" xfId="1" applyNumberFormat="1" applyFont="1" applyFill="1" applyBorder="1"/>
    <xf numFmtId="0" fontId="1" fillId="0" borderId="49" xfId="0" applyFont="1" applyBorder="1"/>
    <xf numFmtId="0" fontId="0" fillId="0" borderId="28" xfId="0" applyFont="1" applyBorder="1"/>
    <xf numFmtId="0" fontId="0" fillId="0" borderId="24" xfId="0" applyFont="1" applyBorder="1" applyAlignment="1">
      <alignment horizontal="center"/>
    </xf>
    <xf numFmtId="0" fontId="24" fillId="0" borderId="49" xfId="0" applyFont="1" applyFill="1" applyBorder="1" applyAlignment="1">
      <alignment horizontal="center"/>
    </xf>
    <xf numFmtId="43" fontId="0" fillId="0" borderId="24" xfId="3" applyFont="1" applyFill="1" applyBorder="1" applyAlignment="1">
      <alignment horizontal="center"/>
    </xf>
    <xf numFmtId="0" fontId="24" fillId="0" borderId="45" xfId="0" applyFont="1" applyFill="1" applyBorder="1" applyAlignment="1">
      <alignment horizontal="center"/>
    </xf>
    <xf numFmtId="0" fontId="29" fillId="0" borderId="0" xfId="0" applyFont="1" applyFill="1" applyAlignment="1">
      <alignment horizontal="left"/>
    </xf>
    <xf numFmtId="0" fontId="0" fillId="0" borderId="45" xfId="0" applyFont="1" applyBorder="1" applyAlignment="1">
      <alignment horizontal="center"/>
    </xf>
    <xf numFmtId="164" fontId="0" fillId="4" borderId="24" xfId="1" applyNumberFormat="1" applyFont="1" applyFill="1" applyBorder="1" applyAlignment="1"/>
    <xf numFmtId="0" fontId="0" fillId="0" borderId="44" xfId="0" applyFont="1" applyBorder="1" applyAlignment="1">
      <alignment horizontal="center"/>
    </xf>
    <xf numFmtId="0" fontId="1" fillId="0" borderId="16" xfId="0" applyFont="1" applyBorder="1"/>
    <xf numFmtId="0" fontId="1" fillId="0" borderId="15" xfId="0" applyFont="1" applyFill="1" applyBorder="1" applyAlignment="1">
      <alignment horizontal="right"/>
    </xf>
    <xf numFmtId="0" fontId="0" fillId="0" borderId="10" xfId="0" applyFont="1" applyBorder="1" applyAlignment="1">
      <alignment horizontal="center"/>
    </xf>
    <xf numFmtId="164" fontId="0" fillId="0" borderId="12" xfId="1" applyNumberFormat="1" applyFont="1" applyBorder="1"/>
    <xf numFmtId="164" fontId="24" fillId="0" borderId="0" xfId="1" applyNumberFormat="1" applyFont="1" applyFill="1" applyAlignment="1">
      <alignment horizontal="left" vertical="center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Fill="1" applyAlignment="1">
      <alignment horizontal="right"/>
    </xf>
    <xf numFmtId="4" fontId="0" fillId="0" borderId="0" xfId="0" applyNumberFormat="1" applyFont="1" applyFill="1"/>
    <xf numFmtId="165" fontId="28" fillId="0" borderId="0" xfId="1" applyNumberFormat="1" applyFont="1" applyFill="1"/>
    <xf numFmtId="165" fontId="30" fillId="0" borderId="0" xfId="1" applyNumberFormat="1" applyFont="1" applyFill="1"/>
    <xf numFmtId="0" fontId="0" fillId="0" borderId="0" xfId="0" applyFont="1" applyFill="1" applyAlignment="1">
      <alignment horizontal="right"/>
    </xf>
    <xf numFmtId="0" fontId="29" fillId="0" borderId="0" xfId="0" applyFont="1" applyFill="1" applyAlignment="1">
      <alignment horizontal="right"/>
    </xf>
    <xf numFmtId="0" fontId="0" fillId="0" borderId="0" xfId="0" applyFont="1" applyFill="1" applyBorder="1"/>
    <xf numFmtId="0" fontId="23" fillId="0" borderId="0" xfId="0" applyFont="1" applyFill="1"/>
    <xf numFmtId="0" fontId="23" fillId="0" borderId="0" xfId="0" applyFont="1" applyFill="1" applyAlignment="1">
      <alignment horizontal="right"/>
    </xf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ont="1" applyFill="1" applyBorder="1"/>
    <xf numFmtId="0" fontId="9" fillId="11" borderId="0" xfId="0" applyFont="1" applyFill="1"/>
    <xf numFmtId="164" fontId="0" fillId="0" borderId="49" xfId="0" applyNumberFormat="1" applyFont="1" applyBorder="1" applyAlignment="1">
      <alignment horizontal="left" vertical="center"/>
    </xf>
    <xf numFmtId="164" fontId="0" fillId="0" borderId="49" xfId="0" applyNumberFormat="1" applyBorder="1" applyAlignment="1">
      <alignment horizontal="left" vertical="center"/>
    </xf>
    <xf numFmtId="164" fontId="0" fillId="0" borderId="27" xfId="1" applyNumberFormat="1" applyFont="1" applyBorder="1" applyAlignment="1">
      <alignment horizontal="left" vertical="center"/>
    </xf>
    <xf numFmtId="164" fontId="1" fillId="0" borderId="27" xfId="1" applyNumberFormat="1" applyFont="1" applyBorder="1" applyAlignment="1">
      <alignment horizontal="left" vertical="center"/>
    </xf>
    <xf numFmtId="164" fontId="0" fillId="0" borderId="27" xfId="1" applyNumberFormat="1" applyFont="1" applyBorder="1" applyAlignment="1">
      <alignment horizontal="left" vertical="center" wrapText="1"/>
    </xf>
    <xf numFmtId="164" fontId="0" fillId="0" borderId="0" xfId="1" applyNumberFormat="1" applyFont="1" applyAlignment="1">
      <alignment horizontal="left" vertical="center" wrapText="1"/>
    </xf>
    <xf numFmtId="164" fontId="1" fillId="0" borderId="27" xfId="1" applyNumberFormat="1" applyFont="1" applyBorder="1" applyAlignment="1">
      <alignment horizontal="left"/>
    </xf>
    <xf numFmtId="164" fontId="1" fillId="0" borderId="0" xfId="1" applyNumberFormat="1" applyFont="1" applyBorder="1" applyAlignment="1">
      <alignment horizontal="left"/>
    </xf>
    <xf numFmtId="164" fontId="25" fillId="0" borderId="19" xfId="1" applyNumberFormat="1" applyFont="1" applyBorder="1" applyAlignment="1">
      <alignment horizontal="left"/>
    </xf>
    <xf numFmtId="164" fontId="1" fillId="0" borderId="27" xfId="1" applyNumberFormat="1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 wrapText="1"/>
    </xf>
    <xf numFmtId="164" fontId="2" fillId="0" borderId="27" xfId="1" applyNumberFormat="1" applyFont="1" applyBorder="1" applyAlignment="1">
      <alignment horizontal="left" vertical="center"/>
    </xf>
    <xf numFmtId="43" fontId="0" fillId="0" borderId="24" xfId="1" applyFont="1" applyBorder="1" applyAlignment="1">
      <alignment horizontal="center"/>
    </xf>
    <xf numFmtId="43" fontId="0" fillId="0" borderId="24" xfId="1" applyFont="1" applyFill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3" fillId="0" borderId="22" xfId="1" applyFont="1" applyBorder="1" applyAlignment="1">
      <alignment horizontal="center"/>
    </xf>
    <xf numFmtId="164" fontId="0" fillId="0" borderId="25" xfId="1" applyNumberFormat="1" applyFont="1" applyFill="1" applyBorder="1" applyAlignment="1">
      <alignment horizontal="right"/>
    </xf>
    <xf numFmtId="43" fontId="0" fillId="0" borderId="28" xfId="1" applyFont="1" applyFill="1" applyBorder="1" applyAlignment="1">
      <alignment horizontal="right"/>
    </xf>
    <xf numFmtId="43" fontId="0" fillId="4" borderId="28" xfId="1" applyFont="1" applyFill="1" applyBorder="1" applyAlignment="1">
      <alignment horizontal="right"/>
    </xf>
    <xf numFmtId="0" fontId="1" fillId="6" borderId="42" xfId="0" applyFont="1" applyFill="1" applyBorder="1" applyAlignment="1">
      <alignment horizontal="center"/>
    </xf>
    <xf numFmtId="43" fontId="0" fillId="6" borderId="2" xfId="1" applyFont="1" applyFill="1" applyBorder="1"/>
    <xf numFmtId="43" fontId="0" fillId="6" borderId="2" xfId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4" fontId="0" fillId="6" borderId="2" xfId="1" applyNumberFormat="1" applyFont="1" applyFill="1" applyBorder="1"/>
    <xf numFmtId="164" fontId="1" fillId="6" borderId="2" xfId="1" applyNumberFormat="1" applyFont="1" applyFill="1" applyBorder="1"/>
    <xf numFmtId="164" fontId="26" fillId="6" borderId="3" xfId="1" applyNumberFormat="1" applyFont="1" applyFill="1" applyBorder="1" applyAlignment="1">
      <alignment horizontal="center" vertical="center"/>
    </xf>
    <xf numFmtId="164" fontId="1" fillId="6" borderId="3" xfId="1" applyNumberFormat="1" applyFont="1" applyFill="1" applyBorder="1"/>
    <xf numFmtId="164" fontId="1" fillId="0" borderId="28" xfId="0" applyNumberFormat="1" applyFont="1" applyFill="1" applyBorder="1"/>
    <xf numFmtId="164" fontId="0" fillId="0" borderId="49" xfId="0" applyNumberFormat="1" applyFill="1" applyBorder="1" applyAlignment="1">
      <alignment horizontal="right" vertical="center" wrapText="1"/>
    </xf>
    <xf numFmtId="164" fontId="0" fillId="0" borderId="27" xfId="1" applyNumberFormat="1" applyFont="1" applyFill="1" applyBorder="1" applyAlignment="1">
      <alignment horizontal="left" vertical="center" wrapText="1"/>
    </xf>
    <xf numFmtId="164" fontId="0" fillId="0" borderId="49" xfId="0" applyNumberFormat="1" applyFont="1" applyFill="1" applyBorder="1" applyAlignment="1">
      <alignment horizontal="right" vertical="center" wrapText="1"/>
    </xf>
    <xf numFmtId="164" fontId="25" fillId="0" borderId="49" xfId="0" applyNumberFormat="1" applyFont="1" applyBorder="1" applyAlignment="1">
      <alignment horizontal="left" vertical="center"/>
    </xf>
    <xf numFmtId="164" fontId="25" fillId="0" borderId="45" xfId="0" applyNumberFormat="1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43" fontId="3" fillId="0" borderId="0" xfId="1" applyFont="1" applyAlignment="1">
      <alignment horizontal="center"/>
    </xf>
    <xf numFmtId="164" fontId="3" fillId="0" borderId="0" xfId="1" applyNumberFormat="1" applyFont="1"/>
    <xf numFmtId="43" fontId="3" fillId="0" borderId="0" xfId="1" quotePrefix="1" applyFont="1" applyAlignment="1">
      <alignment horizontal="left"/>
    </xf>
    <xf numFmtId="164" fontId="3" fillId="0" borderId="0" xfId="1" applyNumberFormat="1" applyFont="1" applyAlignment="1">
      <alignment horizontal="center"/>
    </xf>
    <xf numFmtId="164" fontId="0" fillId="4" borderId="24" xfId="1" applyNumberFormat="1" applyFont="1" applyFill="1" applyBorder="1" applyAlignment="1">
      <alignment horizontal="center"/>
    </xf>
    <xf numFmtId="164" fontId="1" fillId="12" borderId="46" xfId="0" applyNumberFormat="1" applyFont="1" applyFill="1" applyBorder="1" applyAlignment="1">
      <alignment horizontal="center"/>
    </xf>
    <xf numFmtId="43" fontId="1" fillId="12" borderId="29" xfId="1" applyFont="1" applyFill="1" applyBorder="1"/>
    <xf numFmtId="43" fontId="1" fillId="12" borderId="29" xfId="1" applyFont="1" applyFill="1" applyBorder="1" applyAlignment="1">
      <alignment horizontal="center"/>
    </xf>
    <xf numFmtId="164" fontId="1" fillId="12" borderId="29" xfId="0" applyNumberFormat="1" applyFont="1" applyFill="1" applyBorder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5" fontId="4" fillId="4" borderId="0" xfId="1" applyNumberFormat="1" applyFont="1" applyFill="1" applyAlignment="1">
      <alignment horizontal="center"/>
    </xf>
    <xf numFmtId="0" fontId="15" fillId="0" borderId="0" xfId="0" applyFont="1" applyFill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vertical="center"/>
    </xf>
    <xf numFmtId="164" fontId="19" fillId="0" borderId="0" xfId="1" applyNumberFormat="1" applyFont="1" applyFill="1" applyBorder="1" applyAlignment="1">
      <alignment horizontal="center" vertical="center"/>
    </xf>
    <xf numFmtId="43" fontId="18" fillId="0" borderId="0" xfId="1" applyNumberFormat="1" applyFont="1" applyFill="1" applyAlignment="1">
      <alignment horizontal="center" vertical="center"/>
    </xf>
    <xf numFmtId="164" fontId="2" fillId="0" borderId="24" xfId="1" applyNumberFormat="1" applyFont="1" applyFill="1" applyBorder="1" applyAlignment="1">
      <alignment horizontal="center"/>
    </xf>
    <xf numFmtId="43" fontId="2" fillId="0" borderId="10" xfId="1" applyFont="1" applyBorder="1"/>
    <xf numFmtId="164" fontId="2" fillId="0" borderId="10" xfId="1" applyNumberFormat="1" applyFont="1" applyBorder="1" applyAlignment="1">
      <alignment horizontal="center"/>
    </xf>
    <xf numFmtId="164" fontId="0" fillId="0" borderId="45" xfId="0" applyNumberFormat="1" applyFont="1" applyFill="1" applyBorder="1" applyAlignment="1">
      <alignment horizontal="center"/>
    </xf>
    <xf numFmtId="164" fontId="0" fillId="13" borderId="49" xfId="0" applyNumberFormat="1" applyFill="1" applyBorder="1" applyAlignment="1">
      <alignment horizontal="right" vertical="center" wrapText="1"/>
    </xf>
    <xf numFmtId="164" fontId="0" fillId="13" borderId="27" xfId="1" applyNumberFormat="1" applyFont="1" applyFill="1" applyBorder="1" applyAlignment="1">
      <alignment horizontal="left" vertical="center" wrapText="1"/>
    </xf>
    <xf numFmtId="164" fontId="0" fillId="13" borderId="28" xfId="0" applyNumberFormat="1" applyFill="1" applyBorder="1"/>
    <xf numFmtId="0" fontId="34" fillId="0" borderId="0" xfId="0" applyFont="1" applyFill="1" applyAlignment="1">
      <alignment vertical="center"/>
    </xf>
    <xf numFmtId="0" fontId="20" fillId="0" borderId="0" xfId="0" applyFont="1" applyAlignment="1">
      <alignment horizontal="center"/>
    </xf>
    <xf numFmtId="43" fontId="20" fillId="0" borderId="0" xfId="1" applyFont="1" applyAlignment="1">
      <alignment horizontal="center"/>
    </xf>
    <xf numFmtId="43" fontId="22" fillId="0" borderId="0" xfId="2" applyNumberFormat="1" applyFont="1" applyAlignment="1">
      <alignment horizontal="center"/>
    </xf>
    <xf numFmtId="0" fontId="22" fillId="0" borderId="0" xfId="0" applyFont="1" applyAlignment="1">
      <alignment horizontal="center"/>
    </xf>
    <xf numFmtId="164" fontId="22" fillId="5" borderId="0" xfId="2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43" fontId="22" fillId="4" borderId="0" xfId="1" applyFont="1" applyFill="1" applyAlignment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0" borderId="0" xfId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164" fontId="1" fillId="0" borderId="0" xfId="0" applyNumberFormat="1" applyFont="1"/>
    <xf numFmtId="43" fontId="1" fillId="0" borderId="0" xfId="1" applyFont="1"/>
    <xf numFmtId="0" fontId="20" fillId="0" borderId="0" xfId="4" applyFont="1" applyAlignment="1">
      <alignment horizontal="center" vertical="center"/>
    </xf>
    <xf numFmtId="0" fontId="20" fillId="0" borderId="0" xfId="4" applyFont="1" applyAlignment="1">
      <alignment horizontal="left" vertical="center"/>
    </xf>
    <xf numFmtId="166" fontId="22" fillId="0" borderId="0" xfId="4" applyNumberFormat="1" applyFont="1" applyAlignment="1">
      <alignment vertical="center"/>
    </xf>
    <xf numFmtId="0" fontId="22" fillId="0" borderId="0" xfId="4" applyFont="1" applyAlignment="1">
      <alignment vertical="center"/>
    </xf>
    <xf numFmtId="0" fontId="22" fillId="0" borderId="0" xfId="4" applyFont="1" applyAlignment="1">
      <alignment horizontal="right" vertical="center"/>
    </xf>
    <xf numFmtId="43" fontId="22" fillId="0" borderId="0" xfId="1" applyFont="1" applyAlignment="1">
      <alignment vertical="center"/>
    </xf>
    <xf numFmtId="0" fontId="20" fillId="0" borderId="0" xfId="4" applyFont="1" applyAlignment="1">
      <alignment horizontal="right" vertical="center"/>
    </xf>
    <xf numFmtId="43" fontId="20" fillId="0" borderId="53" xfId="4" applyNumberFormat="1" applyFont="1" applyBorder="1" applyAlignment="1">
      <alignment vertical="center"/>
    </xf>
    <xf numFmtId="0" fontId="22" fillId="0" borderId="0" xfId="4" applyFont="1" applyAlignment="1">
      <alignment horizontal="center" vertical="center"/>
    </xf>
    <xf numFmtId="0" fontId="36" fillId="0" borderId="0" xfId="4" applyFont="1" applyAlignment="1">
      <alignment horizontal="center" vertical="center"/>
    </xf>
    <xf numFmtId="43" fontId="20" fillId="0" borderId="54" xfId="4" applyNumberFormat="1" applyFont="1" applyBorder="1" applyAlignment="1">
      <alignment vertical="center"/>
    </xf>
    <xf numFmtId="43" fontId="20" fillId="0" borderId="0" xfId="4" applyNumberFormat="1" applyFont="1" applyBorder="1" applyAlignment="1">
      <alignment vertical="center"/>
    </xf>
    <xf numFmtId="0" fontId="22" fillId="0" borderId="0" xfId="4" applyFont="1" applyAlignment="1">
      <alignment horizontal="left" vertical="center"/>
    </xf>
    <xf numFmtId="2" fontId="22" fillId="0" borderId="0" xfId="4" applyNumberFormat="1" applyFont="1" applyAlignment="1">
      <alignment vertical="center"/>
    </xf>
    <xf numFmtId="0" fontId="22" fillId="0" borderId="0" xfId="4" quotePrefix="1" applyFont="1" applyAlignment="1">
      <alignment vertical="center"/>
    </xf>
    <xf numFmtId="1" fontId="22" fillId="0" borderId="0" xfId="4" applyNumberFormat="1" applyFont="1" applyAlignment="1">
      <alignment vertical="center"/>
    </xf>
    <xf numFmtId="43" fontId="20" fillId="0" borderId="55" xfId="4" applyNumberFormat="1" applyFont="1" applyBorder="1" applyAlignment="1">
      <alignment vertical="center"/>
    </xf>
    <xf numFmtId="0" fontId="22" fillId="0" borderId="0" xfId="5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4" fontId="22" fillId="0" borderId="0" xfId="0" applyNumberFormat="1" applyFont="1"/>
    <xf numFmtId="2" fontId="22" fillId="0" borderId="0" xfId="0" applyNumberFormat="1" applyFont="1"/>
    <xf numFmtId="0" fontId="22" fillId="0" borderId="0" xfId="4" applyFont="1" applyBorder="1" applyAlignment="1">
      <alignment horizontal="center" vertical="center"/>
    </xf>
    <xf numFmtId="0" fontId="36" fillId="0" borderId="0" xfId="4" applyFont="1" applyBorder="1" applyAlignment="1">
      <alignment horizontal="center" vertical="center"/>
    </xf>
    <xf numFmtId="0" fontId="22" fillId="0" borderId="0" xfId="4" applyFont="1" applyBorder="1" applyAlignment="1">
      <alignment vertical="center"/>
    </xf>
    <xf numFmtId="0" fontId="20" fillId="0" borderId="0" xfId="4" applyFont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/>
    <xf numFmtId="4" fontId="22" fillId="0" borderId="0" xfId="0" applyNumberFormat="1" applyFont="1" applyBorder="1"/>
    <xf numFmtId="0" fontId="20" fillId="0" borderId="0" xfId="4" applyFont="1" applyBorder="1" applyAlignment="1">
      <alignment horizontal="left" vertical="center"/>
    </xf>
    <xf numFmtId="0" fontId="20" fillId="0" borderId="0" xfId="4" applyFont="1" applyBorder="1" applyAlignment="1">
      <alignment horizontal="center" vertical="center"/>
    </xf>
    <xf numFmtId="0" fontId="22" fillId="0" borderId="0" xfId="4" applyFont="1" applyBorder="1" applyAlignment="1">
      <alignment horizontal="right" vertical="center"/>
    </xf>
    <xf numFmtId="43" fontId="22" fillId="0" borderId="0" xfId="1" applyFont="1" applyBorder="1" applyAlignment="1">
      <alignment vertical="center"/>
    </xf>
    <xf numFmtId="0" fontId="22" fillId="0" borderId="0" xfId="4" applyFont="1" applyBorder="1" applyAlignment="1">
      <alignment horizontal="left" vertical="center"/>
    </xf>
    <xf numFmtId="2" fontId="22" fillId="0" borderId="0" xfId="4" applyNumberFormat="1" applyFont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2" fillId="0" borderId="0" xfId="4" quotePrefix="1" applyFont="1" applyBorder="1" applyAlignment="1">
      <alignment vertical="center"/>
    </xf>
    <xf numFmtId="1" fontId="22" fillId="0" borderId="0" xfId="4" applyNumberFormat="1" applyFont="1" applyBorder="1" applyAlignment="1">
      <alignment vertical="center"/>
    </xf>
    <xf numFmtId="2" fontId="22" fillId="0" borderId="0" xfId="0" applyNumberFormat="1" applyFont="1" applyBorder="1"/>
    <xf numFmtId="43" fontId="20" fillId="0" borderId="0" xfId="4" applyNumberFormat="1" applyFont="1" applyBorder="1" applyAlignment="1">
      <alignment horizontal="right" vertical="center"/>
    </xf>
    <xf numFmtId="164" fontId="0" fillId="13" borderId="24" xfId="1" applyNumberFormat="1" applyFont="1" applyFill="1" applyBorder="1" applyAlignment="1">
      <alignment horizontal="center"/>
    </xf>
    <xf numFmtId="0" fontId="25" fillId="4" borderId="48" xfId="0" applyFont="1" applyFill="1" applyBorder="1"/>
    <xf numFmtId="164" fontId="25" fillId="4" borderId="19" xfId="1" applyNumberFormat="1" applyFont="1" applyFill="1" applyBorder="1" applyAlignment="1">
      <alignment horizontal="left"/>
    </xf>
    <xf numFmtId="0" fontId="3" fillId="4" borderId="20" xfId="0" applyFont="1" applyFill="1" applyBorder="1"/>
    <xf numFmtId="164" fontId="1" fillId="0" borderId="45" xfId="0" applyNumberFormat="1" applyFont="1" applyFill="1" applyBorder="1" applyAlignment="1">
      <alignment horizontal="center"/>
    </xf>
    <xf numFmtId="164" fontId="0" fillId="0" borderId="49" xfId="0" applyNumberFormat="1" applyFill="1" applyBorder="1" applyAlignment="1">
      <alignment horizontal="left" vertical="center"/>
    </xf>
    <xf numFmtId="164" fontId="0" fillId="0" borderId="27" xfId="1" applyNumberFormat="1" applyFont="1" applyFill="1" applyBorder="1" applyAlignment="1">
      <alignment horizontal="left" vertic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64" fontId="1" fillId="12" borderId="29" xfId="1" applyNumberFormat="1" applyFont="1" applyFill="1" applyBorder="1" applyAlignment="1">
      <alignment horizontal="center"/>
    </xf>
    <xf numFmtId="164" fontId="23" fillId="0" borderId="0" xfId="1" applyNumberFormat="1" applyFont="1" applyFill="1" applyAlignment="1">
      <alignment horizontal="center" vertical="center"/>
    </xf>
    <xf numFmtId="164" fontId="23" fillId="0" borderId="0" xfId="1" applyNumberFormat="1" applyFont="1" applyFill="1" applyAlignment="1">
      <alignment horizontal="right"/>
    </xf>
    <xf numFmtId="164" fontId="37" fillId="0" borderId="0" xfId="1" applyNumberFormat="1" applyFont="1" applyFill="1" applyAlignment="1">
      <alignment horizontal="left"/>
    </xf>
    <xf numFmtId="164" fontId="37" fillId="0" borderId="0" xfId="1" applyNumberFormat="1" applyFont="1" applyFill="1"/>
    <xf numFmtId="164" fontId="23" fillId="0" borderId="0" xfId="1" applyNumberFormat="1" applyFont="1" applyFill="1" applyBorder="1" applyAlignment="1">
      <alignment horizontal="center" vertical="center"/>
    </xf>
    <xf numFmtId="164" fontId="23" fillId="0" borderId="0" xfId="1" applyNumberFormat="1" applyFont="1" applyFill="1"/>
    <xf numFmtId="164" fontId="23" fillId="0" borderId="0" xfId="1" applyNumberFormat="1" applyFont="1" applyFill="1" applyAlignment="1">
      <alignment horizontal="right" vertical="center"/>
    </xf>
    <xf numFmtId="3" fontId="23" fillId="0" borderId="0" xfId="0" applyNumberFormat="1" applyFont="1" applyFill="1"/>
    <xf numFmtId="164" fontId="23" fillId="5" borderId="0" xfId="1" applyNumberFormat="1" applyFont="1" applyFill="1" applyAlignment="1">
      <alignment horizontal="right" vertical="center"/>
    </xf>
    <xf numFmtId="3" fontId="23" fillId="0" borderId="0" xfId="0" applyNumberFormat="1" applyFont="1" applyFill="1" applyBorder="1"/>
    <xf numFmtId="164" fontId="23" fillId="0" borderId="0" xfId="1" applyNumberFormat="1" applyFont="1" applyFill="1" applyBorder="1"/>
    <xf numFmtId="164" fontId="37" fillId="0" borderId="0" xfId="1" applyNumberFormat="1" applyFont="1" applyFill="1" applyBorder="1"/>
    <xf numFmtId="164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left"/>
    </xf>
    <xf numFmtId="164" fontId="23" fillId="0" borderId="0" xfId="1" applyNumberFormat="1" applyFont="1" applyFill="1" applyAlignment="1">
      <alignment horizontal="center"/>
    </xf>
    <xf numFmtId="164" fontId="39" fillId="0" borderId="0" xfId="1" applyNumberFormat="1" applyFont="1" applyFill="1" applyAlignment="1">
      <alignment horizontal="right" vertical="center"/>
    </xf>
    <xf numFmtId="164" fontId="39" fillId="0" borderId="0" xfId="1" applyNumberFormat="1" applyFont="1" applyAlignment="1">
      <alignment horizontal="right" vertical="center"/>
    </xf>
    <xf numFmtId="164" fontId="39" fillId="0" borderId="0" xfId="1" applyNumberFormat="1" applyFont="1" applyAlignment="1">
      <alignment horizontal="center" vertical="center"/>
    </xf>
    <xf numFmtId="164" fontId="3" fillId="0" borderId="0" xfId="0" applyNumberFormat="1" applyFont="1" applyAlignment="1"/>
    <xf numFmtId="167" fontId="3" fillId="0" borderId="0" xfId="0" quotePrefix="1" applyNumberFormat="1" applyFont="1" applyAlignment="1">
      <alignment horizontal="left" vertical="top"/>
    </xf>
    <xf numFmtId="43" fontId="22" fillId="0" borderId="0" xfId="1" applyFont="1" applyFill="1" applyBorder="1" applyAlignment="1">
      <alignment horizontal="center" vertical="center" wrapText="1"/>
    </xf>
    <xf numFmtId="164" fontId="2" fillId="0" borderId="38" xfId="1" applyNumberFormat="1" applyFont="1" applyBorder="1" applyAlignment="1">
      <alignment horizontal="right" vertical="center"/>
    </xf>
    <xf numFmtId="164" fontId="24" fillId="0" borderId="0" xfId="1" applyNumberFormat="1" applyFont="1" applyFill="1" applyAlignment="1">
      <alignment vertical="center"/>
    </xf>
    <xf numFmtId="43" fontId="0" fillId="0" borderId="24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24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Border="1"/>
    <xf numFmtId="0" fontId="20" fillId="0" borderId="0" xfId="4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164" fontId="0" fillId="13" borderId="0" xfId="0" applyNumberFormat="1" applyFont="1" applyFill="1" applyBorder="1"/>
    <xf numFmtId="0" fontId="20" fillId="13" borderId="0" xfId="4" applyFont="1" applyFill="1" applyBorder="1" applyAlignment="1">
      <alignment horizontal="left" vertical="center"/>
    </xf>
    <xf numFmtId="0" fontId="20" fillId="13" borderId="0" xfId="4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vertical="center"/>
    </xf>
    <xf numFmtId="4" fontId="22" fillId="13" borderId="0" xfId="0" applyNumberFormat="1" applyFont="1" applyFill="1" applyBorder="1"/>
    <xf numFmtId="0" fontId="22" fillId="13" borderId="0" xfId="0" applyFont="1" applyFill="1" applyBorder="1"/>
    <xf numFmtId="0" fontId="20" fillId="13" borderId="0" xfId="4" applyFont="1" applyFill="1" applyAlignment="1">
      <alignment horizontal="center" vertical="center"/>
    </xf>
    <xf numFmtId="0" fontId="22" fillId="13" borderId="0" xfId="5" applyFont="1" applyFill="1" applyAlignment="1">
      <alignment vertical="center"/>
    </xf>
    <xf numFmtId="0" fontId="22" fillId="13" borderId="0" xfId="0" applyFont="1" applyFill="1"/>
    <xf numFmtId="0" fontId="20" fillId="13" borderId="0" xfId="4" applyFont="1" applyFill="1" applyAlignment="1">
      <alignment horizontal="left" vertical="center"/>
    </xf>
    <xf numFmtId="0" fontId="22" fillId="13" borderId="0" xfId="0" applyFont="1" applyFill="1" applyAlignment="1">
      <alignment vertical="center"/>
    </xf>
    <xf numFmtId="4" fontId="22" fillId="13" borderId="0" xfId="0" applyNumberFormat="1" applyFont="1" applyFill="1"/>
    <xf numFmtId="166" fontId="22" fillId="13" borderId="0" xfId="4" applyNumberFormat="1" applyFont="1" applyFill="1" applyAlignment="1">
      <alignment vertical="center"/>
    </xf>
    <xf numFmtId="0" fontId="22" fillId="13" borderId="0" xfId="4" applyFont="1" applyFill="1" applyAlignment="1">
      <alignment vertical="center"/>
    </xf>
    <xf numFmtId="0" fontId="22" fillId="13" borderId="0" xfId="4" applyFont="1" applyFill="1" applyAlignment="1">
      <alignment horizontal="right" vertical="center"/>
    </xf>
    <xf numFmtId="43" fontId="22" fillId="13" borderId="0" xfId="1" applyFont="1" applyFill="1" applyAlignment="1">
      <alignment vertical="center"/>
    </xf>
    <xf numFmtId="0" fontId="20" fillId="13" borderId="0" xfId="4" applyFont="1" applyFill="1" applyAlignment="1">
      <alignment horizontal="right" vertical="center"/>
    </xf>
    <xf numFmtId="43" fontId="20" fillId="13" borderId="53" xfId="4" applyNumberFormat="1" applyFont="1" applyFill="1" applyBorder="1" applyAlignment="1">
      <alignment vertical="center"/>
    </xf>
    <xf numFmtId="0" fontId="22" fillId="13" borderId="0" xfId="4" applyFont="1" applyFill="1" applyAlignment="1">
      <alignment horizontal="center" vertical="center"/>
    </xf>
    <xf numFmtId="0" fontId="36" fillId="13" borderId="0" xfId="4" applyFont="1" applyFill="1" applyAlignment="1">
      <alignment horizontal="center" vertical="center"/>
    </xf>
    <xf numFmtId="43" fontId="20" fillId="13" borderId="54" xfId="4" applyNumberFormat="1" applyFont="1" applyFill="1" applyBorder="1" applyAlignment="1">
      <alignment vertical="center"/>
    </xf>
    <xf numFmtId="43" fontId="20" fillId="13" borderId="0" xfId="4" applyNumberFormat="1" applyFont="1" applyFill="1" applyBorder="1" applyAlignment="1">
      <alignment vertical="center"/>
    </xf>
    <xf numFmtId="164" fontId="0" fillId="13" borderId="0" xfId="1" applyNumberFormat="1" applyFont="1" applyFill="1" applyBorder="1" applyAlignment="1">
      <alignment horizontal="center"/>
    </xf>
    <xf numFmtId="0" fontId="22" fillId="13" borderId="0" xfId="4" applyFont="1" applyFill="1" applyAlignment="1">
      <alignment horizontal="left" vertical="center"/>
    </xf>
    <xf numFmtId="2" fontId="22" fillId="13" borderId="0" xfId="4" applyNumberFormat="1" applyFont="1" applyFill="1" applyAlignment="1">
      <alignment vertical="center"/>
    </xf>
    <xf numFmtId="0" fontId="22" fillId="13" borderId="0" xfId="4" quotePrefix="1" applyFont="1" applyFill="1" applyAlignment="1">
      <alignment vertical="center"/>
    </xf>
    <xf numFmtId="1" fontId="22" fillId="13" borderId="0" xfId="4" applyNumberFormat="1" applyFont="1" applyFill="1" applyAlignment="1">
      <alignment vertical="center"/>
    </xf>
    <xf numFmtId="2" fontId="22" fillId="13" borderId="0" xfId="0" applyNumberFormat="1" applyFont="1" applyFill="1"/>
    <xf numFmtId="43" fontId="20" fillId="13" borderId="55" xfId="4" applyNumberFormat="1" applyFont="1" applyFill="1" applyBorder="1" applyAlignment="1">
      <alignment vertical="center"/>
    </xf>
    <xf numFmtId="0" fontId="22" fillId="13" borderId="0" xfId="4" applyFont="1" applyFill="1" applyBorder="1" applyAlignment="1">
      <alignment horizontal="left" vertical="center"/>
    </xf>
    <xf numFmtId="2" fontId="22" fillId="13" borderId="0" xfId="4" applyNumberFormat="1" applyFont="1" applyFill="1" applyBorder="1" applyAlignment="1">
      <alignment vertical="center"/>
    </xf>
    <xf numFmtId="0" fontId="22" fillId="13" borderId="0" xfId="4" applyFont="1" applyFill="1" applyBorder="1" applyAlignment="1">
      <alignment vertical="center"/>
    </xf>
    <xf numFmtId="0" fontId="22" fillId="13" borderId="0" xfId="4" applyFont="1" applyFill="1" applyBorder="1" applyAlignment="1">
      <alignment horizontal="right" vertical="center"/>
    </xf>
    <xf numFmtId="43" fontId="22" fillId="13" borderId="0" xfId="1" applyFont="1" applyFill="1" applyBorder="1" applyAlignment="1">
      <alignment vertical="center"/>
    </xf>
    <xf numFmtId="0" fontId="20" fillId="13" borderId="0" xfId="4" applyFont="1" applyFill="1" applyBorder="1" applyAlignment="1">
      <alignment horizontal="right" vertical="center"/>
    </xf>
    <xf numFmtId="0" fontId="0" fillId="0" borderId="28" xfId="0" applyBorder="1"/>
    <xf numFmtId="164" fontId="23" fillId="13" borderId="0" xfId="1" applyNumberFormat="1" applyFont="1" applyFill="1" applyAlignment="1">
      <alignment horizontal="right" vertical="center"/>
    </xf>
    <xf numFmtId="164" fontId="27" fillId="0" borderId="0" xfId="1" applyNumberFormat="1" applyFont="1" applyFill="1" applyAlignment="1">
      <alignment horizontal="right" vertical="center"/>
    </xf>
    <xf numFmtId="164" fontId="27" fillId="0" borderId="24" xfId="1" applyNumberFormat="1" applyFont="1" applyFill="1" applyBorder="1" applyAlignment="1">
      <alignment horizontal="right" vertical="center"/>
    </xf>
    <xf numFmtId="164" fontId="39" fillId="13" borderId="0" xfId="1" applyNumberFormat="1" applyFont="1" applyFill="1" applyAlignment="1">
      <alignment horizontal="right" vertical="center"/>
    </xf>
    <xf numFmtId="164" fontId="0" fillId="5" borderId="24" xfId="1" applyNumberFormat="1" applyFont="1" applyFill="1" applyBorder="1" applyAlignment="1"/>
    <xf numFmtId="43" fontId="0" fillId="13" borderId="24" xfId="1" applyFont="1" applyFill="1" applyBorder="1" applyAlignment="1"/>
    <xf numFmtId="0" fontId="22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39" fillId="0" borderId="0" xfId="1" applyNumberFormat="1" applyFont="1" applyAlignment="1">
      <alignment horizontal="right" vertical="center"/>
    </xf>
    <xf numFmtId="0" fontId="0" fillId="0" borderId="28" xfId="0" applyFill="1" applyBorder="1"/>
    <xf numFmtId="164" fontId="0" fillId="0" borderId="45" xfId="1" applyNumberFormat="1" applyFont="1" applyBorder="1" applyAlignment="1">
      <alignment horizontal="center"/>
    </xf>
    <xf numFmtId="164" fontId="0" fillId="0" borderId="49" xfId="1" applyNumberFormat="1" applyFont="1" applyBorder="1" applyAlignment="1">
      <alignment horizontal="right" vertical="center" wrapText="1"/>
    </xf>
    <xf numFmtId="164" fontId="0" fillId="0" borderId="28" xfId="1" applyNumberFormat="1" applyFont="1" applyFill="1" applyBorder="1"/>
    <xf numFmtId="164" fontId="0" fillId="0" borderId="18" xfId="1" applyNumberFormat="1" applyFont="1" applyFill="1" applyBorder="1" applyAlignment="1"/>
    <xf numFmtId="164" fontId="0" fillId="0" borderId="19" xfId="1" applyNumberFormat="1" applyFont="1" applyFill="1" applyBorder="1" applyAlignment="1"/>
    <xf numFmtId="164" fontId="0" fillId="0" borderId="56" xfId="1" applyNumberFormat="1" applyFont="1" applyFill="1" applyBorder="1" applyAlignment="1"/>
    <xf numFmtId="164" fontId="22" fillId="0" borderId="0" xfId="1" applyNumberFormat="1" applyFont="1" applyBorder="1" applyAlignment="1">
      <alignment horizontal="center" vertical="center"/>
    </xf>
    <xf numFmtId="164" fontId="36" fillId="0" borderId="0" xfId="1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164" fontId="22" fillId="0" borderId="0" xfId="1" applyNumberFormat="1" applyFont="1" applyBorder="1" applyAlignment="1">
      <alignment horizontal="right" vertical="center"/>
    </xf>
    <xf numFmtId="164" fontId="20" fillId="0" borderId="0" xfId="1" applyNumberFormat="1" applyFont="1" applyBorder="1" applyAlignment="1">
      <alignment horizontal="right" vertical="center"/>
    </xf>
    <xf numFmtId="164" fontId="20" fillId="0" borderId="0" xfId="1" applyNumberFormat="1" applyFont="1" applyBorder="1" applyAlignment="1">
      <alignment vertical="center"/>
    </xf>
    <xf numFmtId="164" fontId="22" fillId="0" borderId="0" xfId="1" applyNumberFormat="1" applyFont="1" applyBorder="1"/>
    <xf numFmtId="0" fontId="25" fillId="0" borderId="48" xfId="0" applyFont="1" applyFill="1" applyBorder="1"/>
    <xf numFmtId="164" fontId="25" fillId="0" borderId="19" xfId="1" applyNumberFormat="1" applyFont="1" applyFill="1" applyBorder="1" applyAlignment="1">
      <alignment horizontal="left"/>
    </xf>
    <xf numFmtId="0" fontId="3" fillId="0" borderId="20" xfId="0" applyFont="1" applyFill="1" applyBorder="1"/>
    <xf numFmtId="0" fontId="0" fillId="0" borderId="28" xfId="0" applyFont="1" applyFill="1" applyBorder="1"/>
    <xf numFmtId="0" fontId="25" fillId="0" borderId="43" xfId="0" applyFont="1" applyFill="1" applyBorder="1" applyAlignment="1">
      <alignment horizontal="center"/>
    </xf>
    <xf numFmtId="164" fontId="41" fillId="0" borderId="0" xfId="0" applyNumberFormat="1" applyFont="1" applyAlignment="1">
      <alignment horizontal="center"/>
    </xf>
    <xf numFmtId="164" fontId="41" fillId="0" borderId="0" xfId="1" applyNumberFormat="1" applyFont="1" applyAlignment="1">
      <alignment horizontal="center"/>
    </xf>
    <xf numFmtId="164" fontId="41" fillId="0" borderId="0" xfId="1" applyNumberFormat="1" applyFont="1"/>
    <xf numFmtId="164" fontId="27" fillId="0" borderId="0" xfId="0" applyNumberFormat="1" applyFont="1" applyAlignment="1">
      <alignment horizontal="center"/>
    </xf>
    <xf numFmtId="164" fontId="27" fillId="0" borderId="0" xfId="1" applyNumberFormat="1" applyFont="1" applyAlignment="1">
      <alignment horizontal="center"/>
    </xf>
    <xf numFmtId="164" fontId="27" fillId="0" borderId="0" xfId="1" applyNumberFormat="1" applyFont="1"/>
    <xf numFmtId="164" fontId="0" fillId="0" borderId="58" xfId="0" applyNumberFormat="1" applyFont="1" applyBorder="1" applyAlignment="1">
      <alignment horizontal="center"/>
    </xf>
    <xf numFmtId="164" fontId="0" fillId="0" borderId="59" xfId="0" applyNumberFormat="1" applyFont="1" applyBorder="1" applyAlignment="1">
      <alignment horizontal="center"/>
    </xf>
    <xf numFmtId="164" fontId="27" fillId="0" borderId="0" xfId="0" applyNumberFormat="1" applyFont="1" applyAlignment="1">
      <alignment horizontal="right" vertical="center" wrapText="1"/>
    </xf>
    <xf numFmtId="164" fontId="27" fillId="0" borderId="0" xfId="1" applyNumberFormat="1" applyFont="1" applyAlignment="1">
      <alignment horizontal="left" vertical="center" wrapText="1"/>
    </xf>
    <xf numFmtId="164" fontId="27" fillId="0" borderId="0" xfId="0" applyNumberFormat="1" applyFont="1"/>
    <xf numFmtId="43" fontId="27" fillId="0" borderId="0" xfId="1" applyFont="1"/>
    <xf numFmtId="43" fontId="27" fillId="0" borderId="0" xfId="1" applyFont="1" applyAlignment="1">
      <alignment horizontal="center"/>
    </xf>
    <xf numFmtId="164" fontId="27" fillId="13" borderId="0" xfId="0" applyNumberFormat="1" applyFont="1" applyFill="1" applyBorder="1"/>
    <xf numFmtId="164" fontId="23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right" vertical="center" wrapText="1"/>
    </xf>
    <xf numFmtId="164" fontId="23" fillId="0" borderId="0" xfId="1" applyNumberFormat="1" applyFont="1" applyAlignment="1">
      <alignment horizontal="left" vertical="center" wrapText="1"/>
    </xf>
    <xf numFmtId="164" fontId="23" fillId="0" borderId="0" xfId="0" applyNumberFormat="1" applyFont="1"/>
    <xf numFmtId="164" fontId="23" fillId="0" borderId="0" xfId="0" applyNumberFormat="1" applyFont="1" applyAlignment="1">
      <alignment horizontal="center"/>
    </xf>
    <xf numFmtId="164" fontId="23" fillId="0" borderId="0" xfId="0" applyNumberFormat="1" applyFont="1" applyFill="1"/>
    <xf numFmtId="164" fontId="27" fillId="13" borderId="0" xfId="1" applyNumberFormat="1" applyFont="1" applyFill="1" applyBorder="1" applyAlignment="1">
      <alignment horizontal="center"/>
    </xf>
    <xf numFmtId="43" fontId="0" fillId="13" borderId="28" xfId="1" applyFont="1" applyFill="1" applyBorder="1"/>
    <xf numFmtId="164" fontId="38" fillId="0" borderId="0" xfId="1" applyNumberFormat="1" applyFont="1" applyFill="1" applyAlignment="1">
      <alignment horizontal="right"/>
    </xf>
    <xf numFmtId="164" fontId="27" fillId="0" borderId="0" xfId="0" applyNumberFormat="1" applyFont="1" applyBorder="1" applyAlignment="1">
      <alignment horizontal="center"/>
    </xf>
    <xf numFmtId="164" fontId="27" fillId="0" borderId="0" xfId="1" applyNumberFormat="1" applyFont="1" applyBorder="1" applyAlignment="1">
      <alignment horizontal="center"/>
    </xf>
    <xf numFmtId="164" fontId="23" fillId="0" borderId="0" xfId="1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39" fillId="0" borderId="0" xfId="1" applyNumberFormat="1" applyFont="1" applyAlignment="1">
      <alignment horizontal="right" vertic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0" fillId="0" borderId="0" xfId="4" applyFont="1" applyAlignment="1">
      <alignment horizontal="center" vertical="center"/>
    </xf>
    <xf numFmtId="0" fontId="24" fillId="14" borderId="45" xfId="0" applyFont="1" applyFill="1" applyBorder="1" applyAlignment="1">
      <alignment horizontal="center"/>
    </xf>
    <xf numFmtId="0" fontId="24" fillId="14" borderId="49" xfId="0" applyFont="1" applyFill="1" applyBorder="1" applyAlignment="1">
      <alignment horizontal="center"/>
    </xf>
    <xf numFmtId="164" fontId="0" fillId="14" borderId="27" xfId="1" applyNumberFormat="1" applyFont="1" applyFill="1" applyBorder="1" applyAlignment="1">
      <alignment horizontal="left" vertical="center" wrapText="1"/>
    </xf>
    <xf numFmtId="0" fontId="0" fillId="14" borderId="28" xfId="0" applyFont="1" applyFill="1" applyBorder="1"/>
    <xf numFmtId="43" fontId="0" fillId="14" borderId="24" xfId="1" applyFont="1" applyFill="1" applyBorder="1" applyAlignment="1"/>
    <xf numFmtId="43" fontId="0" fillId="14" borderId="24" xfId="1" applyFont="1" applyFill="1" applyBorder="1" applyAlignment="1">
      <alignment horizontal="center"/>
    </xf>
    <xf numFmtId="43" fontId="0" fillId="14" borderId="24" xfId="3" applyFont="1" applyFill="1" applyBorder="1" applyAlignment="1">
      <alignment horizontal="center"/>
    </xf>
    <xf numFmtId="164" fontId="0" fillId="14" borderId="24" xfId="1" applyNumberFormat="1" applyFont="1" applyFill="1" applyBorder="1" applyAlignment="1"/>
    <xf numFmtId="164" fontId="0" fillId="14" borderId="24" xfId="1" applyNumberFormat="1" applyFont="1" applyFill="1" applyBorder="1" applyAlignment="1">
      <alignment horizontal="center"/>
    </xf>
    <xf numFmtId="164" fontId="0" fillId="14" borderId="25" xfId="1" applyNumberFormat="1" applyFont="1" applyFill="1" applyBorder="1"/>
    <xf numFmtId="164" fontId="24" fillId="14" borderId="0" xfId="1" applyNumberFormat="1" applyFont="1" applyFill="1" applyAlignment="1">
      <alignment horizontal="left" vertical="center"/>
    </xf>
    <xf numFmtId="164" fontId="24" fillId="14" borderId="0" xfId="1" applyNumberFormat="1" applyFont="1" applyFill="1" applyAlignment="1">
      <alignment vertical="center"/>
    </xf>
    <xf numFmtId="0" fontId="24" fillId="14" borderId="0" xfId="0" applyFont="1" applyFill="1" applyAlignment="1">
      <alignment vertical="center"/>
    </xf>
    <xf numFmtId="0" fontId="27" fillId="14" borderId="0" xfId="0" applyFont="1" applyFill="1"/>
    <xf numFmtId="0" fontId="27" fillId="14" borderId="0" xfId="0" applyFont="1" applyFill="1" applyAlignment="1">
      <alignment horizontal="right"/>
    </xf>
    <xf numFmtId="0" fontId="0" fillId="14" borderId="0" xfId="0" applyFont="1" applyFill="1"/>
    <xf numFmtId="165" fontId="28" fillId="14" borderId="0" xfId="1" applyNumberFormat="1" applyFont="1" applyFill="1"/>
    <xf numFmtId="164" fontId="0" fillId="14" borderId="25" xfId="1" applyNumberFormat="1" applyFont="1" applyFill="1" applyBorder="1" applyAlignment="1">
      <alignment horizontal="right"/>
    </xf>
    <xf numFmtId="164" fontId="24" fillId="14" borderId="0" xfId="1" applyNumberFormat="1" applyFont="1" applyFill="1" applyAlignment="1">
      <alignment horizontal="center" vertical="center"/>
    </xf>
    <xf numFmtId="0" fontId="0" fillId="14" borderId="45" xfId="0" applyFont="1" applyFill="1" applyBorder="1" applyAlignment="1">
      <alignment horizontal="center"/>
    </xf>
    <xf numFmtId="0" fontId="1" fillId="14" borderId="49" xfId="0" applyFont="1" applyFill="1" applyBorder="1"/>
    <xf numFmtId="164" fontId="0" fillId="14" borderId="0" xfId="1" applyNumberFormat="1" applyFont="1" applyFill="1"/>
    <xf numFmtId="164" fontId="1" fillId="14" borderId="45" xfId="0" applyNumberFormat="1" applyFont="1" applyFill="1" applyBorder="1" applyAlignment="1">
      <alignment horizontal="center"/>
    </xf>
    <xf numFmtId="2" fontId="0" fillId="14" borderId="49" xfId="0" applyNumberFormat="1" applyFill="1" applyBorder="1" applyAlignment="1">
      <alignment horizontal="right" vertical="center" wrapText="1"/>
    </xf>
    <xf numFmtId="164" fontId="0" fillId="14" borderId="28" xfId="0" applyNumberFormat="1" applyFill="1" applyBorder="1"/>
    <xf numFmtId="43" fontId="0" fillId="14" borderId="28" xfId="1" applyFont="1" applyFill="1" applyBorder="1"/>
    <xf numFmtId="164" fontId="0" fillId="14" borderId="24" xfId="0" applyNumberFormat="1" applyFill="1" applyBorder="1" applyAlignment="1">
      <alignment horizontal="center"/>
    </xf>
    <xf numFmtId="164" fontId="0" fillId="14" borderId="0" xfId="0" applyNumberFormat="1" applyFont="1" applyFill="1"/>
    <xf numFmtId="0" fontId="12" fillId="14" borderId="0" xfId="0" applyFont="1" applyFill="1" applyAlignment="1">
      <alignment horizontal="center"/>
    </xf>
    <xf numFmtId="165" fontId="4" fillId="14" borderId="0" xfId="1" applyNumberFormat="1" applyFont="1" applyFill="1" applyAlignment="1">
      <alignment horizontal="center"/>
    </xf>
    <xf numFmtId="164" fontId="4" fillId="14" borderId="0" xfId="1" applyNumberFormat="1" applyFont="1" applyFill="1" applyAlignment="1">
      <alignment horizontal="center"/>
    </xf>
    <xf numFmtId="164" fontId="12" fillId="14" borderId="0" xfId="1" applyNumberFormat="1" applyFont="1" applyFill="1" applyAlignment="1">
      <alignment horizontal="center"/>
    </xf>
    <xf numFmtId="0" fontId="0" fillId="14" borderId="0" xfId="0" applyFill="1"/>
    <xf numFmtId="4" fontId="0" fillId="14" borderId="0" xfId="0" applyNumberFormat="1" applyFill="1"/>
    <xf numFmtId="165" fontId="4" fillId="14" borderId="0" xfId="1" applyNumberFormat="1" applyFont="1" applyFill="1"/>
    <xf numFmtId="0" fontId="13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164" fontId="13" fillId="14" borderId="0" xfId="1" applyNumberFormat="1" applyFont="1" applyFill="1" applyAlignment="1">
      <alignment horizontal="center"/>
    </xf>
    <xf numFmtId="165" fontId="9" fillId="14" borderId="0" xfId="1" applyNumberFormat="1" applyFont="1" applyFill="1"/>
    <xf numFmtId="164" fontId="2" fillId="14" borderId="24" xfId="1" applyNumberFormat="1" applyFont="1" applyFill="1" applyBorder="1" applyAlignment="1">
      <alignment horizontal="center"/>
    </xf>
    <xf numFmtId="164" fontId="0" fillId="14" borderId="24" xfId="0" applyNumberFormat="1" applyFont="1" applyFill="1" applyBorder="1" applyAlignment="1">
      <alignment horizontal="center"/>
    </xf>
    <xf numFmtId="164" fontId="0" fillId="14" borderId="24" xfId="1" applyNumberFormat="1" applyFont="1" applyFill="1" applyBorder="1"/>
    <xf numFmtId="164" fontId="0" fillId="14" borderId="45" xfId="0" applyNumberFormat="1" applyFont="1" applyFill="1" applyBorder="1" applyAlignment="1">
      <alignment horizontal="center"/>
    </xf>
    <xf numFmtId="164" fontId="0" fillId="14" borderId="49" xfId="0" applyNumberFormat="1" applyFill="1" applyBorder="1" applyAlignment="1">
      <alignment horizontal="right" vertical="center" wrapText="1"/>
    </xf>
    <xf numFmtId="164" fontId="0" fillId="14" borderId="49" xfId="0" applyNumberFormat="1" applyFont="1" applyFill="1" applyBorder="1" applyAlignment="1">
      <alignment horizontal="right" vertical="center" wrapText="1"/>
    </xf>
    <xf numFmtId="164" fontId="0" fillId="14" borderId="28" xfId="0" applyNumberFormat="1" applyFill="1" applyBorder="1" applyAlignment="1">
      <alignment horizontal="left"/>
    </xf>
    <xf numFmtId="43" fontId="0" fillId="14" borderId="28" xfId="1" applyFont="1" applyFill="1" applyBorder="1" applyAlignment="1">
      <alignment horizontal="left"/>
    </xf>
    <xf numFmtId="0" fontId="13" fillId="14" borderId="0" xfId="0" applyFont="1" applyFill="1"/>
    <xf numFmtId="0" fontId="17" fillId="14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2" fontId="18" fillId="14" borderId="0" xfId="0" applyNumberFormat="1" applyFont="1" applyFill="1" applyBorder="1" applyAlignment="1">
      <alignment horizontal="center" vertical="center"/>
    </xf>
    <xf numFmtId="164" fontId="4" fillId="14" borderId="0" xfId="1" applyNumberFormat="1" applyFont="1" applyFill="1" applyBorder="1" applyAlignment="1">
      <alignment horizontal="center" vertical="center"/>
    </xf>
    <xf numFmtId="165" fontId="4" fillId="14" borderId="0" xfId="1" applyNumberFormat="1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vertical="center"/>
    </xf>
    <xf numFmtId="2" fontId="15" fillId="14" borderId="0" xfId="0" applyNumberFormat="1" applyFont="1" applyFill="1" applyAlignment="1">
      <alignment vertical="center"/>
    </xf>
    <xf numFmtId="164" fontId="19" fillId="14" borderId="0" xfId="1" applyNumberFormat="1" applyFont="1" applyFill="1" applyBorder="1" applyAlignment="1">
      <alignment horizontal="center" vertical="center"/>
    </xf>
    <xf numFmtId="164" fontId="4" fillId="14" borderId="0" xfId="1" applyNumberFormat="1" applyFont="1" applyFill="1" applyBorder="1" applyAlignment="1">
      <alignment vertical="center"/>
    </xf>
    <xf numFmtId="164" fontId="13" fillId="14" borderId="0" xfId="1" applyNumberFormat="1" applyFont="1" applyFill="1"/>
    <xf numFmtId="164" fontId="0" fillId="14" borderId="58" xfId="0" applyNumberFormat="1" applyFont="1" applyFill="1" applyBorder="1" applyAlignment="1">
      <alignment horizontal="center"/>
    </xf>
    <xf numFmtId="43" fontId="18" fillId="14" borderId="0" xfId="1" applyNumberFormat="1" applyFont="1" applyFill="1" applyAlignment="1">
      <alignment horizontal="center" vertical="center"/>
    </xf>
    <xf numFmtId="164" fontId="0" fillId="14" borderId="59" xfId="0" applyNumberFormat="1" applyFont="1" applyFill="1" applyBorder="1" applyAlignment="1">
      <alignment horizontal="center"/>
    </xf>
    <xf numFmtId="164" fontId="4" fillId="14" borderId="0" xfId="1" applyNumberFormat="1" applyFont="1" applyFill="1"/>
    <xf numFmtId="0" fontId="20" fillId="14" borderId="0" xfId="0" applyFont="1" applyFill="1" applyBorder="1" applyAlignment="1">
      <alignment horizontal="center" vertical="center" wrapText="1"/>
    </xf>
    <xf numFmtId="164" fontId="20" fillId="14" borderId="0" xfId="1" applyNumberFormat="1" applyFont="1" applyFill="1" applyBorder="1" applyAlignment="1">
      <alignment horizontal="center" vertical="center" wrapText="1"/>
    </xf>
    <xf numFmtId="0" fontId="21" fillId="14" borderId="0" xfId="0" applyFont="1" applyFill="1"/>
    <xf numFmtId="0" fontId="22" fillId="14" borderId="0" xfId="0" applyFont="1" applyFill="1" applyBorder="1" applyAlignment="1">
      <alignment horizontal="center" vertical="center" wrapText="1"/>
    </xf>
    <xf numFmtId="164" fontId="22" fillId="14" borderId="0" xfId="1" applyNumberFormat="1" applyFont="1" applyFill="1" applyBorder="1" applyAlignment="1">
      <alignment horizontal="center" vertical="center" wrapText="1"/>
    </xf>
    <xf numFmtId="43" fontId="22" fillId="14" borderId="0" xfId="1" applyFont="1" applyFill="1" applyBorder="1" applyAlignment="1">
      <alignment horizontal="center" vertical="center" wrapText="1"/>
    </xf>
    <xf numFmtId="0" fontId="22" fillId="14" borderId="0" xfId="0" applyFont="1" applyFill="1" applyBorder="1" applyAlignment="1">
      <alignment vertical="center" wrapText="1"/>
    </xf>
    <xf numFmtId="164" fontId="20" fillId="14" borderId="0" xfId="1" applyNumberFormat="1" applyFont="1" applyFill="1" applyBorder="1" applyAlignment="1">
      <alignment vertical="center" wrapText="1"/>
    </xf>
    <xf numFmtId="1" fontId="20" fillId="14" borderId="0" xfId="0" applyNumberFormat="1" applyFont="1" applyFill="1" applyBorder="1" applyAlignment="1">
      <alignment horizontal="center" vertical="center" wrapText="1"/>
    </xf>
    <xf numFmtId="43" fontId="22" fillId="14" borderId="0" xfId="1" applyFont="1" applyFill="1" applyBorder="1" applyAlignment="1">
      <alignment vertical="center"/>
    </xf>
    <xf numFmtId="0" fontId="22" fillId="14" borderId="0" xfId="0" applyFont="1" applyFill="1" applyAlignment="1">
      <alignment horizontal="center"/>
    </xf>
    <xf numFmtId="164" fontId="22" fillId="14" borderId="0" xfId="2" applyNumberFormat="1" applyFont="1" applyFill="1" applyAlignment="1">
      <alignment horizontal="center" vertical="center"/>
    </xf>
    <xf numFmtId="43" fontId="22" fillId="14" borderId="0" xfId="1" applyFont="1" applyFill="1" applyAlignment="1">
      <alignment horizontal="center" vertical="center"/>
    </xf>
    <xf numFmtId="43" fontId="22" fillId="14" borderId="0" xfId="2" applyNumberFormat="1" applyFont="1" applyFill="1" applyAlignment="1">
      <alignment horizontal="center"/>
    </xf>
    <xf numFmtId="0" fontId="22" fillId="14" borderId="0" xfId="0" applyFont="1" applyFill="1" applyAlignment="1">
      <alignment horizontal="center" vertical="center"/>
    </xf>
    <xf numFmtId="0" fontId="22" fillId="14" borderId="0" xfId="4" applyFont="1" applyFill="1" applyAlignment="1">
      <alignment horizontal="center" vertical="center"/>
    </xf>
    <xf numFmtId="0" fontId="36" fillId="14" borderId="0" xfId="4" applyFont="1" applyFill="1" applyAlignment="1">
      <alignment horizontal="center" vertical="center"/>
    </xf>
    <xf numFmtId="0" fontId="22" fillId="14" borderId="0" xfId="4" applyFont="1" applyFill="1" applyAlignment="1">
      <alignment vertical="center"/>
    </xf>
    <xf numFmtId="0" fontId="20" fillId="14" borderId="0" xfId="4" applyFont="1" applyFill="1" applyAlignment="1">
      <alignment horizontal="right" vertical="center"/>
    </xf>
    <xf numFmtId="43" fontId="20" fillId="14" borderId="54" xfId="4" applyNumberFormat="1" applyFont="1" applyFill="1" applyBorder="1" applyAlignment="1">
      <alignment vertical="center"/>
    </xf>
    <xf numFmtId="0" fontId="22" fillId="14" borderId="0" xfId="0" applyFont="1" applyFill="1" applyAlignment="1">
      <alignment vertical="center"/>
    </xf>
    <xf numFmtId="0" fontId="22" fillId="14" borderId="0" xfId="0" applyFont="1" applyFill="1"/>
    <xf numFmtId="4" fontId="22" fillId="14" borderId="0" xfId="0" applyNumberFormat="1" applyFont="1" applyFill="1"/>
    <xf numFmtId="43" fontId="20" fillId="14" borderId="55" xfId="4" applyNumberFormat="1" applyFont="1" applyFill="1" applyBorder="1" applyAlignment="1">
      <alignment vertical="center"/>
    </xf>
    <xf numFmtId="164" fontId="0" fillId="14" borderId="49" xfId="0" applyNumberFormat="1" applyFill="1" applyBorder="1" applyAlignment="1">
      <alignment horizontal="left" vertical="center"/>
    </xf>
    <xf numFmtId="0" fontId="20" fillId="14" borderId="0" xfId="4" applyFont="1" applyFill="1" applyAlignment="1">
      <alignment horizontal="center" vertical="center"/>
    </xf>
    <xf numFmtId="166" fontId="22" fillId="14" borderId="0" xfId="4" applyNumberFormat="1" applyFont="1" applyFill="1" applyAlignment="1">
      <alignment vertical="center"/>
    </xf>
    <xf numFmtId="0" fontId="22" fillId="14" borderId="0" xfId="4" applyFont="1" applyFill="1" applyAlignment="1">
      <alignment horizontal="right" vertical="center"/>
    </xf>
    <xf numFmtId="43" fontId="22" fillId="14" borderId="0" xfId="1" applyFont="1" applyFill="1" applyAlignment="1">
      <alignment vertical="center"/>
    </xf>
    <xf numFmtId="43" fontId="20" fillId="14" borderId="0" xfId="4" applyNumberFormat="1" applyFont="1" applyFill="1" applyBorder="1" applyAlignment="1">
      <alignment vertical="center"/>
    </xf>
    <xf numFmtId="164" fontId="0" fillId="14" borderId="0" xfId="0" applyNumberFormat="1" applyFont="1" applyFill="1" applyBorder="1"/>
    <xf numFmtId="0" fontId="22" fillId="14" borderId="0" xfId="4" applyFont="1" applyFill="1" applyAlignment="1">
      <alignment horizontal="left" vertical="center"/>
    </xf>
    <xf numFmtId="2" fontId="22" fillId="14" borderId="0" xfId="4" applyNumberFormat="1" applyFont="1" applyFill="1" applyAlignment="1">
      <alignment vertical="center"/>
    </xf>
    <xf numFmtId="0" fontId="22" fillId="14" borderId="0" xfId="4" quotePrefix="1" applyFont="1" applyFill="1" applyAlignment="1">
      <alignment vertical="center"/>
    </xf>
    <xf numFmtId="164" fontId="0" fillId="14" borderId="24" xfId="1" applyNumberFormat="1" applyFont="1" applyFill="1" applyBorder="1" applyAlignment="1">
      <alignment vertical="center"/>
    </xf>
    <xf numFmtId="0" fontId="22" fillId="0" borderId="0" xfId="0" applyFont="1" applyFill="1" applyAlignment="1">
      <alignment horizontal="center"/>
    </xf>
    <xf numFmtId="164" fontId="0" fillId="15" borderId="24" xfId="1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39" fillId="0" borderId="0" xfId="1" applyNumberFormat="1" applyFont="1" applyAlignment="1">
      <alignment horizontal="right" vertic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22" fillId="14" borderId="0" xfId="0" applyFont="1" applyFill="1" applyAlignment="1">
      <alignment horizontal="center"/>
    </xf>
    <xf numFmtId="0" fontId="15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43" fontId="13" fillId="0" borderId="0" xfId="1" applyFont="1" applyFill="1" applyAlignment="1">
      <alignment horizontal="center"/>
    </xf>
    <xf numFmtId="43" fontId="13" fillId="0" borderId="0" xfId="0" applyNumberFormat="1" applyFont="1" applyFill="1" applyAlignment="1">
      <alignment horizontal="center"/>
    </xf>
    <xf numFmtId="1" fontId="22" fillId="14" borderId="0" xfId="4" applyNumberFormat="1" applyFont="1" applyFill="1" applyAlignment="1">
      <alignment vertical="center"/>
    </xf>
    <xf numFmtId="43" fontId="20" fillId="14" borderId="53" xfId="4" applyNumberFormat="1" applyFont="1" applyFill="1" applyBorder="1" applyAlignment="1">
      <alignment vertical="center"/>
    </xf>
    <xf numFmtId="2" fontId="22" fillId="14" borderId="0" xfId="0" applyNumberFormat="1" applyFont="1" applyFill="1"/>
    <xf numFmtId="0" fontId="22" fillId="0" borderId="0" xfId="4" applyFont="1" applyFill="1" applyAlignment="1">
      <alignment horizontal="center" vertical="center"/>
    </xf>
    <xf numFmtId="0" fontId="36" fillId="0" borderId="0" xfId="4" applyFont="1" applyFill="1" applyAlignment="1">
      <alignment horizontal="center" vertical="center"/>
    </xf>
    <xf numFmtId="0" fontId="22" fillId="0" borderId="0" xfId="4" applyFont="1" applyFill="1" applyAlignment="1">
      <alignment vertical="center"/>
    </xf>
    <xf numFmtId="0" fontId="20" fillId="0" borderId="0" xfId="4" applyFont="1" applyFill="1" applyAlignment="1">
      <alignment horizontal="right" vertical="center"/>
    </xf>
    <xf numFmtId="43" fontId="20" fillId="0" borderId="55" xfId="4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/>
    <xf numFmtId="4" fontId="22" fillId="0" borderId="0" xfId="0" applyNumberFormat="1" applyFont="1" applyFill="1"/>
    <xf numFmtId="2" fontId="0" fillId="0" borderId="49" xfId="0" applyNumberFormat="1" applyFill="1" applyBorder="1" applyAlignment="1">
      <alignment horizontal="right" vertical="center" wrapText="1"/>
    </xf>
    <xf numFmtId="165" fontId="9" fillId="0" borderId="0" xfId="1" applyNumberFormat="1" applyFont="1" applyFill="1"/>
    <xf numFmtId="164" fontId="0" fillId="15" borderId="24" xfId="1" applyNumberFormat="1" applyFont="1" applyFill="1" applyBorder="1" applyAlignment="1"/>
    <xf numFmtId="0" fontId="1" fillId="0" borderId="43" xfId="0" applyFont="1" applyFill="1" applyBorder="1" applyAlignment="1">
      <alignment horizontal="center"/>
    </xf>
    <xf numFmtId="0" fontId="25" fillId="0" borderId="49" xfId="0" applyFont="1" applyFill="1" applyBorder="1"/>
    <xf numFmtId="164" fontId="1" fillId="0" borderId="27" xfId="1" applyNumberFormat="1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9" fillId="0" borderId="0" xfId="0" applyFont="1" applyFill="1" applyAlignment="1"/>
    <xf numFmtId="3" fontId="23" fillId="0" borderId="0" xfId="2" applyNumberFormat="1" applyFont="1" applyFill="1" applyAlignment="1">
      <alignment horizontal="center" vertical="center"/>
    </xf>
    <xf numFmtId="0" fontId="0" fillId="0" borderId="45" xfId="0" applyFont="1" applyFill="1" applyBorder="1" applyAlignment="1">
      <alignment horizontal="center"/>
    </xf>
    <xf numFmtId="0" fontId="1" fillId="0" borderId="49" xfId="0" applyFont="1" applyFill="1" applyBorder="1"/>
    <xf numFmtId="0" fontId="9" fillId="0" borderId="0" xfId="0" applyFont="1" applyFill="1"/>
    <xf numFmtId="0" fontId="0" fillId="0" borderId="44" xfId="0" applyFont="1" applyFill="1" applyBorder="1" applyAlignment="1">
      <alignment horizontal="center"/>
    </xf>
    <xf numFmtId="0" fontId="1" fillId="0" borderId="16" xfId="0" applyFont="1" applyFill="1" applyBorder="1"/>
    <xf numFmtId="164" fontId="1" fillId="0" borderId="0" xfId="1" applyNumberFormat="1" applyFont="1" applyFill="1" applyBorder="1" applyAlignment="1">
      <alignment horizontal="left"/>
    </xf>
    <xf numFmtId="43" fontId="0" fillId="0" borderId="15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2" xfId="1" applyNumberFormat="1" applyFont="1" applyFill="1" applyBorder="1"/>
    <xf numFmtId="164" fontId="0" fillId="0" borderId="40" xfId="1" applyNumberFormat="1" applyFont="1" applyFill="1" applyBorder="1"/>
    <xf numFmtId="43" fontId="3" fillId="0" borderId="22" xfId="1" applyFont="1" applyFill="1" applyBorder="1"/>
    <xf numFmtId="43" fontId="3" fillId="0" borderId="22" xfId="1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164" fontId="0" fillId="0" borderId="28" xfId="0" applyNumberFormat="1" applyFont="1" applyFill="1" applyBorder="1" applyAlignment="1">
      <alignment wrapText="1"/>
    </xf>
    <xf numFmtId="2" fontId="0" fillId="0" borderId="50" xfId="0" applyNumberFormat="1" applyFill="1" applyBorder="1" applyAlignment="1">
      <alignment horizontal="right" vertical="center" wrapText="1"/>
    </xf>
    <xf numFmtId="164" fontId="0" fillId="0" borderId="36" xfId="0" applyNumberFormat="1" applyFill="1" applyBorder="1"/>
    <xf numFmtId="43" fontId="0" fillId="0" borderId="36" xfId="1" applyFont="1" applyFill="1" applyBorder="1" applyAlignment="1">
      <alignment horizontal="right" vertical="center"/>
    </xf>
    <xf numFmtId="43" fontId="0" fillId="0" borderId="37" xfId="1" applyFont="1" applyFill="1" applyBorder="1" applyAlignment="1">
      <alignment horizontal="right" vertical="center"/>
    </xf>
    <xf numFmtId="43" fontId="0" fillId="0" borderId="37" xfId="1" applyFont="1" applyFill="1" applyBorder="1" applyAlignment="1">
      <alignment horizontal="center" vertical="center"/>
    </xf>
    <xf numFmtId="164" fontId="1" fillId="0" borderId="49" xfId="0" applyNumberFormat="1" applyFont="1" applyFill="1" applyBorder="1" applyAlignment="1">
      <alignment horizontal="right" vertical="center" wrapText="1"/>
    </xf>
    <xf numFmtId="164" fontId="1" fillId="0" borderId="27" xfId="1" applyNumberFormat="1" applyFont="1" applyFill="1" applyBorder="1" applyAlignment="1">
      <alignment horizontal="left" vertical="center" wrapText="1"/>
    </xf>
    <xf numFmtId="43" fontId="2" fillId="0" borderId="10" xfId="1" applyFont="1" applyFill="1" applyBorder="1"/>
    <xf numFmtId="164" fontId="2" fillId="0" borderId="10" xfId="1" applyNumberFormat="1" applyFont="1" applyFill="1" applyBorder="1" applyAlignment="1">
      <alignment horizontal="center"/>
    </xf>
    <xf numFmtId="164" fontId="0" fillId="0" borderId="58" xfId="0" applyNumberFormat="1" applyFont="1" applyFill="1" applyBorder="1" applyAlignment="1">
      <alignment horizontal="center"/>
    </xf>
    <xf numFmtId="164" fontId="0" fillId="0" borderId="59" xfId="0" applyNumberFormat="1" applyFont="1" applyFill="1" applyBorder="1" applyAlignment="1">
      <alignment horizontal="center"/>
    </xf>
    <xf numFmtId="164" fontId="0" fillId="0" borderId="49" xfId="0" applyNumberFormat="1" applyFont="1" applyFill="1" applyBorder="1" applyAlignment="1">
      <alignment horizontal="left" vertical="center"/>
    </xf>
    <xf numFmtId="164" fontId="2" fillId="0" borderId="27" xfId="1" applyNumberFormat="1" applyFont="1" applyFill="1" applyBorder="1" applyAlignment="1">
      <alignment horizontal="left" vertical="center"/>
    </xf>
    <xf numFmtId="164" fontId="0" fillId="0" borderId="49" xfId="0" applyNumberFormat="1" applyFill="1" applyBorder="1" applyAlignment="1">
      <alignment horizontal="left" vertical="center" wrapText="1"/>
    </xf>
    <xf numFmtId="0" fontId="20" fillId="0" borderId="0" xfId="0" applyFont="1" applyFill="1" applyAlignment="1">
      <alignment horizontal="center"/>
    </xf>
    <xf numFmtId="43" fontId="20" fillId="0" borderId="0" xfId="1" applyFont="1" applyFill="1" applyAlignment="1">
      <alignment horizontal="center"/>
    </xf>
    <xf numFmtId="43" fontId="22" fillId="0" borderId="0" xfId="2" applyNumberFormat="1" applyFont="1" applyFill="1" applyAlignment="1">
      <alignment horizontal="center"/>
    </xf>
    <xf numFmtId="164" fontId="22" fillId="0" borderId="0" xfId="2" applyNumberFormat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64" fontId="1" fillId="0" borderId="0" xfId="0" applyNumberFormat="1" applyFont="1" applyFill="1"/>
    <xf numFmtId="43" fontId="0" fillId="0" borderId="0" xfId="1" applyFont="1" applyFill="1"/>
    <xf numFmtId="43" fontId="1" fillId="0" borderId="0" xfId="1" applyFont="1" applyFill="1"/>
    <xf numFmtId="0" fontId="20" fillId="0" borderId="0" xfId="4" applyFont="1" applyFill="1" applyAlignment="1">
      <alignment horizontal="center" vertical="center"/>
    </xf>
    <xf numFmtId="0" fontId="22" fillId="0" borderId="0" xfId="5" applyFont="1" applyFill="1" applyAlignment="1">
      <alignment vertical="center"/>
    </xf>
    <xf numFmtId="43" fontId="20" fillId="0" borderId="0" xfId="4" applyNumberFormat="1" applyFont="1" applyFill="1" applyBorder="1" applyAlignment="1">
      <alignment horizontal="right" vertical="center"/>
    </xf>
    <xf numFmtId="0" fontId="21" fillId="0" borderId="0" xfId="0" applyFont="1" applyFill="1"/>
    <xf numFmtId="1" fontId="20" fillId="0" borderId="0" xfId="0" applyNumberFormat="1" applyFont="1" applyFill="1" applyBorder="1" applyAlignment="1">
      <alignment horizontal="center" vertical="center" wrapText="1"/>
    </xf>
    <xf numFmtId="0" fontId="22" fillId="0" borderId="0" xfId="4" applyFont="1" applyFill="1" applyAlignment="1">
      <alignment horizontal="right" vertical="center"/>
    </xf>
    <xf numFmtId="43" fontId="20" fillId="0" borderId="0" xfId="4" applyNumberFormat="1" applyFont="1" applyFill="1" applyBorder="1" applyAlignment="1">
      <alignment vertical="center"/>
    </xf>
    <xf numFmtId="0" fontId="22" fillId="0" borderId="0" xfId="4" applyFont="1" applyFill="1" applyAlignment="1">
      <alignment horizontal="left" vertical="center"/>
    </xf>
    <xf numFmtId="2" fontId="22" fillId="0" borderId="0" xfId="4" applyNumberFormat="1" applyFont="1" applyFill="1" applyAlignment="1">
      <alignment vertical="center"/>
    </xf>
    <xf numFmtId="43" fontId="22" fillId="0" borderId="0" xfId="1" applyFont="1" applyFill="1" applyAlignment="1">
      <alignment vertical="center"/>
    </xf>
    <xf numFmtId="0" fontId="22" fillId="0" borderId="0" xfId="4" quotePrefix="1" applyFont="1" applyFill="1" applyAlignment="1">
      <alignment vertical="center"/>
    </xf>
    <xf numFmtId="1" fontId="22" fillId="0" borderId="0" xfId="4" applyNumberFormat="1" applyFont="1" applyFill="1" applyAlignment="1">
      <alignment vertical="center"/>
    </xf>
    <xf numFmtId="43" fontId="20" fillId="0" borderId="53" xfId="4" applyNumberFormat="1" applyFont="1" applyFill="1" applyBorder="1" applyAlignment="1">
      <alignment vertical="center"/>
    </xf>
    <xf numFmtId="2" fontId="22" fillId="0" borderId="0" xfId="0" applyNumberFormat="1" applyFont="1" applyFill="1"/>
    <xf numFmtId="43" fontId="20" fillId="0" borderId="54" xfId="4" applyNumberFormat="1" applyFont="1" applyFill="1" applyBorder="1" applyAlignment="1">
      <alignment vertical="center"/>
    </xf>
    <xf numFmtId="0" fontId="22" fillId="0" borderId="0" xfId="4" applyFont="1" applyFill="1" applyBorder="1" applyAlignment="1">
      <alignment horizontal="center" vertical="center"/>
    </xf>
    <xf numFmtId="0" fontId="36" fillId="0" borderId="0" xfId="4" applyFont="1" applyFill="1" applyBorder="1" applyAlignment="1">
      <alignment horizontal="center" vertical="center"/>
    </xf>
    <xf numFmtId="0" fontId="22" fillId="0" borderId="0" xfId="4" applyFont="1" applyFill="1" applyBorder="1" applyAlignment="1">
      <alignment vertical="center"/>
    </xf>
    <xf numFmtId="0" fontId="20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/>
    <xf numFmtId="4" fontId="22" fillId="0" borderId="0" xfId="0" applyNumberFormat="1" applyFont="1" applyFill="1" applyBorder="1"/>
    <xf numFmtId="0" fontId="20" fillId="0" borderId="0" xfId="4" applyFont="1" applyFill="1" applyBorder="1" applyAlignment="1">
      <alignment horizontal="left" vertical="center"/>
    </xf>
    <xf numFmtId="0" fontId="20" fillId="0" borderId="0" xfId="4" applyFont="1" applyFill="1" applyBorder="1" applyAlignment="1">
      <alignment horizontal="center" vertical="center"/>
    </xf>
    <xf numFmtId="0" fontId="20" fillId="0" borderId="0" xfId="4" applyFont="1" applyFill="1" applyAlignment="1">
      <alignment horizontal="left" vertical="center"/>
    </xf>
    <xf numFmtId="166" fontId="22" fillId="0" borderId="0" xfId="4" applyNumberFormat="1" applyFont="1" applyFill="1" applyAlignment="1">
      <alignment vertical="center"/>
    </xf>
    <xf numFmtId="164" fontId="27" fillId="0" borderId="0" xfId="0" applyNumberFormat="1" applyFont="1" applyBorder="1"/>
    <xf numFmtId="164" fontId="29" fillId="0" borderId="0" xfId="0" applyNumberFormat="1" applyFont="1"/>
    <xf numFmtId="164" fontId="27" fillId="0" borderId="0" xfId="0" applyNumberFormat="1" applyFont="1" applyFill="1"/>
    <xf numFmtId="164" fontId="27" fillId="0" borderId="0" xfId="1" applyNumberFormat="1" applyFont="1" applyFill="1"/>
    <xf numFmtId="164" fontId="23" fillId="0" borderId="0" xfId="1" applyNumberFormat="1" applyFont="1" applyAlignment="1">
      <alignment horizontal="right" vertical="center"/>
    </xf>
    <xf numFmtId="164" fontId="23" fillId="0" borderId="0" xfId="1" applyNumberFormat="1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4" applyFont="1" applyAlignment="1">
      <alignment horizontal="center" vertical="center"/>
    </xf>
    <xf numFmtId="169" fontId="27" fillId="0" borderId="0" xfId="0" applyNumberFormat="1" applyFont="1"/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164" fontId="39" fillId="0" borderId="0" xfId="1" applyNumberFormat="1" applyFont="1" applyAlignment="1">
      <alignment horizontal="right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64" fontId="1" fillId="12" borderId="29" xfId="1" applyNumberFormat="1" applyFont="1" applyFill="1" applyBorder="1" applyAlignment="1">
      <alignment horizont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13" fillId="14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4" applyFont="1" applyFill="1" applyAlignment="1">
      <alignment horizontal="center" vertical="center"/>
    </xf>
    <xf numFmtId="164" fontId="23" fillId="0" borderId="0" xfId="1" applyNumberFormat="1" applyFont="1" applyFill="1" applyAlignment="1">
      <alignment horizontal="right" vertical="center"/>
    </xf>
    <xf numFmtId="170" fontId="27" fillId="0" borderId="0" xfId="1" applyNumberFormat="1" applyFont="1"/>
    <xf numFmtId="169" fontId="27" fillId="0" borderId="0" xfId="1" applyNumberFormat="1" applyFont="1"/>
    <xf numFmtId="164" fontId="2" fillId="15" borderId="24" xfId="1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164" fontId="39" fillId="0" borderId="0" xfId="1" applyNumberFormat="1" applyFont="1" applyAlignment="1">
      <alignment horizontal="right" vertic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13" fillId="14" borderId="0" xfId="0" applyFont="1" applyFill="1" applyAlignment="1">
      <alignment horizontal="center"/>
    </xf>
    <xf numFmtId="164" fontId="23" fillId="0" borderId="0" xfId="1" applyNumberFormat="1" applyFont="1" applyFill="1" applyAlignment="1">
      <alignment horizontal="right" vertical="center"/>
    </xf>
    <xf numFmtId="0" fontId="20" fillId="0" borderId="0" xfId="4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4" fontId="1" fillId="0" borderId="21" xfId="1" applyNumberFormat="1" applyFont="1" applyFill="1" applyBorder="1" applyAlignment="1">
      <alignment horizontal="center"/>
    </xf>
    <xf numFmtId="164" fontId="25" fillId="0" borderId="45" xfId="0" applyNumberFormat="1" applyFont="1" applyFill="1" applyBorder="1" applyAlignment="1">
      <alignment horizontal="center"/>
    </xf>
    <xf numFmtId="164" fontId="25" fillId="0" borderId="49" xfId="0" applyNumberFormat="1" applyFont="1" applyFill="1" applyBorder="1" applyAlignment="1">
      <alignment horizontal="left" vertical="center"/>
    </xf>
    <xf numFmtId="164" fontId="1" fillId="0" borderId="27" xfId="1" applyNumberFormat="1" applyFont="1" applyFill="1" applyBorder="1" applyAlignment="1">
      <alignment horizontal="left" vertical="center"/>
    </xf>
    <xf numFmtId="167" fontId="3" fillId="0" borderId="0" xfId="0" applyNumberFormat="1" applyFont="1" applyAlignment="1">
      <alignment horizontal="left" vertical="top"/>
    </xf>
    <xf numFmtId="43" fontId="0" fillId="4" borderId="24" xfId="1" applyFont="1" applyFill="1" applyBorder="1" applyAlignment="1">
      <alignment horizontal="center"/>
    </xf>
    <xf numFmtId="43" fontId="4" fillId="0" borderId="0" xfId="2" applyFont="1"/>
    <xf numFmtId="43" fontId="0" fillId="0" borderId="0" xfId="2" applyFont="1"/>
    <xf numFmtId="43" fontId="1" fillId="0" borderId="0" xfId="2" applyFont="1"/>
    <xf numFmtId="0" fontId="34" fillId="0" borderId="0" xfId="0" applyFont="1" applyFill="1" applyBorder="1" applyAlignment="1">
      <alignment vertical="center"/>
    </xf>
    <xf numFmtId="164" fontId="0" fillId="7" borderId="24" xfId="1" applyNumberFormat="1" applyFont="1" applyFill="1" applyBorder="1" applyAlignment="1">
      <alignment horizontal="center"/>
    </xf>
    <xf numFmtId="164" fontId="0" fillId="4" borderId="49" xfId="0" applyNumberFormat="1" applyFill="1" applyBorder="1" applyAlignment="1">
      <alignment horizontal="right" vertical="center" wrapText="1"/>
    </xf>
    <xf numFmtId="164" fontId="0" fillId="4" borderId="27" xfId="1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164" fontId="39" fillId="0" borderId="0" xfId="1" applyNumberFormat="1" applyFont="1" applyAlignment="1">
      <alignment horizontal="right" vertic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13" fillId="14" borderId="0" xfId="0" applyFont="1" applyFill="1" applyAlignment="1">
      <alignment horizontal="center"/>
    </xf>
    <xf numFmtId="164" fontId="23" fillId="0" borderId="0" xfId="1" applyNumberFormat="1" applyFont="1" applyFill="1" applyAlignment="1">
      <alignment horizontal="right" vertical="center"/>
    </xf>
    <xf numFmtId="0" fontId="20" fillId="0" borderId="0" xfId="4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0" xfId="0" applyFont="1" applyFill="1" applyAlignment="1"/>
    <xf numFmtId="164" fontId="0" fillId="0" borderId="0" xfId="1" applyNumberFormat="1" applyFont="1" applyFill="1" applyAlignment="1"/>
    <xf numFmtId="164" fontId="0" fillId="0" borderId="0" xfId="1" applyNumberFormat="1" applyFont="1" applyFill="1" applyBorder="1" applyAlignment="1"/>
    <xf numFmtId="164" fontId="22" fillId="0" borderId="0" xfId="1" applyNumberFormat="1" applyFont="1" applyFill="1" applyAlignment="1"/>
    <xf numFmtId="164" fontId="27" fillId="14" borderId="24" xfId="1" applyNumberFormat="1" applyFont="1" applyFill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4" fillId="0" borderId="0" xfId="1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164" fontId="39" fillId="0" borderId="0" xfId="1" applyNumberFormat="1" applyFont="1" applyAlignment="1">
      <alignment horizontal="right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64" fontId="1" fillId="12" borderId="29" xfId="1" applyNumberFormat="1" applyFont="1" applyFill="1" applyBorder="1" applyAlignment="1">
      <alignment horizontal="center"/>
    </xf>
    <xf numFmtId="164" fontId="23" fillId="0" borderId="0" xfId="1" applyNumberFormat="1" applyFont="1" applyFill="1" applyAlignment="1">
      <alignment horizontal="right"/>
    </xf>
    <xf numFmtId="164" fontId="23" fillId="0" borderId="0" xfId="1" applyNumberFormat="1" applyFont="1" applyFill="1" applyBorder="1" applyAlignment="1">
      <alignment horizontal="right"/>
    </xf>
    <xf numFmtId="0" fontId="13" fillId="14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4" applyFont="1" applyFill="1" applyAlignment="1">
      <alignment horizontal="center" vertical="center"/>
    </xf>
    <xf numFmtId="164" fontId="23" fillId="0" borderId="0" xfId="1" applyNumberFormat="1" applyFont="1" applyFill="1" applyAlignment="1">
      <alignment horizontal="right" vertical="center"/>
    </xf>
    <xf numFmtId="164" fontId="1" fillId="0" borderId="0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  <xf numFmtId="164" fontId="1" fillId="0" borderId="9" xfId="1" applyNumberFormat="1" applyFont="1" applyBorder="1" applyAlignment="1">
      <alignment horizontal="center" wrapText="1"/>
    </xf>
    <xf numFmtId="164" fontId="1" fillId="0" borderId="13" xfId="1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8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3" fontId="7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43" fontId="1" fillId="0" borderId="8" xfId="1" applyFont="1" applyBorder="1" applyAlignment="1">
      <alignment horizontal="center" vertical="center" wrapText="1"/>
    </xf>
    <xf numFmtId="43" fontId="1" fillId="0" borderId="12" xfId="1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64" fontId="39" fillId="0" borderId="0" xfId="1" applyNumberFormat="1" applyFont="1" applyAlignment="1">
      <alignment horizontal="right" vertical="center"/>
    </xf>
    <xf numFmtId="164" fontId="38" fillId="0" borderId="0" xfId="1" applyNumberFormat="1" applyFont="1" applyFill="1" applyAlignment="1">
      <alignment horizontal="right" vertical="center"/>
    </xf>
    <xf numFmtId="164" fontId="38" fillId="0" borderId="0" xfId="1" applyNumberFormat="1" applyFont="1" applyFill="1" applyAlignment="1">
      <alignment horizontal="right"/>
    </xf>
    <xf numFmtId="164" fontId="38" fillId="0" borderId="0" xfId="1" applyNumberFormat="1" applyFont="1" applyAlignment="1">
      <alignment horizontal="right" vertical="center"/>
    </xf>
    <xf numFmtId="0" fontId="20" fillId="13" borderId="0" xfId="4" applyFont="1" applyFill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2" fillId="0" borderId="0" xfId="0" applyFont="1" applyFill="1" applyAlignment="1">
      <alignment horizontal="left" vertical="center"/>
    </xf>
    <xf numFmtId="164" fontId="1" fillId="12" borderId="51" xfId="0" applyNumberFormat="1" applyFont="1" applyFill="1" applyBorder="1" applyAlignment="1">
      <alignment horizontal="center" vertical="center"/>
    </xf>
    <xf numFmtId="164" fontId="1" fillId="12" borderId="29" xfId="0" applyNumberFormat="1" applyFont="1" applyFill="1" applyBorder="1" applyAlignment="1">
      <alignment horizontal="center" vertical="center"/>
    </xf>
    <xf numFmtId="164" fontId="1" fillId="12" borderId="52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/>
    </xf>
    <xf numFmtId="164" fontId="1" fillId="12" borderId="29" xfId="1" applyNumberFormat="1" applyFont="1" applyFill="1" applyBorder="1" applyAlignment="1">
      <alignment horizontal="center"/>
    </xf>
    <xf numFmtId="164" fontId="1" fillId="12" borderId="57" xfId="1" applyNumberFormat="1" applyFont="1" applyFill="1" applyBorder="1" applyAlignment="1">
      <alignment horizontal="center"/>
    </xf>
    <xf numFmtId="43" fontId="1" fillId="0" borderId="14" xfId="1" applyFont="1" applyBorder="1" applyAlignment="1">
      <alignment horizontal="center" vertical="center" wrapText="1"/>
    </xf>
    <xf numFmtId="43" fontId="1" fillId="0" borderId="17" xfId="1" applyFont="1" applyBorder="1" applyAlignment="1">
      <alignment horizontal="center" vertical="center" wrapText="1"/>
    </xf>
    <xf numFmtId="43" fontId="1" fillId="0" borderId="8" xfId="1" applyFont="1" applyBorder="1" applyAlignment="1">
      <alignment horizontal="center" vertical="center"/>
    </xf>
    <xf numFmtId="43" fontId="1" fillId="0" borderId="12" xfId="1" applyFont="1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 wrapText="1"/>
    </xf>
    <xf numFmtId="164" fontId="1" fillId="0" borderId="13" xfId="1" applyNumberFormat="1" applyFont="1" applyBorder="1" applyAlignment="1">
      <alignment horizontal="center" vertical="center" wrapText="1"/>
    </xf>
    <xf numFmtId="164" fontId="23" fillId="0" borderId="0" xfId="1" applyNumberFormat="1" applyFont="1" applyFill="1" applyAlignment="1">
      <alignment horizontal="right"/>
    </xf>
    <xf numFmtId="164" fontId="25" fillId="12" borderId="29" xfId="1" applyNumberFormat="1" applyFont="1" applyFill="1" applyBorder="1" applyAlignment="1">
      <alignment horizontal="center" vertical="center"/>
    </xf>
    <xf numFmtId="164" fontId="25" fillId="12" borderId="57" xfId="1" applyNumberFormat="1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right"/>
    </xf>
    <xf numFmtId="0" fontId="12" fillId="14" borderId="0" xfId="0" applyFont="1" applyFill="1" applyAlignment="1">
      <alignment horizontal="left"/>
    </xf>
    <xf numFmtId="0" fontId="13" fillId="14" borderId="0" xfId="0" applyFont="1" applyFill="1" applyAlignment="1">
      <alignment horizontal="center"/>
    </xf>
    <xf numFmtId="0" fontId="12" fillId="14" borderId="0" xfId="0" applyFont="1" applyFill="1" applyAlignment="1">
      <alignment horizontal="left" vertical="center"/>
    </xf>
    <xf numFmtId="0" fontId="15" fillId="14" borderId="0" xfId="0" applyFont="1" applyFill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0" fillId="0" borderId="0" xfId="4" applyFont="1" applyFill="1" applyAlignment="1">
      <alignment horizontal="center" vertical="center"/>
    </xf>
    <xf numFmtId="164" fontId="23" fillId="0" borderId="0" xfId="1" applyNumberFormat="1" applyFont="1" applyFill="1" applyAlignment="1">
      <alignment horizontal="right" vertical="center"/>
    </xf>
    <xf numFmtId="164" fontId="23" fillId="0" borderId="0" xfId="1" applyNumberFormat="1" applyFont="1" applyAlignment="1">
      <alignment horizontal="right" vertical="center"/>
    </xf>
    <xf numFmtId="164" fontId="1" fillId="0" borderId="8" xfId="1" applyNumberFormat="1" applyFont="1" applyFill="1" applyBorder="1" applyAlignment="1">
      <alignment horizontal="center" vertical="center"/>
    </xf>
    <xf numFmtId="164" fontId="1" fillId="0" borderId="12" xfId="1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/>
    </xf>
    <xf numFmtId="164" fontId="1" fillId="0" borderId="19" xfId="0" applyNumberFormat="1" applyFont="1" applyFill="1" applyBorder="1" applyAlignment="1">
      <alignment horizontal="center"/>
    </xf>
    <xf numFmtId="164" fontId="1" fillId="0" borderId="20" xfId="0" applyNumberFormat="1" applyFont="1" applyFill="1" applyBorder="1" applyAlignment="1">
      <alignment horizontal="center"/>
    </xf>
    <xf numFmtId="164" fontId="1" fillId="0" borderId="9" xfId="1" applyNumberFormat="1" applyFont="1" applyFill="1" applyBorder="1" applyAlignment="1">
      <alignment horizontal="center" vertical="center" wrapText="1"/>
    </xf>
    <xf numFmtId="164" fontId="1" fillId="0" borderId="13" xfId="1" applyNumberFormat="1" applyFont="1" applyFill="1" applyBorder="1" applyAlignment="1">
      <alignment horizontal="center" vertical="center" wrapText="1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44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43" fontId="1" fillId="0" borderId="14" xfId="1" applyFont="1" applyFill="1" applyBorder="1" applyAlignment="1">
      <alignment horizontal="center" vertical="center" wrapText="1"/>
    </xf>
    <xf numFmtId="43" fontId="1" fillId="0" borderId="17" xfId="1" applyFont="1" applyFill="1" applyBorder="1" applyAlignment="1">
      <alignment horizontal="center" vertical="center" wrapText="1"/>
    </xf>
    <xf numFmtId="43" fontId="1" fillId="0" borderId="8" xfId="1" applyFont="1" applyFill="1" applyBorder="1" applyAlignment="1">
      <alignment horizontal="center" vertical="center"/>
    </xf>
    <xf numFmtId="43" fontId="1" fillId="0" borderId="12" xfId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43" fontId="0" fillId="0" borderId="0" xfId="2" applyFont="1" applyAlignment="1">
      <alignment horizontal="center"/>
    </xf>
  </cellXfs>
  <cellStyles count="6">
    <cellStyle name="Comma" xfId="1" builtinId="3"/>
    <cellStyle name="Comma 2" xfId="3"/>
    <cellStyle name="Comma 2 2" xfId="2"/>
    <cellStyle name="Normal" xfId="0" builtinId="0"/>
    <cellStyle name="Normal 2" xfId="4"/>
    <cellStyle name="Normal 7" xfId="5"/>
  </cellStyles>
  <dxfs count="0"/>
  <tableStyles count="0" defaultTableStyle="TableStyleMedium9" defaultPivotStyle="PivotStyleLight16"/>
  <colors>
    <mruColors>
      <color rgb="FFFF8989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2</xdr:col>
      <xdr:colOff>392907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9656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2</xdr:col>
      <xdr:colOff>542586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62037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49527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49791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49527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2032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97152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2032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97152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2032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97152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2032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178595</xdr:colOff>
      <xdr:row>0</xdr:row>
      <xdr:rowOff>0</xdr:rowOff>
    </xdr:from>
    <xdr:to>
      <xdr:col>3</xdr:col>
      <xdr:colOff>97152</xdr:colOff>
      <xdr:row>5</xdr:row>
      <xdr:rowOff>98414</xdr:rowOff>
    </xdr:to>
    <xdr:pic>
      <xdr:nvPicPr>
        <xdr:cNvPr id="2" name="Picture 1" descr="konstruktura.jp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78595" y="0"/>
          <a:ext cx="1052032" cy="105091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7:L150"/>
  <sheetViews>
    <sheetView topLeftCell="A262" zoomScale="80" zoomScaleNormal="80" workbookViewId="0">
      <selection activeCell="B120" sqref="B120:C120"/>
    </sheetView>
  </sheetViews>
  <sheetFormatPr defaultRowHeight="15" x14ac:dyDescent="0.25"/>
  <cols>
    <col min="1" max="1" width="5.7109375" style="18" customWidth="1"/>
    <col min="2" max="2" width="7" style="18" customWidth="1"/>
    <col min="3" max="3" width="58.5703125" style="18" customWidth="1"/>
    <col min="4" max="4" width="7.7109375" style="18" customWidth="1"/>
    <col min="5" max="5" width="8.42578125" style="2" customWidth="1"/>
    <col min="6" max="6" width="9.28515625" style="19" customWidth="1"/>
    <col min="7" max="9" width="14.7109375" style="1" customWidth="1"/>
    <col min="10" max="10" width="16" style="1" customWidth="1"/>
    <col min="11" max="16384" width="9.140625" style="18"/>
  </cols>
  <sheetData>
    <row r="7" spans="1:10" x14ac:dyDescent="0.25">
      <c r="A7" s="18" t="s">
        <v>0</v>
      </c>
      <c r="B7" s="18" t="s">
        <v>1</v>
      </c>
      <c r="C7" s="18" t="s">
        <v>2</v>
      </c>
    </row>
    <row r="8" spans="1:10" x14ac:dyDescent="0.25">
      <c r="A8" s="18" t="s">
        <v>3</v>
      </c>
      <c r="B8" s="18" t="s">
        <v>1</v>
      </c>
      <c r="C8" s="20" t="s">
        <v>17</v>
      </c>
      <c r="D8" s="20"/>
    </row>
    <row r="9" spans="1:10" x14ac:dyDescent="0.25">
      <c r="A9" s="20" t="s">
        <v>22</v>
      </c>
      <c r="B9" s="18" t="s">
        <v>1</v>
      </c>
      <c r="C9" s="20" t="s">
        <v>23</v>
      </c>
      <c r="D9" s="20"/>
    </row>
    <row r="10" spans="1:10" x14ac:dyDescent="0.25">
      <c r="A10" s="20" t="s">
        <v>24</v>
      </c>
      <c r="B10" s="18" t="s">
        <v>1</v>
      </c>
      <c r="C10" s="21"/>
      <c r="D10" s="21"/>
    </row>
    <row r="11" spans="1:10" x14ac:dyDescent="0.25">
      <c r="A11" s="20"/>
      <c r="C11" s="21"/>
      <c r="D11" s="21"/>
    </row>
    <row r="12" spans="1:10" x14ac:dyDescent="0.25">
      <c r="A12" s="20"/>
      <c r="C12" s="21"/>
      <c r="D12" s="21"/>
    </row>
    <row r="13" spans="1:10" ht="15.75" thickBot="1" x14ac:dyDescent="0.3"/>
    <row r="14" spans="1:10" s="19" customFormat="1" x14ac:dyDescent="0.25">
      <c r="A14" s="864" t="s">
        <v>4</v>
      </c>
      <c r="B14" s="865"/>
      <c r="C14" s="868" t="s">
        <v>7</v>
      </c>
      <c r="D14" s="875" t="s">
        <v>81</v>
      </c>
      <c r="E14" s="870" t="s">
        <v>6</v>
      </c>
      <c r="F14" s="868" t="s">
        <v>5</v>
      </c>
      <c r="G14" s="872" t="s">
        <v>8</v>
      </c>
      <c r="H14" s="873"/>
      <c r="I14" s="874"/>
      <c r="J14" s="862" t="s">
        <v>11</v>
      </c>
    </row>
    <row r="15" spans="1:10" s="19" customFormat="1" ht="15.75" thickBot="1" x14ac:dyDescent="0.3">
      <c r="A15" s="866"/>
      <c r="B15" s="867"/>
      <c r="C15" s="869"/>
      <c r="D15" s="876"/>
      <c r="E15" s="871"/>
      <c r="F15" s="869"/>
      <c r="G15" s="54" t="s">
        <v>9</v>
      </c>
      <c r="H15" s="54" t="s">
        <v>10</v>
      </c>
      <c r="I15" s="54" t="s">
        <v>15</v>
      </c>
      <c r="J15" s="863"/>
    </row>
    <row r="16" spans="1:10" ht="15.75" thickBot="1" x14ac:dyDescent="0.3">
      <c r="A16" s="22"/>
      <c r="B16" s="23"/>
      <c r="C16" s="24"/>
      <c r="D16" s="30"/>
      <c r="E16" s="3"/>
      <c r="F16" s="25"/>
      <c r="G16" s="4"/>
      <c r="H16" s="4"/>
      <c r="I16" s="4"/>
      <c r="J16" s="5"/>
    </row>
    <row r="17" spans="1:12" s="27" customFormat="1" ht="15.75" thickBot="1" x14ac:dyDescent="0.3">
      <c r="A17" s="33" t="s">
        <v>79</v>
      </c>
      <c r="B17" s="34"/>
      <c r="C17" s="34"/>
      <c r="D17" s="34"/>
      <c r="E17" s="9"/>
      <c r="F17" s="35"/>
      <c r="G17" s="10"/>
      <c r="H17" s="10"/>
      <c r="I17" s="10"/>
      <c r="J17" s="11"/>
    </row>
    <row r="18" spans="1:12" s="27" customFormat="1" x14ac:dyDescent="0.25">
      <c r="A18" s="36"/>
      <c r="B18" s="37"/>
      <c r="C18" s="37"/>
      <c r="D18" s="37"/>
      <c r="E18" s="3"/>
      <c r="F18" s="25"/>
      <c r="G18" s="4"/>
      <c r="H18" s="4"/>
      <c r="I18" s="4"/>
      <c r="J18" s="5"/>
    </row>
    <row r="19" spans="1:12" x14ac:dyDescent="0.25">
      <c r="A19" s="38"/>
      <c r="B19" s="27"/>
      <c r="C19" s="30"/>
      <c r="D19" s="30"/>
      <c r="E19" s="3"/>
      <c r="F19" s="25"/>
      <c r="G19" s="4"/>
      <c r="H19" s="4"/>
      <c r="I19" s="4"/>
      <c r="J19" s="5"/>
    </row>
    <row r="20" spans="1:12" x14ac:dyDescent="0.25">
      <c r="A20" s="57" t="s">
        <v>80</v>
      </c>
      <c r="B20" s="29" t="s">
        <v>25</v>
      </c>
      <c r="C20" s="30"/>
      <c r="D20" s="30"/>
      <c r="E20" s="3"/>
      <c r="F20" s="25"/>
      <c r="G20" s="4"/>
      <c r="H20" s="4"/>
      <c r="I20" s="4"/>
      <c r="J20" s="5"/>
    </row>
    <row r="21" spans="1:12" x14ac:dyDescent="0.25">
      <c r="A21" s="38"/>
      <c r="B21" s="58">
        <v>1</v>
      </c>
      <c r="C21" s="32" t="s">
        <v>56</v>
      </c>
      <c r="D21" s="32">
        <v>501.6</v>
      </c>
      <c r="E21" s="3">
        <v>532</v>
      </c>
      <c r="F21" s="25" t="s">
        <v>16</v>
      </c>
      <c r="G21" s="4"/>
      <c r="H21" s="4"/>
      <c r="I21" s="8">
        <f t="shared" ref="I21:I27" si="0">G21+H21</f>
        <v>0</v>
      </c>
      <c r="J21" s="5">
        <f t="shared" ref="J21:J27" si="1">I21*E21</f>
        <v>0</v>
      </c>
    </row>
    <row r="22" spans="1:12" x14ac:dyDescent="0.25">
      <c r="A22" s="26"/>
      <c r="B22" s="58">
        <v>2</v>
      </c>
      <c r="C22" s="32" t="s">
        <v>40</v>
      </c>
      <c r="D22" s="32">
        <v>251</v>
      </c>
      <c r="E22" s="3">
        <v>250</v>
      </c>
      <c r="F22" s="25" t="s">
        <v>16</v>
      </c>
      <c r="G22" s="4"/>
      <c r="H22" s="4"/>
      <c r="I22" s="8">
        <f t="shared" si="0"/>
        <v>0</v>
      </c>
      <c r="J22" s="5">
        <f t="shared" si="1"/>
        <v>0</v>
      </c>
    </row>
    <row r="23" spans="1:12" x14ac:dyDescent="0.25">
      <c r="A23" s="26"/>
      <c r="B23" s="58">
        <v>3</v>
      </c>
      <c r="C23" s="32" t="s">
        <v>41</v>
      </c>
      <c r="D23" s="32">
        <v>28.2</v>
      </c>
      <c r="E23" s="3">
        <v>28</v>
      </c>
      <c r="F23" s="25" t="s">
        <v>16</v>
      </c>
      <c r="G23" s="8"/>
      <c r="H23" s="8"/>
      <c r="I23" s="8">
        <f t="shared" si="0"/>
        <v>0</v>
      </c>
      <c r="J23" s="5">
        <f t="shared" si="1"/>
        <v>0</v>
      </c>
    </row>
    <row r="24" spans="1:12" x14ac:dyDescent="0.25">
      <c r="A24" s="26"/>
      <c r="B24" s="58">
        <v>4</v>
      </c>
      <c r="C24" s="32" t="s">
        <v>42</v>
      </c>
      <c r="D24" s="32">
        <v>16</v>
      </c>
      <c r="E24" s="3">
        <v>16</v>
      </c>
      <c r="F24" s="25" t="s">
        <v>16</v>
      </c>
      <c r="G24" s="8"/>
      <c r="H24" s="8"/>
      <c r="I24" s="8">
        <f t="shared" si="0"/>
        <v>0</v>
      </c>
      <c r="J24" s="5">
        <f t="shared" si="1"/>
        <v>0</v>
      </c>
      <c r="L24" s="18">
        <f>435*3</f>
        <v>1305</v>
      </c>
    </row>
    <row r="25" spans="1:12" x14ac:dyDescent="0.25">
      <c r="A25" s="26"/>
      <c r="B25" s="58">
        <v>5</v>
      </c>
      <c r="C25" s="32" t="s">
        <v>43</v>
      </c>
      <c r="D25" s="32">
        <v>19.75</v>
      </c>
      <c r="E25" s="3">
        <v>24</v>
      </c>
      <c r="F25" s="25" t="s">
        <v>16</v>
      </c>
      <c r="G25" s="8"/>
      <c r="H25" s="8"/>
      <c r="I25" s="8">
        <f t="shared" si="0"/>
        <v>0</v>
      </c>
      <c r="J25" s="5">
        <f t="shared" si="1"/>
        <v>0</v>
      </c>
    </row>
    <row r="26" spans="1:12" x14ac:dyDescent="0.25">
      <c r="A26" s="26"/>
      <c r="B26" s="58">
        <v>6</v>
      </c>
      <c r="C26" s="32" t="s">
        <v>44</v>
      </c>
      <c r="D26" s="32">
        <v>45</v>
      </c>
      <c r="E26" s="3">
        <v>49</v>
      </c>
      <c r="F26" s="25" t="s">
        <v>16</v>
      </c>
      <c r="G26" s="8"/>
      <c r="H26" s="8"/>
      <c r="I26" s="8">
        <f t="shared" si="0"/>
        <v>0</v>
      </c>
      <c r="J26" s="5">
        <f t="shared" si="1"/>
        <v>0</v>
      </c>
    </row>
    <row r="27" spans="1:12" x14ac:dyDescent="0.25">
      <c r="A27" s="26"/>
      <c r="B27" s="58">
        <v>7</v>
      </c>
      <c r="C27" s="32" t="s">
        <v>45</v>
      </c>
      <c r="D27" s="32">
        <v>0</v>
      </c>
      <c r="E27" s="3">
        <v>0</v>
      </c>
      <c r="F27" s="25" t="s">
        <v>16</v>
      </c>
      <c r="G27" s="8"/>
      <c r="H27" s="8"/>
      <c r="I27" s="8">
        <f t="shared" si="0"/>
        <v>0</v>
      </c>
      <c r="J27" s="5">
        <f t="shared" si="1"/>
        <v>0</v>
      </c>
    </row>
    <row r="28" spans="1:12" x14ac:dyDescent="0.25">
      <c r="A28" s="26"/>
      <c r="B28" s="58">
        <v>8</v>
      </c>
      <c r="C28" s="32" t="s">
        <v>97</v>
      </c>
      <c r="D28" s="32">
        <v>320</v>
      </c>
      <c r="E28" s="3">
        <v>320</v>
      </c>
      <c r="F28" s="3" t="s">
        <v>16</v>
      </c>
      <c r="G28" s="8"/>
      <c r="H28" s="8"/>
      <c r="I28" s="7" t="s">
        <v>39</v>
      </c>
      <c r="J28" s="51" t="s">
        <v>39</v>
      </c>
    </row>
    <row r="29" spans="1:12" x14ac:dyDescent="0.25">
      <c r="A29" s="26"/>
      <c r="B29" s="58"/>
      <c r="C29" s="32" t="s">
        <v>96</v>
      </c>
      <c r="D29" s="32"/>
      <c r="E29" s="3"/>
      <c r="F29" s="3"/>
      <c r="G29" s="8"/>
      <c r="H29" s="8"/>
      <c r="I29" s="7"/>
      <c r="J29" s="51"/>
    </row>
    <row r="30" spans="1:12" x14ac:dyDescent="0.25">
      <c r="A30" s="26"/>
      <c r="B30" s="58"/>
      <c r="C30" s="32"/>
      <c r="D30" s="32"/>
      <c r="E30" s="3"/>
      <c r="F30" s="3"/>
      <c r="G30" s="8"/>
      <c r="H30" s="8"/>
      <c r="I30" s="7"/>
      <c r="J30" s="51"/>
    </row>
    <row r="31" spans="1:12" x14ac:dyDescent="0.25">
      <c r="A31" s="57" t="s">
        <v>82</v>
      </c>
      <c r="B31" s="29" t="s">
        <v>83</v>
      </c>
      <c r="C31" s="30"/>
      <c r="D31" s="30"/>
      <c r="E31" s="3"/>
      <c r="F31" s="25"/>
      <c r="G31" s="4"/>
      <c r="H31" s="4"/>
      <c r="I31" s="4"/>
      <c r="J31" s="5"/>
    </row>
    <row r="32" spans="1:12" x14ac:dyDescent="0.25">
      <c r="A32" s="57"/>
      <c r="B32" s="58">
        <v>1</v>
      </c>
      <c r="C32" s="32" t="s">
        <v>84</v>
      </c>
      <c r="D32" s="30">
        <v>16.22</v>
      </c>
      <c r="E32" s="3"/>
      <c r="F32" s="59" t="s">
        <v>101</v>
      </c>
      <c r="G32" s="4"/>
      <c r="H32" s="4"/>
      <c r="I32" s="4"/>
      <c r="J32" s="5"/>
    </row>
    <row r="33" spans="1:10" x14ac:dyDescent="0.25">
      <c r="A33" s="57"/>
      <c r="B33" s="58">
        <v>2</v>
      </c>
      <c r="C33" s="32" t="s">
        <v>85</v>
      </c>
      <c r="D33" s="30">
        <v>44.33</v>
      </c>
      <c r="E33" s="3"/>
      <c r="F33" s="59" t="s">
        <v>101</v>
      </c>
      <c r="G33" s="4"/>
      <c r="H33" s="4"/>
      <c r="I33" s="4"/>
      <c r="J33" s="5"/>
    </row>
    <row r="34" spans="1:10" x14ac:dyDescent="0.25">
      <c r="A34" s="57"/>
      <c r="B34" s="58">
        <v>3</v>
      </c>
      <c r="C34" s="32" t="s">
        <v>102</v>
      </c>
      <c r="D34" s="30">
        <v>1750</v>
      </c>
      <c r="E34" s="3"/>
      <c r="F34" s="59" t="s">
        <v>101</v>
      </c>
      <c r="G34" s="4"/>
      <c r="H34" s="4"/>
      <c r="I34" s="4"/>
      <c r="J34" s="5"/>
    </row>
    <row r="35" spans="1:10" x14ac:dyDescent="0.25">
      <c r="A35" s="57"/>
      <c r="B35" s="58">
        <v>4</v>
      </c>
      <c r="C35" s="32" t="s">
        <v>103</v>
      </c>
      <c r="D35" s="30">
        <v>565</v>
      </c>
      <c r="E35" s="3"/>
      <c r="F35" s="59" t="s">
        <v>101</v>
      </c>
      <c r="G35" s="4"/>
      <c r="H35" s="4"/>
      <c r="I35" s="4"/>
      <c r="J35" s="5"/>
    </row>
    <row r="36" spans="1:10" x14ac:dyDescent="0.25">
      <c r="A36" s="57"/>
      <c r="B36" s="58"/>
      <c r="C36" s="30"/>
      <c r="D36" s="30"/>
      <c r="E36" s="3"/>
      <c r="F36" s="25"/>
      <c r="G36" s="4"/>
      <c r="H36" s="4"/>
      <c r="I36" s="4"/>
      <c r="J36" s="5"/>
    </row>
    <row r="37" spans="1:10" x14ac:dyDescent="0.25">
      <c r="A37" s="57" t="s">
        <v>86</v>
      </c>
      <c r="B37" s="29" t="s">
        <v>87</v>
      </c>
      <c r="C37" s="30"/>
      <c r="D37" s="30"/>
      <c r="E37" s="3"/>
      <c r="F37" s="25"/>
      <c r="G37" s="4"/>
      <c r="H37" s="4"/>
      <c r="I37" s="4"/>
      <c r="J37" s="5"/>
    </row>
    <row r="38" spans="1:10" x14ac:dyDescent="0.25">
      <c r="A38" s="57"/>
      <c r="B38" s="58">
        <v>1</v>
      </c>
      <c r="C38" s="32" t="s">
        <v>88</v>
      </c>
      <c r="D38" s="30">
        <v>269</v>
      </c>
      <c r="E38" s="3"/>
      <c r="F38" s="59" t="s">
        <v>101</v>
      </c>
      <c r="G38" s="4"/>
      <c r="H38" s="4"/>
      <c r="I38" s="4"/>
      <c r="J38" s="5"/>
    </row>
    <row r="39" spans="1:10" x14ac:dyDescent="0.25">
      <c r="A39" s="57"/>
      <c r="B39" s="58"/>
      <c r="C39" s="32" t="s">
        <v>89</v>
      </c>
      <c r="D39" s="30"/>
      <c r="E39" s="3"/>
      <c r="F39" s="25"/>
      <c r="G39" s="4"/>
      <c r="H39" s="4"/>
      <c r="I39" s="4"/>
      <c r="J39" s="5"/>
    </row>
    <row r="40" spans="1:10" x14ac:dyDescent="0.25">
      <c r="A40" s="57"/>
      <c r="B40" s="58">
        <v>2</v>
      </c>
      <c r="C40" s="32" t="s">
        <v>90</v>
      </c>
      <c r="D40" s="30">
        <v>36.700000000000003</v>
      </c>
      <c r="E40" s="3"/>
      <c r="F40" s="59" t="s">
        <v>101</v>
      </c>
      <c r="G40" s="4"/>
      <c r="H40" s="4"/>
      <c r="I40" s="4"/>
      <c r="J40" s="5"/>
    </row>
    <row r="41" spans="1:10" x14ac:dyDescent="0.25">
      <c r="A41" s="57"/>
      <c r="B41" s="58"/>
      <c r="C41" s="32" t="s">
        <v>91</v>
      </c>
      <c r="D41" s="30"/>
      <c r="E41" s="3"/>
      <c r="F41" s="25"/>
      <c r="G41" s="4"/>
      <c r="H41" s="4"/>
      <c r="I41" s="4"/>
      <c r="J41" s="5"/>
    </row>
    <row r="42" spans="1:10" x14ac:dyDescent="0.25">
      <c r="A42" s="57"/>
      <c r="B42" s="58">
        <v>3</v>
      </c>
      <c r="C42" s="32" t="s">
        <v>92</v>
      </c>
      <c r="D42" s="30">
        <v>60.98</v>
      </c>
      <c r="E42" s="3"/>
      <c r="F42" s="59" t="s">
        <v>101</v>
      </c>
      <c r="G42" s="4"/>
      <c r="H42" s="4"/>
      <c r="I42" s="4"/>
      <c r="J42" s="5"/>
    </row>
    <row r="43" spans="1:10" x14ac:dyDescent="0.25">
      <c r="A43" s="57"/>
      <c r="B43" s="29"/>
      <c r="C43" s="32" t="s">
        <v>89</v>
      </c>
      <c r="D43" s="30"/>
      <c r="E43" s="3"/>
      <c r="F43" s="25"/>
      <c r="G43" s="4"/>
      <c r="H43" s="4"/>
      <c r="I43" s="4"/>
      <c r="J43" s="5"/>
    </row>
    <row r="44" spans="1:10" x14ac:dyDescent="0.25">
      <c r="A44" s="57"/>
      <c r="B44" s="58">
        <v>4</v>
      </c>
      <c r="C44" s="32" t="s">
        <v>93</v>
      </c>
      <c r="D44" s="30">
        <v>252</v>
      </c>
      <c r="E44" s="3"/>
      <c r="F44" s="59" t="s">
        <v>101</v>
      </c>
      <c r="G44" s="4"/>
      <c r="H44" s="4"/>
      <c r="I44" s="4"/>
      <c r="J44" s="5"/>
    </row>
    <row r="45" spans="1:10" x14ac:dyDescent="0.25">
      <c r="A45" s="57"/>
      <c r="B45" s="29"/>
      <c r="C45" s="32" t="s">
        <v>94</v>
      </c>
      <c r="D45" s="30"/>
      <c r="E45" s="3"/>
      <c r="F45" s="25"/>
      <c r="G45" s="4"/>
      <c r="H45" s="4"/>
      <c r="I45" s="4"/>
      <c r="J45" s="5"/>
    </row>
    <row r="46" spans="1:10" x14ac:dyDescent="0.25">
      <c r="A46" s="57"/>
      <c r="B46" s="58">
        <v>5</v>
      </c>
      <c r="C46" s="32" t="s">
        <v>95</v>
      </c>
      <c r="D46" s="30">
        <v>71.099999999999994</v>
      </c>
      <c r="E46" s="3"/>
      <c r="F46" s="59" t="s">
        <v>101</v>
      </c>
      <c r="G46" s="4"/>
      <c r="H46" s="4"/>
      <c r="I46" s="4"/>
      <c r="J46" s="5"/>
    </row>
    <row r="47" spans="1:10" x14ac:dyDescent="0.25">
      <c r="A47" s="57"/>
      <c r="B47" s="58">
        <v>6</v>
      </c>
      <c r="C47" s="32" t="s">
        <v>98</v>
      </c>
      <c r="D47" s="30">
        <v>61.7</v>
      </c>
      <c r="E47" s="3"/>
      <c r="F47" s="59" t="s">
        <v>100</v>
      </c>
      <c r="G47" s="4"/>
      <c r="H47" s="4"/>
      <c r="I47" s="4"/>
      <c r="J47" s="5"/>
    </row>
    <row r="48" spans="1:10" x14ac:dyDescent="0.25">
      <c r="A48" s="57"/>
      <c r="B48" s="58"/>
      <c r="C48" s="32" t="s">
        <v>89</v>
      </c>
      <c r="D48" s="30"/>
      <c r="E48" s="3"/>
      <c r="F48" s="25"/>
      <c r="G48" s="4"/>
      <c r="H48" s="4"/>
      <c r="I48" s="4"/>
      <c r="J48" s="5"/>
    </row>
    <row r="49" spans="1:10" x14ac:dyDescent="0.25">
      <c r="A49" s="57"/>
      <c r="B49" s="58">
        <v>7</v>
      </c>
      <c r="C49" s="32" t="s">
        <v>99</v>
      </c>
      <c r="D49" s="30">
        <v>152.9</v>
      </c>
      <c r="E49" s="3"/>
      <c r="F49" s="59" t="s">
        <v>101</v>
      </c>
      <c r="G49" s="4"/>
      <c r="H49" s="4"/>
      <c r="I49" s="4"/>
      <c r="J49" s="5"/>
    </row>
    <row r="50" spans="1:10" x14ac:dyDescent="0.25">
      <c r="A50" s="57"/>
      <c r="B50" s="29"/>
      <c r="C50" s="32"/>
      <c r="D50" s="30"/>
      <c r="E50" s="3"/>
      <c r="F50" s="25"/>
      <c r="G50" s="4"/>
      <c r="H50" s="4"/>
      <c r="I50" s="4"/>
      <c r="J50" s="5"/>
    </row>
    <row r="51" spans="1:10" x14ac:dyDescent="0.25">
      <c r="A51" s="57" t="s">
        <v>129</v>
      </c>
      <c r="B51" s="53" t="s">
        <v>26</v>
      </c>
      <c r="C51" s="39"/>
      <c r="D51" s="39"/>
      <c r="E51" s="7"/>
      <c r="F51" s="40"/>
      <c r="G51" s="6"/>
      <c r="H51" s="4"/>
      <c r="I51" s="4"/>
      <c r="J51" s="5"/>
    </row>
    <row r="52" spans="1:10" x14ac:dyDescent="0.25">
      <c r="A52" s="26"/>
      <c r="B52" s="50" t="s">
        <v>62</v>
      </c>
      <c r="C52" s="31" t="s">
        <v>104</v>
      </c>
      <c r="D52" s="39">
        <v>3</v>
      </c>
      <c r="E52" s="7">
        <v>3</v>
      </c>
      <c r="F52" s="42" t="s">
        <v>28</v>
      </c>
      <c r="G52" s="6"/>
      <c r="H52" s="4"/>
      <c r="I52" s="8">
        <f>G52+H52</f>
        <v>0</v>
      </c>
      <c r="J52" s="5">
        <f>I52*E52</f>
        <v>0</v>
      </c>
    </row>
    <row r="53" spans="1:10" x14ac:dyDescent="0.25">
      <c r="A53" s="26"/>
      <c r="B53" s="49"/>
      <c r="C53" s="31" t="s">
        <v>46</v>
      </c>
      <c r="D53" s="31"/>
      <c r="E53" s="7"/>
      <c r="F53" s="40"/>
      <c r="G53" s="8"/>
      <c r="H53" s="8"/>
      <c r="I53" s="8"/>
      <c r="J53" s="5"/>
    </row>
    <row r="54" spans="1:10" x14ac:dyDescent="0.25">
      <c r="A54" s="26"/>
      <c r="B54" s="49"/>
      <c r="C54" s="31" t="s">
        <v>57</v>
      </c>
      <c r="D54" s="31"/>
      <c r="E54" s="7"/>
      <c r="F54" s="40"/>
      <c r="G54" s="8"/>
      <c r="H54" s="8"/>
      <c r="I54" s="8"/>
      <c r="J54" s="5"/>
    </row>
    <row r="55" spans="1:10" x14ac:dyDescent="0.25">
      <c r="A55" s="26"/>
      <c r="B55" s="50" t="s">
        <v>63</v>
      </c>
      <c r="C55" s="31" t="s">
        <v>105</v>
      </c>
      <c r="D55" s="31">
        <v>1</v>
      </c>
      <c r="E55" s="7">
        <v>1</v>
      </c>
      <c r="F55" s="42" t="s">
        <v>55</v>
      </c>
      <c r="G55" s="6"/>
      <c r="H55" s="4"/>
      <c r="I55" s="8">
        <f>G55+H55</f>
        <v>0</v>
      </c>
      <c r="J55" s="5">
        <f>I55*E55</f>
        <v>0</v>
      </c>
    </row>
    <row r="56" spans="1:10" x14ac:dyDescent="0.25">
      <c r="A56" s="26"/>
      <c r="B56" s="49"/>
      <c r="C56" s="31" t="s">
        <v>47</v>
      </c>
      <c r="D56" s="31"/>
      <c r="E56" s="7"/>
      <c r="F56" s="40"/>
      <c r="G56" s="8"/>
      <c r="H56" s="8"/>
      <c r="I56" s="8"/>
      <c r="J56" s="5"/>
    </row>
    <row r="57" spans="1:10" x14ac:dyDescent="0.25">
      <c r="A57" s="26"/>
      <c r="B57" s="49"/>
      <c r="C57" s="31" t="s">
        <v>57</v>
      </c>
      <c r="D57" s="31"/>
      <c r="E57" s="7"/>
      <c r="F57" s="40"/>
      <c r="G57" s="8"/>
      <c r="H57" s="8"/>
      <c r="I57" s="8"/>
      <c r="J57" s="5"/>
    </row>
    <row r="58" spans="1:10" x14ac:dyDescent="0.25">
      <c r="A58" s="26"/>
      <c r="B58" s="50" t="s">
        <v>64</v>
      </c>
      <c r="C58" s="31" t="s">
        <v>106</v>
      </c>
      <c r="D58" s="31">
        <v>2</v>
      </c>
      <c r="E58" s="7">
        <v>2</v>
      </c>
      <c r="F58" s="42" t="s">
        <v>28</v>
      </c>
      <c r="G58" s="8"/>
      <c r="H58" s="8"/>
      <c r="I58" s="8">
        <f t="shared" ref="I58" si="2">G58+H58</f>
        <v>0</v>
      </c>
      <c r="J58" s="5">
        <f>I58*E58</f>
        <v>0</v>
      </c>
    </row>
    <row r="59" spans="1:10" x14ac:dyDescent="0.25">
      <c r="A59" s="26"/>
      <c r="B59" s="50" t="s">
        <v>65</v>
      </c>
      <c r="C59" s="31" t="s">
        <v>107</v>
      </c>
      <c r="D59" s="31">
        <v>4</v>
      </c>
      <c r="E59" s="7">
        <v>4</v>
      </c>
      <c r="F59" s="42" t="s">
        <v>28</v>
      </c>
      <c r="G59" s="8"/>
      <c r="H59" s="8"/>
      <c r="I59" s="8">
        <f t="shared" ref="I59:I78" si="3">G59+H59</f>
        <v>0</v>
      </c>
      <c r="J59" s="5">
        <f>I59*E59</f>
        <v>0</v>
      </c>
    </row>
    <row r="60" spans="1:10" x14ac:dyDescent="0.25">
      <c r="A60" s="26"/>
      <c r="B60" s="50" t="s">
        <v>66</v>
      </c>
      <c r="C60" s="31" t="s">
        <v>108</v>
      </c>
      <c r="D60" s="31">
        <v>7</v>
      </c>
      <c r="E60" s="7">
        <v>7</v>
      </c>
      <c r="F60" s="42" t="s">
        <v>28</v>
      </c>
      <c r="G60" s="8"/>
      <c r="H60" s="8"/>
      <c r="I60" s="8">
        <f t="shared" si="3"/>
        <v>0</v>
      </c>
      <c r="J60" s="5">
        <f>I60*E60</f>
        <v>0</v>
      </c>
    </row>
    <row r="61" spans="1:10" x14ac:dyDescent="0.25">
      <c r="A61" s="26"/>
      <c r="B61" s="50"/>
      <c r="C61" s="31" t="s">
        <v>48</v>
      </c>
      <c r="D61" s="31"/>
      <c r="E61" s="7"/>
      <c r="F61" s="42"/>
      <c r="G61" s="8"/>
      <c r="H61" s="8"/>
      <c r="I61" s="8"/>
      <c r="J61" s="5"/>
    </row>
    <row r="62" spans="1:10" x14ac:dyDescent="0.25">
      <c r="A62" s="26"/>
      <c r="B62" s="50" t="s">
        <v>67</v>
      </c>
      <c r="C62" s="31" t="s">
        <v>109</v>
      </c>
      <c r="D62" s="31">
        <v>1</v>
      </c>
      <c r="E62" s="7">
        <v>1</v>
      </c>
      <c r="F62" s="42" t="s">
        <v>55</v>
      </c>
      <c r="G62" s="8"/>
      <c r="H62" s="8"/>
      <c r="I62" s="8">
        <f t="shared" ref="I62" si="4">G62+H62</f>
        <v>0</v>
      </c>
      <c r="J62" s="5">
        <f>I62*E62</f>
        <v>0</v>
      </c>
    </row>
    <row r="63" spans="1:10" x14ac:dyDescent="0.25">
      <c r="A63" s="26"/>
      <c r="B63" s="50"/>
      <c r="C63" s="31" t="s">
        <v>48</v>
      </c>
      <c r="D63" s="31"/>
      <c r="E63" s="7"/>
      <c r="F63" s="42"/>
      <c r="G63" s="8"/>
      <c r="H63" s="8"/>
      <c r="I63" s="8"/>
      <c r="J63" s="5"/>
    </row>
    <row r="64" spans="1:10" x14ac:dyDescent="0.25">
      <c r="A64" s="26"/>
      <c r="B64" s="50" t="s">
        <v>68</v>
      </c>
      <c r="C64" s="31" t="s">
        <v>110</v>
      </c>
      <c r="D64" s="31">
        <v>2</v>
      </c>
      <c r="E64" s="7">
        <v>2</v>
      </c>
      <c r="F64" s="42" t="s">
        <v>28</v>
      </c>
      <c r="G64" s="8"/>
      <c r="H64" s="8"/>
      <c r="I64" s="8">
        <f t="shared" si="3"/>
        <v>0</v>
      </c>
      <c r="J64" s="5">
        <f>I64*E64</f>
        <v>0</v>
      </c>
    </row>
    <row r="65" spans="1:10" x14ac:dyDescent="0.25">
      <c r="A65" s="26"/>
      <c r="B65" s="50"/>
      <c r="C65" s="31" t="s">
        <v>48</v>
      </c>
      <c r="D65" s="31"/>
      <c r="E65" s="7"/>
      <c r="F65" s="42"/>
      <c r="G65" s="8"/>
      <c r="H65" s="8"/>
      <c r="I65" s="8"/>
      <c r="J65" s="5"/>
    </row>
    <row r="66" spans="1:10" x14ac:dyDescent="0.25">
      <c r="A66" s="26"/>
      <c r="B66" s="50" t="s">
        <v>69</v>
      </c>
      <c r="C66" s="31" t="s">
        <v>111</v>
      </c>
      <c r="D66" s="31">
        <v>3</v>
      </c>
      <c r="E66" s="7">
        <v>3</v>
      </c>
      <c r="F66" s="42" t="s">
        <v>28</v>
      </c>
      <c r="G66" s="8"/>
      <c r="H66" s="8"/>
      <c r="I66" s="8">
        <f t="shared" ref="I66" si="5">G66+H66</f>
        <v>0</v>
      </c>
      <c r="J66" s="47">
        <f t="shared" ref="J66" si="6">I66*E66</f>
        <v>0</v>
      </c>
    </row>
    <row r="67" spans="1:10" x14ac:dyDescent="0.25">
      <c r="A67" s="26"/>
      <c r="B67" s="49"/>
      <c r="C67" s="31" t="s">
        <v>49</v>
      </c>
      <c r="D67" s="31"/>
      <c r="E67" s="7"/>
      <c r="F67" s="40"/>
      <c r="G67" s="8"/>
      <c r="H67" s="8"/>
      <c r="I67" s="8"/>
      <c r="J67" s="47"/>
    </row>
    <row r="68" spans="1:10" x14ac:dyDescent="0.25">
      <c r="A68" s="26"/>
      <c r="B68" s="50" t="s">
        <v>70</v>
      </c>
      <c r="C68" s="31" t="s">
        <v>112</v>
      </c>
      <c r="D68" s="31">
        <v>1</v>
      </c>
      <c r="E68" s="7">
        <v>1</v>
      </c>
      <c r="F68" s="42" t="s">
        <v>55</v>
      </c>
      <c r="G68" s="8"/>
      <c r="H68" s="8"/>
      <c r="I68" s="8">
        <f t="shared" si="3"/>
        <v>0</v>
      </c>
      <c r="J68" s="47">
        <f t="shared" ref="J68:J78" si="7">I68*E68</f>
        <v>0</v>
      </c>
    </row>
    <row r="69" spans="1:10" x14ac:dyDescent="0.25">
      <c r="A69" s="26"/>
      <c r="B69" s="49"/>
      <c r="C69" s="31" t="s">
        <v>50</v>
      </c>
      <c r="D69" s="31"/>
      <c r="E69" s="7"/>
      <c r="F69" s="40"/>
      <c r="G69" s="8"/>
      <c r="H69" s="8"/>
      <c r="I69" s="8"/>
      <c r="J69" s="47"/>
    </row>
    <row r="70" spans="1:10" x14ac:dyDescent="0.25">
      <c r="A70" s="26"/>
      <c r="B70" s="49"/>
      <c r="C70" s="39"/>
      <c r="D70" s="39"/>
      <c r="E70" s="7"/>
      <c r="F70" s="40"/>
      <c r="G70" s="8"/>
      <c r="H70" s="8"/>
      <c r="I70" s="8"/>
      <c r="J70" s="47"/>
    </row>
    <row r="71" spans="1:10" x14ac:dyDescent="0.25">
      <c r="A71" s="57" t="s">
        <v>130</v>
      </c>
      <c r="B71" s="52" t="s">
        <v>27</v>
      </c>
      <c r="C71" s="39"/>
      <c r="D71" s="39"/>
      <c r="E71" s="7"/>
      <c r="F71" s="40"/>
      <c r="G71" s="8"/>
      <c r="H71" s="8"/>
      <c r="I71" s="8"/>
      <c r="J71" s="47"/>
    </row>
    <row r="72" spans="1:10" x14ac:dyDescent="0.25">
      <c r="A72" s="26"/>
      <c r="B72" s="50" t="s">
        <v>62</v>
      </c>
      <c r="C72" s="56" t="s">
        <v>113</v>
      </c>
      <c r="D72" s="56"/>
      <c r="E72" s="7">
        <v>1</v>
      </c>
      <c r="F72" s="42" t="s">
        <v>55</v>
      </c>
      <c r="G72" s="8"/>
      <c r="H72" s="8"/>
      <c r="I72" s="8">
        <f t="shared" ref="I72" si="8">G72+H72</f>
        <v>0</v>
      </c>
      <c r="J72" s="47">
        <f t="shared" ref="J72" si="9">I72*E72</f>
        <v>0</v>
      </c>
    </row>
    <row r="73" spans="1:10" x14ac:dyDescent="0.25">
      <c r="A73" s="26"/>
      <c r="B73" s="49"/>
      <c r="C73" s="56" t="s">
        <v>54</v>
      </c>
      <c r="D73" s="56"/>
      <c r="E73" s="7"/>
      <c r="F73" s="42"/>
      <c r="G73" s="8"/>
      <c r="H73" s="8"/>
      <c r="I73" s="8"/>
      <c r="J73" s="47"/>
    </row>
    <row r="74" spans="1:10" x14ac:dyDescent="0.25">
      <c r="A74" s="26"/>
      <c r="B74" s="50" t="s">
        <v>63</v>
      </c>
      <c r="C74" s="56" t="s">
        <v>114</v>
      </c>
      <c r="D74" s="56"/>
      <c r="E74" s="7">
        <v>1</v>
      </c>
      <c r="F74" s="42" t="s">
        <v>55</v>
      </c>
      <c r="G74" s="8"/>
      <c r="H74" s="8"/>
      <c r="I74" s="8">
        <f t="shared" ref="I74" si="10">G74+H74</f>
        <v>0</v>
      </c>
      <c r="J74" s="47">
        <f t="shared" ref="J74" si="11">I74*E74</f>
        <v>0</v>
      </c>
    </row>
    <row r="75" spans="1:10" x14ac:dyDescent="0.25">
      <c r="A75" s="26"/>
      <c r="B75" s="49"/>
      <c r="C75" s="56" t="s">
        <v>37</v>
      </c>
      <c r="D75" s="56"/>
      <c r="E75" s="7"/>
      <c r="F75" s="42"/>
      <c r="G75" s="8"/>
      <c r="H75" s="8"/>
      <c r="I75" s="8"/>
      <c r="J75" s="47"/>
    </row>
    <row r="76" spans="1:10" x14ac:dyDescent="0.25">
      <c r="A76" s="26"/>
      <c r="B76" s="50" t="s">
        <v>64</v>
      </c>
      <c r="C76" s="56" t="s">
        <v>115</v>
      </c>
      <c r="D76" s="56"/>
      <c r="E76" s="7">
        <v>1</v>
      </c>
      <c r="F76" s="42" t="s">
        <v>55</v>
      </c>
      <c r="G76" s="8"/>
      <c r="H76" s="8"/>
      <c r="I76" s="8">
        <f t="shared" ref="I76" si="12">G76+H76</f>
        <v>0</v>
      </c>
      <c r="J76" s="47">
        <f t="shared" ref="J76" si="13">I76*E76</f>
        <v>0</v>
      </c>
    </row>
    <row r="77" spans="1:10" x14ac:dyDescent="0.25">
      <c r="A77" s="26"/>
      <c r="B77" s="49"/>
      <c r="C77" s="56" t="s">
        <v>37</v>
      </c>
      <c r="D77" s="56"/>
      <c r="E77" s="7"/>
      <c r="F77" s="42"/>
      <c r="G77" s="8"/>
      <c r="H77" s="8"/>
      <c r="I77" s="8"/>
      <c r="J77" s="47"/>
    </row>
    <row r="78" spans="1:10" x14ac:dyDescent="0.25">
      <c r="A78" s="26"/>
      <c r="B78" s="50" t="s">
        <v>65</v>
      </c>
      <c r="C78" s="56" t="s">
        <v>116</v>
      </c>
      <c r="D78" s="56"/>
      <c r="E78" s="7">
        <v>1</v>
      </c>
      <c r="F78" s="42" t="s">
        <v>55</v>
      </c>
      <c r="G78" s="8"/>
      <c r="H78" s="8"/>
      <c r="I78" s="8">
        <f t="shared" si="3"/>
        <v>0</v>
      </c>
      <c r="J78" s="47">
        <f t="shared" si="7"/>
        <v>0</v>
      </c>
    </row>
    <row r="79" spans="1:10" x14ac:dyDescent="0.25">
      <c r="A79" s="26"/>
      <c r="B79" s="49"/>
      <c r="C79" s="56" t="s">
        <v>37</v>
      </c>
      <c r="D79" s="56"/>
      <c r="E79" s="7"/>
      <c r="F79" s="42"/>
      <c r="G79" s="8"/>
      <c r="H79" s="8"/>
      <c r="I79" s="8"/>
      <c r="J79" s="47"/>
    </row>
    <row r="80" spans="1:10" x14ac:dyDescent="0.25">
      <c r="A80" s="26"/>
      <c r="B80" s="50" t="s">
        <v>66</v>
      </c>
      <c r="C80" s="56" t="s">
        <v>117</v>
      </c>
      <c r="D80" s="56"/>
      <c r="E80" s="7">
        <v>2</v>
      </c>
      <c r="F80" s="42" t="s">
        <v>28</v>
      </c>
      <c r="G80" s="8"/>
      <c r="H80" s="8"/>
      <c r="I80" s="8">
        <f t="shared" ref="I80" si="14">G80+H80</f>
        <v>0</v>
      </c>
      <c r="J80" s="47">
        <f t="shared" ref="J80" si="15">I80*E80</f>
        <v>0</v>
      </c>
    </row>
    <row r="81" spans="1:10" x14ac:dyDescent="0.25">
      <c r="A81" s="26"/>
      <c r="B81" s="49"/>
      <c r="C81" s="56" t="s">
        <v>38</v>
      </c>
      <c r="D81" s="56"/>
      <c r="E81" s="7"/>
      <c r="F81" s="40"/>
      <c r="G81" s="8"/>
      <c r="H81" s="8"/>
      <c r="I81" s="8"/>
      <c r="J81" s="47"/>
    </row>
    <row r="82" spans="1:10" x14ac:dyDescent="0.25">
      <c r="A82" s="26"/>
      <c r="B82" s="50" t="s">
        <v>67</v>
      </c>
      <c r="C82" s="31" t="s">
        <v>118</v>
      </c>
      <c r="D82" s="31"/>
      <c r="E82" s="7">
        <v>2</v>
      </c>
      <c r="F82" s="42" t="s">
        <v>28</v>
      </c>
      <c r="G82" s="8"/>
      <c r="H82" s="8"/>
      <c r="I82" s="8">
        <f t="shared" ref="I82" si="16">G82+H82</f>
        <v>0</v>
      </c>
      <c r="J82" s="47">
        <f t="shared" ref="J82" si="17">I82*E82</f>
        <v>0</v>
      </c>
    </row>
    <row r="83" spans="1:10" x14ac:dyDescent="0.25">
      <c r="A83" s="26"/>
      <c r="B83" s="49"/>
      <c r="C83" s="31" t="s">
        <v>51</v>
      </c>
      <c r="D83" s="31"/>
      <c r="E83" s="7"/>
      <c r="F83" s="40"/>
      <c r="G83" s="8"/>
      <c r="H83" s="8"/>
      <c r="I83" s="8"/>
      <c r="J83" s="47"/>
    </row>
    <row r="84" spans="1:10" x14ac:dyDescent="0.25">
      <c r="A84" s="26"/>
      <c r="B84" s="50" t="s">
        <v>68</v>
      </c>
      <c r="C84" s="31" t="s">
        <v>119</v>
      </c>
      <c r="D84" s="31"/>
      <c r="E84" s="7">
        <v>4</v>
      </c>
      <c r="F84" s="42" t="s">
        <v>28</v>
      </c>
      <c r="G84" s="8"/>
      <c r="H84" s="8"/>
      <c r="I84" s="8">
        <f t="shared" ref="I84" si="18">G84+H84</f>
        <v>0</v>
      </c>
      <c r="J84" s="47">
        <f t="shared" ref="J84" si="19">I84*E84</f>
        <v>0</v>
      </c>
    </row>
    <row r="85" spans="1:10" x14ac:dyDescent="0.25">
      <c r="A85" s="26"/>
      <c r="B85" s="49"/>
      <c r="C85" s="31" t="s">
        <v>38</v>
      </c>
      <c r="D85" s="31"/>
      <c r="E85" s="7"/>
      <c r="F85" s="40"/>
      <c r="G85" s="8"/>
      <c r="H85" s="8"/>
      <c r="I85" s="8"/>
      <c r="J85" s="47"/>
    </row>
    <row r="86" spans="1:10" x14ac:dyDescent="0.25">
      <c r="A86" s="26"/>
      <c r="B86" s="50" t="s">
        <v>69</v>
      </c>
      <c r="C86" s="31" t="s">
        <v>120</v>
      </c>
      <c r="D86" s="31"/>
      <c r="E86" s="7">
        <v>1</v>
      </c>
      <c r="F86" s="42" t="s">
        <v>55</v>
      </c>
      <c r="G86" s="8"/>
      <c r="H86" s="8"/>
      <c r="I86" s="8">
        <f t="shared" ref="I86" si="20">G86+H86</f>
        <v>0</v>
      </c>
      <c r="J86" s="47">
        <f t="shared" ref="J86" si="21">I86*E86</f>
        <v>0</v>
      </c>
    </row>
    <row r="87" spans="1:10" x14ac:dyDescent="0.25">
      <c r="A87" s="26"/>
      <c r="B87" s="49"/>
      <c r="C87" s="31" t="s">
        <v>51</v>
      </c>
      <c r="D87" s="31"/>
      <c r="E87" s="7"/>
      <c r="F87" s="40"/>
      <c r="G87" s="8"/>
      <c r="H87" s="8"/>
      <c r="I87" s="8"/>
      <c r="J87" s="47"/>
    </row>
    <row r="88" spans="1:10" x14ac:dyDescent="0.25">
      <c r="A88" s="26"/>
      <c r="B88" s="50" t="s">
        <v>70</v>
      </c>
      <c r="C88" s="31" t="s">
        <v>121</v>
      </c>
      <c r="D88" s="31"/>
      <c r="E88" s="7">
        <v>1</v>
      </c>
      <c r="F88" s="42" t="s">
        <v>55</v>
      </c>
      <c r="G88" s="8"/>
      <c r="H88" s="8"/>
      <c r="I88" s="8">
        <f t="shared" ref="I88" si="22">G88+H88</f>
        <v>0</v>
      </c>
      <c r="J88" s="47">
        <f t="shared" ref="J88" si="23">I88*E88</f>
        <v>0</v>
      </c>
    </row>
    <row r="89" spans="1:10" x14ac:dyDescent="0.25">
      <c r="A89" s="26"/>
      <c r="B89" s="49"/>
      <c r="C89" s="31" t="s">
        <v>54</v>
      </c>
      <c r="D89" s="31"/>
      <c r="E89" s="7"/>
      <c r="F89" s="42"/>
      <c r="G89" s="8"/>
      <c r="H89" s="8"/>
      <c r="I89" s="8"/>
      <c r="J89" s="47"/>
    </row>
    <row r="90" spans="1:10" x14ac:dyDescent="0.25">
      <c r="A90" s="26"/>
      <c r="B90" s="50" t="s">
        <v>71</v>
      </c>
      <c r="C90" s="31" t="s">
        <v>122</v>
      </c>
      <c r="D90" s="31"/>
      <c r="E90" s="7">
        <v>1</v>
      </c>
      <c r="F90" s="42" t="s">
        <v>55</v>
      </c>
      <c r="G90" s="8"/>
      <c r="H90" s="8"/>
      <c r="I90" s="8">
        <f t="shared" ref="I90" si="24">G90+H90</f>
        <v>0</v>
      </c>
      <c r="J90" s="47">
        <f t="shared" ref="J90" si="25">I90*E90</f>
        <v>0</v>
      </c>
    </row>
    <row r="91" spans="1:10" x14ac:dyDescent="0.25">
      <c r="A91" s="26"/>
      <c r="B91" s="49"/>
      <c r="C91" s="31" t="s">
        <v>37</v>
      </c>
      <c r="D91" s="31"/>
      <c r="E91" s="7"/>
      <c r="F91" s="42"/>
      <c r="G91" s="8"/>
      <c r="H91" s="8"/>
      <c r="I91" s="8"/>
      <c r="J91" s="47"/>
    </row>
    <row r="92" spans="1:10" x14ac:dyDescent="0.25">
      <c r="A92" s="26"/>
      <c r="B92" s="50" t="s">
        <v>72</v>
      </c>
      <c r="C92" s="31" t="s">
        <v>123</v>
      </c>
      <c r="D92" s="31"/>
      <c r="E92" s="7">
        <v>24</v>
      </c>
      <c r="F92" s="42" t="s">
        <v>28</v>
      </c>
      <c r="G92" s="8"/>
      <c r="H92" s="8"/>
      <c r="I92" s="8">
        <f t="shared" ref="I92" si="26">G92+H92</f>
        <v>0</v>
      </c>
      <c r="J92" s="47">
        <f t="shared" ref="J92" si="27">I92*E92</f>
        <v>0</v>
      </c>
    </row>
    <row r="93" spans="1:10" x14ac:dyDescent="0.25">
      <c r="A93" s="26"/>
      <c r="B93" s="49"/>
      <c r="C93" s="31" t="s">
        <v>52</v>
      </c>
      <c r="D93" s="31"/>
      <c r="E93" s="7"/>
      <c r="F93" s="40"/>
      <c r="G93" s="8"/>
      <c r="H93" s="8"/>
      <c r="I93" s="8"/>
      <c r="J93" s="47"/>
    </row>
    <row r="94" spans="1:10" x14ac:dyDescent="0.25">
      <c r="A94" s="26"/>
      <c r="B94" s="49"/>
      <c r="C94" s="31" t="s">
        <v>58</v>
      </c>
      <c r="D94" s="31"/>
      <c r="E94" s="7"/>
      <c r="F94" s="40"/>
      <c r="G94" s="8"/>
      <c r="H94" s="8"/>
      <c r="I94" s="8"/>
      <c r="J94" s="47"/>
    </row>
    <row r="95" spans="1:10" x14ac:dyDescent="0.25">
      <c r="A95" s="26"/>
      <c r="B95" s="50" t="s">
        <v>73</v>
      </c>
      <c r="C95" s="31" t="s">
        <v>124</v>
      </c>
      <c r="D95" s="31"/>
      <c r="E95" s="7">
        <v>1</v>
      </c>
      <c r="F95" s="42" t="s">
        <v>55</v>
      </c>
      <c r="G95" s="8"/>
      <c r="H95" s="8"/>
      <c r="I95" s="8">
        <f t="shared" ref="I95" si="28">G95+H95</f>
        <v>0</v>
      </c>
      <c r="J95" s="47">
        <f t="shared" ref="J95" si="29">I95*E95</f>
        <v>0</v>
      </c>
    </row>
    <row r="96" spans="1:10" x14ac:dyDescent="0.25">
      <c r="A96" s="26"/>
      <c r="B96" s="49"/>
      <c r="C96" s="31" t="s">
        <v>53</v>
      </c>
      <c r="D96" s="31"/>
      <c r="E96" s="7"/>
      <c r="F96" s="40"/>
      <c r="G96" s="8"/>
      <c r="H96" s="8"/>
      <c r="I96" s="8"/>
      <c r="J96" s="47"/>
    </row>
    <row r="97" spans="1:10" x14ac:dyDescent="0.25">
      <c r="A97" s="26"/>
      <c r="B97" s="49"/>
      <c r="C97" s="31" t="s">
        <v>59</v>
      </c>
      <c r="D97" s="31"/>
      <c r="E97" s="7"/>
      <c r="F97" s="40"/>
      <c r="G97" s="8"/>
      <c r="H97" s="8"/>
      <c r="I97" s="8"/>
      <c r="J97" s="47"/>
    </row>
    <row r="98" spans="1:10" x14ac:dyDescent="0.25">
      <c r="A98" s="26"/>
      <c r="B98" s="50" t="s">
        <v>74</v>
      </c>
      <c r="C98" s="31" t="s">
        <v>125</v>
      </c>
      <c r="D98" s="31"/>
      <c r="E98" s="7">
        <v>1</v>
      </c>
      <c r="F98" s="42" t="s">
        <v>55</v>
      </c>
      <c r="G98" s="8"/>
      <c r="H98" s="8"/>
      <c r="I98" s="8">
        <f t="shared" ref="I98" si="30">G98+H98</f>
        <v>0</v>
      </c>
      <c r="J98" s="47">
        <f t="shared" ref="J98" si="31">I98*E98</f>
        <v>0</v>
      </c>
    </row>
    <row r="99" spans="1:10" x14ac:dyDescent="0.25">
      <c r="A99" s="26"/>
      <c r="B99" s="49"/>
      <c r="C99" s="31" t="s">
        <v>54</v>
      </c>
      <c r="D99" s="31"/>
      <c r="E99" s="7"/>
      <c r="F99" s="40"/>
      <c r="G99" s="8"/>
      <c r="H99" s="8"/>
      <c r="I99" s="8"/>
      <c r="J99" s="47"/>
    </row>
    <row r="100" spans="1:10" x14ac:dyDescent="0.25">
      <c r="A100" s="26"/>
      <c r="B100" s="50" t="s">
        <v>75</v>
      </c>
      <c r="C100" s="31" t="s">
        <v>126</v>
      </c>
      <c r="D100" s="31"/>
      <c r="E100" s="7">
        <v>1</v>
      </c>
      <c r="F100" s="42" t="s">
        <v>55</v>
      </c>
      <c r="G100" s="8"/>
      <c r="H100" s="8"/>
      <c r="I100" s="8">
        <f t="shared" ref="I100" si="32">G100+H100</f>
        <v>0</v>
      </c>
      <c r="J100" s="47">
        <f t="shared" ref="J100" si="33">I100*E100</f>
        <v>0</v>
      </c>
    </row>
    <row r="101" spans="1:10" x14ac:dyDescent="0.25">
      <c r="A101" s="26"/>
      <c r="B101" s="49"/>
      <c r="C101" s="31" t="s">
        <v>54</v>
      </c>
      <c r="D101" s="31"/>
      <c r="E101" s="7"/>
      <c r="F101" s="40"/>
      <c r="G101" s="8"/>
      <c r="H101" s="8"/>
      <c r="I101" s="8"/>
      <c r="J101" s="47"/>
    </row>
    <row r="102" spans="1:10" x14ac:dyDescent="0.25">
      <c r="A102" s="26"/>
      <c r="B102" s="50" t="s">
        <v>76</v>
      </c>
      <c r="C102" s="31" t="s">
        <v>127</v>
      </c>
      <c r="D102" s="31"/>
      <c r="E102" s="7">
        <v>1</v>
      </c>
      <c r="F102" s="42" t="s">
        <v>55</v>
      </c>
      <c r="G102" s="8"/>
      <c r="H102" s="8"/>
      <c r="I102" s="8">
        <f t="shared" ref="I102" si="34">G102+H102</f>
        <v>0</v>
      </c>
      <c r="J102" s="47">
        <f t="shared" ref="J102" si="35">I102*E102</f>
        <v>0</v>
      </c>
    </row>
    <row r="103" spans="1:10" x14ac:dyDescent="0.25">
      <c r="A103" s="26"/>
      <c r="B103" s="49"/>
      <c r="C103" s="31" t="s">
        <v>54</v>
      </c>
      <c r="D103" s="31"/>
      <c r="E103" s="7"/>
      <c r="F103" s="40"/>
      <c r="G103" s="8"/>
      <c r="H103" s="8"/>
      <c r="I103" s="8"/>
      <c r="J103" s="47"/>
    </row>
    <row r="104" spans="1:10" x14ac:dyDescent="0.25">
      <c r="A104" s="26"/>
      <c r="B104" s="50" t="s">
        <v>77</v>
      </c>
      <c r="C104" s="31" t="s">
        <v>128</v>
      </c>
      <c r="D104" s="31"/>
      <c r="E104" s="7">
        <v>1</v>
      </c>
      <c r="F104" s="42" t="s">
        <v>55</v>
      </c>
      <c r="G104" s="8"/>
      <c r="H104" s="8"/>
      <c r="I104" s="8">
        <f t="shared" ref="I104" si="36">G104+H104</f>
        <v>0</v>
      </c>
      <c r="J104" s="47">
        <f t="shared" ref="J104" si="37">I104*E104</f>
        <v>0</v>
      </c>
    </row>
    <row r="105" spans="1:10" x14ac:dyDescent="0.25">
      <c r="A105" s="26"/>
      <c r="B105" s="49"/>
      <c r="C105" s="31" t="s">
        <v>54</v>
      </c>
      <c r="D105" s="31"/>
      <c r="E105" s="7"/>
      <c r="F105" s="40"/>
      <c r="G105" s="8"/>
      <c r="H105" s="8"/>
      <c r="I105" s="8"/>
      <c r="J105" s="47"/>
    </row>
    <row r="106" spans="1:10" x14ac:dyDescent="0.25">
      <c r="A106" s="26"/>
      <c r="B106" s="27"/>
      <c r="C106" s="39"/>
      <c r="D106" s="39"/>
      <c r="E106" s="7"/>
      <c r="F106" s="40"/>
      <c r="G106" s="8"/>
      <c r="H106" s="8"/>
      <c r="I106" s="8"/>
      <c r="J106" s="47"/>
    </row>
    <row r="107" spans="1:10" x14ac:dyDescent="0.25">
      <c r="A107" s="26"/>
      <c r="B107" s="29" t="s">
        <v>29</v>
      </c>
      <c r="C107" s="39"/>
      <c r="D107" s="39"/>
      <c r="E107" s="7"/>
      <c r="F107" s="40"/>
      <c r="G107" s="8"/>
      <c r="H107" s="8"/>
      <c r="I107" s="8"/>
      <c r="J107" s="47"/>
    </row>
    <row r="108" spans="1:10" x14ac:dyDescent="0.25">
      <c r="A108" s="26"/>
      <c r="B108" s="29"/>
      <c r="C108" s="39"/>
      <c r="D108" s="39"/>
      <c r="E108" s="7"/>
      <c r="F108" s="40"/>
      <c r="G108" s="8"/>
      <c r="H108" s="8"/>
      <c r="I108" s="8"/>
      <c r="J108" s="47"/>
    </row>
    <row r="109" spans="1:10" x14ac:dyDescent="0.25">
      <c r="A109" s="26"/>
      <c r="B109" s="27"/>
      <c r="C109" s="55" t="s">
        <v>30</v>
      </c>
      <c r="D109" s="55"/>
      <c r="E109" s="7"/>
      <c r="F109" s="40"/>
      <c r="G109" s="8"/>
      <c r="H109" s="8"/>
      <c r="I109" s="8"/>
      <c r="J109" s="47"/>
    </row>
    <row r="110" spans="1:10" x14ac:dyDescent="0.25">
      <c r="A110" s="26"/>
      <c r="B110" s="50" t="s">
        <v>62</v>
      </c>
      <c r="C110" s="31" t="s">
        <v>31</v>
      </c>
      <c r="D110" s="31"/>
      <c r="E110" s="7">
        <v>108.9481</v>
      </c>
      <c r="F110" s="25" t="s">
        <v>16</v>
      </c>
      <c r="G110" s="8"/>
      <c r="H110" s="8"/>
      <c r="I110" s="8">
        <f t="shared" ref="I110:I113" si="38">G110+H110</f>
        <v>0</v>
      </c>
      <c r="J110" s="47">
        <f t="shared" ref="J110:J113" si="39">I110*E110</f>
        <v>0</v>
      </c>
    </row>
    <row r="111" spans="1:10" x14ac:dyDescent="0.25">
      <c r="A111" s="26"/>
      <c r="B111" s="50" t="s">
        <v>63</v>
      </c>
      <c r="C111" s="31" t="s">
        <v>32</v>
      </c>
      <c r="D111" s="31"/>
      <c r="E111" s="7">
        <v>129.977</v>
      </c>
      <c r="F111" s="25" t="s">
        <v>16</v>
      </c>
      <c r="G111" s="8"/>
      <c r="H111" s="8"/>
      <c r="I111" s="8">
        <f t="shared" si="38"/>
        <v>0</v>
      </c>
      <c r="J111" s="47">
        <f t="shared" si="39"/>
        <v>0</v>
      </c>
    </row>
    <row r="112" spans="1:10" x14ac:dyDescent="0.25">
      <c r="A112" s="26"/>
      <c r="B112" s="50" t="s">
        <v>64</v>
      </c>
      <c r="C112" s="31" t="s">
        <v>33</v>
      </c>
      <c r="D112" s="31"/>
      <c r="E112" s="7">
        <v>110.97920000000001</v>
      </c>
      <c r="F112" s="25" t="s">
        <v>16</v>
      </c>
      <c r="G112" s="8"/>
      <c r="H112" s="8"/>
      <c r="I112" s="8">
        <f t="shared" si="38"/>
        <v>0</v>
      </c>
      <c r="J112" s="47">
        <f t="shared" si="39"/>
        <v>0</v>
      </c>
    </row>
    <row r="113" spans="1:10" x14ac:dyDescent="0.25">
      <c r="A113" s="26"/>
      <c r="B113" s="50" t="s">
        <v>65</v>
      </c>
      <c r="C113" s="31" t="s">
        <v>34</v>
      </c>
      <c r="D113" s="31"/>
      <c r="E113" s="7">
        <v>214.71709999999999</v>
      </c>
      <c r="F113" s="25" t="s">
        <v>16</v>
      </c>
      <c r="G113" s="8"/>
      <c r="H113" s="8"/>
      <c r="I113" s="8">
        <f t="shared" si="38"/>
        <v>0</v>
      </c>
      <c r="J113" s="47">
        <f t="shared" si="39"/>
        <v>0</v>
      </c>
    </row>
    <row r="114" spans="1:10" x14ac:dyDescent="0.25">
      <c r="A114" s="26"/>
      <c r="B114" s="49"/>
      <c r="C114" s="39"/>
      <c r="D114" s="39"/>
      <c r="E114" s="7"/>
      <c r="F114" s="40"/>
      <c r="G114" s="8"/>
      <c r="H114" s="8"/>
      <c r="I114" s="8"/>
      <c r="J114" s="47"/>
    </row>
    <row r="115" spans="1:10" x14ac:dyDescent="0.25">
      <c r="A115" s="26"/>
      <c r="B115" s="49"/>
      <c r="C115" s="55" t="s">
        <v>35</v>
      </c>
      <c r="D115" s="55"/>
      <c r="E115" s="7"/>
      <c r="F115" s="40"/>
      <c r="G115" s="8"/>
      <c r="H115" s="8"/>
      <c r="I115" s="8"/>
      <c r="J115" s="47"/>
    </row>
    <row r="116" spans="1:10" x14ac:dyDescent="0.25">
      <c r="A116" s="26"/>
      <c r="B116" s="50" t="s">
        <v>62</v>
      </c>
      <c r="C116" s="31" t="s">
        <v>60</v>
      </c>
      <c r="D116" s="31"/>
      <c r="E116" s="7">
        <v>858.23</v>
      </c>
      <c r="F116" s="25" t="s">
        <v>16</v>
      </c>
      <c r="G116" s="8"/>
      <c r="H116" s="8"/>
      <c r="I116" s="8">
        <f t="shared" ref="I116:I118" si="40">G116+H116</f>
        <v>0</v>
      </c>
      <c r="J116" s="47">
        <f t="shared" ref="J116:J118" si="41">I116*E116</f>
        <v>0</v>
      </c>
    </row>
    <row r="117" spans="1:10" x14ac:dyDescent="0.25">
      <c r="A117" s="26"/>
      <c r="B117" s="50" t="s">
        <v>63</v>
      </c>
      <c r="C117" s="31" t="s">
        <v>61</v>
      </c>
      <c r="D117" s="31"/>
      <c r="E117" s="7">
        <v>668.46</v>
      </c>
      <c r="F117" s="25" t="s">
        <v>16</v>
      </c>
      <c r="G117" s="8"/>
      <c r="H117" s="8"/>
      <c r="I117" s="8">
        <f t="shared" si="40"/>
        <v>0</v>
      </c>
      <c r="J117" s="47">
        <f t="shared" si="41"/>
        <v>0</v>
      </c>
    </row>
    <row r="118" spans="1:10" x14ac:dyDescent="0.25">
      <c r="A118" s="26"/>
      <c r="B118" s="50" t="s">
        <v>64</v>
      </c>
      <c r="C118" s="31" t="s">
        <v>36</v>
      </c>
      <c r="D118" s="31"/>
      <c r="E118" s="7">
        <v>223.74</v>
      </c>
      <c r="F118" s="25" t="s">
        <v>16</v>
      </c>
      <c r="G118" s="8"/>
      <c r="H118" s="8"/>
      <c r="I118" s="8">
        <f t="shared" si="40"/>
        <v>0</v>
      </c>
      <c r="J118" s="47">
        <f t="shared" si="41"/>
        <v>0</v>
      </c>
    </row>
    <row r="119" spans="1:10" x14ac:dyDescent="0.25">
      <c r="A119" s="26"/>
      <c r="B119" s="27"/>
      <c r="C119" s="39"/>
      <c r="D119" s="39"/>
      <c r="E119" s="7"/>
      <c r="F119" s="40"/>
      <c r="G119" s="8"/>
      <c r="H119" s="8"/>
      <c r="I119" s="8"/>
      <c r="J119" s="47"/>
    </row>
    <row r="120" spans="1:10" x14ac:dyDescent="0.25">
      <c r="A120" s="26"/>
      <c r="B120" s="860" t="s">
        <v>166</v>
      </c>
      <c r="C120" s="861"/>
      <c r="D120" s="39"/>
      <c r="E120" s="7"/>
      <c r="F120" s="40"/>
      <c r="G120" s="8"/>
      <c r="H120" s="8"/>
      <c r="I120" s="8"/>
      <c r="J120" s="47"/>
    </row>
    <row r="121" spans="1:10" x14ac:dyDescent="0.25">
      <c r="A121" s="26"/>
      <c r="B121" s="50"/>
      <c r="C121" s="31"/>
      <c r="D121" s="31"/>
      <c r="E121" s="7"/>
      <c r="F121" s="25"/>
      <c r="G121" s="8"/>
      <c r="H121" s="8"/>
      <c r="I121" s="8">
        <f t="shared" ref="I121:I123" si="42">G121+H121</f>
        <v>0</v>
      </c>
      <c r="J121" s="47">
        <f t="shared" ref="J121:J123" si="43">I121*E121</f>
        <v>0</v>
      </c>
    </row>
    <row r="122" spans="1:10" x14ac:dyDescent="0.25">
      <c r="A122" s="26"/>
      <c r="B122" s="50"/>
      <c r="C122" s="31"/>
      <c r="D122" s="31"/>
      <c r="E122" s="7"/>
      <c r="F122" s="25"/>
      <c r="G122" s="8"/>
      <c r="H122" s="8"/>
      <c r="I122" s="8">
        <f t="shared" si="42"/>
        <v>0</v>
      </c>
      <c r="J122" s="47">
        <f t="shared" si="43"/>
        <v>0</v>
      </c>
    </row>
    <row r="123" spans="1:10" x14ac:dyDescent="0.25">
      <c r="A123" s="26"/>
      <c r="B123" s="50"/>
      <c r="C123" s="31"/>
      <c r="D123" s="31"/>
      <c r="E123" s="7"/>
      <c r="F123" s="25"/>
      <c r="G123" s="8"/>
      <c r="H123" s="8"/>
      <c r="I123" s="8">
        <f t="shared" si="42"/>
        <v>0</v>
      </c>
      <c r="J123" s="47">
        <f t="shared" si="43"/>
        <v>0</v>
      </c>
    </row>
    <row r="124" spans="1:10" x14ac:dyDescent="0.25">
      <c r="A124" s="26"/>
      <c r="B124" s="27"/>
      <c r="C124" s="31"/>
      <c r="D124" s="31"/>
      <c r="E124" s="7"/>
      <c r="F124" s="25"/>
      <c r="G124" s="8"/>
      <c r="H124" s="8"/>
      <c r="I124" s="8"/>
      <c r="J124" s="47"/>
    </row>
    <row r="125" spans="1:10" ht="15.75" thickBot="1" x14ac:dyDescent="0.3">
      <c r="A125" s="26"/>
      <c r="B125" s="27"/>
      <c r="C125" s="39"/>
      <c r="D125" s="39"/>
      <c r="E125" s="7"/>
      <c r="F125" s="40"/>
      <c r="G125" s="6"/>
      <c r="H125" s="4"/>
      <c r="I125" s="4"/>
      <c r="J125" s="47"/>
    </row>
    <row r="126" spans="1:10" s="27" customFormat="1" ht="15.75" thickBot="1" x14ac:dyDescent="0.3">
      <c r="A126" s="33"/>
      <c r="B126" s="34" t="s">
        <v>78</v>
      </c>
      <c r="C126" s="34"/>
      <c r="D126" s="34"/>
      <c r="E126" s="9"/>
      <c r="F126" s="35"/>
      <c r="G126" s="10"/>
      <c r="H126" s="10"/>
      <c r="I126" s="10"/>
      <c r="J126" s="11">
        <f>SUM(J21:J123)</f>
        <v>0</v>
      </c>
    </row>
    <row r="127" spans="1:10" s="27" customFormat="1" x14ac:dyDescent="0.25">
      <c r="A127" s="38"/>
      <c r="B127" s="29"/>
      <c r="C127" s="29"/>
      <c r="D127" s="29"/>
      <c r="E127" s="12"/>
      <c r="F127" s="48"/>
      <c r="G127" s="13"/>
      <c r="H127" s="13"/>
      <c r="I127" s="13"/>
      <c r="J127" s="14"/>
    </row>
    <row r="128" spans="1:10" s="27" customFormat="1" x14ac:dyDescent="0.25">
      <c r="A128" s="38"/>
      <c r="B128" s="29"/>
      <c r="C128" s="29"/>
      <c r="D128" s="29"/>
      <c r="E128" s="12"/>
      <c r="F128" s="48"/>
      <c r="G128" s="13"/>
      <c r="H128" s="13"/>
      <c r="I128" s="13"/>
      <c r="J128" s="14"/>
    </row>
    <row r="129" spans="1:10" s="27" customFormat="1" x14ac:dyDescent="0.25">
      <c r="A129" s="38"/>
      <c r="B129" s="29"/>
      <c r="C129" s="29"/>
      <c r="D129" s="29"/>
      <c r="E129" s="12"/>
      <c r="F129" s="48"/>
      <c r="G129" s="13"/>
      <c r="H129" s="13"/>
      <c r="I129" s="13"/>
      <c r="J129" s="14"/>
    </row>
    <row r="130" spans="1:10" s="27" customFormat="1" x14ac:dyDescent="0.25">
      <c r="A130" s="38"/>
      <c r="B130" s="29"/>
      <c r="C130" s="29"/>
      <c r="D130" s="29"/>
      <c r="E130" s="12"/>
      <c r="F130" s="48"/>
      <c r="G130" s="13"/>
      <c r="H130" s="13"/>
      <c r="I130" s="13"/>
      <c r="J130" s="14"/>
    </row>
    <row r="131" spans="1:10" s="27" customFormat="1" x14ac:dyDescent="0.25">
      <c r="A131" s="38"/>
      <c r="B131" s="29"/>
      <c r="C131" s="29"/>
      <c r="D131" s="29"/>
      <c r="E131" s="12"/>
      <c r="F131" s="48"/>
      <c r="G131" s="13"/>
      <c r="H131" s="13"/>
      <c r="I131" s="13"/>
      <c r="J131" s="14"/>
    </row>
    <row r="132" spans="1:10" s="27" customFormat="1" x14ac:dyDescent="0.25">
      <c r="A132" s="38"/>
      <c r="B132" s="29"/>
      <c r="C132" s="29"/>
      <c r="D132" s="29"/>
      <c r="E132" s="12"/>
      <c r="F132" s="48"/>
      <c r="G132" s="13"/>
      <c r="H132" s="13"/>
      <c r="I132" s="13"/>
      <c r="J132" s="14"/>
    </row>
    <row r="133" spans="1:10" s="27" customFormat="1" x14ac:dyDescent="0.25">
      <c r="A133" s="38"/>
      <c r="B133" s="29"/>
      <c r="C133" s="29"/>
      <c r="D133" s="29"/>
      <c r="E133" s="12"/>
      <c r="F133" s="48"/>
      <c r="G133" s="13"/>
      <c r="H133" s="13"/>
      <c r="I133" s="13"/>
      <c r="J133" s="14"/>
    </row>
    <row r="134" spans="1:10" s="27" customFormat="1" ht="15.75" thickBot="1" x14ac:dyDescent="0.3">
      <c r="A134" s="38"/>
      <c r="B134" s="29"/>
      <c r="C134" s="29"/>
      <c r="D134" s="29"/>
      <c r="E134" s="12"/>
      <c r="F134" s="41"/>
      <c r="G134" s="13"/>
      <c r="H134" s="13"/>
      <c r="I134" s="13"/>
      <c r="J134" s="14"/>
    </row>
    <row r="135" spans="1:10" s="27" customFormat="1" ht="15.75" thickBot="1" x14ac:dyDescent="0.3">
      <c r="A135" s="33" t="s">
        <v>12</v>
      </c>
      <c r="B135" s="34"/>
      <c r="C135" s="34"/>
      <c r="D135" s="34"/>
      <c r="E135" s="9"/>
      <c r="F135" s="35"/>
      <c r="G135" s="10"/>
      <c r="H135" s="10"/>
      <c r="I135" s="10"/>
      <c r="J135" s="11" t="e">
        <f>J126+#REF!+#REF!+#REF!+#REF!+#REF!</f>
        <v>#REF!</v>
      </c>
    </row>
    <row r="136" spans="1:10" ht="15.75" thickBot="1" x14ac:dyDescent="0.3">
      <c r="A136" s="33" t="s">
        <v>13</v>
      </c>
      <c r="B136" s="34"/>
      <c r="C136" s="34"/>
      <c r="D136" s="34"/>
      <c r="E136" s="9"/>
      <c r="F136" s="35"/>
      <c r="G136" s="10"/>
      <c r="H136" s="10"/>
      <c r="I136" s="10"/>
      <c r="J136" s="11" t="e">
        <f>#REF!+#REF!+#REF!+#REF!</f>
        <v>#REF!</v>
      </c>
    </row>
    <row r="137" spans="1:10" ht="15.75" thickBot="1" x14ac:dyDescent="0.3">
      <c r="A137" s="38"/>
      <c r="B137" s="29"/>
      <c r="C137" s="29"/>
      <c r="D137" s="29"/>
      <c r="E137" s="12"/>
      <c r="F137" s="41"/>
      <c r="G137" s="13"/>
      <c r="H137" s="13"/>
      <c r="I137" s="13"/>
      <c r="J137" s="14"/>
    </row>
    <row r="138" spans="1:10" ht="19.5" thickBot="1" x14ac:dyDescent="0.35">
      <c r="A138" s="43" t="s">
        <v>14</v>
      </c>
      <c r="B138" s="44"/>
      <c r="C138" s="44"/>
      <c r="D138" s="44"/>
      <c r="E138" s="15"/>
      <c r="F138" s="45"/>
      <c r="G138" s="16"/>
      <c r="H138" s="16"/>
      <c r="I138" s="16"/>
      <c r="J138" s="17" t="e">
        <f>J136+#REF!+J135+J17</f>
        <v>#REF!</v>
      </c>
    </row>
    <row r="144" spans="1:10" ht="15.75" x14ac:dyDescent="0.25">
      <c r="A144" s="28" t="s">
        <v>18</v>
      </c>
      <c r="B144" s="28"/>
      <c r="C144" s="28"/>
      <c r="D144" s="28"/>
    </row>
    <row r="145" spans="1:4" ht="15.75" x14ac:dyDescent="0.25">
      <c r="A145" s="28"/>
      <c r="B145" s="28"/>
      <c r="C145" s="46"/>
      <c r="D145" s="46"/>
    </row>
    <row r="146" spans="1:4" ht="15.75" x14ac:dyDescent="0.25">
      <c r="A146" s="28" t="s">
        <v>19</v>
      </c>
      <c r="B146" s="28"/>
      <c r="C146" s="28"/>
      <c r="D146" s="28"/>
    </row>
    <row r="147" spans="1:4" ht="15.75" x14ac:dyDescent="0.25">
      <c r="A147" s="28"/>
      <c r="B147" s="28"/>
      <c r="C147" s="28"/>
      <c r="D147" s="28"/>
    </row>
    <row r="148" spans="1:4" ht="15.75" x14ac:dyDescent="0.25">
      <c r="A148" s="28"/>
      <c r="B148" s="28"/>
      <c r="C148" s="28"/>
      <c r="D148" s="28"/>
    </row>
    <row r="149" spans="1:4" ht="15.75" x14ac:dyDescent="0.25">
      <c r="A149" s="28" t="s">
        <v>20</v>
      </c>
      <c r="B149" s="28"/>
      <c r="C149" s="28"/>
      <c r="D149" s="28"/>
    </row>
    <row r="150" spans="1:4" ht="15.75" x14ac:dyDescent="0.25">
      <c r="A150" s="28" t="s">
        <v>21</v>
      </c>
      <c r="B150" s="28"/>
      <c r="C150" s="28"/>
      <c r="D150" s="28"/>
    </row>
  </sheetData>
  <mergeCells count="8">
    <mergeCell ref="B120:C120"/>
    <mergeCell ref="J14:J15"/>
    <mergeCell ref="A14:B15"/>
    <mergeCell ref="C14:C15"/>
    <mergeCell ref="E14:E15"/>
    <mergeCell ref="F14:F15"/>
    <mergeCell ref="G14:I14"/>
    <mergeCell ref="D14:D15"/>
  </mergeCells>
  <pageMargins left="0.7" right="0.7" top="0.75" bottom="0.75" header="0.3" footer="0.3"/>
  <pageSetup paperSize="197" scale="5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AU301"/>
  <sheetViews>
    <sheetView showGridLines="0" view="pageBreakPreview" topLeftCell="A219" zoomScale="80" zoomScaleNormal="85" zoomScaleSheetLayoutView="80" workbookViewId="0">
      <selection activeCell="P142" sqref="P142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hidden="1" customWidth="1" outlineLevel="1"/>
    <col min="6" max="6" width="10.140625" style="91" customWidth="1" collapsed="1"/>
    <col min="7" max="7" width="9.28515625" style="19" customWidth="1"/>
    <col min="8" max="11" width="11.7109375" style="2" hidden="1" customWidth="1" outlineLevel="1"/>
    <col min="12" max="12" width="14.140625" style="2" hidden="1" customWidth="1" outlineLevel="1"/>
    <col min="13" max="13" width="14.28515625" style="1" customWidth="1" collapsed="1"/>
    <col min="14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3.42578125" style="1" customWidth="1"/>
    <col min="33" max="33" width="10.7109375" style="18" customWidth="1"/>
    <col min="34" max="34" width="13.140625" style="18" customWidth="1"/>
    <col min="35" max="41" width="9.140625" style="18"/>
    <col min="42" max="42" width="12" style="18" customWidth="1"/>
    <col min="43" max="43" width="9.140625" style="18"/>
    <col min="44" max="44" width="14.28515625" style="18" customWidth="1"/>
    <col min="45" max="45" width="11.7109375" style="18" customWidth="1"/>
    <col min="46" max="16384" width="9.140625" style="18"/>
  </cols>
  <sheetData>
    <row r="2" spans="1:44" s="28" customFormat="1" ht="15.75" x14ac:dyDescent="0.25">
      <c r="A2" s="236" t="s">
        <v>0</v>
      </c>
      <c r="B2" s="165" t="s">
        <v>1</v>
      </c>
      <c r="C2" s="299"/>
      <c r="D2" s="435" t="s">
        <v>2</v>
      </c>
      <c r="E2" s="189"/>
      <c r="F2" s="324"/>
      <c r="G2" s="445"/>
      <c r="H2" s="327"/>
      <c r="I2" s="327"/>
      <c r="J2" s="327"/>
      <c r="K2" s="327"/>
      <c r="L2" s="327"/>
      <c r="M2" s="325"/>
      <c r="N2" s="325"/>
      <c r="O2" s="325"/>
      <c r="P2" s="325"/>
      <c r="Q2" s="325"/>
      <c r="R2" s="325"/>
      <c r="T2" s="325"/>
      <c r="AD2" s="325"/>
      <c r="AF2" s="325"/>
    </row>
    <row r="3" spans="1:44" s="28" customFormat="1" ht="15.75" x14ac:dyDescent="0.25">
      <c r="A3" s="236" t="s">
        <v>3</v>
      </c>
      <c r="B3" s="165" t="s">
        <v>1</v>
      </c>
      <c r="C3" s="299"/>
      <c r="D3" s="28" t="s">
        <v>17</v>
      </c>
      <c r="E3" s="189"/>
      <c r="F3" s="324"/>
      <c r="G3" s="236"/>
      <c r="H3" s="327"/>
      <c r="I3" s="327"/>
      <c r="J3" s="327"/>
      <c r="K3" s="327"/>
      <c r="L3" s="327"/>
      <c r="M3" s="325"/>
      <c r="N3" s="325"/>
      <c r="O3" s="325"/>
      <c r="P3" s="325"/>
      <c r="Q3" s="325"/>
      <c r="R3" s="325"/>
      <c r="T3" s="325"/>
      <c r="AD3" s="325"/>
      <c r="AF3" s="325"/>
    </row>
    <row r="4" spans="1:44" s="28" customFormat="1" ht="15.75" x14ac:dyDescent="0.25">
      <c r="A4" s="236" t="s">
        <v>22</v>
      </c>
      <c r="B4" s="165" t="s">
        <v>1</v>
      </c>
      <c r="C4" s="299"/>
      <c r="D4" s="334" t="s">
        <v>471</v>
      </c>
      <c r="E4" s="189"/>
      <c r="F4" s="324"/>
      <c r="G4" s="236"/>
      <c r="H4" s="327"/>
      <c r="I4" s="327"/>
      <c r="J4" s="327"/>
      <c r="K4" s="327"/>
      <c r="L4" s="327"/>
      <c r="M4" s="325"/>
      <c r="N4" s="325"/>
      <c r="O4" s="325"/>
      <c r="P4" s="325"/>
      <c r="Q4" s="325"/>
      <c r="R4" s="325"/>
      <c r="T4" s="325"/>
      <c r="AD4" s="325"/>
      <c r="AF4" s="325"/>
    </row>
    <row r="5" spans="1:44" s="28" customFormat="1" ht="15.75" x14ac:dyDescent="0.25">
      <c r="A5" s="236" t="s">
        <v>24</v>
      </c>
      <c r="B5" s="165" t="s">
        <v>1</v>
      </c>
      <c r="C5" s="299"/>
      <c r="D5" s="436">
        <f ca="1">NOW()</f>
        <v>42072.462732870372</v>
      </c>
      <c r="E5" s="326"/>
      <c r="F5" s="324"/>
      <c r="G5" s="236"/>
      <c r="H5" s="327"/>
      <c r="I5" s="327"/>
      <c r="J5" s="327"/>
      <c r="K5" s="327"/>
      <c r="L5" s="327"/>
      <c r="M5" s="325"/>
      <c r="N5" s="325"/>
      <c r="O5" s="325"/>
      <c r="P5" s="325"/>
      <c r="Q5" s="325"/>
      <c r="R5" s="325"/>
      <c r="T5" s="325"/>
      <c r="AD5" s="325"/>
      <c r="AF5" s="325"/>
    </row>
    <row r="6" spans="1:44" ht="15.75" x14ac:dyDescent="0.25">
      <c r="A6" s="235"/>
      <c r="D6" s="21"/>
      <c r="E6" s="181"/>
      <c r="AL6" s="288" t="s">
        <v>317</v>
      </c>
      <c r="AM6" s="227"/>
      <c r="AN6" s="228"/>
      <c r="AO6" s="228"/>
      <c r="AP6" s="232">
        <f>11500000*0.3</f>
        <v>3450000</v>
      </c>
      <c r="AQ6" s="228"/>
      <c r="AR6" s="227"/>
    </row>
    <row r="7" spans="1:44" x14ac:dyDescent="0.25">
      <c r="A7" s="235"/>
      <c r="D7" s="21"/>
      <c r="E7" s="181"/>
      <c r="T7" s="224"/>
      <c r="U7" s="273"/>
      <c r="V7" s="273"/>
      <c r="AD7" s="224"/>
      <c r="AE7" s="273"/>
      <c r="AF7" s="224"/>
      <c r="AG7" s="273"/>
      <c r="AH7" s="273"/>
      <c r="AI7" s="273"/>
      <c r="AJ7" s="273"/>
      <c r="AK7" s="273"/>
      <c r="AL7" s="227" t="s">
        <v>310</v>
      </c>
      <c r="AM7" s="227"/>
      <c r="AN7" s="228"/>
      <c r="AO7" s="228"/>
      <c r="AP7" s="228"/>
      <c r="AQ7" s="228"/>
      <c r="AR7" s="229">
        <f>AP6*0.006</f>
        <v>20700</v>
      </c>
    </row>
    <row r="8" spans="1:44" ht="15.75" thickBot="1" x14ac:dyDescent="0.3">
      <c r="T8" s="224"/>
      <c r="U8" s="273"/>
      <c r="V8" s="273"/>
      <c r="AK8" s="273"/>
      <c r="AL8" s="227" t="s">
        <v>312</v>
      </c>
      <c r="AM8" s="227"/>
      <c r="AN8" s="228"/>
      <c r="AO8" s="228"/>
      <c r="AP8" s="228"/>
      <c r="AQ8" s="228"/>
      <c r="AR8" s="229">
        <f>(AR7*0.125)+30</f>
        <v>2617.5</v>
      </c>
    </row>
    <row r="9" spans="1:44" s="19" customFormat="1" x14ac:dyDescent="0.25">
      <c r="A9" s="906" t="s">
        <v>4</v>
      </c>
      <c r="B9" s="864" t="s">
        <v>7</v>
      </c>
      <c r="C9" s="908"/>
      <c r="D9" s="865"/>
      <c r="E9" s="915" t="s">
        <v>81</v>
      </c>
      <c r="F9" s="917" t="s">
        <v>6</v>
      </c>
      <c r="G9" s="868" t="s">
        <v>5</v>
      </c>
      <c r="H9" s="870" t="s">
        <v>174</v>
      </c>
      <c r="I9" s="870" t="s">
        <v>175</v>
      </c>
      <c r="J9" s="870" t="s">
        <v>176</v>
      </c>
      <c r="K9" s="870" t="s">
        <v>177</v>
      </c>
      <c r="L9" s="870" t="s">
        <v>178</v>
      </c>
      <c r="M9" s="872" t="s">
        <v>8</v>
      </c>
      <c r="N9" s="873"/>
      <c r="O9" s="874"/>
      <c r="P9" s="919" t="s">
        <v>11</v>
      </c>
      <c r="Q9" s="2"/>
      <c r="R9" s="2"/>
      <c r="T9" s="441"/>
      <c r="U9" s="274"/>
      <c r="V9" s="274"/>
      <c r="AK9" s="274"/>
      <c r="AL9" s="227" t="s">
        <v>314</v>
      </c>
      <c r="AM9" s="227"/>
      <c r="AN9" s="228"/>
      <c r="AO9" s="228"/>
      <c r="AP9" s="228"/>
      <c r="AQ9" s="228"/>
      <c r="AR9" s="229">
        <f>AR7*0.12</f>
        <v>2484</v>
      </c>
    </row>
    <row r="10" spans="1:44" s="19" customFormat="1" ht="15.75" thickBot="1" x14ac:dyDescent="0.3">
      <c r="A10" s="907"/>
      <c r="B10" s="866"/>
      <c r="C10" s="909"/>
      <c r="D10" s="867"/>
      <c r="E10" s="916"/>
      <c r="F10" s="918"/>
      <c r="G10" s="869"/>
      <c r="H10" s="871"/>
      <c r="I10" s="871"/>
      <c r="J10" s="871"/>
      <c r="K10" s="871"/>
      <c r="L10" s="871"/>
      <c r="M10" s="54" t="s">
        <v>9</v>
      </c>
      <c r="N10" s="54" t="s">
        <v>10</v>
      </c>
      <c r="O10" s="54" t="s">
        <v>230</v>
      </c>
      <c r="P10" s="920"/>
      <c r="Q10" s="2"/>
      <c r="R10" s="2"/>
      <c r="T10" s="441"/>
      <c r="U10" s="274"/>
      <c r="V10" s="274"/>
      <c r="AK10" s="274"/>
      <c r="AL10" s="227" t="s">
        <v>299</v>
      </c>
      <c r="AM10" s="227"/>
      <c r="AN10" s="228"/>
      <c r="AO10" s="228"/>
      <c r="AP10" s="228"/>
      <c r="AQ10" s="228"/>
      <c r="AR10" s="229">
        <f>AR7*0.002</f>
        <v>41.4</v>
      </c>
    </row>
    <row r="11" spans="1:44" s="225" customFormat="1" ht="15.75" x14ac:dyDescent="0.25">
      <c r="A11" s="692" t="s">
        <v>80</v>
      </c>
      <c r="B11" s="693" t="s">
        <v>315</v>
      </c>
      <c r="C11" s="694"/>
      <c r="D11" s="516"/>
      <c r="E11" s="185"/>
      <c r="F11" s="302"/>
      <c r="G11" s="695"/>
      <c r="H11" s="76"/>
      <c r="I11" s="76"/>
      <c r="J11" s="76"/>
      <c r="K11" s="76"/>
      <c r="L11" s="76"/>
      <c r="M11" s="76"/>
      <c r="N11" s="76"/>
      <c r="O11" s="76"/>
      <c r="P11" s="205"/>
      <c r="Q11" s="224"/>
      <c r="R11" s="224"/>
      <c r="T11" s="224"/>
      <c r="U11" s="275"/>
      <c r="V11" s="276"/>
      <c r="AK11" s="278"/>
      <c r="AL11" s="285" t="s">
        <v>302</v>
      </c>
      <c r="AM11" s="285"/>
      <c r="AN11" s="286"/>
      <c r="AO11" s="286"/>
      <c r="AP11" s="286"/>
      <c r="AQ11" s="286"/>
      <c r="AR11" s="127">
        <v>200</v>
      </c>
    </row>
    <row r="12" spans="1:44" s="225" customFormat="1" x14ac:dyDescent="0.25">
      <c r="A12" s="263"/>
      <c r="B12" s="261"/>
      <c r="C12" s="318">
        <v>1</v>
      </c>
      <c r="D12" s="516" t="s">
        <v>300</v>
      </c>
      <c r="E12" s="71">
        <v>1</v>
      </c>
      <c r="F12" s="302">
        <v>1</v>
      </c>
      <c r="G12" s="262" t="s">
        <v>301</v>
      </c>
      <c r="H12" s="72">
        <v>10000</v>
      </c>
      <c r="I12" s="72">
        <f>H12*F12</f>
        <v>10000</v>
      </c>
      <c r="J12" s="72">
        <v>10000</v>
      </c>
      <c r="K12" s="72">
        <f>J12*F12</f>
        <v>10000</v>
      </c>
      <c r="L12" s="72">
        <f>I12+K12</f>
        <v>20000</v>
      </c>
      <c r="M12" s="74">
        <f t="shared" ref="M12:M28" si="0">H12/$P$252*$P$260</f>
        <v>13901.75046976364</v>
      </c>
      <c r="N12" s="74">
        <f t="shared" ref="N12:N28" si="1">J12/$P$252*$P$260</f>
        <v>13901.75046976364</v>
      </c>
      <c r="O12" s="72">
        <f t="shared" ref="O12:O28" si="2">N12+M12</f>
        <v>27803.500939527279</v>
      </c>
      <c r="P12" s="205">
        <f t="shared" ref="P12:P28" si="3">O12*F12</f>
        <v>27803.500939527279</v>
      </c>
      <c r="Q12" s="272">
        <f t="shared" ref="Q12:Q28" si="4">L12/$P$252*$P$260</f>
        <v>27803.500939527279</v>
      </c>
      <c r="R12" s="439">
        <f t="shared" ref="R12:R31" si="5">P12-Q12</f>
        <v>0</v>
      </c>
      <c r="S12" s="230"/>
      <c r="T12" s="439"/>
      <c r="U12" s="275"/>
      <c r="V12" s="276"/>
      <c r="AK12" s="278"/>
      <c r="AL12" s="285" t="s">
        <v>304</v>
      </c>
      <c r="AM12" s="285"/>
      <c r="AN12" s="286"/>
      <c r="AO12" s="286"/>
      <c r="AP12" s="286"/>
      <c r="AQ12" s="286"/>
      <c r="AR12" s="690">
        <f>SUM(AR7:AR11)</f>
        <v>26042.9</v>
      </c>
    </row>
    <row r="13" spans="1:44" s="225" customFormat="1" x14ac:dyDescent="0.25">
      <c r="A13" s="263"/>
      <c r="B13" s="261"/>
      <c r="C13" s="318">
        <v>2</v>
      </c>
      <c r="D13" s="516" t="s">
        <v>303</v>
      </c>
      <c r="E13" s="71">
        <v>1</v>
      </c>
      <c r="F13" s="302">
        <v>1</v>
      </c>
      <c r="G13" s="262" t="s">
        <v>301</v>
      </c>
      <c r="H13" s="72">
        <v>10000</v>
      </c>
      <c r="I13" s="72">
        <f t="shared" ref="I13:I28" si="6">H13*F13</f>
        <v>10000</v>
      </c>
      <c r="J13" s="72">
        <v>8000</v>
      </c>
      <c r="K13" s="72">
        <f t="shared" ref="K13:K28" si="7">J13*F13</f>
        <v>8000</v>
      </c>
      <c r="L13" s="72">
        <f t="shared" ref="L13:L28" si="8">I13+K13</f>
        <v>18000</v>
      </c>
      <c r="M13" s="74">
        <f t="shared" si="0"/>
        <v>13901.75046976364</v>
      </c>
      <c r="N13" s="74">
        <f t="shared" si="1"/>
        <v>11121.400375810912</v>
      </c>
      <c r="O13" s="72">
        <f t="shared" si="2"/>
        <v>25023.15084557455</v>
      </c>
      <c r="P13" s="205">
        <f t="shared" si="3"/>
        <v>25023.15084557455</v>
      </c>
      <c r="Q13" s="272">
        <f t="shared" si="4"/>
        <v>25023.15084557455</v>
      </c>
      <c r="R13" s="439">
        <f t="shared" si="5"/>
        <v>0</v>
      </c>
      <c r="S13" s="230"/>
      <c r="T13" s="439"/>
      <c r="U13" s="275"/>
      <c r="V13" s="276"/>
      <c r="AK13" s="279"/>
      <c r="AL13" s="285" t="s">
        <v>306</v>
      </c>
      <c r="AM13" s="285"/>
      <c r="AN13" s="286"/>
      <c r="AO13" s="286"/>
      <c r="AP13" s="286"/>
      <c r="AQ13" s="286"/>
      <c r="AR13" s="127"/>
    </row>
    <row r="14" spans="1:44" s="225" customFormat="1" x14ac:dyDescent="0.25">
      <c r="A14" s="263"/>
      <c r="B14" s="261"/>
      <c r="C14" s="318">
        <v>3</v>
      </c>
      <c r="D14" s="516" t="s">
        <v>305</v>
      </c>
      <c r="E14" s="71">
        <v>1</v>
      </c>
      <c r="F14" s="302">
        <v>1</v>
      </c>
      <c r="G14" s="262" t="s">
        <v>301</v>
      </c>
      <c r="H14" s="72">
        <v>5000</v>
      </c>
      <c r="I14" s="72">
        <f t="shared" si="6"/>
        <v>5000</v>
      </c>
      <c r="J14" s="72">
        <v>10000</v>
      </c>
      <c r="K14" s="72">
        <f t="shared" si="7"/>
        <v>10000</v>
      </c>
      <c r="L14" s="72">
        <f t="shared" si="8"/>
        <v>15000</v>
      </c>
      <c r="M14" s="74">
        <f t="shared" si="0"/>
        <v>6950.8752348818198</v>
      </c>
      <c r="N14" s="74">
        <f t="shared" si="1"/>
        <v>13901.75046976364</v>
      </c>
      <c r="O14" s="72">
        <f t="shared" si="2"/>
        <v>20852.625704645459</v>
      </c>
      <c r="P14" s="205">
        <f t="shared" si="3"/>
        <v>20852.625704645459</v>
      </c>
      <c r="Q14" s="272">
        <f t="shared" si="4"/>
        <v>20852.625704645459</v>
      </c>
      <c r="R14" s="439">
        <f t="shared" si="5"/>
        <v>0</v>
      </c>
      <c r="S14" s="230"/>
      <c r="T14" s="439"/>
      <c r="U14" s="275"/>
      <c r="V14" s="264"/>
      <c r="AK14" s="278"/>
      <c r="AL14" s="285"/>
      <c r="AM14" s="285"/>
      <c r="AN14" s="286"/>
      <c r="AO14" s="286"/>
      <c r="AP14" s="286"/>
      <c r="AQ14" s="286"/>
      <c r="AR14" s="127"/>
    </row>
    <row r="15" spans="1:44" s="225" customFormat="1" ht="15.75" x14ac:dyDescent="0.25">
      <c r="A15" s="263"/>
      <c r="B15" s="261"/>
      <c r="C15" s="318">
        <v>4</v>
      </c>
      <c r="D15" s="499" t="s">
        <v>504</v>
      </c>
      <c r="E15" s="71">
        <v>1</v>
      </c>
      <c r="F15" s="302">
        <v>1</v>
      </c>
      <c r="G15" s="262" t="s">
        <v>301</v>
      </c>
      <c r="H15" s="72"/>
      <c r="I15" s="72">
        <f t="shared" si="6"/>
        <v>0</v>
      </c>
      <c r="J15" s="74">
        <f>4*(24000+16000+16000)/1.05</f>
        <v>213333.33333333331</v>
      </c>
      <c r="K15" s="72">
        <f t="shared" si="7"/>
        <v>213333.33333333331</v>
      </c>
      <c r="L15" s="72">
        <f t="shared" si="8"/>
        <v>213333.33333333331</v>
      </c>
      <c r="M15" s="74">
        <f t="shared" si="0"/>
        <v>0</v>
      </c>
      <c r="N15" s="74">
        <f t="shared" si="1"/>
        <v>296570.67668829102</v>
      </c>
      <c r="O15" s="72">
        <f t="shared" si="2"/>
        <v>296570.67668829102</v>
      </c>
      <c r="P15" s="205">
        <f t="shared" si="3"/>
        <v>296570.67668829102</v>
      </c>
      <c r="Q15" s="272">
        <f t="shared" si="4"/>
        <v>296570.67668829102</v>
      </c>
      <c r="R15" s="439">
        <f t="shared" si="5"/>
        <v>0</v>
      </c>
      <c r="S15" s="230"/>
      <c r="T15" s="439"/>
      <c r="U15" s="275"/>
      <c r="V15" s="280"/>
      <c r="AK15" s="278"/>
      <c r="AL15" s="696" t="s">
        <v>308</v>
      </c>
      <c r="AM15" s="285"/>
      <c r="AN15" s="286"/>
      <c r="AO15" s="286"/>
      <c r="AP15" s="697">
        <f>11500000*0.3</f>
        <v>3450000</v>
      </c>
      <c r="AQ15" s="286"/>
      <c r="AR15" s="127"/>
    </row>
    <row r="16" spans="1:44" s="225" customFormat="1" x14ac:dyDescent="0.25">
      <c r="A16" s="263"/>
      <c r="B16" s="261"/>
      <c r="C16" s="318">
        <v>5</v>
      </c>
      <c r="D16" s="516" t="s">
        <v>307</v>
      </c>
      <c r="E16" s="71">
        <v>1</v>
      </c>
      <c r="F16" s="302">
        <v>1</v>
      </c>
      <c r="G16" s="262" t="s">
        <v>301</v>
      </c>
      <c r="H16" s="72">
        <f>(AR12+AR21+AR28)/1.07</f>
        <v>66771.471962616823</v>
      </c>
      <c r="I16" s="72">
        <f t="shared" si="6"/>
        <v>66771.471962616823</v>
      </c>
      <c r="J16" s="72">
        <v>2500</v>
      </c>
      <c r="K16" s="72">
        <f t="shared" si="7"/>
        <v>2500</v>
      </c>
      <c r="L16" s="72">
        <f t="shared" si="8"/>
        <v>69271.471962616823</v>
      </c>
      <c r="M16" s="74">
        <f t="shared" si="0"/>
        <v>92824.034172311818</v>
      </c>
      <c r="N16" s="74">
        <f t="shared" si="1"/>
        <v>3475.4376174409099</v>
      </c>
      <c r="O16" s="72">
        <f t="shared" si="2"/>
        <v>96299.47178975273</v>
      </c>
      <c r="P16" s="205">
        <f t="shared" si="3"/>
        <v>96299.47178975273</v>
      </c>
      <c r="Q16" s="272">
        <f t="shared" si="4"/>
        <v>96299.47178975273</v>
      </c>
      <c r="R16" s="439">
        <f t="shared" si="5"/>
        <v>0</v>
      </c>
      <c r="S16" s="230"/>
      <c r="T16" s="439"/>
      <c r="U16" s="275"/>
      <c r="V16" s="281"/>
      <c r="AK16" s="278"/>
      <c r="AL16" s="285" t="s">
        <v>310</v>
      </c>
      <c r="AM16" s="285"/>
      <c r="AN16" s="286"/>
      <c r="AO16" s="286"/>
      <c r="AP16" s="286"/>
      <c r="AQ16" s="286"/>
      <c r="AR16" s="127">
        <f>AP15*0.0055</f>
        <v>18975</v>
      </c>
    </row>
    <row r="17" spans="1:44" s="225" customFormat="1" x14ac:dyDescent="0.25">
      <c r="A17" s="263"/>
      <c r="B17" s="261"/>
      <c r="C17" s="318">
        <v>6</v>
      </c>
      <c r="D17" s="499" t="s">
        <v>505</v>
      </c>
      <c r="E17" s="71">
        <v>1</v>
      </c>
      <c r="F17" s="302">
        <v>1</v>
      </c>
      <c r="G17" s="262" t="s">
        <v>301</v>
      </c>
      <c r="H17" s="72">
        <v>35000</v>
      </c>
      <c r="I17" s="72">
        <f t="shared" si="6"/>
        <v>35000</v>
      </c>
      <c r="J17" s="72">
        <v>5000</v>
      </c>
      <c r="K17" s="72">
        <f t="shared" si="7"/>
        <v>5000</v>
      </c>
      <c r="L17" s="72">
        <f t="shared" si="8"/>
        <v>40000</v>
      </c>
      <c r="M17" s="74">
        <f t="shared" si="0"/>
        <v>48656.126644172742</v>
      </c>
      <c r="N17" s="74">
        <f t="shared" si="1"/>
        <v>6950.8752348818198</v>
      </c>
      <c r="O17" s="72">
        <f t="shared" si="2"/>
        <v>55607.001879054558</v>
      </c>
      <c r="P17" s="205">
        <f t="shared" si="3"/>
        <v>55607.001879054558</v>
      </c>
      <c r="Q17" s="272">
        <f t="shared" si="4"/>
        <v>55607.001879054558</v>
      </c>
      <c r="R17" s="439">
        <f t="shared" si="5"/>
        <v>0</v>
      </c>
      <c r="S17" s="230"/>
      <c r="T17" s="442"/>
      <c r="U17" s="275"/>
      <c r="V17" s="276"/>
      <c r="AK17" s="278"/>
      <c r="AL17" s="285" t="s">
        <v>312</v>
      </c>
      <c r="AM17" s="285"/>
      <c r="AN17" s="286"/>
      <c r="AO17" s="286"/>
      <c r="AP17" s="286"/>
      <c r="AQ17" s="286"/>
      <c r="AR17" s="127">
        <f>(AR16*0.125)+30</f>
        <v>2401.875</v>
      </c>
    </row>
    <row r="18" spans="1:44" s="225" customFormat="1" x14ac:dyDescent="0.25">
      <c r="A18" s="263"/>
      <c r="B18" s="261"/>
      <c r="C18" s="318">
        <v>7</v>
      </c>
      <c r="D18" s="499" t="s">
        <v>488</v>
      </c>
      <c r="E18" s="71">
        <v>1</v>
      </c>
      <c r="F18" s="302">
        <v>1</v>
      </c>
      <c r="G18" s="262" t="s">
        <v>301</v>
      </c>
      <c r="H18" s="72">
        <f>135*800</f>
        <v>108000</v>
      </c>
      <c r="I18" s="72">
        <f t="shared" si="6"/>
        <v>108000</v>
      </c>
      <c r="J18" s="72"/>
      <c r="K18" s="72">
        <f t="shared" si="7"/>
        <v>0</v>
      </c>
      <c r="L18" s="72">
        <f t="shared" si="8"/>
        <v>108000</v>
      </c>
      <c r="M18" s="74">
        <f t="shared" si="0"/>
        <v>150138.90507344733</v>
      </c>
      <c r="N18" s="74">
        <f t="shared" si="1"/>
        <v>0</v>
      </c>
      <c r="O18" s="72">
        <f t="shared" si="2"/>
        <v>150138.90507344733</v>
      </c>
      <c r="P18" s="205">
        <f t="shared" si="3"/>
        <v>150138.90507344733</v>
      </c>
      <c r="Q18" s="272">
        <f t="shared" si="4"/>
        <v>150138.90507344733</v>
      </c>
      <c r="R18" s="439">
        <f t="shared" si="5"/>
        <v>0</v>
      </c>
      <c r="S18" s="230"/>
      <c r="T18" s="442"/>
      <c r="U18" s="275"/>
      <c r="V18" s="276"/>
      <c r="AK18" s="278"/>
      <c r="AL18" s="285" t="s">
        <v>314</v>
      </c>
      <c r="AM18" s="285"/>
      <c r="AN18" s="286"/>
      <c r="AO18" s="286"/>
      <c r="AP18" s="286"/>
      <c r="AQ18" s="286"/>
      <c r="AR18" s="127">
        <f>AR16*0.12</f>
        <v>2277</v>
      </c>
    </row>
    <row r="19" spans="1:44" s="225" customFormat="1" x14ac:dyDescent="0.25">
      <c r="A19" s="263"/>
      <c r="B19" s="261"/>
      <c r="C19" s="318">
        <v>8</v>
      </c>
      <c r="D19" s="516" t="s">
        <v>309</v>
      </c>
      <c r="E19" s="71">
        <v>1</v>
      </c>
      <c r="F19" s="302">
        <v>1</v>
      </c>
      <c r="G19" s="262" t="s">
        <v>301</v>
      </c>
      <c r="H19" s="72"/>
      <c r="I19" s="72">
        <f t="shared" si="6"/>
        <v>0</v>
      </c>
      <c r="J19" s="72"/>
      <c r="K19" s="72">
        <f t="shared" si="7"/>
        <v>0</v>
      </c>
      <c r="L19" s="72">
        <f t="shared" si="8"/>
        <v>0</v>
      </c>
      <c r="M19" s="74">
        <f t="shared" si="0"/>
        <v>0</v>
      </c>
      <c r="N19" s="74">
        <f t="shared" si="1"/>
        <v>0</v>
      </c>
      <c r="O19" s="72">
        <f t="shared" si="2"/>
        <v>0</v>
      </c>
      <c r="P19" s="205">
        <f t="shared" si="3"/>
        <v>0</v>
      </c>
      <c r="Q19" s="272">
        <f t="shared" si="4"/>
        <v>0</v>
      </c>
      <c r="R19" s="439">
        <f t="shared" si="5"/>
        <v>0</v>
      </c>
      <c r="S19" s="230"/>
      <c r="T19" s="442"/>
      <c r="U19" s="275"/>
      <c r="V19" s="276"/>
      <c r="AK19" s="278"/>
      <c r="AL19" s="285" t="s">
        <v>299</v>
      </c>
      <c r="AM19" s="285"/>
      <c r="AN19" s="286"/>
      <c r="AO19" s="286"/>
      <c r="AP19" s="286"/>
      <c r="AQ19" s="286"/>
      <c r="AR19" s="127">
        <f>AR16*0.002</f>
        <v>37.950000000000003</v>
      </c>
    </row>
    <row r="20" spans="1:44" s="225" customFormat="1" x14ac:dyDescent="0.25">
      <c r="A20" s="263"/>
      <c r="B20" s="261"/>
      <c r="C20" s="318">
        <v>9</v>
      </c>
      <c r="D20" s="499" t="s">
        <v>499</v>
      </c>
      <c r="E20" s="71">
        <f>(60*10)+(60*12)</f>
        <v>1320</v>
      </c>
      <c r="F20" s="71">
        <f>(60*10)+(60*12)</f>
        <v>1320</v>
      </c>
      <c r="G20" s="262" t="s">
        <v>506</v>
      </c>
      <c r="H20" s="72">
        <f>155+47*5</f>
        <v>390</v>
      </c>
      <c r="I20" s="72">
        <f t="shared" si="6"/>
        <v>514800</v>
      </c>
      <c r="J20" s="72">
        <v>76</v>
      </c>
      <c r="K20" s="72">
        <f t="shared" si="7"/>
        <v>100320</v>
      </c>
      <c r="L20" s="72">
        <f t="shared" si="8"/>
        <v>615120</v>
      </c>
      <c r="M20" s="74">
        <f t="shared" si="0"/>
        <v>542.16826832078198</v>
      </c>
      <c r="N20" s="74">
        <f t="shared" si="1"/>
        <v>105.65330357020368</v>
      </c>
      <c r="O20" s="72">
        <f t="shared" si="2"/>
        <v>647.82157189098564</v>
      </c>
      <c r="P20" s="205">
        <f t="shared" si="3"/>
        <v>855124.47489610105</v>
      </c>
      <c r="Q20" s="272">
        <f t="shared" si="4"/>
        <v>855124.47489610105</v>
      </c>
      <c r="R20" s="439">
        <f t="shared" si="5"/>
        <v>0</v>
      </c>
      <c r="S20" s="230"/>
      <c r="T20" s="442"/>
      <c r="U20" s="275"/>
      <c r="V20" s="276"/>
      <c r="AK20" s="278"/>
      <c r="AL20" s="285" t="s">
        <v>302</v>
      </c>
      <c r="AM20" s="285"/>
      <c r="AN20" s="286"/>
      <c r="AO20" s="286"/>
      <c r="AP20" s="286"/>
      <c r="AQ20" s="286"/>
      <c r="AR20" s="127">
        <v>200</v>
      </c>
    </row>
    <row r="21" spans="1:44" s="225" customFormat="1" x14ac:dyDescent="0.25">
      <c r="A21" s="263"/>
      <c r="B21" s="261"/>
      <c r="C21" s="318">
        <v>10</v>
      </c>
      <c r="D21" s="499" t="s">
        <v>500</v>
      </c>
      <c r="E21" s="71">
        <v>1</v>
      </c>
      <c r="F21" s="302">
        <v>1</v>
      </c>
      <c r="G21" s="262" t="s">
        <v>301</v>
      </c>
      <c r="H21" s="72">
        <f>4*12000/1.03</f>
        <v>46601.941747572811</v>
      </c>
      <c r="I21" s="72">
        <f t="shared" si="6"/>
        <v>46601.941747572811</v>
      </c>
      <c r="J21" s="72">
        <v>4000</v>
      </c>
      <c r="K21" s="72">
        <f t="shared" si="7"/>
        <v>4000</v>
      </c>
      <c r="L21" s="72">
        <f t="shared" si="8"/>
        <v>50601.941747572811</v>
      </c>
      <c r="M21" s="74">
        <f t="shared" si="0"/>
        <v>64784.856558121814</v>
      </c>
      <c r="N21" s="74">
        <f t="shared" si="1"/>
        <v>5560.700187905456</v>
      </c>
      <c r="O21" s="72">
        <f t="shared" si="2"/>
        <v>70345.556746027272</v>
      </c>
      <c r="P21" s="205">
        <f t="shared" si="3"/>
        <v>70345.556746027272</v>
      </c>
      <c r="Q21" s="272">
        <f t="shared" si="4"/>
        <v>70345.556746027272</v>
      </c>
      <c r="R21" s="439">
        <f t="shared" si="5"/>
        <v>0</v>
      </c>
      <c r="S21" s="230"/>
      <c r="T21" s="442"/>
      <c r="U21" s="275"/>
      <c r="V21" s="276"/>
      <c r="AK21" s="278"/>
      <c r="AL21" s="285" t="s">
        <v>304</v>
      </c>
      <c r="AM21" s="285"/>
      <c r="AN21" s="286"/>
      <c r="AO21" s="286"/>
      <c r="AP21" s="286"/>
      <c r="AQ21" s="286"/>
      <c r="AR21" s="690">
        <f>SUM(AR15:AR20)</f>
        <v>23891.825000000001</v>
      </c>
    </row>
    <row r="22" spans="1:44" s="225" customFormat="1" x14ac:dyDescent="0.25">
      <c r="A22" s="698"/>
      <c r="B22" s="699"/>
      <c r="C22" s="318">
        <v>11</v>
      </c>
      <c r="D22" s="516" t="s">
        <v>311</v>
      </c>
      <c r="E22" s="71">
        <v>1</v>
      </c>
      <c r="F22" s="302">
        <v>1</v>
      </c>
      <c r="G22" s="262" t="s">
        <v>301</v>
      </c>
      <c r="H22" s="72"/>
      <c r="I22" s="72">
        <f t="shared" si="6"/>
        <v>0</v>
      </c>
      <c r="J22" s="72"/>
      <c r="K22" s="72">
        <f t="shared" si="7"/>
        <v>0</v>
      </c>
      <c r="L22" s="72">
        <f t="shared" si="8"/>
        <v>0</v>
      </c>
      <c r="M22" s="74">
        <f t="shared" si="0"/>
        <v>0</v>
      </c>
      <c r="N22" s="74">
        <f t="shared" si="1"/>
        <v>0</v>
      </c>
      <c r="O22" s="72">
        <f t="shared" si="2"/>
        <v>0</v>
      </c>
      <c r="P22" s="205">
        <f t="shared" si="3"/>
        <v>0</v>
      </c>
      <c r="Q22" s="272">
        <f t="shared" si="4"/>
        <v>0</v>
      </c>
      <c r="R22" s="439">
        <f t="shared" si="5"/>
        <v>0</v>
      </c>
      <c r="T22" s="224"/>
      <c r="U22" s="275"/>
      <c r="V22" s="276"/>
      <c r="AK22" s="278"/>
      <c r="AL22" s="285"/>
      <c r="AM22" s="285"/>
      <c r="AN22" s="286"/>
      <c r="AO22" s="286"/>
      <c r="AP22" s="286"/>
      <c r="AQ22" s="286"/>
      <c r="AR22" s="127"/>
    </row>
    <row r="23" spans="1:44" s="225" customFormat="1" ht="15.75" x14ac:dyDescent="0.25">
      <c r="A23" s="698"/>
      <c r="B23" s="699"/>
      <c r="C23" s="318">
        <v>12</v>
      </c>
      <c r="D23" s="516" t="s">
        <v>313</v>
      </c>
      <c r="E23" s="71">
        <v>1</v>
      </c>
      <c r="F23" s="302">
        <v>1</v>
      </c>
      <c r="G23" s="262" t="s">
        <v>301</v>
      </c>
      <c r="H23" s="72">
        <v>10000</v>
      </c>
      <c r="I23" s="72">
        <f t="shared" si="6"/>
        <v>10000</v>
      </c>
      <c r="J23" s="72">
        <v>15000</v>
      </c>
      <c r="K23" s="72">
        <f t="shared" si="7"/>
        <v>15000</v>
      </c>
      <c r="L23" s="72">
        <f t="shared" si="8"/>
        <v>25000</v>
      </c>
      <c r="M23" s="74">
        <f t="shared" si="0"/>
        <v>13901.75046976364</v>
      </c>
      <c r="N23" s="74">
        <f t="shared" si="1"/>
        <v>20852.625704645459</v>
      </c>
      <c r="O23" s="72">
        <f t="shared" si="2"/>
        <v>34754.376174409103</v>
      </c>
      <c r="P23" s="205">
        <f t="shared" si="3"/>
        <v>34754.376174409103</v>
      </c>
      <c r="Q23" s="272">
        <f t="shared" si="4"/>
        <v>34754.376174409103</v>
      </c>
      <c r="R23" s="439">
        <f t="shared" si="5"/>
        <v>0</v>
      </c>
      <c r="T23" s="224"/>
      <c r="U23" s="275"/>
      <c r="V23" s="276"/>
      <c r="AK23" s="278"/>
      <c r="AL23" s="700" t="s">
        <v>318</v>
      </c>
      <c r="AM23" s="285"/>
      <c r="AN23" s="286"/>
      <c r="AO23" s="286"/>
      <c r="AP23" s="697">
        <f>11500000</f>
        <v>11500000</v>
      </c>
      <c r="AQ23" s="286"/>
      <c r="AR23" s="127"/>
    </row>
    <row r="24" spans="1:44" s="225" customFormat="1" x14ac:dyDescent="0.25">
      <c r="A24" s="263"/>
      <c r="B24" s="261"/>
      <c r="C24" s="318">
        <v>13</v>
      </c>
      <c r="D24" s="499" t="s">
        <v>497</v>
      </c>
      <c r="E24" s="71">
        <v>1</v>
      </c>
      <c r="F24" s="302">
        <v>1</v>
      </c>
      <c r="G24" s="262" t="s">
        <v>301</v>
      </c>
      <c r="H24" s="72">
        <v>45000</v>
      </c>
      <c r="I24" s="72">
        <f t="shared" si="6"/>
        <v>45000</v>
      </c>
      <c r="J24" s="72"/>
      <c r="K24" s="72">
        <f t="shared" si="7"/>
        <v>0</v>
      </c>
      <c r="L24" s="72">
        <f t="shared" si="8"/>
        <v>45000</v>
      </c>
      <c r="M24" s="74">
        <f t="shared" si="0"/>
        <v>62557.877113936382</v>
      </c>
      <c r="N24" s="74">
        <f t="shared" si="1"/>
        <v>0</v>
      </c>
      <c r="O24" s="72">
        <f t="shared" si="2"/>
        <v>62557.877113936382</v>
      </c>
      <c r="P24" s="205">
        <f t="shared" si="3"/>
        <v>62557.877113936382</v>
      </c>
      <c r="Q24" s="272">
        <f t="shared" si="4"/>
        <v>62557.877113936382</v>
      </c>
      <c r="R24" s="439">
        <f t="shared" si="5"/>
        <v>0</v>
      </c>
      <c r="S24" s="230"/>
      <c r="T24" s="439"/>
      <c r="U24" s="275"/>
      <c r="V24" s="281"/>
      <c r="AK24" s="278"/>
      <c r="AL24" s="285" t="s">
        <v>310</v>
      </c>
      <c r="AM24" s="285"/>
      <c r="AN24" s="286"/>
      <c r="AO24" s="286"/>
      <c r="AP24" s="286"/>
      <c r="AQ24" s="286"/>
      <c r="AR24" s="127">
        <f>AP23*0.0015</f>
        <v>17250</v>
      </c>
    </row>
    <row r="25" spans="1:44" s="225" customFormat="1" x14ac:dyDescent="0.25">
      <c r="A25" s="263"/>
      <c r="B25" s="261"/>
      <c r="C25" s="318">
        <v>14</v>
      </c>
      <c r="D25" s="499" t="s">
        <v>498</v>
      </c>
      <c r="E25" s="71">
        <v>1</v>
      </c>
      <c r="F25" s="302">
        <v>1</v>
      </c>
      <c r="G25" s="262" t="s">
        <v>301</v>
      </c>
      <c r="H25" s="484">
        <f>4*8500/1.05</f>
        <v>32380.952380952378</v>
      </c>
      <c r="I25" s="72">
        <f t="shared" si="6"/>
        <v>32380.952380952378</v>
      </c>
      <c r="J25" s="72">
        <v>2000</v>
      </c>
      <c r="K25" s="72">
        <f t="shared" si="7"/>
        <v>2000</v>
      </c>
      <c r="L25" s="72">
        <f t="shared" si="8"/>
        <v>34380.952380952382</v>
      </c>
      <c r="M25" s="74">
        <f t="shared" si="0"/>
        <v>45015.191997329879</v>
      </c>
      <c r="N25" s="74">
        <f t="shared" si="1"/>
        <v>2780.350093952728</v>
      </c>
      <c r="O25" s="72">
        <f t="shared" si="2"/>
        <v>47795.542091282608</v>
      </c>
      <c r="P25" s="205">
        <f t="shared" si="3"/>
        <v>47795.542091282608</v>
      </c>
      <c r="Q25" s="272">
        <f t="shared" si="4"/>
        <v>47795.542091282608</v>
      </c>
      <c r="R25" s="439">
        <f t="shared" si="5"/>
        <v>0</v>
      </c>
      <c r="S25" s="230"/>
      <c r="T25" s="442"/>
      <c r="U25" s="275"/>
      <c r="V25" s="276"/>
      <c r="AK25" s="278"/>
      <c r="AL25" s="285" t="s">
        <v>312</v>
      </c>
      <c r="AM25" s="285"/>
      <c r="AN25" s="286"/>
      <c r="AO25" s="286"/>
      <c r="AP25" s="286"/>
      <c r="AQ25" s="286"/>
      <c r="AR25" s="127">
        <f>AR24*0.125</f>
        <v>2156.25</v>
      </c>
    </row>
    <row r="26" spans="1:44" s="225" customFormat="1" x14ac:dyDescent="0.25">
      <c r="A26" s="698"/>
      <c r="B26" s="699"/>
      <c r="C26" s="318">
        <v>15</v>
      </c>
      <c r="D26" s="499" t="s">
        <v>501</v>
      </c>
      <c r="E26" s="71">
        <v>1</v>
      </c>
      <c r="F26" s="302">
        <v>1</v>
      </c>
      <c r="G26" s="262" t="s">
        <v>301</v>
      </c>
      <c r="H26" s="483">
        <f>(4*14000/1.03+20000/1.03)*0.7</f>
        <v>51650.485436893199</v>
      </c>
      <c r="I26" s="72">
        <f t="shared" si="6"/>
        <v>51650.485436893199</v>
      </c>
      <c r="J26" s="483">
        <f>(4*14000/1.03+20000/1.03)*0.3</f>
        <v>22135.922330097088</v>
      </c>
      <c r="K26" s="72">
        <f t="shared" si="7"/>
        <v>22135.922330097088</v>
      </c>
      <c r="L26" s="72">
        <f t="shared" si="8"/>
        <v>73786.407766990291</v>
      </c>
      <c r="M26" s="74">
        <f t="shared" si="0"/>
        <v>71803.216018585008</v>
      </c>
      <c r="N26" s="74">
        <f t="shared" si="1"/>
        <v>30772.806865107865</v>
      </c>
      <c r="O26" s="72">
        <f t="shared" si="2"/>
        <v>102576.02288369287</v>
      </c>
      <c r="P26" s="205">
        <f t="shared" si="3"/>
        <v>102576.02288369287</v>
      </c>
      <c r="Q26" s="272">
        <f t="shared" si="4"/>
        <v>102576.02288369289</v>
      </c>
      <c r="R26" s="439">
        <f t="shared" si="5"/>
        <v>0</v>
      </c>
      <c r="T26" s="224"/>
      <c r="U26" s="275"/>
      <c r="V26" s="276"/>
      <c r="AK26" s="278"/>
      <c r="AL26" s="285" t="s">
        <v>314</v>
      </c>
      <c r="AM26" s="285"/>
      <c r="AN26" s="286"/>
      <c r="AO26" s="286"/>
      <c r="AP26" s="286"/>
      <c r="AQ26" s="286"/>
      <c r="AR26" s="127">
        <f>AR24*0.12</f>
        <v>2070</v>
      </c>
    </row>
    <row r="27" spans="1:44" s="225" customFormat="1" x14ac:dyDescent="0.25">
      <c r="A27" s="698"/>
      <c r="B27" s="699"/>
      <c r="C27" s="318">
        <v>16</v>
      </c>
      <c r="D27" s="499" t="s">
        <v>502</v>
      </c>
      <c r="E27" s="71">
        <v>1</v>
      </c>
      <c r="F27" s="302">
        <v>1</v>
      </c>
      <c r="G27" s="262" t="s">
        <v>301</v>
      </c>
      <c r="H27" s="72">
        <f>3000*5</f>
        <v>15000</v>
      </c>
      <c r="I27" s="72">
        <f t="shared" si="6"/>
        <v>15000</v>
      </c>
      <c r="J27" s="72">
        <f>1700*5</f>
        <v>8500</v>
      </c>
      <c r="K27" s="72">
        <f t="shared" si="7"/>
        <v>8500</v>
      </c>
      <c r="L27" s="72">
        <f t="shared" si="8"/>
        <v>23500</v>
      </c>
      <c r="M27" s="74">
        <f t="shared" si="0"/>
        <v>20852.625704645459</v>
      </c>
      <c r="N27" s="74">
        <f t="shared" si="1"/>
        <v>11816.487899299094</v>
      </c>
      <c r="O27" s="72">
        <f t="shared" si="2"/>
        <v>32669.113603944556</v>
      </c>
      <c r="P27" s="205">
        <f t="shared" si="3"/>
        <v>32669.113603944556</v>
      </c>
      <c r="Q27" s="272">
        <f t="shared" si="4"/>
        <v>32669.113603944556</v>
      </c>
      <c r="R27" s="439">
        <f t="shared" si="5"/>
        <v>0</v>
      </c>
      <c r="T27" s="224"/>
      <c r="U27" s="275"/>
      <c r="V27" s="276"/>
      <c r="AK27" s="278"/>
      <c r="AL27" s="285" t="s">
        <v>299</v>
      </c>
      <c r="AM27" s="285"/>
      <c r="AN27" s="286"/>
      <c r="AO27" s="286"/>
      <c r="AP27" s="286"/>
      <c r="AQ27" s="286"/>
      <c r="AR27" s="127">
        <f>AR24*0.002</f>
        <v>34.5</v>
      </c>
    </row>
    <row r="28" spans="1:44" s="225" customFormat="1" x14ac:dyDescent="0.25">
      <c r="A28" s="698"/>
      <c r="B28" s="699"/>
      <c r="C28" s="318">
        <v>17</v>
      </c>
      <c r="D28" s="499" t="s">
        <v>484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6"/>
        <v>10000</v>
      </c>
      <c r="J28" s="72">
        <v>5000</v>
      </c>
      <c r="K28" s="72">
        <f t="shared" si="7"/>
        <v>5000</v>
      </c>
      <c r="L28" s="72">
        <f t="shared" si="8"/>
        <v>15000</v>
      </c>
      <c r="M28" s="74">
        <f t="shared" si="0"/>
        <v>13901.75046976364</v>
      </c>
      <c r="N28" s="74">
        <f t="shared" si="1"/>
        <v>6950.8752348818198</v>
      </c>
      <c r="O28" s="72">
        <f t="shared" si="2"/>
        <v>20852.625704645459</v>
      </c>
      <c r="P28" s="205">
        <f t="shared" si="3"/>
        <v>20852.625704645459</v>
      </c>
      <c r="Q28" s="272">
        <f t="shared" si="4"/>
        <v>20852.625704645459</v>
      </c>
      <c r="R28" s="439">
        <f t="shared" si="5"/>
        <v>0</v>
      </c>
      <c r="T28" s="224"/>
      <c r="U28" s="275"/>
      <c r="V28" s="276"/>
      <c r="AK28" s="278"/>
      <c r="AL28" s="285" t="s">
        <v>304</v>
      </c>
      <c r="AM28" s="285"/>
      <c r="AN28" s="286"/>
      <c r="AO28" s="286"/>
      <c r="AP28" s="286"/>
      <c r="AQ28" s="286"/>
      <c r="AR28" s="690">
        <f>SUM(AR23:AR27)</f>
        <v>21510.75</v>
      </c>
    </row>
    <row r="29" spans="1:44" s="225" customFormat="1" ht="15.75" thickBot="1" x14ac:dyDescent="0.3">
      <c r="A29" s="701"/>
      <c r="B29" s="702"/>
      <c r="C29" s="703"/>
      <c r="D29" s="269"/>
      <c r="E29" s="704"/>
      <c r="F29" s="705"/>
      <c r="G29" s="706"/>
      <c r="H29" s="6"/>
      <c r="I29" s="6"/>
      <c r="J29" s="6"/>
      <c r="K29" s="6"/>
      <c r="L29" s="6"/>
      <c r="M29" s="6"/>
      <c r="N29" s="6"/>
      <c r="O29" s="707"/>
      <c r="P29" s="708"/>
      <c r="Q29" s="272">
        <f>L29/$P$252*$P$260</f>
        <v>0</v>
      </c>
      <c r="R29" s="439">
        <f t="shared" si="5"/>
        <v>0</v>
      </c>
      <c r="T29" s="224"/>
      <c r="U29" s="275"/>
      <c r="V29" s="276"/>
      <c r="AK29" s="278"/>
    </row>
    <row r="30" spans="1:44" s="234" customFormat="1" ht="15.75" thickBot="1" x14ac:dyDescent="0.3">
      <c r="A30" s="308"/>
      <c r="B30" s="910" t="s">
        <v>316</v>
      </c>
      <c r="C30" s="911"/>
      <c r="D30" s="912"/>
      <c r="E30" s="309"/>
      <c r="F30" s="310"/>
      <c r="G30" s="311"/>
      <c r="H30" s="312"/>
      <c r="I30" s="313">
        <f>SUM(I11:I29)</f>
        <v>960204.85152803524</v>
      </c>
      <c r="J30" s="312"/>
      <c r="K30" s="313">
        <f>SUM(K11:K29)</f>
        <v>405789.25566343038</v>
      </c>
      <c r="L30" s="313">
        <f>SUM(L11:L29)</f>
        <v>1365994.1071914658</v>
      </c>
      <c r="M30" s="312"/>
      <c r="N30" s="312"/>
      <c r="O30" s="313"/>
      <c r="P30" s="314">
        <f>SUM(P11:P29)</f>
        <v>1898970.9221343324</v>
      </c>
      <c r="Q30" s="272">
        <f>L30/$P$252*$P$260</f>
        <v>1898970.9221343324</v>
      </c>
      <c r="R30" s="439">
        <f t="shared" si="5"/>
        <v>0</v>
      </c>
      <c r="T30" s="443"/>
      <c r="U30" s="275"/>
      <c r="V30" s="276"/>
      <c r="W30" s="925" t="s">
        <v>292</v>
      </c>
      <c r="X30" s="925"/>
      <c r="Y30" s="925"/>
      <c r="Z30" s="586" t="s">
        <v>243</v>
      </c>
      <c r="AA30" s="586" t="s">
        <v>244</v>
      </c>
      <c r="AB30" s="586" t="s">
        <v>245</v>
      </c>
      <c r="AC30" s="587" t="s">
        <v>246</v>
      </c>
      <c r="AD30" s="588" t="s">
        <v>247</v>
      </c>
      <c r="AE30" s="586" t="s">
        <v>248</v>
      </c>
      <c r="AF30" s="589" t="s">
        <v>249</v>
      </c>
      <c r="AK30" s="278"/>
      <c r="AL30" s="225"/>
      <c r="AM30" s="282"/>
    </row>
    <row r="31" spans="1:44" s="225" customFormat="1" ht="15.75" x14ac:dyDescent="0.25">
      <c r="A31" s="517" t="s">
        <v>82</v>
      </c>
      <c r="B31" s="513" t="s">
        <v>79</v>
      </c>
      <c r="C31" s="514"/>
      <c r="D31" s="515"/>
      <c r="E31" s="709"/>
      <c r="F31" s="710"/>
      <c r="G31" s="711"/>
      <c r="H31" s="256"/>
      <c r="I31" s="256"/>
      <c r="J31" s="256"/>
      <c r="K31" s="256"/>
      <c r="L31" s="256"/>
      <c r="M31" s="256"/>
      <c r="N31" s="256"/>
      <c r="O31" s="256"/>
      <c r="P31" s="257"/>
      <c r="Q31" s="272">
        <f>L31/$P$252*$P$260</f>
        <v>0</v>
      </c>
      <c r="R31" s="439">
        <f t="shared" si="5"/>
        <v>0</v>
      </c>
      <c r="T31" s="224"/>
      <c r="U31" s="283"/>
      <c r="V31" s="284"/>
      <c r="W31" s="878" t="s">
        <v>260</v>
      </c>
      <c r="X31" s="878"/>
      <c r="Y31" s="878"/>
      <c r="Z31" s="124" t="s">
        <v>251</v>
      </c>
      <c r="AA31" s="661">
        <v>4.93</v>
      </c>
      <c r="AB31" s="661">
        <v>5.15</v>
      </c>
      <c r="AC31" s="123">
        <f>154/1.06</f>
        <v>145.28301886792451</v>
      </c>
      <c r="AD31" s="196">
        <f>AC31*AB31</f>
        <v>748.20754716981128</v>
      </c>
      <c r="AE31" s="661">
        <v>18</v>
      </c>
      <c r="AF31" s="219">
        <f>AE31*AB31</f>
        <v>92.7</v>
      </c>
      <c r="AK31" s="127"/>
    </row>
    <row r="32" spans="1:44" s="273" customFormat="1" x14ac:dyDescent="0.25">
      <c r="A32" s="411"/>
      <c r="B32" s="412" t="s">
        <v>319</v>
      </c>
      <c r="C32" s="413" t="s">
        <v>25</v>
      </c>
      <c r="D32" s="712"/>
      <c r="E32" s="242"/>
      <c r="F32" s="302"/>
      <c r="G32" s="75"/>
      <c r="H32" s="74"/>
      <c r="I32" s="74"/>
      <c r="J32" s="74"/>
      <c r="K32" s="74"/>
      <c r="L32" s="74"/>
      <c r="M32" s="76"/>
      <c r="N32" s="76"/>
      <c r="O32" s="76"/>
      <c r="P32" s="205"/>
      <c r="Q32" s="272">
        <f>L32/$P$252*$P$260</f>
        <v>0</v>
      </c>
      <c r="R32" s="439"/>
      <c r="T32" s="224"/>
      <c r="W32" s="878" t="s">
        <v>261</v>
      </c>
      <c r="X32" s="878"/>
      <c r="Y32" s="878"/>
      <c r="Z32" s="124" t="s">
        <v>262</v>
      </c>
      <c r="AA32" s="661">
        <v>4.9299999999999997E-2</v>
      </c>
      <c r="AB32" s="661">
        <v>0.05</v>
      </c>
      <c r="AC32" s="123">
        <f>580/1.05</f>
        <v>552.38095238095241</v>
      </c>
      <c r="AD32" s="196">
        <f>AC32*AB32</f>
        <v>27.61904761904762</v>
      </c>
      <c r="AE32" s="661"/>
      <c r="AF32" s="219">
        <f>AE32*AB32</f>
        <v>0</v>
      </c>
    </row>
    <row r="33" spans="1:32" s="273" customFormat="1" x14ac:dyDescent="0.25">
      <c r="A33" s="411"/>
      <c r="B33" s="689"/>
      <c r="C33" s="318">
        <v>1</v>
      </c>
      <c r="D33" s="83" t="s">
        <v>289</v>
      </c>
      <c r="E33" s="242">
        <f>491+3.8</f>
        <v>494.8</v>
      </c>
      <c r="F33" s="302">
        <v>498</v>
      </c>
      <c r="G33" s="75" t="s">
        <v>16</v>
      </c>
      <c r="H33" s="74">
        <f>AD42</f>
        <v>845.47169811320759</v>
      </c>
      <c r="I33" s="74">
        <f>F33*H33</f>
        <v>421044.90566037741</v>
      </c>
      <c r="J33" s="74">
        <f>AF42</f>
        <v>214.6</v>
      </c>
      <c r="K33" s="74">
        <f>F33*J33</f>
        <v>106870.8</v>
      </c>
      <c r="L33" s="74">
        <f>K33+I33</f>
        <v>527915.7056603774</v>
      </c>
      <c r="M33" s="74">
        <f t="shared" ref="M33:M44" si="9">H33/$P$252*$P$260</f>
        <v>1175.3536576417148</v>
      </c>
      <c r="N33" s="74">
        <f t="shared" ref="N33:N44" si="10">J33/$P$252*$P$260</f>
        <v>298.33156508112774</v>
      </c>
      <c r="O33" s="72">
        <f t="shared" ref="O33:O44" si="11">N33+M33</f>
        <v>1473.6852227228426</v>
      </c>
      <c r="P33" s="205">
        <f t="shared" ref="P33:P44" si="12">O33*F33</f>
        <v>733895.24091597565</v>
      </c>
      <c r="Q33" s="272">
        <f t="shared" ref="Q33:Q44" si="13">L33/$P$252*$P$260</f>
        <v>733895.24091597553</v>
      </c>
      <c r="R33" s="439">
        <f t="shared" ref="R33:R44" si="14">P33-Q33</f>
        <v>0</v>
      </c>
      <c r="T33" s="224"/>
      <c r="W33" s="878" t="str">
        <f>W56</f>
        <v>mortar (topping) included @ other item</v>
      </c>
      <c r="X33" s="878"/>
      <c r="Y33" s="878"/>
      <c r="Z33" s="124" t="s">
        <v>257</v>
      </c>
      <c r="AA33" s="661">
        <v>1</v>
      </c>
      <c r="AB33" s="661">
        <v>1</v>
      </c>
      <c r="AC33" s="123">
        <f>AC57</f>
        <v>0</v>
      </c>
      <c r="AD33" s="196">
        <f>AC33*AB33</f>
        <v>0</v>
      </c>
      <c r="AE33" s="661">
        <f>AE41</f>
        <v>0</v>
      </c>
      <c r="AF33" s="219">
        <f>AE33*AB33</f>
        <v>0</v>
      </c>
    </row>
    <row r="34" spans="1:32" s="273" customFormat="1" x14ac:dyDescent="0.25">
      <c r="A34" s="350"/>
      <c r="B34" s="689"/>
      <c r="C34" s="318">
        <v>2</v>
      </c>
      <c r="D34" s="83" t="s">
        <v>270</v>
      </c>
      <c r="E34" s="242">
        <f>262</f>
        <v>262</v>
      </c>
      <c r="F34" s="302">
        <v>265</v>
      </c>
      <c r="G34" s="75" t="s">
        <v>16</v>
      </c>
      <c r="H34" s="74">
        <f>AD34</f>
        <v>775.82659478885887</v>
      </c>
      <c r="I34" s="74">
        <f>F34*H34</f>
        <v>205594.0476190476</v>
      </c>
      <c r="J34" s="74">
        <v>75</v>
      </c>
      <c r="K34" s="74">
        <f t="shared" ref="K34:K40" si="15">F34*J34</f>
        <v>19875</v>
      </c>
      <c r="L34" s="74">
        <f t="shared" ref="L34:L40" si="16">K34+I34</f>
        <v>225469.0476190476</v>
      </c>
      <c r="M34" s="74">
        <f t="shared" si="9"/>
        <v>1078.5347728561144</v>
      </c>
      <c r="N34" s="74">
        <f t="shared" si="10"/>
        <v>104.26312852322729</v>
      </c>
      <c r="O34" s="72">
        <f t="shared" si="11"/>
        <v>1182.7979013793417</v>
      </c>
      <c r="P34" s="205">
        <f t="shared" si="12"/>
        <v>313441.44386552554</v>
      </c>
      <c r="Q34" s="272">
        <f t="shared" si="13"/>
        <v>313441.44386552554</v>
      </c>
      <c r="R34" s="439">
        <f t="shared" si="14"/>
        <v>0</v>
      </c>
      <c r="T34" s="224"/>
      <c r="W34" s="878"/>
      <c r="X34" s="878"/>
      <c r="Y34" s="878"/>
      <c r="Z34" s="124"/>
      <c r="AA34" s="661"/>
      <c r="AB34" s="661"/>
      <c r="AC34" s="123"/>
      <c r="AD34" s="212">
        <f>SUM(AD31:AD33)</f>
        <v>775.82659478885887</v>
      </c>
      <c r="AE34" s="661"/>
      <c r="AF34" s="212">
        <f>SUM(AF31:AF33)</f>
        <v>92.7</v>
      </c>
    </row>
    <row r="35" spans="1:32" s="273" customFormat="1" x14ac:dyDescent="0.25">
      <c r="A35" s="350"/>
      <c r="B35" s="689"/>
      <c r="C35" s="318">
        <v>3</v>
      </c>
      <c r="D35" s="83" t="s">
        <v>290</v>
      </c>
      <c r="E35" s="242">
        <f>23.6</f>
        <v>23.6</v>
      </c>
      <c r="F35" s="302">
        <v>26</v>
      </c>
      <c r="G35" s="75" t="s">
        <v>16</v>
      </c>
      <c r="H35" s="74">
        <f>AD58</f>
        <v>799.43396226415098</v>
      </c>
      <c r="I35" s="74">
        <f t="shared" ref="I35:I40" si="17">F35*H35</f>
        <v>20785.283018867925</v>
      </c>
      <c r="J35" s="74">
        <f>AF58</f>
        <v>216</v>
      </c>
      <c r="K35" s="74">
        <f t="shared" si="15"/>
        <v>5616</v>
      </c>
      <c r="L35" s="74">
        <f t="shared" si="16"/>
        <v>26401.283018867925</v>
      </c>
      <c r="M35" s="74">
        <f t="shared" si="9"/>
        <v>1111.353146045067</v>
      </c>
      <c r="N35" s="74">
        <f t="shared" si="10"/>
        <v>300.27781014689464</v>
      </c>
      <c r="O35" s="72">
        <f t="shared" si="11"/>
        <v>1411.6309561919616</v>
      </c>
      <c r="P35" s="205">
        <f t="shared" si="12"/>
        <v>36702.404860991002</v>
      </c>
      <c r="Q35" s="272">
        <f t="shared" si="13"/>
        <v>36702.404860991002</v>
      </c>
      <c r="R35" s="439">
        <f t="shared" si="14"/>
        <v>0</v>
      </c>
      <c r="T35" s="224"/>
      <c r="AD35" s="224"/>
      <c r="AF35" s="224"/>
    </row>
    <row r="36" spans="1:32" s="273" customFormat="1" x14ac:dyDescent="0.25">
      <c r="A36" s="350"/>
      <c r="B36" s="689"/>
      <c r="C36" s="318">
        <v>4</v>
      </c>
      <c r="D36" s="83" t="s">
        <v>241</v>
      </c>
      <c r="E36" s="242">
        <v>12</v>
      </c>
      <c r="F36" s="302">
        <v>14</v>
      </c>
      <c r="G36" s="75" t="s">
        <v>16</v>
      </c>
      <c r="H36" s="74">
        <f>AD120</f>
        <v>1281.3207547169811</v>
      </c>
      <c r="I36" s="74">
        <f>F36*H36</f>
        <v>17938.490566037737</v>
      </c>
      <c r="J36" s="74">
        <f>AF120</f>
        <v>214.5</v>
      </c>
      <c r="K36" s="74">
        <f t="shared" si="15"/>
        <v>3003</v>
      </c>
      <c r="L36" s="74">
        <f t="shared" si="16"/>
        <v>20941.490566037737</v>
      </c>
      <c r="M36" s="74">
        <f t="shared" si="9"/>
        <v>1781.2601403804695</v>
      </c>
      <c r="N36" s="74">
        <f t="shared" si="10"/>
        <v>298.19254757643006</v>
      </c>
      <c r="O36" s="72">
        <f t="shared" si="11"/>
        <v>2079.4526879568994</v>
      </c>
      <c r="P36" s="205">
        <f t="shared" si="12"/>
        <v>29112.337631396593</v>
      </c>
      <c r="Q36" s="272">
        <f t="shared" si="13"/>
        <v>29112.337631396593</v>
      </c>
      <c r="R36" s="439">
        <f t="shared" si="14"/>
        <v>0</v>
      </c>
      <c r="T36" s="224"/>
      <c r="AD36" s="224"/>
      <c r="AF36" s="224"/>
    </row>
    <row r="37" spans="1:32" s="273" customFormat="1" x14ac:dyDescent="0.25">
      <c r="A37" s="350"/>
      <c r="B37" s="689"/>
      <c r="C37" s="318">
        <v>5</v>
      </c>
      <c r="D37" s="83" t="s">
        <v>242</v>
      </c>
      <c r="E37" s="242">
        <v>28.5</v>
      </c>
      <c r="F37" s="302">
        <v>31</v>
      </c>
      <c r="G37" s="75" t="s">
        <v>16</v>
      </c>
      <c r="H37" s="74">
        <f>AD127</f>
        <v>1293.5849056603774</v>
      </c>
      <c r="I37" s="74">
        <f t="shared" si="17"/>
        <v>40101.132075471702</v>
      </c>
      <c r="J37" s="74">
        <f>AF127</f>
        <v>215.1</v>
      </c>
      <c r="K37" s="74">
        <f t="shared" si="15"/>
        <v>6668.0999999999995</v>
      </c>
      <c r="L37" s="74">
        <f t="shared" si="16"/>
        <v>46769.2320754717</v>
      </c>
      <c r="M37" s="74">
        <f t="shared" si="9"/>
        <v>1798.3094569943307</v>
      </c>
      <c r="N37" s="74">
        <f t="shared" si="10"/>
        <v>299.02665260461589</v>
      </c>
      <c r="O37" s="72">
        <f t="shared" si="11"/>
        <v>2097.3361095989467</v>
      </c>
      <c r="P37" s="205">
        <f t="shared" si="12"/>
        <v>65017.419397567348</v>
      </c>
      <c r="Q37" s="272">
        <f t="shared" si="13"/>
        <v>65017.419397567341</v>
      </c>
      <c r="R37" s="439">
        <f t="shared" si="14"/>
        <v>0</v>
      </c>
      <c r="T37" s="224"/>
      <c r="W37" s="904" t="s">
        <v>291</v>
      </c>
      <c r="X37" s="904"/>
      <c r="Y37" s="904"/>
      <c r="Z37" s="662" t="s">
        <v>243</v>
      </c>
      <c r="AA37" s="662" t="s">
        <v>244</v>
      </c>
      <c r="AB37" s="662" t="s">
        <v>245</v>
      </c>
      <c r="AC37" s="123" t="s">
        <v>246</v>
      </c>
      <c r="AD37" s="196" t="s">
        <v>247</v>
      </c>
      <c r="AE37" s="662" t="s">
        <v>248</v>
      </c>
      <c r="AF37" s="212" t="s">
        <v>249</v>
      </c>
    </row>
    <row r="38" spans="1:32" s="273" customFormat="1" x14ac:dyDescent="0.25">
      <c r="A38" s="350"/>
      <c r="B38" s="689"/>
      <c r="C38" s="318">
        <v>6</v>
      </c>
      <c r="D38" s="83" t="s">
        <v>44</v>
      </c>
      <c r="E38" s="242">
        <v>45.86</v>
      </c>
      <c r="F38" s="302">
        <v>48</v>
      </c>
      <c r="G38" s="75" t="s">
        <v>16</v>
      </c>
      <c r="H38" s="74"/>
      <c r="I38" s="74">
        <f t="shared" si="17"/>
        <v>0</v>
      </c>
      <c r="J38" s="74"/>
      <c r="K38" s="74">
        <f t="shared" si="15"/>
        <v>0</v>
      </c>
      <c r="L38" s="74">
        <f t="shared" si="16"/>
        <v>0</v>
      </c>
      <c r="M38" s="74">
        <f t="shared" si="9"/>
        <v>0</v>
      </c>
      <c r="N38" s="74">
        <f t="shared" si="10"/>
        <v>0</v>
      </c>
      <c r="O38" s="72">
        <f t="shared" si="11"/>
        <v>0</v>
      </c>
      <c r="P38" s="205">
        <f t="shared" si="12"/>
        <v>0</v>
      </c>
      <c r="Q38" s="272">
        <f t="shared" si="13"/>
        <v>0</v>
      </c>
      <c r="R38" s="439">
        <f t="shared" si="14"/>
        <v>0</v>
      </c>
      <c r="T38" s="224"/>
      <c r="W38" s="878" t="s">
        <v>250</v>
      </c>
      <c r="X38" s="878"/>
      <c r="Y38" s="878"/>
      <c r="Z38" s="124" t="s">
        <v>251</v>
      </c>
      <c r="AA38" s="661">
        <v>2.77</v>
      </c>
      <c r="AB38" s="661">
        <v>2.9</v>
      </c>
      <c r="AC38" s="123">
        <f>280/1.06</f>
        <v>264.15094339622641</v>
      </c>
      <c r="AD38" s="196">
        <f>AC38*AB38</f>
        <v>766.03773584905662</v>
      </c>
      <c r="AE38" s="661">
        <v>74</v>
      </c>
      <c r="AF38" s="219">
        <f>AE38*AB38</f>
        <v>214.6</v>
      </c>
    </row>
    <row r="39" spans="1:32" s="273" customFormat="1" x14ac:dyDescent="0.25">
      <c r="A39" s="350"/>
      <c r="B39" s="689"/>
      <c r="C39" s="318">
        <v>7</v>
      </c>
      <c r="D39" s="83" t="s">
        <v>162</v>
      </c>
      <c r="E39" s="242">
        <v>238.71</v>
      </c>
      <c r="F39" s="302">
        <v>242</v>
      </c>
      <c r="G39" s="75" t="s">
        <v>16</v>
      </c>
      <c r="H39" s="74">
        <f>AS162</f>
        <v>1060.7423734791041</v>
      </c>
      <c r="I39" s="74">
        <f t="shared" si="17"/>
        <v>256699.6543819432</v>
      </c>
      <c r="J39" s="74">
        <f>AU162</f>
        <v>215.10000000000002</v>
      </c>
      <c r="K39" s="74">
        <f t="shared" si="15"/>
        <v>52054.200000000004</v>
      </c>
      <c r="L39" s="74">
        <f t="shared" si="16"/>
        <v>308753.85438194318</v>
      </c>
      <c r="M39" s="74">
        <f t="shared" si="9"/>
        <v>1474.6175788811336</v>
      </c>
      <c r="N39" s="74">
        <f t="shared" si="10"/>
        <v>299.02665260461595</v>
      </c>
      <c r="O39" s="72">
        <f t="shared" si="11"/>
        <v>1773.6442314857495</v>
      </c>
      <c r="P39" s="205">
        <f t="shared" si="12"/>
        <v>429221.90401955141</v>
      </c>
      <c r="Q39" s="272">
        <f t="shared" si="13"/>
        <v>429221.90401955129</v>
      </c>
      <c r="R39" s="439">
        <f t="shared" si="14"/>
        <v>0</v>
      </c>
      <c r="T39" s="224"/>
      <c r="W39" s="878" t="s">
        <v>252</v>
      </c>
      <c r="X39" s="878"/>
      <c r="Y39" s="878"/>
      <c r="Z39" s="124" t="s">
        <v>253</v>
      </c>
      <c r="AA39" s="661">
        <v>0.25</v>
      </c>
      <c r="AB39" s="661">
        <v>0.25</v>
      </c>
      <c r="AC39" s="123">
        <f>AC124</f>
        <v>268.8679245283019</v>
      </c>
      <c r="AD39" s="196">
        <f>AC39*AB39</f>
        <v>67.216981132075475</v>
      </c>
      <c r="AE39" s="661"/>
      <c r="AF39" s="219">
        <f>AE39*AB39</f>
        <v>0</v>
      </c>
    </row>
    <row r="40" spans="1:32" s="273" customFormat="1" x14ac:dyDescent="0.25">
      <c r="A40" s="350"/>
      <c r="B40" s="713"/>
      <c r="C40" s="318">
        <v>8</v>
      </c>
      <c r="D40" s="714" t="s">
        <v>287</v>
      </c>
      <c r="E40" s="715">
        <f>96.84+64.56+11.89</f>
        <v>173.29000000000002</v>
      </c>
      <c r="F40" s="716">
        <v>0</v>
      </c>
      <c r="G40" s="717" t="s">
        <v>16</v>
      </c>
      <c r="H40" s="192"/>
      <c r="I40" s="192">
        <f t="shared" si="17"/>
        <v>0</v>
      </c>
      <c r="J40" s="192"/>
      <c r="K40" s="192">
        <f t="shared" si="15"/>
        <v>0</v>
      </c>
      <c r="L40" s="192">
        <f t="shared" si="16"/>
        <v>0</v>
      </c>
      <c r="M40" s="74">
        <f t="shared" si="9"/>
        <v>0</v>
      </c>
      <c r="N40" s="74">
        <f t="shared" si="10"/>
        <v>0</v>
      </c>
      <c r="O40" s="72">
        <f t="shared" si="11"/>
        <v>0</v>
      </c>
      <c r="P40" s="205">
        <f t="shared" si="12"/>
        <v>0</v>
      </c>
      <c r="Q40" s="272">
        <f t="shared" si="13"/>
        <v>0</v>
      </c>
      <c r="R40" s="439">
        <f t="shared" si="14"/>
        <v>0</v>
      </c>
      <c r="T40" s="224"/>
      <c r="W40" s="878" t="s">
        <v>254</v>
      </c>
      <c r="X40" s="878"/>
      <c r="Y40" s="878"/>
      <c r="Z40" s="124" t="s">
        <v>255</v>
      </c>
      <c r="AA40" s="661">
        <v>0.25</v>
      </c>
      <c r="AB40" s="661">
        <v>0.35</v>
      </c>
      <c r="AC40" s="123">
        <f>37/1.06</f>
        <v>34.905660377358487</v>
      </c>
      <c r="AD40" s="196">
        <f>AC40*AB40</f>
        <v>12.216981132075469</v>
      </c>
      <c r="AE40" s="661"/>
      <c r="AF40" s="219">
        <f>AE40*AB40</f>
        <v>0</v>
      </c>
    </row>
    <row r="41" spans="1:32" s="273" customFormat="1" x14ac:dyDescent="0.25">
      <c r="A41" s="350"/>
      <c r="B41" s="689"/>
      <c r="C41" s="318"/>
      <c r="D41" s="83"/>
      <c r="E41" s="242"/>
      <c r="F41" s="302"/>
      <c r="G41" s="74"/>
      <c r="H41" s="74"/>
      <c r="I41" s="74"/>
      <c r="J41" s="74"/>
      <c r="K41" s="74"/>
      <c r="L41" s="74"/>
      <c r="M41" s="74">
        <f t="shared" si="9"/>
        <v>0</v>
      </c>
      <c r="N41" s="74">
        <f t="shared" si="10"/>
        <v>0</v>
      </c>
      <c r="O41" s="72">
        <f t="shared" si="11"/>
        <v>0</v>
      </c>
      <c r="P41" s="205">
        <f t="shared" si="12"/>
        <v>0</v>
      </c>
      <c r="Q41" s="272">
        <f t="shared" si="13"/>
        <v>0</v>
      </c>
      <c r="R41" s="439">
        <f t="shared" si="14"/>
        <v>0</v>
      </c>
      <c r="T41" s="224"/>
      <c r="W41" s="878" t="s">
        <v>256</v>
      </c>
      <c r="X41" s="878"/>
      <c r="Y41" s="878"/>
      <c r="Z41" s="124" t="s">
        <v>257</v>
      </c>
      <c r="AA41" s="661">
        <v>1</v>
      </c>
      <c r="AB41" s="661">
        <v>1</v>
      </c>
      <c r="AC41" s="123">
        <v>0</v>
      </c>
      <c r="AD41" s="196">
        <f>AC41*AB41</f>
        <v>0</v>
      </c>
      <c r="AE41" s="661">
        <v>0</v>
      </c>
      <c r="AF41" s="219">
        <f>AE41*AB41</f>
        <v>0</v>
      </c>
    </row>
    <row r="42" spans="1:32" s="273" customFormat="1" x14ac:dyDescent="0.25">
      <c r="A42" s="411"/>
      <c r="B42" s="412" t="s">
        <v>320</v>
      </c>
      <c r="C42" s="413" t="s">
        <v>83</v>
      </c>
      <c r="D42" s="712"/>
      <c r="E42" s="242"/>
      <c r="F42" s="302"/>
      <c r="G42" s="75"/>
      <c r="H42" s="74"/>
      <c r="I42" s="74"/>
      <c r="J42" s="74"/>
      <c r="K42" s="74"/>
      <c r="L42" s="74"/>
      <c r="M42" s="74">
        <f t="shared" si="9"/>
        <v>0</v>
      </c>
      <c r="N42" s="74">
        <f t="shared" si="10"/>
        <v>0</v>
      </c>
      <c r="O42" s="72">
        <f t="shared" si="11"/>
        <v>0</v>
      </c>
      <c r="P42" s="205">
        <f t="shared" si="12"/>
        <v>0</v>
      </c>
      <c r="Q42" s="272">
        <f t="shared" si="13"/>
        <v>0</v>
      </c>
      <c r="R42" s="439">
        <f t="shared" si="14"/>
        <v>0</v>
      </c>
      <c r="T42" s="224"/>
      <c r="W42" s="126"/>
      <c r="X42" s="126"/>
      <c r="Y42" s="126"/>
      <c r="Z42" s="126"/>
      <c r="AA42" s="661"/>
      <c r="AB42" s="661"/>
      <c r="AC42" s="123"/>
      <c r="AD42" s="212">
        <f>SUM(AD38:AD41)</f>
        <v>845.47169811320759</v>
      </c>
      <c r="AE42" s="662"/>
      <c r="AF42" s="212">
        <f>SUM(AF38:AF41)</f>
        <v>214.6</v>
      </c>
    </row>
    <row r="43" spans="1:32" s="273" customFormat="1" x14ac:dyDescent="0.25">
      <c r="A43" s="411"/>
      <c r="B43" s="689"/>
      <c r="C43" s="318">
        <v>1</v>
      </c>
      <c r="D43" s="83" t="s">
        <v>84</v>
      </c>
      <c r="E43" s="242">
        <v>16.22</v>
      </c>
      <c r="F43" s="302">
        <v>18</v>
      </c>
      <c r="G43" s="77" t="s">
        <v>101</v>
      </c>
      <c r="H43" s="74">
        <f>AS170</f>
        <v>1177.3113207547169</v>
      </c>
      <c r="I43" s="74">
        <f>F43*H43</f>
        <v>21191.603773584906</v>
      </c>
      <c r="J43" s="74">
        <f>AU170</f>
        <v>215.1</v>
      </c>
      <c r="K43" s="74">
        <f>F43*J43</f>
        <v>3871.7999999999997</v>
      </c>
      <c r="L43" s="74">
        <f>K43+I43</f>
        <v>25063.403773584905</v>
      </c>
      <c r="M43" s="74">
        <f t="shared" si="9"/>
        <v>1636.6688206359938</v>
      </c>
      <c r="N43" s="74">
        <f t="shared" si="10"/>
        <v>299.02665260461589</v>
      </c>
      <c r="O43" s="72">
        <f t="shared" si="11"/>
        <v>1935.6954732406098</v>
      </c>
      <c r="P43" s="205">
        <f t="shared" si="12"/>
        <v>34842.518518330973</v>
      </c>
      <c r="Q43" s="272">
        <f t="shared" si="13"/>
        <v>34842.518518330973</v>
      </c>
      <c r="R43" s="439">
        <f t="shared" si="14"/>
        <v>0</v>
      </c>
      <c r="T43" s="224"/>
      <c r="AD43" s="224"/>
      <c r="AF43" s="224"/>
    </row>
    <row r="44" spans="1:32" s="273" customFormat="1" x14ac:dyDescent="0.25">
      <c r="A44" s="411"/>
      <c r="B44" s="689"/>
      <c r="C44" s="318">
        <v>2</v>
      </c>
      <c r="D44" s="83" t="s">
        <v>85</v>
      </c>
      <c r="E44" s="242">
        <v>44.33</v>
      </c>
      <c r="F44" s="302">
        <v>46</v>
      </c>
      <c r="G44" s="77" t="s">
        <v>101</v>
      </c>
      <c r="H44" s="74">
        <f>AS178</f>
        <v>1287.6886792452831</v>
      </c>
      <c r="I44" s="74">
        <f t="shared" ref="I44" si="18">F44*H44</f>
        <v>59233.67924528302</v>
      </c>
      <c r="J44" s="74">
        <f>AU178</f>
        <v>215.1</v>
      </c>
      <c r="K44" s="74">
        <f t="shared" ref="K44" si="19">F44*J44</f>
        <v>9894.6</v>
      </c>
      <c r="L44" s="74">
        <f t="shared" ref="L44" si="20">K44+I44</f>
        <v>69128.279245283018</v>
      </c>
      <c r="M44" s="74">
        <f t="shared" si="9"/>
        <v>1790.1126701607434</v>
      </c>
      <c r="N44" s="74">
        <f t="shared" si="10"/>
        <v>299.02665260461589</v>
      </c>
      <c r="O44" s="72">
        <f t="shared" si="11"/>
        <v>2089.1393227653593</v>
      </c>
      <c r="P44" s="205">
        <f t="shared" si="12"/>
        <v>96100.408847206534</v>
      </c>
      <c r="Q44" s="272">
        <f t="shared" si="13"/>
        <v>96100.408847206534</v>
      </c>
      <c r="R44" s="439">
        <f t="shared" si="14"/>
        <v>0</v>
      </c>
      <c r="T44" s="224"/>
      <c r="AD44" s="224"/>
      <c r="AF44" s="224"/>
    </row>
    <row r="45" spans="1:32" s="273" customFormat="1" x14ac:dyDescent="0.25">
      <c r="A45" s="411"/>
      <c r="B45" s="689"/>
      <c r="C45" s="318">
        <v>3</v>
      </c>
      <c r="D45" s="83" t="s">
        <v>490</v>
      </c>
      <c r="E45" s="242">
        <f>1350+85</f>
        <v>1435</v>
      </c>
      <c r="F45" s="302">
        <v>1450</v>
      </c>
      <c r="G45" s="77" t="s">
        <v>101</v>
      </c>
      <c r="H45" s="74">
        <f>165-5</f>
        <v>160</v>
      </c>
      <c r="I45" s="74">
        <f>F45*H45</f>
        <v>232000</v>
      </c>
      <c r="J45" s="74">
        <f>165-5</f>
        <v>160</v>
      </c>
      <c r="K45" s="74">
        <f>F45*J45</f>
        <v>232000</v>
      </c>
      <c r="L45" s="74">
        <f>K45+I45</f>
        <v>464000</v>
      </c>
      <c r="M45" s="74">
        <f>H45/$P$252*$P$260</f>
        <v>222.42800751621823</v>
      </c>
      <c r="N45" s="74">
        <f>J45/$P$252*$P$260</f>
        <v>222.42800751621823</v>
      </c>
      <c r="O45" s="72">
        <f>N45+M45</f>
        <v>444.85601503243646</v>
      </c>
      <c r="P45" s="205">
        <f>O45*F45</f>
        <v>645041.22179703286</v>
      </c>
      <c r="Q45" s="272">
        <f>L45/$P$252*$P$260</f>
        <v>645041.22179703286</v>
      </c>
      <c r="R45" s="439">
        <f>P45-Q45</f>
        <v>0</v>
      </c>
    </row>
    <row r="46" spans="1:32" s="273" customFormat="1" x14ac:dyDescent="0.25">
      <c r="A46" s="411"/>
      <c r="B46" s="689"/>
      <c r="C46" s="318">
        <v>4</v>
      </c>
      <c r="D46" s="83" t="s">
        <v>491</v>
      </c>
      <c r="E46" s="242">
        <f>685+46</f>
        <v>731</v>
      </c>
      <c r="F46" s="302">
        <v>744</v>
      </c>
      <c r="G46" s="77" t="s">
        <v>101</v>
      </c>
      <c r="H46" s="74">
        <f>180-10</f>
        <v>170</v>
      </c>
      <c r="I46" s="74">
        <f>F46*H46</f>
        <v>126480</v>
      </c>
      <c r="J46" s="74">
        <f>190-5</f>
        <v>185</v>
      </c>
      <c r="K46" s="74">
        <f>F46*J46</f>
        <v>137640</v>
      </c>
      <c r="L46" s="74">
        <f>K46+I46</f>
        <v>264120</v>
      </c>
      <c r="M46" s="74">
        <f t="shared" ref="M46:M109" si="21">H46/$P$252*$P$260</f>
        <v>236.32975798598187</v>
      </c>
      <c r="N46" s="74">
        <f t="shared" ref="N46:N109" si="22">J46/$P$252*$P$260</f>
        <v>257.18238369062738</v>
      </c>
      <c r="O46" s="72">
        <f t="shared" ref="O46:O109" si="23">N46+M46</f>
        <v>493.51214167660925</v>
      </c>
      <c r="P46" s="205">
        <f t="shared" ref="P46:P109" si="24">O46*F46</f>
        <v>367173.03340739728</v>
      </c>
      <c r="Q46" s="272">
        <f t="shared" ref="Q46:Q109" si="25">L46/$P$252*$P$260</f>
        <v>367173.03340739728</v>
      </c>
      <c r="R46" s="439">
        <f t="shared" ref="R46:R109" si="26">P46-Q46</f>
        <v>0</v>
      </c>
    </row>
    <row r="47" spans="1:32" s="273" customFormat="1" x14ac:dyDescent="0.25">
      <c r="A47" s="411"/>
      <c r="B47" s="689"/>
      <c r="C47" s="318">
        <v>5</v>
      </c>
      <c r="D47" s="83" t="s">
        <v>334</v>
      </c>
      <c r="E47" s="306" t="s">
        <v>39</v>
      </c>
      <c r="F47" s="302">
        <v>0</v>
      </c>
      <c r="G47" s="77"/>
      <c r="H47" s="74"/>
      <c r="I47" s="74"/>
      <c r="J47" s="74"/>
      <c r="K47" s="74"/>
      <c r="L47" s="74"/>
      <c r="M47" s="74">
        <f t="shared" si="21"/>
        <v>0</v>
      </c>
      <c r="N47" s="74">
        <f t="shared" si="22"/>
        <v>0</v>
      </c>
      <c r="O47" s="72">
        <f t="shared" si="23"/>
        <v>0</v>
      </c>
      <c r="P47" s="205">
        <f t="shared" si="24"/>
        <v>0</v>
      </c>
      <c r="Q47" s="272">
        <f t="shared" si="25"/>
        <v>0</v>
      </c>
      <c r="R47" s="439">
        <f t="shared" si="26"/>
        <v>0</v>
      </c>
      <c r="T47" s="224"/>
      <c r="AD47" s="224"/>
      <c r="AF47" s="224"/>
    </row>
    <row r="48" spans="1:32" s="273" customFormat="1" x14ac:dyDescent="0.25">
      <c r="A48" s="411"/>
      <c r="B48" s="689"/>
      <c r="C48" s="318"/>
      <c r="D48" s="82"/>
      <c r="E48" s="242"/>
      <c r="F48" s="302"/>
      <c r="G48" s="75"/>
      <c r="H48" s="74"/>
      <c r="I48" s="74"/>
      <c r="J48" s="74"/>
      <c r="K48" s="74"/>
      <c r="L48" s="74"/>
      <c r="M48" s="74">
        <f t="shared" si="21"/>
        <v>0</v>
      </c>
      <c r="N48" s="74">
        <f t="shared" si="22"/>
        <v>0</v>
      </c>
      <c r="O48" s="72">
        <f t="shared" si="23"/>
        <v>0</v>
      </c>
      <c r="P48" s="205">
        <f t="shared" si="24"/>
        <v>0</v>
      </c>
      <c r="Q48" s="272">
        <f t="shared" si="25"/>
        <v>0</v>
      </c>
      <c r="R48" s="439">
        <f t="shared" si="26"/>
        <v>0</v>
      </c>
      <c r="T48" s="224"/>
      <c r="AD48" s="224"/>
      <c r="AF48" s="224"/>
    </row>
    <row r="49" spans="1:44" s="273" customFormat="1" x14ac:dyDescent="0.25">
      <c r="A49" s="411"/>
      <c r="B49" s="412" t="s">
        <v>321</v>
      </c>
      <c r="C49" s="413" t="s">
        <v>87</v>
      </c>
      <c r="D49" s="82"/>
      <c r="E49" s="242"/>
      <c r="F49" s="302"/>
      <c r="G49" s="75"/>
      <c r="H49" s="74"/>
      <c r="I49" s="74"/>
      <c r="J49" s="74"/>
      <c r="K49" s="74"/>
      <c r="L49" s="74"/>
      <c r="M49" s="74">
        <f t="shared" si="21"/>
        <v>0</v>
      </c>
      <c r="N49" s="74">
        <f t="shared" si="22"/>
        <v>0</v>
      </c>
      <c r="O49" s="72">
        <f t="shared" si="23"/>
        <v>0</v>
      </c>
      <c r="P49" s="205">
        <f t="shared" si="24"/>
        <v>0</v>
      </c>
      <c r="Q49" s="272">
        <f t="shared" si="25"/>
        <v>0</v>
      </c>
      <c r="R49" s="439">
        <f t="shared" si="26"/>
        <v>0</v>
      </c>
      <c r="T49" s="224"/>
      <c r="AD49" s="224"/>
      <c r="AF49" s="224"/>
    </row>
    <row r="50" spans="1:44" s="273" customFormat="1" x14ac:dyDescent="0.25">
      <c r="A50" s="411"/>
      <c r="B50" s="689"/>
      <c r="C50" s="318">
        <v>1</v>
      </c>
      <c r="D50" s="83" t="s">
        <v>322</v>
      </c>
      <c r="E50" s="242">
        <v>269</v>
      </c>
      <c r="F50" s="302">
        <v>273</v>
      </c>
      <c r="G50" s="77" t="s">
        <v>101</v>
      </c>
      <c r="H50" s="347">
        <f>430*0.95</f>
        <v>408.5</v>
      </c>
      <c r="I50" s="74">
        <f>F50*H50</f>
        <v>111520.5</v>
      </c>
      <c r="J50" s="74">
        <f>375*0.95</f>
        <v>356.25</v>
      </c>
      <c r="K50" s="74">
        <f t="shared" ref="K50:K51" si="27">F50*J50</f>
        <v>97256.25</v>
      </c>
      <c r="L50" s="72">
        <f t="shared" ref="L50:L51" si="28">I50+K50</f>
        <v>208776.75</v>
      </c>
      <c r="M50" s="74">
        <f t="shared" si="21"/>
        <v>567.88650668984474</v>
      </c>
      <c r="N50" s="74">
        <f t="shared" si="22"/>
        <v>495.24986048532969</v>
      </c>
      <c r="O50" s="72">
        <f t="shared" si="23"/>
        <v>1063.1363671751744</v>
      </c>
      <c r="P50" s="205">
        <f t="shared" si="24"/>
        <v>290236.2282388226</v>
      </c>
      <c r="Q50" s="272">
        <f t="shared" si="25"/>
        <v>290236.2282388226</v>
      </c>
      <c r="R50" s="439">
        <f t="shared" si="26"/>
        <v>0</v>
      </c>
      <c r="T50" s="224"/>
    </row>
    <row r="51" spans="1:44" s="273" customFormat="1" ht="15" customHeight="1" x14ac:dyDescent="0.25">
      <c r="A51" s="411"/>
      <c r="B51" s="689"/>
      <c r="C51" s="318">
        <v>2</v>
      </c>
      <c r="D51" s="83" t="s">
        <v>90</v>
      </c>
      <c r="E51" s="242">
        <v>36.700000000000003</v>
      </c>
      <c r="F51" s="302">
        <v>39</v>
      </c>
      <c r="G51" s="77" t="s">
        <v>101</v>
      </c>
      <c r="H51" s="347">
        <f>(167+175)+150</f>
        <v>492</v>
      </c>
      <c r="I51" s="74">
        <f>F51*H51</f>
        <v>19188</v>
      </c>
      <c r="J51" s="74">
        <f>225+150</f>
        <v>375</v>
      </c>
      <c r="K51" s="74">
        <f t="shared" si="27"/>
        <v>14625</v>
      </c>
      <c r="L51" s="72">
        <f t="shared" si="28"/>
        <v>33813</v>
      </c>
      <c r="M51" s="74">
        <f t="shared" si="21"/>
        <v>683.96612311237118</v>
      </c>
      <c r="N51" s="74">
        <f t="shared" si="22"/>
        <v>521.31564261613653</v>
      </c>
      <c r="O51" s="72">
        <f t="shared" si="23"/>
        <v>1205.2817657285077</v>
      </c>
      <c r="P51" s="205">
        <f t="shared" si="24"/>
        <v>47005.988863411803</v>
      </c>
      <c r="Q51" s="272">
        <f t="shared" si="25"/>
        <v>47005.988863411796</v>
      </c>
      <c r="R51" s="439">
        <f t="shared" si="26"/>
        <v>0</v>
      </c>
      <c r="T51" s="224"/>
      <c r="AD51" s="224"/>
      <c r="AF51" s="224"/>
      <c r="AL51" s="285" t="s">
        <v>314</v>
      </c>
      <c r="AM51" s="285"/>
      <c r="AN51" s="286"/>
      <c r="AO51" s="286"/>
      <c r="AP51" s="286"/>
      <c r="AQ51" s="286"/>
      <c r="AR51" s="127">
        <f>AR49*0.12</f>
        <v>0</v>
      </c>
    </row>
    <row r="52" spans="1:44" s="273" customFormat="1" ht="15" customHeight="1" x14ac:dyDescent="0.25">
      <c r="A52" s="411"/>
      <c r="B52" s="689"/>
      <c r="C52" s="318"/>
      <c r="D52" s="83" t="s">
        <v>155</v>
      </c>
      <c r="E52" s="242"/>
      <c r="F52" s="302"/>
      <c r="G52" s="75"/>
      <c r="H52" s="347"/>
      <c r="I52" s="74"/>
      <c r="J52" s="74"/>
      <c r="K52" s="74"/>
      <c r="L52" s="74"/>
      <c r="M52" s="74">
        <f t="shared" si="21"/>
        <v>0</v>
      </c>
      <c r="N52" s="74">
        <f t="shared" si="22"/>
        <v>0</v>
      </c>
      <c r="O52" s="72">
        <f t="shared" si="23"/>
        <v>0</v>
      </c>
      <c r="P52" s="205">
        <f t="shared" si="24"/>
        <v>0</v>
      </c>
      <c r="Q52" s="272">
        <f t="shared" si="25"/>
        <v>0</v>
      </c>
      <c r="R52" s="439">
        <f t="shared" si="26"/>
        <v>0</v>
      </c>
      <c r="T52" s="224"/>
      <c r="W52" s="904" t="s">
        <v>293</v>
      </c>
      <c r="X52" s="904"/>
      <c r="Y52" s="904"/>
      <c r="Z52" s="662" t="s">
        <v>243</v>
      </c>
      <c r="AA52" s="662" t="s">
        <v>244</v>
      </c>
      <c r="AB52" s="662" t="s">
        <v>245</v>
      </c>
      <c r="AC52" s="123" t="s">
        <v>246</v>
      </c>
      <c r="AD52" s="196" t="s">
        <v>247</v>
      </c>
      <c r="AE52" s="662" t="s">
        <v>248</v>
      </c>
      <c r="AF52" s="212" t="s">
        <v>249</v>
      </c>
      <c r="AL52" s="285" t="s">
        <v>299</v>
      </c>
      <c r="AM52" s="285"/>
      <c r="AN52" s="286"/>
      <c r="AO52" s="286"/>
      <c r="AP52" s="286"/>
      <c r="AQ52" s="286"/>
      <c r="AR52" s="127">
        <f>AR49*0.002</f>
        <v>0</v>
      </c>
    </row>
    <row r="53" spans="1:44" s="273" customFormat="1" x14ac:dyDescent="0.25">
      <c r="A53" s="411"/>
      <c r="B53" s="689"/>
      <c r="C53" s="318">
        <v>3</v>
      </c>
      <c r="D53" s="83" t="s">
        <v>92</v>
      </c>
      <c r="E53" s="242">
        <v>62</v>
      </c>
      <c r="F53" s="302">
        <v>64</v>
      </c>
      <c r="G53" s="77" t="s">
        <v>101</v>
      </c>
      <c r="H53" s="347">
        <f>((177+155)+150)*0.95</f>
        <v>457.9</v>
      </c>
      <c r="I53" s="74">
        <f>F53*H53</f>
        <v>29305.599999999999</v>
      </c>
      <c r="J53" s="74">
        <f>(225+150)*0.95</f>
        <v>356.25</v>
      </c>
      <c r="K53" s="74">
        <f t="shared" ref="K53" si="29">F53*J53</f>
        <v>22800</v>
      </c>
      <c r="L53" s="72">
        <f t="shared" ref="L53" si="30">I53+K53</f>
        <v>52105.599999999999</v>
      </c>
      <c r="M53" s="74">
        <f t="shared" si="21"/>
        <v>636.56115401047703</v>
      </c>
      <c r="N53" s="74">
        <f t="shared" si="22"/>
        <v>495.24986048532969</v>
      </c>
      <c r="O53" s="72">
        <f t="shared" si="23"/>
        <v>1131.8110144958068</v>
      </c>
      <c r="P53" s="205">
        <f t="shared" si="24"/>
        <v>72435.904927731637</v>
      </c>
      <c r="Q53" s="272">
        <f t="shared" si="25"/>
        <v>72435.904927731623</v>
      </c>
      <c r="R53" s="439">
        <f t="shared" si="26"/>
        <v>0</v>
      </c>
      <c r="T53" s="224"/>
      <c r="W53" s="878" t="s">
        <v>258</v>
      </c>
      <c r="X53" s="878"/>
      <c r="Y53" s="878"/>
      <c r="Z53" s="124" t="s">
        <v>251</v>
      </c>
      <c r="AA53" s="661">
        <v>11.11</v>
      </c>
      <c r="AB53" s="661">
        <v>12</v>
      </c>
      <c r="AC53" s="123">
        <f>63/1.05</f>
        <v>60</v>
      </c>
      <c r="AD53" s="196">
        <f>AC53*AB53</f>
        <v>720</v>
      </c>
      <c r="AE53" s="661">
        <v>18</v>
      </c>
      <c r="AF53" s="219">
        <f>AE53*AB53</f>
        <v>216</v>
      </c>
      <c r="AL53" s="285" t="s">
        <v>304</v>
      </c>
      <c r="AM53" s="285"/>
      <c r="AN53" s="286"/>
      <c r="AO53" s="286"/>
      <c r="AP53" s="286"/>
      <c r="AQ53" s="286"/>
      <c r="AR53" s="690">
        <f>SUM(AR48:AR52)</f>
        <v>0</v>
      </c>
    </row>
    <row r="54" spans="1:44" s="273" customFormat="1" x14ac:dyDescent="0.25">
      <c r="A54" s="411"/>
      <c r="B54" s="718"/>
      <c r="C54" s="719"/>
      <c r="D54" s="83" t="s">
        <v>154</v>
      </c>
      <c r="E54" s="242"/>
      <c r="F54" s="302"/>
      <c r="G54" s="75"/>
      <c r="H54" s="74"/>
      <c r="I54" s="74"/>
      <c r="J54" s="74"/>
      <c r="K54" s="74"/>
      <c r="L54" s="74"/>
      <c r="M54" s="74">
        <f t="shared" si="21"/>
        <v>0</v>
      </c>
      <c r="N54" s="74">
        <f t="shared" si="22"/>
        <v>0</v>
      </c>
      <c r="O54" s="72">
        <f t="shared" si="23"/>
        <v>0</v>
      </c>
      <c r="P54" s="205">
        <f t="shared" si="24"/>
        <v>0</v>
      </c>
      <c r="Q54" s="272">
        <f t="shared" si="25"/>
        <v>0</v>
      </c>
      <c r="R54" s="439">
        <f t="shared" si="26"/>
        <v>0</v>
      </c>
      <c r="T54" s="224"/>
      <c r="W54" s="878" t="s">
        <v>252</v>
      </c>
      <c r="X54" s="878"/>
      <c r="Y54" s="878"/>
      <c r="Z54" s="124" t="s">
        <v>253</v>
      </c>
      <c r="AA54" s="661">
        <v>0.25</v>
      </c>
      <c r="AB54" s="661">
        <v>0.25</v>
      </c>
      <c r="AC54" s="123">
        <f>AC124</f>
        <v>268.8679245283019</v>
      </c>
      <c r="AD54" s="196">
        <f>AC54*AB54</f>
        <v>67.216981132075475</v>
      </c>
      <c r="AE54" s="661"/>
      <c r="AF54" s="219">
        <f t="shared" ref="AF54:AF56" si="31">AE54*AB54</f>
        <v>0</v>
      </c>
    </row>
    <row r="55" spans="1:44" s="273" customFormat="1" x14ac:dyDescent="0.25">
      <c r="A55" s="411"/>
      <c r="B55" s="689"/>
      <c r="C55" s="318">
        <v>4</v>
      </c>
      <c r="D55" s="83" t="s">
        <v>93</v>
      </c>
      <c r="E55" s="242">
        <v>252</v>
      </c>
      <c r="F55" s="302">
        <v>255</v>
      </c>
      <c r="G55" s="77" t="s">
        <v>101</v>
      </c>
      <c r="H55" s="74">
        <f>(230+160)</f>
        <v>390</v>
      </c>
      <c r="I55" s="74">
        <f>F55*H55</f>
        <v>99450</v>
      </c>
      <c r="J55" s="74">
        <v>225</v>
      </c>
      <c r="K55" s="74">
        <f t="shared" ref="K55" si="32">F55*J55</f>
        <v>57375</v>
      </c>
      <c r="L55" s="72">
        <f t="shared" ref="L55" si="33">I55+K55</f>
        <v>156825</v>
      </c>
      <c r="M55" s="74">
        <f t="shared" si="21"/>
        <v>542.16826832078198</v>
      </c>
      <c r="N55" s="74">
        <f t="shared" si="22"/>
        <v>312.78938556968194</v>
      </c>
      <c r="O55" s="72">
        <f t="shared" si="23"/>
        <v>854.95765389046392</v>
      </c>
      <c r="P55" s="205">
        <f t="shared" si="24"/>
        <v>218014.20174206831</v>
      </c>
      <c r="Q55" s="272">
        <f t="shared" si="25"/>
        <v>218014.20174206828</v>
      </c>
      <c r="R55" s="439">
        <f t="shared" si="26"/>
        <v>0</v>
      </c>
      <c r="T55" s="224"/>
      <c r="W55" s="878" t="s">
        <v>254</v>
      </c>
      <c r="X55" s="878"/>
      <c r="Y55" s="878"/>
      <c r="Z55" s="124" t="s">
        <v>255</v>
      </c>
      <c r="AA55" s="661">
        <v>0.25</v>
      </c>
      <c r="AB55" s="661">
        <v>0.35</v>
      </c>
      <c r="AC55" s="123">
        <f>AC40</f>
        <v>34.905660377358487</v>
      </c>
      <c r="AD55" s="196">
        <f t="shared" ref="AD55:AD56" si="34">AC55*AB55</f>
        <v>12.216981132075469</v>
      </c>
      <c r="AE55" s="661"/>
      <c r="AF55" s="219">
        <f t="shared" si="31"/>
        <v>0</v>
      </c>
    </row>
    <row r="56" spans="1:44" s="273" customFormat="1" x14ac:dyDescent="0.25">
      <c r="A56" s="411"/>
      <c r="B56" s="718"/>
      <c r="C56" s="719"/>
      <c r="D56" s="83" t="s">
        <v>94</v>
      </c>
      <c r="E56" s="242"/>
      <c r="F56" s="302"/>
      <c r="G56" s="75"/>
      <c r="H56" s="74"/>
      <c r="I56" s="74"/>
      <c r="J56" s="74"/>
      <c r="K56" s="74"/>
      <c r="L56" s="74"/>
      <c r="M56" s="74">
        <f t="shared" si="21"/>
        <v>0</v>
      </c>
      <c r="N56" s="74">
        <f t="shared" si="22"/>
        <v>0</v>
      </c>
      <c r="O56" s="72">
        <f t="shared" si="23"/>
        <v>0</v>
      </c>
      <c r="P56" s="205">
        <f t="shared" si="24"/>
        <v>0</v>
      </c>
      <c r="Q56" s="272">
        <f t="shared" si="25"/>
        <v>0</v>
      </c>
      <c r="R56" s="439">
        <f t="shared" si="26"/>
        <v>0</v>
      </c>
      <c r="T56" s="224"/>
      <c r="W56" s="878" t="str">
        <f>W41</f>
        <v>mortar (topping) included @ other item</v>
      </c>
      <c r="X56" s="878"/>
      <c r="Y56" s="878"/>
      <c r="Z56" s="124" t="s">
        <v>257</v>
      </c>
      <c r="AA56" s="661">
        <v>1</v>
      </c>
      <c r="AB56" s="661">
        <v>1</v>
      </c>
      <c r="AC56" s="123">
        <f>AC41</f>
        <v>0</v>
      </c>
      <c r="AD56" s="196">
        <f t="shared" si="34"/>
        <v>0</v>
      </c>
      <c r="AE56" s="661">
        <f>AE41</f>
        <v>0</v>
      </c>
      <c r="AF56" s="219">
        <f t="shared" si="31"/>
        <v>0</v>
      </c>
    </row>
    <row r="57" spans="1:44" s="273" customFormat="1" x14ac:dyDescent="0.25">
      <c r="A57" s="411"/>
      <c r="B57" s="689"/>
      <c r="C57" s="318">
        <v>5</v>
      </c>
      <c r="D57" s="83" t="s">
        <v>160</v>
      </c>
      <c r="E57" s="720">
        <f>29.2+51.05</f>
        <v>80.25</v>
      </c>
      <c r="F57" s="721">
        <v>82</v>
      </c>
      <c r="G57" s="77" t="s">
        <v>101</v>
      </c>
      <c r="H57" s="74"/>
      <c r="I57" s="74">
        <f>F57*H57</f>
        <v>0</v>
      </c>
      <c r="J57" s="74"/>
      <c r="K57" s="74">
        <f t="shared" ref="K57:K60" si="35">F57*J57</f>
        <v>0</v>
      </c>
      <c r="L57" s="72">
        <f t="shared" ref="L57:L58" si="36">I57+K57</f>
        <v>0</v>
      </c>
      <c r="M57" s="74">
        <f t="shared" si="21"/>
        <v>0</v>
      </c>
      <c r="N57" s="74">
        <f t="shared" si="22"/>
        <v>0</v>
      </c>
      <c r="O57" s="72">
        <f t="shared" si="23"/>
        <v>0</v>
      </c>
      <c r="P57" s="205">
        <f t="shared" si="24"/>
        <v>0</v>
      </c>
      <c r="Q57" s="272">
        <f t="shared" si="25"/>
        <v>0</v>
      </c>
      <c r="R57" s="439">
        <f t="shared" si="26"/>
        <v>0</v>
      </c>
      <c r="T57" s="224"/>
      <c r="W57" s="878" t="s">
        <v>259</v>
      </c>
      <c r="X57" s="878"/>
      <c r="Y57" s="878"/>
      <c r="Z57" s="124" t="s">
        <v>257</v>
      </c>
      <c r="AA57" s="661">
        <v>1</v>
      </c>
      <c r="AB57" s="661">
        <v>1</v>
      </c>
      <c r="AC57" s="123">
        <f>AC41</f>
        <v>0</v>
      </c>
      <c r="AD57" s="196">
        <f>AC57*AB57</f>
        <v>0</v>
      </c>
      <c r="AE57" s="661">
        <f>AE41</f>
        <v>0</v>
      </c>
      <c r="AF57" s="219">
        <f>AE57*AB57</f>
        <v>0</v>
      </c>
    </row>
    <row r="58" spans="1:44" s="273" customFormat="1" x14ac:dyDescent="0.25">
      <c r="A58" s="411"/>
      <c r="B58" s="689"/>
      <c r="C58" s="318">
        <v>6</v>
      </c>
      <c r="D58" s="83" t="s">
        <v>492</v>
      </c>
      <c r="E58" s="242">
        <v>61.7</v>
      </c>
      <c r="F58" s="302">
        <v>63</v>
      </c>
      <c r="G58" s="77" t="s">
        <v>100</v>
      </c>
      <c r="H58" s="74">
        <v>130</v>
      </c>
      <c r="I58" s="74">
        <f>F58*H58</f>
        <v>8190</v>
      </c>
      <c r="J58" s="74">
        <v>120</v>
      </c>
      <c r="K58" s="74">
        <f t="shared" si="35"/>
        <v>7560</v>
      </c>
      <c r="L58" s="72">
        <f t="shared" si="36"/>
        <v>15750</v>
      </c>
      <c r="M58" s="74">
        <f t="shared" si="21"/>
        <v>180.72275610692733</v>
      </c>
      <c r="N58" s="74">
        <f t="shared" si="22"/>
        <v>166.82100563716369</v>
      </c>
      <c r="O58" s="72">
        <f t="shared" si="23"/>
        <v>347.54376174409106</v>
      </c>
      <c r="P58" s="205">
        <f t="shared" si="24"/>
        <v>21895.256989877736</v>
      </c>
      <c r="Q58" s="272">
        <f t="shared" si="25"/>
        <v>21895.256989877736</v>
      </c>
      <c r="R58" s="439">
        <f t="shared" si="26"/>
        <v>0</v>
      </c>
      <c r="T58" s="224"/>
      <c r="W58" s="126"/>
      <c r="X58" s="126"/>
      <c r="Y58" s="126"/>
      <c r="Z58" s="126"/>
      <c r="AA58" s="661"/>
      <c r="AB58" s="661"/>
      <c r="AC58" s="123"/>
      <c r="AD58" s="212">
        <f>SUM(AD53:AD57)</f>
        <v>799.43396226415098</v>
      </c>
      <c r="AE58" s="662"/>
      <c r="AF58" s="212">
        <f>SUM(AF53:AF57)</f>
        <v>216</v>
      </c>
    </row>
    <row r="59" spans="1:44" s="273" customFormat="1" hidden="1" x14ac:dyDescent="0.25">
      <c r="A59" s="411"/>
      <c r="B59" s="689"/>
      <c r="C59" s="318"/>
      <c r="D59" s="83"/>
      <c r="E59" s="242"/>
      <c r="F59" s="302"/>
      <c r="G59" s="75"/>
      <c r="H59" s="74"/>
      <c r="I59" s="74"/>
      <c r="J59" s="74"/>
      <c r="K59" s="74"/>
      <c r="L59" s="74"/>
      <c r="M59" s="74">
        <f t="shared" si="21"/>
        <v>0</v>
      </c>
      <c r="N59" s="74">
        <f t="shared" si="22"/>
        <v>0</v>
      </c>
      <c r="O59" s="72">
        <f t="shared" si="23"/>
        <v>0</v>
      </c>
      <c r="P59" s="205">
        <f t="shared" si="24"/>
        <v>0</v>
      </c>
      <c r="Q59" s="272">
        <f t="shared" si="25"/>
        <v>0</v>
      </c>
      <c r="R59" s="439">
        <f t="shared" si="26"/>
        <v>0</v>
      </c>
      <c r="T59" s="224"/>
      <c r="AD59" s="224"/>
      <c r="AF59" s="224"/>
    </row>
    <row r="60" spans="1:44" s="273" customFormat="1" x14ac:dyDescent="0.25">
      <c r="A60" s="411"/>
      <c r="B60" s="689"/>
      <c r="C60" s="318">
        <v>7</v>
      </c>
      <c r="D60" s="83" t="s">
        <v>357</v>
      </c>
      <c r="E60" s="242">
        <v>152.9</v>
      </c>
      <c r="F60" s="302">
        <v>154</v>
      </c>
      <c r="G60" s="77" t="s">
        <v>101</v>
      </c>
      <c r="H60" s="74"/>
      <c r="I60" s="74">
        <f>F60*H60</f>
        <v>0</v>
      </c>
      <c r="J60" s="74"/>
      <c r="K60" s="74">
        <f t="shared" si="35"/>
        <v>0</v>
      </c>
      <c r="L60" s="72">
        <f t="shared" ref="L60" si="37">I60+K60</f>
        <v>0</v>
      </c>
      <c r="M60" s="74">
        <f t="shared" si="21"/>
        <v>0</v>
      </c>
      <c r="N60" s="74">
        <f t="shared" si="22"/>
        <v>0</v>
      </c>
      <c r="O60" s="72">
        <f t="shared" si="23"/>
        <v>0</v>
      </c>
      <c r="P60" s="205">
        <f t="shared" si="24"/>
        <v>0</v>
      </c>
      <c r="Q60" s="272">
        <f t="shared" si="25"/>
        <v>0</v>
      </c>
      <c r="R60" s="439">
        <f t="shared" si="26"/>
        <v>0</v>
      </c>
      <c r="T60" s="224"/>
      <c r="AD60" s="224"/>
      <c r="AF60" s="224"/>
    </row>
    <row r="61" spans="1:44" s="273" customFormat="1" x14ac:dyDescent="0.25">
      <c r="A61" s="411"/>
      <c r="B61" s="718"/>
      <c r="C61" s="719"/>
      <c r="D61" s="83"/>
      <c r="E61" s="242"/>
      <c r="F61" s="302"/>
      <c r="G61" s="75"/>
      <c r="H61" s="74"/>
      <c r="I61" s="74"/>
      <c r="J61" s="74"/>
      <c r="K61" s="74"/>
      <c r="L61" s="74"/>
      <c r="M61" s="74">
        <f t="shared" si="21"/>
        <v>0</v>
      </c>
      <c r="N61" s="74">
        <f t="shared" si="22"/>
        <v>0</v>
      </c>
      <c r="O61" s="72">
        <f t="shared" si="23"/>
        <v>0</v>
      </c>
      <c r="P61" s="205">
        <f t="shared" si="24"/>
        <v>0</v>
      </c>
      <c r="Q61" s="272">
        <f t="shared" si="25"/>
        <v>0</v>
      </c>
      <c r="R61" s="439">
        <f t="shared" si="26"/>
        <v>0</v>
      </c>
      <c r="T61" s="224"/>
      <c r="AD61" s="224"/>
      <c r="AF61" s="224"/>
    </row>
    <row r="62" spans="1:44" s="273" customFormat="1" x14ac:dyDescent="0.25">
      <c r="A62" s="411"/>
      <c r="B62" s="412" t="s">
        <v>323</v>
      </c>
      <c r="C62" s="413" t="s">
        <v>26</v>
      </c>
      <c r="D62" s="82"/>
      <c r="E62" s="242"/>
      <c r="F62" s="302"/>
      <c r="G62" s="75"/>
      <c r="H62" s="74"/>
      <c r="I62" s="74"/>
      <c r="J62" s="74"/>
      <c r="K62" s="74"/>
      <c r="L62" s="74"/>
      <c r="M62" s="74">
        <f t="shared" si="21"/>
        <v>0</v>
      </c>
      <c r="N62" s="74">
        <f t="shared" si="22"/>
        <v>0</v>
      </c>
      <c r="O62" s="72">
        <f t="shared" si="23"/>
        <v>0</v>
      </c>
      <c r="P62" s="205">
        <f t="shared" si="24"/>
        <v>0</v>
      </c>
      <c r="Q62" s="272">
        <f t="shared" si="25"/>
        <v>0</v>
      </c>
      <c r="R62" s="439">
        <f t="shared" si="26"/>
        <v>0</v>
      </c>
      <c r="T62" s="224"/>
      <c r="AD62" s="224"/>
      <c r="AF62" s="224"/>
    </row>
    <row r="63" spans="1:44" s="273" customFormat="1" hidden="1" x14ac:dyDescent="0.25">
      <c r="A63" s="350"/>
      <c r="B63" s="317"/>
      <c r="C63" s="318">
        <v>1</v>
      </c>
      <c r="D63" s="83" t="s">
        <v>104</v>
      </c>
      <c r="E63" s="242">
        <v>3</v>
      </c>
      <c r="F63" s="302">
        <v>3</v>
      </c>
      <c r="G63" s="77" t="s">
        <v>28</v>
      </c>
      <c r="H63" s="74"/>
      <c r="I63" s="74">
        <f>F63*H63</f>
        <v>0</v>
      </c>
      <c r="J63" s="74"/>
      <c r="K63" s="74">
        <f t="shared" ref="K63" si="38">F63*J63</f>
        <v>0</v>
      </c>
      <c r="L63" s="72">
        <f t="shared" ref="L63" si="39">I63+K63</f>
        <v>0</v>
      </c>
      <c r="M63" s="74">
        <f t="shared" si="21"/>
        <v>0</v>
      </c>
      <c r="N63" s="74">
        <f t="shared" si="22"/>
        <v>0</v>
      </c>
      <c r="O63" s="72">
        <f t="shared" si="23"/>
        <v>0</v>
      </c>
      <c r="P63" s="205">
        <f t="shared" si="24"/>
        <v>0</v>
      </c>
      <c r="Q63" s="272">
        <f t="shared" si="25"/>
        <v>0</v>
      </c>
      <c r="R63" s="439">
        <f t="shared" si="26"/>
        <v>0</v>
      </c>
      <c r="T63" s="224"/>
      <c r="AD63" s="224"/>
      <c r="AF63" s="224"/>
    </row>
    <row r="64" spans="1:44" s="273" customFormat="1" hidden="1" x14ac:dyDescent="0.25">
      <c r="A64" s="350"/>
      <c r="B64" s="319"/>
      <c r="C64" s="318"/>
      <c r="D64" s="83" t="s">
        <v>324</v>
      </c>
      <c r="E64" s="242"/>
      <c r="F64" s="302"/>
      <c r="G64" s="75"/>
      <c r="H64" s="74"/>
      <c r="I64" s="74"/>
      <c r="J64" s="74"/>
      <c r="K64" s="74"/>
      <c r="L64" s="74"/>
      <c r="M64" s="74">
        <f t="shared" si="21"/>
        <v>0</v>
      </c>
      <c r="N64" s="74">
        <f t="shared" si="22"/>
        <v>0</v>
      </c>
      <c r="O64" s="72">
        <f t="shared" si="23"/>
        <v>0</v>
      </c>
      <c r="P64" s="205">
        <f t="shared" si="24"/>
        <v>0</v>
      </c>
      <c r="Q64" s="272">
        <f t="shared" si="25"/>
        <v>0</v>
      </c>
      <c r="R64" s="439">
        <f t="shared" si="26"/>
        <v>0</v>
      </c>
      <c r="T64" s="224"/>
    </row>
    <row r="65" spans="1:32" s="273" customFormat="1" hidden="1" x14ac:dyDescent="0.25">
      <c r="A65" s="350"/>
      <c r="B65" s="317"/>
      <c r="C65" s="318">
        <v>2</v>
      </c>
      <c r="D65" s="83" t="s">
        <v>105</v>
      </c>
      <c r="E65" s="242">
        <v>1</v>
      </c>
      <c r="F65" s="302">
        <v>1</v>
      </c>
      <c r="G65" s="77" t="s">
        <v>55</v>
      </c>
      <c r="H65" s="74"/>
      <c r="I65" s="74">
        <f>F65*H65</f>
        <v>0</v>
      </c>
      <c r="J65" s="74"/>
      <c r="K65" s="74">
        <f t="shared" ref="K65" si="40">F65*J65</f>
        <v>0</v>
      </c>
      <c r="L65" s="72">
        <f t="shared" ref="L65" si="41">I65+K65</f>
        <v>0</v>
      </c>
      <c r="M65" s="74">
        <f t="shared" si="21"/>
        <v>0</v>
      </c>
      <c r="N65" s="74">
        <f t="shared" si="22"/>
        <v>0</v>
      </c>
      <c r="O65" s="72">
        <f t="shared" si="23"/>
        <v>0</v>
      </c>
      <c r="P65" s="205">
        <f t="shared" si="24"/>
        <v>0</v>
      </c>
      <c r="Q65" s="272">
        <f t="shared" si="25"/>
        <v>0</v>
      </c>
      <c r="R65" s="439">
        <f t="shared" si="26"/>
        <v>0</v>
      </c>
      <c r="T65" s="224"/>
    </row>
    <row r="66" spans="1:32" s="273" customFormat="1" hidden="1" x14ac:dyDescent="0.25">
      <c r="A66" s="350"/>
      <c r="B66" s="319"/>
      <c r="C66" s="318"/>
      <c r="D66" s="83" t="s">
        <v>325</v>
      </c>
      <c r="E66" s="242"/>
      <c r="F66" s="302"/>
      <c r="G66" s="75"/>
      <c r="H66" s="74"/>
      <c r="I66" s="74"/>
      <c r="J66" s="74"/>
      <c r="K66" s="74"/>
      <c r="L66" s="74"/>
      <c r="M66" s="74">
        <f t="shared" si="21"/>
        <v>0</v>
      </c>
      <c r="N66" s="74">
        <f t="shared" si="22"/>
        <v>0</v>
      </c>
      <c r="O66" s="72">
        <f t="shared" si="23"/>
        <v>0</v>
      </c>
      <c r="P66" s="205">
        <f t="shared" si="24"/>
        <v>0</v>
      </c>
      <c r="Q66" s="272">
        <f t="shared" si="25"/>
        <v>0</v>
      </c>
      <c r="R66" s="439">
        <f t="shared" si="26"/>
        <v>0</v>
      </c>
      <c r="T66" s="224"/>
      <c r="AD66" s="224"/>
      <c r="AF66" s="224"/>
    </row>
    <row r="67" spans="1:32" s="273" customFormat="1" x14ac:dyDescent="0.25">
      <c r="A67" s="350"/>
      <c r="B67" s="317"/>
      <c r="C67" s="318">
        <v>3</v>
      </c>
      <c r="D67" s="83" t="s">
        <v>106</v>
      </c>
      <c r="E67" s="242">
        <v>2</v>
      </c>
      <c r="F67" s="302">
        <v>2</v>
      </c>
      <c r="G67" s="77" t="s">
        <v>28</v>
      </c>
      <c r="H67" s="74">
        <f>(4000+1750+1000)/1.03</f>
        <v>6553.3980582524273</v>
      </c>
      <c r="I67" s="74">
        <f t="shared" ref="I67:I72" si="42">F67*H67</f>
        <v>13106.796116504855</v>
      </c>
      <c r="J67" s="74">
        <v>700</v>
      </c>
      <c r="K67" s="74">
        <f t="shared" ref="K67:K72" si="43">F67*J67</f>
        <v>1400</v>
      </c>
      <c r="L67" s="72">
        <f t="shared" ref="L67:L72" si="44">I67+K67</f>
        <v>14506.796116504855</v>
      </c>
      <c r="M67" s="74">
        <f t="shared" si="21"/>
        <v>9110.3704534858807</v>
      </c>
      <c r="N67" s="74">
        <f t="shared" si="22"/>
        <v>973.12253288345482</v>
      </c>
      <c r="O67" s="72">
        <f t="shared" si="23"/>
        <v>10083.492986369336</v>
      </c>
      <c r="P67" s="205">
        <f t="shared" si="24"/>
        <v>20166.985972738672</v>
      </c>
      <c r="Q67" s="272">
        <f t="shared" si="25"/>
        <v>20166.985972738672</v>
      </c>
      <c r="R67" s="439">
        <f t="shared" si="26"/>
        <v>0</v>
      </c>
      <c r="T67" s="224"/>
      <c r="W67" s="878" t="s">
        <v>254</v>
      </c>
      <c r="X67" s="878"/>
      <c r="Y67" s="878"/>
      <c r="Z67" s="124" t="s">
        <v>255</v>
      </c>
      <c r="AA67" s="661">
        <v>0.25</v>
      </c>
      <c r="AB67" s="661">
        <v>0.35</v>
      </c>
      <c r="AC67" s="123">
        <f>37/1.06</f>
        <v>34.905660377358487</v>
      </c>
      <c r="AD67" s="196">
        <f>AC67*AB67</f>
        <v>12.216981132075469</v>
      </c>
      <c r="AE67" s="661"/>
      <c r="AF67" s="219">
        <f>AE67*AB67</f>
        <v>0</v>
      </c>
    </row>
    <row r="68" spans="1:32" s="273" customFormat="1" x14ac:dyDescent="0.25">
      <c r="A68" s="350"/>
      <c r="B68" s="317"/>
      <c r="C68" s="318">
        <v>4</v>
      </c>
      <c r="D68" s="83" t="s">
        <v>107</v>
      </c>
      <c r="E68" s="242">
        <v>4</v>
      </c>
      <c r="F68" s="302">
        <v>4</v>
      </c>
      <c r="G68" s="77" t="s">
        <v>28</v>
      </c>
      <c r="H68" s="74">
        <f>(4000+1750+1000)/1.03</f>
        <v>6553.3980582524273</v>
      </c>
      <c r="I68" s="74">
        <f t="shared" si="42"/>
        <v>26213.592233009709</v>
      </c>
      <c r="J68" s="74">
        <f>J67</f>
        <v>700</v>
      </c>
      <c r="K68" s="74">
        <f t="shared" si="43"/>
        <v>2800</v>
      </c>
      <c r="L68" s="72">
        <f t="shared" si="44"/>
        <v>29013.592233009709</v>
      </c>
      <c r="M68" s="74">
        <f t="shared" si="21"/>
        <v>9110.3704534858807</v>
      </c>
      <c r="N68" s="74">
        <f t="shared" si="22"/>
        <v>973.12253288345482</v>
      </c>
      <c r="O68" s="72">
        <f t="shared" si="23"/>
        <v>10083.492986369336</v>
      </c>
      <c r="P68" s="205">
        <f t="shared" si="24"/>
        <v>40333.971945477344</v>
      </c>
      <c r="Q68" s="272">
        <f t="shared" si="25"/>
        <v>40333.971945477344</v>
      </c>
      <c r="R68" s="439">
        <f t="shared" si="26"/>
        <v>0</v>
      </c>
      <c r="T68" s="224"/>
      <c r="W68" s="878" t="s">
        <v>256</v>
      </c>
      <c r="X68" s="878"/>
      <c r="Y68" s="878"/>
      <c r="Z68" s="124" t="s">
        <v>257</v>
      </c>
      <c r="AA68" s="661">
        <v>1</v>
      </c>
      <c r="AB68" s="661">
        <v>1</v>
      </c>
      <c r="AC68" s="123">
        <f>AN59</f>
        <v>0</v>
      </c>
      <c r="AD68" s="196">
        <f>AC68*AB68</f>
        <v>0</v>
      </c>
      <c r="AE68" s="661"/>
      <c r="AF68" s="219">
        <f>AE68*AB68</f>
        <v>0</v>
      </c>
    </row>
    <row r="69" spans="1:32" s="273" customFormat="1" x14ac:dyDescent="0.25">
      <c r="A69" s="350"/>
      <c r="B69" s="317"/>
      <c r="C69" s="318">
        <v>5</v>
      </c>
      <c r="D69" s="83" t="s">
        <v>326</v>
      </c>
      <c r="E69" s="242">
        <v>7</v>
      </c>
      <c r="F69" s="302">
        <v>7</v>
      </c>
      <c r="G69" s="77" t="s">
        <v>28</v>
      </c>
      <c r="H69" s="74">
        <f>(6000+1750+1000)/1.03</f>
        <v>8495.1456310679605</v>
      </c>
      <c r="I69" s="74">
        <f t="shared" si="42"/>
        <v>59466.01941747572</v>
      </c>
      <c r="J69" s="74">
        <f>J68</f>
        <v>700</v>
      </c>
      <c r="K69" s="74">
        <f t="shared" si="43"/>
        <v>4900</v>
      </c>
      <c r="L69" s="72">
        <f t="shared" si="44"/>
        <v>64366.01941747572</v>
      </c>
      <c r="M69" s="74">
        <f t="shared" si="21"/>
        <v>11809.739476740957</v>
      </c>
      <c r="N69" s="74">
        <f t="shared" si="22"/>
        <v>973.12253288345482</v>
      </c>
      <c r="O69" s="72">
        <f t="shared" si="23"/>
        <v>12782.862009624412</v>
      </c>
      <c r="P69" s="205">
        <f t="shared" si="24"/>
        <v>89480.034067370885</v>
      </c>
      <c r="Q69" s="272">
        <f t="shared" si="25"/>
        <v>89480.034067370871</v>
      </c>
      <c r="R69" s="439">
        <f t="shared" si="26"/>
        <v>0</v>
      </c>
      <c r="T69" s="224"/>
      <c r="W69" s="126"/>
      <c r="X69" s="126"/>
      <c r="Y69" s="126"/>
      <c r="Z69" s="126"/>
      <c r="AA69" s="661"/>
      <c r="AB69" s="661"/>
      <c r="AC69" s="123"/>
      <c r="AD69" s="212">
        <f>SUM(AD65:AD68)</f>
        <v>12.216981132075469</v>
      </c>
      <c r="AE69" s="662"/>
      <c r="AF69" s="212">
        <f>SUM(AF65:AF68)</f>
        <v>0</v>
      </c>
    </row>
    <row r="70" spans="1:32" s="273" customFormat="1" x14ac:dyDescent="0.25">
      <c r="A70" s="350"/>
      <c r="B70" s="317"/>
      <c r="C70" s="318">
        <v>6</v>
      </c>
      <c r="D70" s="83" t="s">
        <v>327</v>
      </c>
      <c r="E70" s="242">
        <v>1</v>
      </c>
      <c r="F70" s="302">
        <v>1</v>
      </c>
      <c r="G70" s="77" t="s">
        <v>55</v>
      </c>
      <c r="H70" s="74">
        <f>(6000+1750+1000)/1.03</f>
        <v>8495.1456310679605</v>
      </c>
      <c r="I70" s="74">
        <f t="shared" si="42"/>
        <v>8495.1456310679605</v>
      </c>
      <c r="J70" s="74">
        <f>J69</f>
        <v>700</v>
      </c>
      <c r="K70" s="74">
        <f t="shared" si="43"/>
        <v>700</v>
      </c>
      <c r="L70" s="72">
        <f t="shared" si="44"/>
        <v>9195.1456310679605</v>
      </c>
      <c r="M70" s="74">
        <f t="shared" si="21"/>
        <v>11809.739476740957</v>
      </c>
      <c r="N70" s="74">
        <f t="shared" si="22"/>
        <v>973.12253288345482</v>
      </c>
      <c r="O70" s="72">
        <f t="shared" si="23"/>
        <v>12782.862009624412</v>
      </c>
      <c r="P70" s="205">
        <f t="shared" si="24"/>
        <v>12782.862009624412</v>
      </c>
      <c r="Q70" s="272">
        <f t="shared" si="25"/>
        <v>12782.86200962441</v>
      </c>
      <c r="R70" s="439">
        <f t="shared" si="26"/>
        <v>0</v>
      </c>
      <c r="T70" s="224"/>
      <c r="AD70" s="224"/>
      <c r="AF70" s="224"/>
    </row>
    <row r="71" spans="1:32" s="273" customFormat="1" x14ac:dyDescent="0.25">
      <c r="A71" s="350"/>
      <c r="B71" s="317"/>
      <c r="C71" s="318">
        <v>7</v>
      </c>
      <c r="D71" s="83" t="s">
        <v>328</v>
      </c>
      <c r="E71" s="242">
        <v>2</v>
      </c>
      <c r="F71" s="302">
        <v>2</v>
      </c>
      <c r="G71" s="77" t="s">
        <v>28</v>
      </c>
      <c r="H71" s="74">
        <f>(5000+1550+1000)/1.03</f>
        <v>7330.0970873786409</v>
      </c>
      <c r="I71" s="74">
        <f t="shared" si="42"/>
        <v>14660.194174757282</v>
      </c>
      <c r="J71" s="74">
        <v>650</v>
      </c>
      <c r="K71" s="74">
        <f t="shared" si="43"/>
        <v>1300</v>
      </c>
      <c r="L71" s="72">
        <f t="shared" si="44"/>
        <v>15960.194174757282</v>
      </c>
      <c r="M71" s="74">
        <f t="shared" si="21"/>
        <v>10190.118062787913</v>
      </c>
      <c r="N71" s="74">
        <f t="shared" si="22"/>
        <v>903.61378053463659</v>
      </c>
      <c r="O71" s="72">
        <f t="shared" si="23"/>
        <v>11093.73184332255</v>
      </c>
      <c r="P71" s="205">
        <f t="shared" si="24"/>
        <v>22187.4636866451</v>
      </c>
      <c r="Q71" s="272">
        <f t="shared" si="25"/>
        <v>22187.463686645096</v>
      </c>
      <c r="R71" s="439">
        <f t="shared" si="26"/>
        <v>0</v>
      </c>
      <c r="T71" s="224"/>
      <c r="W71" s="904" t="s">
        <v>295</v>
      </c>
      <c r="X71" s="904"/>
      <c r="Y71" s="904"/>
      <c r="Z71" s="662" t="s">
        <v>243</v>
      </c>
      <c r="AA71" s="662" t="s">
        <v>244</v>
      </c>
      <c r="AB71" s="662" t="s">
        <v>245</v>
      </c>
      <c r="AC71" s="123" t="s">
        <v>246</v>
      </c>
      <c r="AD71" s="196" t="s">
        <v>247</v>
      </c>
      <c r="AE71" s="662" t="s">
        <v>248</v>
      </c>
      <c r="AF71" s="212" t="s">
        <v>249</v>
      </c>
    </row>
    <row r="72" spans="1:32" s="273" customFormat="1" x14ac:dyDescent="0.25">
      <c r="A72" s="350"/>
      <c r="B72" s="317"/>
      <c r="C72" s="318">
        <v>8</v>
      </c>
      <c r="D72" s="83" t="s">
        <v>111</v>
      </c>
      <c r="E72" s="242">
        <v>3</v>
      </c>
      <c r="F72" s="302">
        <v>3</v>
      </c>
      <c r="G72" s="77" t="s">
        <v>28</v>
      </c>
      <c r="H72" s="74">
        <f>8350/1.06</f>
        <v>7877.3584905660373</v>
      </c>
      <c r="I72" s="74">
        <f t="shared" si="42"/>
        <v>23632.07547169811</v>
      </c>
      <c r="J72" s="74">
        <v>700</v>
      </c>
      <c r="K72" s="74">
        <f t="shared" si="43"/>
        <v>2100</v>
      </c>
      <c r="L72" s="72">
        <f t="shared" si="44"/>
        <v>25732.07547169811</v>
      </c>
      <c r="M72" s="74">
        <f t="shared" si="21"/>
        <v>10950.907209672301</v>
      </c>
      <c r="N72" s="74">
        <f t="shared" si="22"/>
        <v>973.12253288345482</v>
      </c>
      <c r="O72" s="72">
        <f t="shared" si="23"/>
        <v>11924.029742555756</v>
      </c>
      <c r="P72" s="205">
        <f t="shared" si="24"/>
        <v>35772.089227667268</v>
      </c>
      <c r="Q72" s="272">
        <f t="shared" si="25"/>
        <v>35772.089227667268</v>
      </c>
      <c r="R72" s="439">
        <f t="shared" si="26"/>
        <v>0</v>
      </c>
      <c r="T72" s="224"/>
      <c r="W72" s="878" t="s">
        <v>271</v>
      </c>
      <c r="X72" s="878"/>
      <c r="Y72" s="878"/>
      <c r="Z72" s="124" t="s">
        <v>251</v>
      </c>
      <c r="AA72" s="661">
        <v>8.33</v>
      </c>
      <c r="AB72" s="661">
        <v>9</v>
      </c>
      <c r="AC72" s="123">
        <f>143/1.06</f>
        <v>134.90566037735849</v>
      </c>
      <c r="AD72" s="196">
        <f>AC72*AB72</f>
        <v>1214.1509433962265</v>
      </c>
      <c r="AE72" s="661">
        <v>23.9</v>
      </c>
      <c r="AF72" s="219">
        <f>AE72*AB72</f>
        <v>215.1</v>
      </c>
    </row>
    <row r="73" spans="1:32" s="273" customFormat="1" x14ac:dyDescent="0.25">
      <c r="A73" s="350"/>
      <c r="B73" s="319"/>
      <c r="C73" s="318"/>
      <c r="D73" s="83" t="s">
        <v>49</v>
      </c>
      <c r="E73" s="242"/>
      <c r="F73" s="302"/>
      <c r="G73" s="75"/>
      <c r="H73" s="74"/>
      <c r="I73" s="74"/>
      <c r="J73" s="74"/>
      <c r="K73" s="74"/>
      <c r="L73" s="74"/>
      <c r="M73" s="74">
        <f t="shared" si="21"/>
        <v>0</v>
      </c>
      <c r="N73" s="74">
        <f t="shared" si="22"/>
        <v>0</v>
      </c>
      <c r="O73" s="72">
        <f t="shared" si="23"/>
        <v>0</v>
      </c>
      <c r="P73" s="205">
        <f t="shared" si="24"/>
        <v>0</v>
      </c>
      <c r="Q73" s="272">
        <f t="shared" si="25"/>
        <v>0</v>
      </c>
      <c r="R73" s="439">
        <f t="shared" si="26"/>
        <v>0</v>
      </c>
      <c r="T73" s="224"/>
      <c r="W73" s="878" t="s">
        <v>252</v>
      </c>
      <c r="X73" s="878"/>
      <c r="Y73" s="878"/>
      <c r="Z73" s="124" t="s">
        <v>253</v>
      </c>
      <c r="AA73" s="661">
        <v>0.25</v>
      </c>
      <c r="AB73" s="661">
        <v>0.25</v>
      </c>
      <c r="AC73" s="123">
        <f>AC66</f>
        <v>0</v>
      </c>
      <c r="AD73" s="196">
        <f>AC73*AB73</f>
        <v>0</v>
      </c>
      <c r="AE73" s="661"/>
      <c r="AF73" s="219">
        <f>AE73*AB73</f>
        <v>0</v>
      </c>
    </row>
    <row r="74" spans="1:32" s="273" customFormat="1" x14ac:dyDescent="0.25">
      <c r="A74" s="350"/>
      <c r="B74" s="317"/>
      <c r="C74" s="318">
        <v>9</v>
      </c>
      <c r="D74" s="83" t="s">
        <v>112</v>
      </c>
      <c r="E74" s="242">
        <v>1</v>
      </c>
      <c r="F74" s="302">
        <v>1</v>
      </c>
      <c r="G74" s="77" t="s">
        <v>55</v>
      </c>
      <c r="H74" s="74">
        <f>9100/1.06</f>
        <v>8584.9056603773588</v>
      </c>
      <c r="I74" s="74">
        <f>F74*H74</f>
        <v>8584.9056603773588</v>
      </c>
      <c r="J74" s="74">
        <f>J72</f>
        <v>700</v>
      </c>
      <c r="K74" s="74">
        <f t="shared" ref="K74" si="45">F74*J74</f>
        <v>700</v>
      </c>
      <c r="L74" s="72">
        <f t="shared" ref="L74" si="46">I74+K74</f>
        <v>9284.9056603773588</v>
      </c>
      <c r="M74" s="74">
        <f t="shared" si="21"/>
        <v>11934.521629702749</v>
      </c>
      <c r="N74" s="74">
        <f t="shared" si="22"/>
        <v>973.12253288345482</v>
      </c>
      <c r="O74" s="72">
        <f t="shared" si="23"/>
        <v>12907.644162586204</v>
      </c>
      <c r="P74" s="205">
        <f t="shared" si="24"/>
        <v>12907.644162586204</v>
      </c>
      <c r="Q74" s="272">
        <f t="shared" si="25"/>
        <v>12907.644162586203</v>
      </c>
      <c r="R74" s="439">
        <f t="shared" si="26"/>
        <v>0</v>
      </c>
      <c r="T74" s="224"/>
      <c r="W74" s="878" t="s">
        <v>254</v>
      </c>
      <c r="X74" s="878"/>
      <c r="Y74" s="878"/>
      <c r="Z74" s="124" t="s">
        <v>255</v>
      </c>
      <c r="AA74" s="661">
        <v>0.25</v>
      </c>
      <c r="AB74" s="661">
        <v>0.35</v>
      </c>
      <c r="AC74" s="123">
        <f>37/1.06</f>
        <v>34.905660377358487</v>
      </c>
      <c r="AD74" s="196">
        <f>AC74*AB74</f>
        <v>12.216981132075469</v>
      </c>
      <c r="AE74" s="661"/>
      <c r="AF74" s="219">
        <f>AE74*AB74</f>
        <v>0</v>
      </c>
    </row>
    <row r="75" spans="1:32" s="273" customFormat="1" x14ac:dyDescent="0.25">
      <c r="A75" s="350"/>
      <c r="B75" s="319"/>
      <c r="C75" s="318"/>
      <c r="D75" s="83" t="s">
        <v>50</v>
      </c>
      <c r="E75" s="242"/>
      <c r="F75" s="302"/>
      <c r="G75" s="75"/>
      <c r="H75" s="74"/>
      <c r="I75" s="74"/>
      <c r="J75" s="74"/>
      <c r="K75" s="74"/>
      <c r="L75" s="74"/>
      <c r="M75" s="74">
        <f t="shared" si="21"/>
        <v>0</v>
      </c>
      <c r="N75" s="74">
        <f t="shared" si="22"/>
        <v>0</v>
      </c>
      <c r="O75" s="72">
        <f t="shared" si="23"/>
        <v>0</v>
      </c>
      <c r="P75" s="205">
        <f t="shared" si="24"/>
        <v>0</v>
      </c>
      <c r="Q75" s="272">
        <f t="shared" si="25"/>
        <v>0</v>
      </c>
      <c r="R75" s="439">
        <f t="shared" si="26"/>
        <v>0</v>
      </c>
      <c r="T75" s="224"/>
      <c r="W75" s="878" t="s">
        <v>256</v>
      </c>
      <c r="X75" s="878"/>
      <c r="Y75" s="878"/>
      <c r="Z75" s="124" t="s">
        <v>257</v>
      </c>
      <c r="AA75" s="661">
        <v>1</v>
      </c>
      <c r="AB75" s="661">
        <v>1</v>
      </c>
      <c r="AC75" s="123">
        <v>0</v>
      </c>
      <c r="AD75" s="196">
        <f>AC75*AB75</f>
        <v>0</v>
      </c>
      <c r="AE75" s="661">
        <v>0</v>
      </c>
      <c r="AF75" s="219">
        <f>AE75*AB75</f>
        <v>0</v>
      </c>
    </row>
    <row r="76" spans="1:32" s="273" customFormat="1" x14ac:dyDescent="0.25">
      <c r="A76" s="350"/>
      <c r="B76" s="319"/>
      <c r="C76" s="318"/>
      <c r="D76" s="82"/>
      <c r="E76" s="242"/>
      <c r="F76" s="302"/>
      <c r="G76" s="75"/>
      <c r="H76" s="440">
        <v>1.07</v>
      </c>
      <c r="I76" s="74"/>
      <c r="J76" s="440"/>
      <c r="K76" s="74"/>
      <c r="L76" s="74"/>
      <c r="M76" s="74">
        <f t="shared" si="21"/>
        <v>1.4874873002647095</v>
      </c>
      <c r="N76" s="74">
        <f t="shared" si="22"/>
        <v>0</v>
      </c>
      <c r="O76" s="72">
        <f t="shared" si="23"/>
        <v>1.4874873002647095</v>
      </c>
      <c r="P76" s="205">
        <f t="shared" si="24"/>
        <v>0</v>
      </c>
      <c r="Q76" s="272">
        <f t="shared" si="25"/>
        <v>0</v>
      </c>
      <c r="R76" s="439">
        <f t="shared" si="26"/>
        <v>0</v>
      </c>
      <c r="T76" s="224"/>
      <c r="AD76" s="224"/>
      <c r="AF76" s="224"/>
    </row>
    <row r="77" spans="1:32" s="273" customFormat="1" x14ac:dyDescent="0.25">
      <c r="A77" s="411"/>
      <c r="B77" s="412" t="s">
        <v>329</v>
      </c>
      <c r="C77" s="413" t="s">
        <v>510</v>
      </c>
      <c r="D77" s="82"/>
      <c r="E77" s="242"/>
      <c r="F77" s="302"/>
      <c r="G77" s="75"/>
      <c r="H77" s="74"/>
      <c r="I77" s="74"/>
      <c r="J77" s="74"/>
      <c r="K77" s="74"/>
      <c r="L77" s="74"/>
      <c r="M77" s="74">
        <f t="shared" si="21"/>
        <v>0</v>
      </c>
      <c r="N77" s="74">
        <f t="shared" si="22"/>
        <v>0</v>
      </c>
      <c r="O77" s="72">
        <f t="shared" si="23"/>
        <v>0</v>
      </c>
      <c r="P77" s="205">
        <f t="shared" si="24"/>
        <v>0</v>
      </c>
      <c r="Q77" s="272">
        <f t="shared" si="25"/>
        <v>0</v>
      </c>
      <c r="R77" s="439">
        <f t="shared" si="26"/>
        <v>0</v>
      </c>
      <c r="T77" s="224"/>
      <c r="AD77" s="224"/>
      <c r="AF77" s="224"/>
    </row>
    <row r="78" spans="1:32" s="273" customFormat="1" ht="15" hidden="1" customHeight="1" x14ac:dyDescent="0.25">
      <c r="A78" s="350"/>
      <c r="B78" s="317"/>
      <c r="C78" s="318">
        <v>1</v>
      </c>
      <c r="D78" s="84" t="s">
        <v>113</v>
      </c>
      <c r="E78" s="243">
        <v>1</v>
      </c>
      <c r="F78" s="302">
        <v>1</v>
      </c>
      <c r="G78" s="77" t="s">
        <v>55</v>
      </c>
      <c r="H78" s="72"/>
      <c r="I78" s="74">
        <f>F78*H78</f>
        <v>0</v>
      </c>
      <c r="J78" s="72"/>
      <c r="K78" s="74">
        <f t="shared" ref="K78" si="47">F78*J78</f>
        <v>0</v>
      </c>
      <c r="L78" s="72">
        <f t="shared" ref="L78" si="48">I78+K78</f>
        <v>0</v>
      </c>
      <c r="M78" s="74">
        <f t="shared" si="21"/>
        <v>0</v>
      </c>
      <c r="N78" s="74">
        <f t="shared" si="22"/>
        <v>0</v>
      </c>
      <c r="O78" s="72">
        <f t="shared" si="23"/>
        <v>0</v>
      </c>
      <c r="P78" s="205">
        <f t="shared" si="24"/>
        <v>0</v>
      </c>
      <c r="Q78" s="272">
        <f t="shared" si="25"/>
        <v>0</v>
      </c>
      <c r="R78" s="439">
        <f t="shared" si="26"/>
        <v>0</v>
      </c>
      <c r="S78" s="72">
        <f>278766*0.85</f>
        <v>236951.1</v>
      </c>
      <c r="T78" s="72">
        <f>278766*0.15</f>
        <v>41814.9</v>
      </c>
    </row>
    <row r="79" spans="1:32" s="273" customFormat="1" ht="15" hidden="1" customHeight="1" x14ac:dyDescent="0.25">
      <c r="A79" s="350"/>
      <c r="B79" s="319"/>
      <c r="C79" s="318"/>
      <c r="D79" s="84" t="s">
        <v>54</v>
      </c>
      <c r="E79" s="243"/>
      <c r="F79" s="302"/>
      <c r="G79" s="77"/>
      <c r="H79" s="74"/>
      <c r="I79" s="74"/>
      <c r="J79" s="74"/>
      <c r="K79" s="74"/>
      <c r="L79" s="74"/>
      <c r="M79" s="74">
        <f t="shared" si="21"/>
        <v>0</v>
      </c>
      <c r="N79" s="74">
        <f t="shared" si="22"/>
        <v>0</v>
      </c>
      <c r="O79" s="72">
        <f t="shared" si="23"/>
        <v>0</v>
      </c>
      <c r="P79" s="205">
        <f t="shared" si="24"/>
        <v>0</v>
      </c>
      <c r="Q79" s="272">
        <f t="shared" si="25"/>
        <v>0</v>
      </c>
      <c r="R79" s="439">
        <f t="shared" si="26"/>
        <v>0</v>
      </c>
      <c r="S79" s="74"/>
      <c r="T79" s="74"/>
    </row>
    <row r="80" spans="1:32" s="273" customFormat="1" ht="15" hidden="1" customHeight="1" x14ac:dyDescent="0.25">
      <c r="A80" s="350"/>
      <c r="B80" s="317"/>
      <c r="C80" s="318">
        <v>2</v>
      </c>
      <c r="D80" s="84" t="s">
        <v>114</v>
      </c>
      <c r="E80" s="243">
        <v>1</v>
      </c>
      <c r="F80" s="302">
        <v>1</v>
      </c>
      <c r="G80" s="77" t="s">
        <v>55</v>
      </c>
      <c r="H80" s="72"/>
      <c r="I80" s="74">
        <f>F80*H80</f>
        <v>0</v>
      </c>
      <c r="J80" s="72"/>
      <c r="K80" s="74">
        <f t="shared" ref="K80" si="49">F80*J80</f>
        <v>0</v>
      </c>
      <c r="L80" s="72">
        <f t="shared" ref="L80" si="50">I80+K80</f>
        <v>0</v>
      </c>
      <c r="M80" s="74">
        <f t="shared" si="21"/>
        <v>0</v>
      </c>
      <c r="N80" s="74">
        <f t="shared" si="22"/>
        <v>0</v>
      </c>
      <c r="O80" s="72">
        <f t="shared" si="23"/>
        <v>0</v>
      </c>
      <c r="P80" s="205">
        <f t="shared" si="24"/>
        <v>0</v>
      </c>
      <c r="Q80" s="272">
        <f t="shared" si="25"/>
        <v>0</v>
      </c>
      <c r="R80" s="439">
        <f t="shared" si="26"/>
        <v>0</v>
      </c>
      <c r="S80" s="72">
        <f>120447*0.85</f>
        <v>102379.95</v>
      </c>
      <c r="T80" s="72">
        <f>120447*0.15</f>
        <v>18067.05</v>
      </c>
    </row>
    <row r="81" spans="1:20" s="273" customFormat="1" ht="15" hidden="1" customHeight="1" x14ac:dyDescent="0.25">
      <c r="A81" s="350"/>
      <c r="B81" s="319"/>
      <c r="C81" s="318"/>
      <c r="D81" s="84" t="s">
        <v>37</v>
      </c>
      <c r="E81" s="243"/>
      <c r="F81" s="302"/>
      <c r="G81" s="77"/>
      <c r="H81" s="74"/>
      <c r="I81" s="74"/>
      <c r="J81" s="74"/>
      <c r="K81" s="74"/>
      <c r="L81" s="74"/>
      <c r="M81" s="74">
        <f t="shared" si="21"/>
        <v>0</v>
      </c>
      <c r="N81" s="74">
        <f t="shared" si="22"/>
        <v>0</v>
      </c>
      <c r="O81" s="72">
        <f t="shared" si="23"/>
        <v>0</v>
      </c>
      <c r="P81" s="205">
        <f t="shared" si="24"/>
        <v>0</v>
      </c>
      <c r="Q81" s="272">
        <f t="shared" si="25"/>
        <v>0</v>
      </c>
      <c r="R81" s="439">
        <f t="shared" si="26"/>
        <v>0</v>
      </c>
      <c r="S81" s="74"/>
      <c r="T81" s="74"/>
    </row>
    <row r="82" spans="1:20" s="273" customFormat="1" ht="15" hidden="1" customHeight="1" x14ac:dyDescent="0.25">
      <c r="A82" s="350"/>
      <c r="B82" s="317"/>
      <c r="C82" s="318">
        <v>3</v>
      </c>
      <c r="D82" s="84" t="s">
        <v>115</v>
      </c>
      <c r="E82" s="243">
        <v>1</v>
      </c>
      <c r="F82" s="302">
        <v>1</v>
      </c>
      <c r="G82" s="77" t="s">
        <v>55</v>
      </c>
      <c r="H82" s="72"/>
      <c r="I82" s="74">
        <f>F82*H82</f>
        <v>0</v>
      </c>
      <c r="J82" s="72"/>
      <c r="K82" s="74">
        <f t="shared" ref="K82" si="51">F82*J82</f>
        <v>0</v>
      </c>
      <c r="L82" s="72">
        <f t="shared" ref="L82" si="52">I82+K82</f>
        <v>0</v>
      </c>
      <c r="M82" s="74">
        <f t="shared" si="21"/>
        <v>0</v>
      </c>
      <c r="N82" s="74">
        <f t="shared" si="22"/>
        <v>0</v>
      </c>
      <c r="O82" s="72">
        <f t="shared" si="23"/>
        <v>0</v>
      </c>
      <c r="P82" s="205">
        <f t="shared" si="24"/>
        <v>0</v>
      </c>
      <c r="Q82" s="272">
        <f t="shared" si="25"/>
        <v>0</v>
      </c>
      <c r="R82" s="439">
        <f t="shared" si="26"/>
        <v>0</v>
      </c>
      <c r="S82" s="72">
        <f>95427.5*0.85</f>
        <v>81113.375</v>
      </c>
      <c r="T82" s="72">
        <f>95427.5*0.15</f>
        <v>14314.125</v>
      </c>
    </row>
    <row r="83" spans="1:20" s="273" customFormat="1" ht="15" hidden="1" customHeight="1" x14ac:dyDescent="0.25">
      <c r="A83" s="350"/>
      <c r="B83" s="319"/>
      <c r="C83" s="318"/>
      <c r="D83" s="84" t="s">
        <v>37</v>
      </c>
      <c r="E83" s="243"/>
      <c r="F83" s="302"/>
      <c r="G83" s="77"/>
      <c r="H83" s="74"/>
      <c r="I83" s="74"/>
      <c r="J83" s="74"/>
      <c r="K83" s="74"/>
      <c r="L83" s="74"/>
      <c r="M83" s="74">
        <f t="shared" si="21"/>
        <v>0</v>
      </c>
      <c r="N83" s="74">
        <f t="shared" si="22"/>
        <v>0</v>
      </c>
      <c r="O83" s="72">
        <f t="shared" si="23"/>
        <v>0</v>
      </c>
      <c r="P83" s="205">
        <f t="shared" si="24"/>
        <v>0</v>
      </c>
      <c r="Q83" s="272">
        <f t="shared" si="25"/>
        <v>0</v>
      </c>
      <c r="R83" s="439">
        <f t="shared" si="26"/>
        <v>0</v>
      </c>
      <c r="S83" s="74"/>
      <c r="T83" s="74"/>
    </row>
    <row r="84" spans="1:20" s="273" customFormat="1" ht="15" hidden="1" customHeight="1" x14ac:dyDescent="0.25">
      <c r="A84" s="350"/>
      <c r="B84" s="317"/>
      <c r="C84" s="318">
        <v>4</v>
      </c>
      <c r="D84" s="84" t="s">
        <v>116</v>
      </c>
      <c r="E84" s="243">
        <v>1</v>
      </c>
      <c r="F84" s="302">
        <v>1</v>
      </c>
      <c r="G84" s="77" t="s">
        <v>55</v>
      </c>
      <c r="H84" s="72"/>
      <c r="I84" s="74">
        <f>F84*H84</f>
        <v>0</v>
      </c>
      <c r="J84" s="72"/>
      <c r="K84" s="74">
        <f t="shared" ref="K84" si="53">F84*J84</f>
        <v>0</v>
      </c>
      <c r="L84" s="72">
        <f t="shared" ref="L84" si="54">I84+K84</f>
        <v>0</v>
      </c>
      <c r="M84" s="74">
        <f t="shared" si="21"/>
        <v>0</v>
      </c>
      <c r="N84" s="74">
        <f t="shared" si="22"/>
        <v>0</v>
      </c>
      <c r="O84" s="72">
        <f t="shared" si="23"/>
        <v>0</v>
      </c>
      <c r="P84" s="205">
        <f t="shared" si="24"/>
        <v>0</v>
      </c>
      <c r="Q84" s="272">
        <f t="shared" si="25"/>
        <v>0</v>
      </c>
      <c r="R84" s="439">
        <f t="shared" si="26"/>
        <v>0</v>
      </c>
      <c r="S84" s="72">
        <f>45342*0.85</f>
        <v>38540.699999999997</v>
      </c>
      <c r="T84" s="72">
        <f>45342*0.15</f>
        <v>6801.3</v>
      </c>
    </row>
    <row r="85" spans="1:20" s="273" customFormat="1" ht="15" hidden="1" customHeight="1" x14ac:dyDescent="0.25">
      <c r="A85" s="350"/>
      <c r="B85" s="319"/>
      <c r="C85" s="318"/>
      <c r="D85" s="84" t="s">
        <v>37</v>
      </c>
      <c r="E85" s="243"/>
      <c r="F85" s="302"/>
      <c r="G85" s="77"/>
      <c r="H85" s="74"/>
      <c r="I85" s="74"/>
      <c r="J85" s="74"/>
      <c r="K85" s="74"/>
      <c r="L85" s="74"/>
      <c r="M85" s="74">
        <f t="shared" si="21"/>
        <v>0</v>
      </c>
      <c r="N85" s="74">
        <f t="shared" si="22"/>
        <v>0</v>
      </c>
      <c r="O85" s="72">
        <f t="shared" si="23"/>
        <v>0</v>
      </c>
      <c r="P85" s="205">
        <f t="shared" si="24"/>
        <v>0</v>
      </c>
      <c r="Q85" s="272">
        <f t="shared" si="25"/>
        <v>0</v>
      </c>
      <c r="R85" s="439">
        <f t="shared" si="26"/>
        <v>0</v>
      </c>
      <c r="S85" s="74"/>
      <c r="T85" s="74"/>
    </row>
    <row r="86" spans="1:20" s="273" customFormat="1" ht="15" hidden="1" customHeight="1" x14ac:dyDescent="0.25">
      <c r="A86" s="350"/>
      <c r="B86" s="317"/>
      <c r="C86" s="318">
        <v>5</v>
      </c>
      <c r="D86" s="84" t="s">
        <v>117</v>
      </c>
      <c r="E86" s="243">
        <v>2</v>
      </c>
      <c r="F86" s="302">
        <v>2</v>
      </c>
      <c r="G86" s="77" t="s">
        <v>28</v>
      </c>
      <c r="H86" s="72"/>
      <c r="I86" s="74">
        <f>F86*H86</f>
        <v>0</v>
      </c>
      <c r="J86" s="72"/>
      <c r="K86" s="74">
        <f t="shared" ref="K86" si="55">F86*J86</f>
        <v>0</v>
      </c>
      <c r="L86" s="72">
        <f t="shared" ref="L86" si="56">I86+K86</f>
        <v>0</v>
      </c>
      <c r="M86" s="74">
        <f t="shared" si="21"/>
        <v>0</v>
      </c>
      <c r="N86" s="74">
        <f t="shared" si="22"/>
        <v>0</v>
      </c>
      <c r="O86" s="72">
        <f t="shared" si="23"/>
        <v>0</v>
      </c>
      <c r="P86" s="205">
        <f t="shared" si="24"/>
        <v>0</v>
      </c>
      <c r="Q86" s="272">
        <f t="shared" si="25"/>
        <v>0</v>
      </c>
      <c r="R86" s="439">
        <f t="shared" si="26"/>
        <v>0</v>
      </c>
      <c r="S86" s="74">
        <f>14025*0.85*0.9</f>
        <v>10729.125</v>
      </c>
      <c r="T86" s="74">
        <f>14025*0.15*0.9</f>
        <v>1893.375</v>
      </c>
    </row>
    <row r="87" spans="1:20" s="273" customFormat="1" ht="15" hidden="1" customHeight="1" x14ac:dyDescent="0.25">
      <c r="A87" s="350"/>
      <c r="B87" s="319"/>
      <c r="C87" s="318"/>
      <c r="D87" s="84" t="s">
        <v>38</v>
      </c>
      <c r="E87" s="243"/>
      <c r="F87" s="302"/>
      <c r="G87" s="75"/>
      <c r="H87" s="74"/>
      <c r="I87" s="74"/>
      <c r="J87" s="74"/>
      <c r="K87" s="74"/>
      <c r="L87" s="74"/>
      <c r="M87" s="74">
        <f t="shared" si="21"/>
        <v>0</v>
      </c>
      <c r="N87" s="74">
        <f t="shared" si="22"/>
        <v>0</v>
      </c>
      <c r="O87" s="72">
        <f t="shared" si="23"/>
        <v>0</v>
      </c>
      <c r="P87" s="205">
        <f t="shared" si="24"/>
        <v>0</v>
      </c>
      <c r="Q87" s="272">
        <f t="shared" si="25"/>
        <v>0</v>
      </c>
      <c r="R87" s="439">
        <f t="shared" si="26"/>
        <v>0</v>
      </c>
      <c r="S87" s="74"/>
      <c r="T87" s="74"/>
    </row>
    <row r="88" spans="1:20" s="273" customFormat="1" ht="15" hidden="1" customHeight="1" x14ac:dyDescent="0.25">
      <c r="A88" s="350"/>
      <c r="B88" s="317"/>
      <c r="C88" s="318">
        <v>6</v>
      </c>
      <c r="D88" s="83" t="s">
        <v>118</v>
      </c>
      <c r="E88" s="242">
        <v>2</v>
      </c>
      <c r="F88" s="302">
        <v>2</v>
      </c>
      <c r="G88" s="77" t="s">
        <v>28</v>
      </c>
      <c r="H88" s="72"/>
      <c r="I88" s="74">
        <f>F88*H88</f>
        <v>0</v>
      </c>
      <c r="J88" s="72"/>
      <c r="K88" s="74">
        <f t="shared" ref="K88" si="57">F88*J88</f>
        <v>0</v>
      </c>
      <c r="L88" s="72">
        <f t="shared" ref="L88" si="58">I88+K88</f>
        <v>0</v>
      </c>
      <c r="M88" s="74">
        <f t="shared" si="21"/>
        <v>0</v>
      </c>
      <c r="N88" s="74">
        <f t="shared" si="22"/>
        <v>0</v>
      </c>
      <c r="O88" s="72">
        <f t="shared" si="23"/>
        <v>0</v>
      </c>
      <c r="P88" s="205">
        <f t="shared" si="24"/>
        <v>0</v>
      </c>
      <c r="Q88" s="272">
        <f t="shared" si="25"/>
        <v>0</v>
      </c>
      <c r="R88" s="439">
        <f t="shared" si="26"/>
        <v>0</v>
      </c>
      <c r="S88" s="74">
        <f>18105*0.85*0.9</f>
        <v>13850.325000000001</v>
      </c>
      <c r="T88" s="74">
        <f>18105*0.15*0.9</f>
        <v>2444.1750000000002</v>
      </c>
    </row>
    <row r="89" spans="1:20" s="273" customFormat="1" ht="15" hidden="1" customHeight="1" x14ac:dyDescent="0.25">
      <c r="A89" s="350"/>
      <c r="B89" s="319"/>
      <c r="C89" s="318"/>
      <c r="D89" s="83" t="s">
        <v>51</v>
      </c>
      <c r="E89" s="242"/>
      <c r="F89" s="302"/>
      <c r="G89" s="75"/>
      <c r="H89" s="74"/>
      <c r="I89" s="74"/>
      <c r="J89" s="74"/>
      <c r="K89" s="74"/>
      <c r="L89" s="74"/>
      <c r="M89" s="74">
        <f t="shared" si="21"/>
        <v>0</v>
      </c>
      <c r="N89" s="74">
        <f t="shared" si="22"/>
        <v>0</v>
      </c>
      <c r="O89" s="72">
        <f t="shared" si="23"/>
        <v>0</v>
      </c>
      <c r="P89" s="205">
        <f t="shared" si="24"/>
        <v>0</v>
      </c>
      <c r="Q89" s="272">
        <f t="shared" si="25"/>
        <v>0</v>
      </c>
      <c r="R89" s="439">
        <f t="shared" si="26"/>
        <v>0</v>
      </c>
      <c r="S89" s="74"/>
      <c r="T89" s="74"/>
    </row>
    <row r="90" spans="1:20" s="273" customFormat="1" ht="15" hidden="1" customHeight="1" x14ac:dyDescent="0.25">
      <c r="A90" s="350"/>
      <c r="B90" s="317"/>
      <c r="C90" s="318">
        <v>7</v>
      </c>
      <c r="D90" s="83" t="s">
        <v>119</v>
      </c>
      <c r="E90" s="242">
        <v>4</v>
      </c>
      <c r="F90" s="302">
        <v>4</v>
      </c>
      <c r="G90" s="77" t="s">
        <v>28</v>
      </c>
      <c r="H90" s="72"/>
      <c r="I90" s="74">
        <f>F90*H90</f>
        <v>0</v>
      </c>
      <c r="J90" s="72"/>
      <c r="K90" s="74">
        <f t="shared" ref="K90" si="59">F90*J90</f>
        <v>0</v>
      </c>
      <c r="L90" s="72">
        <f t="shared" ref="L90" si="60">I90+K90</f>
        <v>0</v>
      </c>
      <c r="M90" s="74">
        <f t="shared" si="21"/>
        <v>0</v>
      </c>
      <c r="N90" s="74">
        <f t="shared" si="22"/>
        <v>0</v>
      </c>
      <c r="O90" s="72">
        <f t="shared" si="23"/>
        <v>0</v>
      </c>
      <c r="P90" s="205">
        <f t="shared" si="24"/>
        <v>0</v>
      </c>
      <c r="Q90" s="272">
        <f t="shared" si="25"/>
        <v>0</v>
      </c>
      <c r="R90" s="439">
        <f t="shared" si="26"/>
        <v>0</v>
      </c>
      <c r="S90" s="74">
        <f>9180*0.85*0.9</f>
        <v>7022.7</v>
      </c>
      <c r="T90" s="74">
        <f>9180*0.15*0.9</f>
        <v>1239.3</v>
      </c>
    </row>
    <row r="91" spans="1:20" s="273" customFormat="1" ht="15" hidden="1" customHeight="1" x14ac:dyDescent="0.25">
      <c r="A91" s="350"/>
      <c r="B91" s="319"/>
      <c r="C91" s="318"/>
      <c r="D91" s="83" t="s">
        <v>38</v>
      </c>
      <c r="E91" s="242"/>
      <c r="F91" s="302"/>
      <c r="G91" s="75"/>
      <c r="H91" s="74"/>
      <c r="I91" s="74"/>
      <c r="J91" s="74"/>
      <c r="K91" s="74"/>
      <c r="L91" s="74"/>
      <c r="M91" s="74">
        <f t="shared" si="21"/>
        <v>0</v>
      </c>
      <c r="N91" s="74">
        <f t="shared" si="22"/>
        <v>0</v>
      </c>
      <c r="O91" s="72">
        <f t="shared" si="23"/>
        <v>0</v>
      </c>
      <c r="P91" s="205">
        <f t="shared" si="24"/>
        <v>0</v>
      </c>
      <c r="Q91" s="272">
        <f t="shared" si="25"/>
        <v>0</v>
      </c>
      <c r="R91" s="439">
        <f t="shared" si="26"/>
        <v>0</v>
      </c>
      <c r="S91" s="74"/>
      <c r="T91" s="74"/>
    </row>
    <row r="92" spans="1:20" s="273" customFormat="1" ht="15" hidden="1" customHeight="1" x14ac:dyDescent="0.25">
      <c r="A92" s="350"/>
      <c r="B92" s="317"/>
      <c r="C92" s="318">
        <v>8</v>
      </c>
      <c r="D92" s="83" t="s">
        <v>120</v>
      </c>
      <c r="E92" s="242">
        <v>1</v>
      </c>
      <c r="F92" s="302">
        <v>1</v>
      </c>
      <c r="G92" s="77" t="s">
        <v>55</v>
      </c>
      <c r="H92" s="72"/>
      <c r="I92" s="74">
        <f>F92*H92</f>
        <v>0</v>
      </c>
      <c r="J92" s="72"/>
      <c r="K92" s="74">
        <f t="shared" ref="K92" si="61">F92*J92</f>
        <v>0</v>
      </c>
      <c r="L92" s="72">
        <f t="shared" ref="L92" si="62">I92+K92</f>
        <v>0</v>
      </c>
      <c r="M92" s="74">
        <f t="shared" si="21"/>
        <v>0</v>
      </c>
      <c r="N92" s="74">
        <f t="shared" si="22"/>
        <v>0</v>
      </c>
      <c r="O92" s="72">
        <f t="shared" si="23"/>
        <v>0</v>
      </c>
      <c r="P92" s="205">
        <f t="shared" si="24"/>
        <v>0</v>
      </c>
      <c r="Q92" s="272">
        <f t="shared" si="25"/>
        <v>0</v>
      </c>
      <c r="R92" s="439">
        <f t="shared" si="26"/>
        <v>0</v>
      </c>
      <c r="S92" s="74">
        <f>4590*0.85*0.9</f>
        <v>3511.35</v>
      </c>
      <c r="T92" s="74">
        <f>4590*0.15*0.9</f>
        <v>619.65</v>
      </c>
    </row>
    <row r="93" spans="1:20" s="273" customFormat="1" ht="15" hidden="1" customHeight="1" x14ac:dyDescent="0.25">
      <c r="A93" s="350"/>
      <c r="B93" s="319"/>
      <c r="C93" s="318"/>
      <c r="D93" s="83" t="s">
        <v>51</v>
      </c>
      <c r="E93" s="242"/>
      <c r="F93" s="302"/>
      <c r="G93" s="75"/>
      <c r="H93" s="74"/>
      <c r="I93" s="74"/>
      <c r="J93" s="74"/>
      <c r="K93" s="74"/>
      <c r="L93" s="74"/>
      <c r="M93" s="74">
        <f t="shared" si="21"/>
        <v>0</v>
      </c>
      <c r="N93" s="74">
        <f t="shared" si="22"/>
        <v>0</v>
      </c>
      <c r="O93" s="72">
        <f t="shared" si="23"/>
        <v>0</v>
      </c>
      <c r="P93" s="205">
        <f t="shared" si="24"/>
        <v>0</v>
      </c>
      <c r="Q93" s="272">
        <f t="shared" si="25"/>
        <v>0</v>
      </c>
      <c r="R93" s="439">
        <f t="shared" si="26"/>
        <v>0</v>
      </c>
      <c r="S93" s="74"/>
      <c r="T93" s="74"/>
    </row>
    <row r="94" spans="1:20" s="273" customFormat="1" ht="15" hidden="1" customHeight="1" x14ac:dyDescent="0.25">
      <c r="A94" s="350"/>
      <c r="B94" s="317"/>
      <c r="C94" s="318">
        <v>9</v>
      </c>
      <c r="D94" s="83" t="s">
        <v>121</v>
      </c>
      <c r="E94" s="242">
        <v>1</v>
      </c>
      <c r="F94" s="302">
        <v>1</v>
      </c>
      <c r="G94" s="77" t="s">
        <v>55</v>
      </c>
      <c r="H94" s="72"/>
      <c r="I94" s="74">
        <f>F94*H94</f>
        <v>0</v>
      </c>
      <c r="J94" s="72"/>
      <c r="K94" s="74">
        <f t="shared" ref="K94" si="63">F94*J94</f>
        <v>0</v>
      </c>
      <c r="L94" s="72">
        <f t="shared" ref="L94" si="64">I94+K94</f>
        <v>0</v>
      </c>
      <c r="M94" s="74">
        <f t="shared" si="21"/>
        <v>0</v>
      </c>
      <c r="N94" s="74">
        <f t="shared" si="22"/>
        <v>0</v>
      </c>
      <c r="O94" s="72">
        <f t="shared" si="23"/>
        <v>0</v>
      </c>
      <c r="P94" s="205">
        <f t="shared" si="24"/>
        <v>0</v>
      </c>
      <c r="Q94" s="272">
        <f t="shared" si="25"/>
        <v>0</v>
      </c>
      <c r="R94" s="439">
        <f t="shared" si="26"/>
        <v>0</v>
      </c>
      <c r="S94" s="72">
        <f>183816*0.85</f>
        <v>156243.6</v>
      </c>
      <c r="T94" s="72">
        <f>183816*0.15</f>
        <v>27572.399999999998</v>
      </c>
    </row>
    <row r="95" spans="1:20" s="273" customFormat="1" ht="15" hidden="1" customHeight="1" x14ac:dyDescent="0.25">
      <c r="A95" s="350"/>
      <c r="B95" s="319"/>
      <c r="C95" s="318"/>
      <c r="D95" s="83" t="s">
        <v>54</v>
      </c>
      <c r="E95" s="242"/>
      <c r="F95" s="302"/>
      <c r="G95" s="77"/>
      <c r="H95" s="74"/>
      <c r="I95" s="74"/>
      <c r="J95" s="74"/>
      <c r="K95" s="74"/>
      <c r="L95" s="72"/>
      <c r="M95" s="74">
        <f t="shared" si="21"/>
        <v>0</v>
      </c>
      <c r="N95" s="74">
        <f t="shared" si="22"/>
        <v>0</v>
      </c>
      <c r="O95" s="72">
        <f t="shared" si="23"/>
        <v>0</v>
      </c>
      <c r="P95" s="205">
        <f t="shared" si="24"/>
        <v>0</v>
      </c>
      <c r="Q95" s="272">
        <f t="shared" si="25"/>
        <v>0</v>
      </c>
      <c r="R95" s="439">
        <f t="shared" si="26"/>
        <v>0</v>
      </c>
      <c r="S95" s="74"/>
      <c r="T95" s="74"/>
    </row>
    <row r="96" spans="1:20" s="273" customFormat="1" ht="15" hidden="1" customHeight="1" x14ac:dyDescent="0.25">
      <c r="A96" s="350"/>
      <c r="B96" s="317"/>
      <c r="C96" s="318">
        <v>10</v>
      </c>
      <c r="D96" s="83" t="s">
        <v>122</v>
      </c>
      <c r="E96" s="242">
        <v>1</v>
      </c>
      <c r="F96" s="302">
        <v>1</v>
      </c>
      <c r="G96" s="77" t="s">
        <v>55</v>
      </c>
      <c r="H96" s="72"/>
      <c r="I96" s="74">
        <f>F96*H96</f>
        <v>0</v>
      </c>
      <c r="J96" s="72"/>
      <c r="K96" s="74">
        <f t="shared" ref="K96" si="65">F96*J96</f>
        <v>0</v>
      </c>
      <c r="L96" s="72">
        <f t="shared" ref="L96" si="66">I96+K96</f>
        <v>0</v>
      </c>
      <c r="M96" s="74">
        <f t="shared" si="21"/>
        <v>0</v>
      </c>
      <c r="N96" s="74">
        <f t="shared" si="22"/>
        <v>0</v>
      </c>
      <c r="O96" s="72">
        <f t="shared" si="23"/>
        <v>0</v>
      </c>
      <c r="P96" s="205">
        <f t="shared" si="24"/>
        <v>0</v>
      </c>
      <c r="Q96" s="272">
        <f t="shared" si="25"/>
        <v>0</v>
      </c>
      <c r="R96" s="439">
        <f t="shared" si="26"/>
        <v>0</v>
      </c>
      <c r="S96" s="72">
        <f>200214*0.85</f>
        <v>170181.9</v>
      </c>
      <c r="T96" s="72">
        <f>200214*0.15</f>
        <v>30032.1</v>
      </c>
    </row>
    <row r="97" spans="1:32" s="273" customFormat="1" ht="15" hidden="1" customHeight="1" x14ac:dyDescent="0.25">
      <c r="A97" s="350"/>
      <c r="B97" s="319"/>
      <c r="C97" s="318"/>
      <c r="D97" s="83" t="s">
        <v>37</v>
      </c>
      <c r="E97" s="242"/>
      <c r="F97" s="302"/>
      <c r="G97" s="77"/>
      <c r="H97" s="74"/>
      <c r="I97" s="74"/>
      <c r="J97" s="74"/>
      <c r="K97" s="74"/>
      <c r="L97" s="72"/>
      <c r="M97" s="74">
        <f t="shared" si="21"/>
        <v>0</v>
      </c>
      <c r="N97" s="74">
        <f t="shared" si="22"/>
        <v>0</v>
      </c>
      <c r="O97" s="72">
        <f t="shared" si="23"/>
        <v>0</v>
      </c>
      <c r="P97" s="205">
        <f t="shared" si="24"/>
        <v>0</v>
      </c>
      <c r="Q97" s="272">
        <f t="shared" si="25"/>
        <v>0</v>
      </c>
      <c r="R97" s="439">
        <f t="shared" si="26"/>
        <v>0</v>
      </c>
      <c r="S97" s="74"/>
      <c r="T97" s="74"/>
    </row>
    <row r="98" spans="1:32" s="273" customFormat="1" ht="15" hidden="1" customHeight="1" x14ac:dyDescent="0.25">
      <c r="A98" s="350"/>
      <c r="B98" s="317"/>
      <c r="C98" s="318">
        <v>11</v>
      </c>
      <c r="D98" s="83" t="s">
        <v>123</v>
      </c>
      <c r="E98" s="242">
        <v>24</v>
      </c>
      <c r="F98" s="302">
        <v>24</v>
      </c>
      <c r="G98" s="77" t="s">
        <v>28</v>
      </c>
      <c r="H98" s="72"/>
      <c r="I98" s="74">
        <f>F98*H98</f>
        <v>0</v>
      </c>
      <c r="J98" s="72"/>
      <c r="K98" s="74">
        <f t="shared" ref="K98" si="67">F98*J98</f>
        <v>0</v>
      </c>
      <c r="L98" s="72">
        <f t="shared" ref="L98" si="68">I98+K98</f>
        <v>0</v>
      </c>
      <c r="M98" s="74">
        <f t="shared" si="21"/>
        <v>0</v>
      </c>
      <c r="N98" s="74">
        <f t="shared" si="22"/>
        <v>0</v>
      </c>
      <c r="O98" s="72">
        <f t="shared" si="23"/>
        <v>0</v>
      </c>
      <c r="P98" s="205">
        <f t="shared" si="24"/>
        <v>0</v>
      </c>
      <c r="Q98" s="272">
        <f t="shared" si="25"/>
        <v>0</v>
      </c>
      <c r="R98" s="439">
        <f t="shared" si="26"/>
        <v>0</v>
      </c>
      <c r="S98" s="72">
        <f>18360*0.85</f>
        <v>15606</v>
      </c>
      <c r="T98" s="72">
        <f>18360*0.15</f>
        <v>2754</v>
      </c>
    </row>
    <row r="99" spans="1:32" s="273" customFormat="1" ht="15" hidden="1" customHeight="1" x14ac:dyDescent="0.25">
      <c r="A99" s="350"/>
      <c r="B99" s="319"/>
      <c r="C99" s="318"/>
      <c r="D99" s="83" t="s">
        <v>52</v>
      </c>
      <c r="E99" s="242"/>
      <c r="F99" s="302"/>
      <c r="G99" s="75"/>
      <c r="H99" s="74"/>
      <c r="I99" s="74"/>
      <c r="J99" s="74"/>
      <c r="K99" s="74"/>
      <c r="L99" s="72"/>
      <c r="M99" s="74">
        <f t="shared" si="21"/>
        <v>0</v>
      </c>
      <c r="N99" s="74">
        <f t="shared" si="22"/>
        <v>0</v>
      </c>
      <c r="O99" s="72">
        <f t="shared" si="23"/>
        <v>0</v>
      </c>
      <c r="P99" s="205">
        <f t="shared" si="24"/>
        <v>0</v>
      </c>
      <c r="Q99" s="272">
        <f t="shared" si="25"/>
        <v>0</v>
      </c>
      <c r="R99" s="439">
        <f t="shared" si="26"/>
        <v>0</v>
      </c>
      <c r="S99" s="74"/>
      <c r="T99" s="74"/>
    </row>
    <row r="100" spans="1:32" s="273" customFormat="1" ht="15" hidden="1" customHeight="1" x14ac:dyDescent="0.25">
      <c r="A100" s="350"/>
      <c r="B100" s="319"/>
      <c r="C100" s="318"/>
      <c r="D100" s="83" t="s">
        <v>58</v>
      </c>
      <c r="E100" s="242"/>
      <c r="F100" s="302"/>
      <c r="G100" s="75"/>
      <c r="H100" s="74"/>
      <c r="I100" s="74"/>
      <c r="J100" s="74"/>
      <c r="K100" s="74"/>
      <c r="L100" s="72"/>
      <c r="M100" s="74">
        <f t="shared" si="21"/>
        <v>0</v>
      </c>
      <c r="N100" s="74">
        <f t="shared" si="22"/>
        <v>0</v>
      </c>
      <c r="O100" s="72">
        <f t="shared" si="23"/>
        <v>0</v>
      </c>
      <c r="P100" s="205">
        <f t="shared" si="24"/>
        <v>0</v>
      </c>
      <c r="Q100" s="272">
        <f t="shared" si="25"/>
        <v>0</v>
      </c>
      <c r="R100" s="439">
        <f t="shared" si="26"/>
        <v>0</v>
      </c>
      <c r="S100" s="74"/>
      <c r="T100" s="74"/>
    </row>
    <row r="101" spans="1:32" s="273" customFormat="1" ht="15" hidden="1" customHeight="1" x14ac:dyDescent="0.25">
      <c r="A101" s="350"/>
      <c r="B101" s="317"/>
      <c r="C101" s="318">
        <v>12</v>
      </c>
      <c r="D101" s="83" t="s">
        <v>124</v>
      </c>
      <c r="E101" s="242">
        <v>1</v>
      </c>
      <c r="F101" s="302">
        <v>1</v>
      </c>
      <c r="G101" s="77" t="s">
        <v>55</v>
      </c>
      <c r="H101" s="72"/>
      <c r="I101" s="74">
        <f>F101*H101</f>
        <v>0</v>
      </c>
      <c r="J101" s="72"/>
      <c r="K101" s="74">
        <f t="shared" ref="K101" si="69">F101*J101</f>
        <v>0</v>
      </c>
      <c r="L101" s="72">
        <f t="shared" ref="L101" si="70">I101+K101</f>
        <v>0</v>
      </c>
      <c r="M101" s="74">
        <f t="shared" si="21"/>
        <v>0</v>
      </c>
      <c r="N101" s="74">
        <f t="shared" si="22"/>
        <v>0</v>
      </c>
      <c r="O101" s="72">
        <f t="shared" si="23"/>
        <v>0</v>
      </c>
      <c r="P101" s="205">
        <f t="shared" si="24"/>
        <v>0</v>
      </c>
      <c r="Q101" s="272">
        <f t="shared" si="25"/>
        <v>0</v>
      </c>
      <c r="R101" s="439">
        <f t="shared" si="26"/>
        <v>0</v>
      </c>
      <c r="S101" s="72">
        <f>24480*0.85</f>
        <v>20808</v>
      </c>
      <c r="T101" s="72">
        <f>24480*0.15</f>
        <v>3672</v>
      </c>
    </row>
    <row r="102" spans="1:32" s="273" customFormat="1" ht="15" hidden="1" customHeight="1" x14ac:dyDescent="0.25">
      <c r="A102" s="350"/>
      <c r="B102" s="319"/>
      <c r="C102" s="318"/>
      <c r="D102" s="83" t="s">
        <v>53</v>
      </c>
      <c r="E102" s="242"/>
      <c r="F102" s="302"/>
      <c r="G102" s="75"/>
      <c r="H102" s="74"/>
      <c r="I102" s="74"/>
      <c r="J102" s="74"/>
      <c r="K102" s="74"/>
      <c r="L102" s="72"/>
      <c r="M102" s="74">
        <f t="shared" si="21"/>
        <v>0</v>
      </c>
      <c r="N102" s="74">
        <f t="shared" si="22"/>
        <v>0</v>
      </c>
      <c r="O102" s="72">
        <f t="shared" si="23"/>
        <v>0</v>
      </c>
      <c r="P102" s="205">
        <f t="shared" si="24"/>
        <v>0</v>
      </c>
      <c r="Q102" s="272">
        <f t="shared" si="25"/>
        <v>0</v>
      </c>
      <c r="R102" s="439">
        <f t="shared" si="26"/>
        <v>0</v>
      </c>
      <c r="S102" s="74"/>
      <c r="T102" s="74"/>
    </row>
    <row r="103" spans="1:32" s="273" customFormat="1" ht="15" hidden="1" customHeight="1" x14ac:dyDescent="0.25">
      <c r="A103" s="722"/>
      <c r="B103" s="319"/>
      <c r="C103" s="318"/>
      <c r="D103" s="83" t="s">
        <v>59</v>
      </c>
      <c r="E103" s="242"/>
      <c r="F103" s="302"/>
      <c r="G103" s="75"/>
      <c r="H103" s="74"/>
      <c r="I103" s="74"/>
      <c r="J103" s="74"/>
      <c r="K103" s="74"/>
      <c r="L103" s="72"/>
      <c r="M103" s="74">
        <f t="shared" si="21"/>
        <v>0</v>
      </c>
      <c r="N103" s="74">
        <f t="shared" si="22"/>
        <v>0</v>
      </c>
      <c r="O103" s="72">
        <f t="shared" si="23"/>
        <v>0</v>
      </c>
      <c r="P103" s="205">
        <f t="shared" si="24"/>
        <v>0</v>
      </c>
      <c r="Q103" s="272">
        <f t="shared" si="25"/>
        <v>0</v>
      </c>
      <c r="R103" s="439">
        <f t="shared" si="26"/>
        <v>0</v>
      </c>
      <c r="S103" s="74"/>
      <c r="T103" s="74"/>
    </row>
    <row r="104" spans="1:32" s="273" customFormat="1" ht="15" hidden="1" customHeight="1" x14ac:dyDescent="0.25">
      <c r="A104" s="723"/>
      <c r="B104" s="317"/>
      <c r="C104" s="318">
        <v>13</v>
      </c>
      <c r="D104" s="83" t="s">
        <v>125</v>
      </c>
      <c r="E104" s="242">
        <v>1</v>
      </c>
      <c r="F104" s="302">
        <v>1</v>
      </c>
      <c r="G104" s="77" t="s">
        <v>55</v>
      </c>
      <c r="H104" s="72"/>
      <c r="I104" s="74">
        <f>F104*H104</f>
        <v>0</v>
      </c>
      <c r="J104" s="72"/>
      <c r="K104" s="74">
        <f t="shared" ref="K104" si="71">F104*J104</f>
        <v>0</v>
      </c>
      <c r="L104" s="72">
        <f t="shared" ref="L104" si="72">I104+K104</f>
        <v>0</v>
      </c>
      <c r="M104" s="74">
        <f t="shared" si="21"/>
        <v>0</v>
      </c>
      <c r="N104" s="74">
        <f t="shared" si="22"/>
        <v>0</v>
      </c>
      <c r="O104" s="72">
        <f t="shared" si="23"/>
        <v>0</v>
      </c>
      <c r="P104" s="205">
        <f t="shared" si="24"/>
        <v>0</v>
      </c>
      <c r="Q104" s="272">
        <f t="shared" si="25"/>
        <v>0</v>
      </c>
      <c r="R104" s="439">
        <f t="shared" si="26"/>
        <v>0</v>
      </c>
      <c r="S104" s="72">
        <f>(65520+7560+5880)*0.85</f>
        <v>67116</v>
      </c>
      <c r="T104" s="72">
        <f>(65520+7560+5880)*0.15</f>
        <v>11844</v>
      </c>
    </row>
    <row r="105" spans="1:32" s="273" customFormat="1" ht="15" hidden="1" customHeight="1" x14ac:dyDescent="0.25">
      <c r="A105" s="350"/>
      <c r="B105" s="319"/>
      <c r="C105" s="318"/>
      <c r="D105" s="83" t="s">
        <v>164</v>
      </c>
      <c r="E105" s="242"/>
      <c r="F105" s="302"/>
      <c r="G105" s="75"/>
      <c r="H105" s="74"/>
      <c r="I105" s="74"/>
      <c r="J105" s="74"/>
      <c r="K105" s="74"/>
      <c r="L105" s="72"/>
      <c r="M105" s="74">
        <f t="shared" si="21"/>
        <v>0</v>
      </c>
      <c r="N105" s="74">
        <f t="shared" si="22"/>
        <v>0</v>
      </c>
      <c r="O105" s="72">
        <f t="shared" si="23"/>
        <v>0</v>
      </c>
      <c r="P105" s="205">
        <f t="shared" si="24"/>
        <v>0</v>
      </c>
      <c r="Q105" s="272">
        <f t="shared" si="25"/>
        <v>0</v>
      </c>
      <c r="R105" s="439">
        <f t="shared" si="26"/>
        <v>0</v>
      </c>
      <c r="S105" s="74"/>
      <c r="T105" s="74"/>
    </row>
    <row r="106" spans="1:32" s="273" customFormat="1" ht="15" hidden="1" customHeight="1" x14ac:dyDescent="0.25">
      <c r="A106" s="350"/>
      <c r="B106" s="317"/>
      <c r="C106" s="318">
        <v>14</v>
      </c>
      <c r="D106" s="83" t="s">
        <v>126</v>
      </c>
      <c r="E106" s="242">
        <v>1</v>
      </c>
      <c r="F106" s="302">
        <v>1</v>
      </c>
      <c r="G106" s="77" t="s">
        <v>55</v>
      </c>
      <c r="H106" s="72"/>
      <c r="I106" s="74">
        <f>F106*H106</f>
        <v>0</v>
      </c>
      <c r="J106" s="72"/>
      <c r="K106" s="74">
        <f t="shared" ref="K106" si="73">F106*J106</f>
        <v>0</v>
      </c>
      <c r="L106" s="72">
        <f t="shared" ref="L106" si="74">I106+K106</f>
        <v>0</v>
      </c>
      <c r="M106" s="74">
        <f t="shared" si="21"/>
        <v>0</v>
      </c>
      <c r="N106" s="74">
        <f t="shared" si="22"/>
        <v>0</v>
      </c>
      <c r="O106" s="72">
        <f t="shared" si="23"/>
        <v>0</v>
      </c>
      <c r="P106" s="205">
        <f t="shared" si="24"/>
        <v>0</v>
      </c>
      <c r="Q106" s="272">
        <f t="shared" si="25"/>
        <v>0</v>
      </c>
      <c r="R106" s="439">
        <f t="shared" si="26"/>
        <v>0</v>
      </c>
      <c r="S106" s="72">
        <f>151200*0.85</f>
        <v>128520</v>
      </c>
      <c r="T106" s="72">
        <f>151200*0.15</f>
        <v>22680</v>
      </c>
    </row>
    <row r="107" spans="1:32" s="273" customFormat="1" ht="15" hidden="1" customHeight="1" x14ac:dyDescent="0.25">
      <c r="A107" s="350"/>
      <c r="B107" s="319"/>
      <c r="C107" s="318"/>
      <c r="D107" s="83" t="s">
        <v>164</v>
      </c>
      <c r="E107" s="242"/>
      <c r="F107" s="302"/>
      <c r="G107" s="75"/>
      <c r="H107" s="74"/>
      <c r="I107" s="74"/>
      <c r="J107" s="74"/>
      <c r="K107" s="74"/>
      <c r="L107" s="72"/>
      <c r="M107" s="74">
        <f t="shared" si="21"/>
        <v>0</v>
      </c>
      <c r="N107" s="74">
        <f t="shared" si="22"/>
        <v>0</v>
      </c>
      <c r="O107" s="72">
        <f t="shared" si="23"/>
        <v>0</v>
      </c>
      <c r="P107" s="205">
        <f t="shared" si="24"/>
        <v>0</v>
      </c>
      <c r="Q107" s="272">
        <f t="shared" si="25"/>
        <v>0</v>
      </c>
      <c r="R107" s="439">
        <f t="shared" si="26"/>
        <v>0</v>
      </c>
      <c r="S107" s="74"/>
      <c r="T107" s="74"/>
    </row>
    <row r="108" spans="1:32" s="273" customFormat="1" ht="15" hidden="1" customHeight="1" x14ac:dyDescent="0.25">
      <c r="A108" s="350"/>
      <c r="B108" s="317"/>
      <c r="C108" s="318">
        <v>15</v>
      </c>
      <c r="D108" s="83" t="s">
        <v>127</v>
      </c>
      <c r="E108" s="242">
        <v>1</v>
      </c>
      <c r="F108" s="302">
        <v>1</v>
      </c>
      <c r="G108" s="77" t="s">
        <v>55</v>
      </c>
      <c r="H108" s="72"/>
      <c r="I108" s="74">
        <f>F108*H108</f>
        <v>0</v>
      </c>
      <c r="J108" s="72"/>
      <c r="K108" s="74">
        <f t="shared" ref="K108" si="75">F108*J108</f>
        <v>0</v>
      </c>
      <c r="L108" s="72">
        <f t="shared" ref="L108" si="76">I108+K108</f>
        <v>0</v>
      </c>
      <c r="M108" s="74">
        <f t="shared" si="21"/>
        <v>0</v>
      </c>
      <c r="N108" s="74">
        <f t="shared" si="22"/>
        <v>0</v>
      </c>
      <c r="O108" s="72">
        <f t="shared" si="23"/>
        <v>0</v>
      </c>
      <c r="P108" s="205">
        <f t="shared" si="24"/>
        <v>0</v>
      </c>
      <c r="Q108" s="272">
        <f t="shared" si="25"/>
        <v>0</v>
      </c>
      <c r="R108" s="439">
        <f t="shared" si="26"/>
        <v>0</v>
      </c>
      <c r="S108" s="72">
        <f>80640*0.85</f>
        <v>68544</v>
      </c>
      <c r="T108" s="72">
        <f>80640*0.15</f>
        <v>12096</v>
      </c>
    </row>
    <row r="109" spans="1:32" s="273" customFormat="1" ht="15" hidden="1" customHeight="1" x14ac:dyDescent="0.25">
      <c r="A109" s="350"/>
      <c r="B109" s="319"/>
      <c r="C109" s="318"/>
      <c r="D109" s="83" t="s">
        <v>164</v>
      </c>
      <c r="E109" s="242"/>
      <c r="F109" s="302"/>
      <c r="G109" s="75"/>
      <c r="H109" s="74"/>
      <c r="I109" s="74"/>
      <c r="J109" s="74"/>
      <c r="K109" s="74"/>
      <c r="L109" s="72"/>
      <c r="M109" s="74">
        <f t="shared" si="21"/>
        <v>0</v>
      </c>
      <c r="N109" s="74">
        <f t="shared" si="22"/>
        <v>0</v>
      </c>
      <c r="O109" s="72">
        <f t="shared" si="23"/>
        <v>0</v>
      </c>
      <c r="P109" s="205">
        <f t="shared" si="24"/>
        <v>0</v>
      </c>
      <c r="Q109" s="272">
        <f t="shared" si="25"/>
        <v>0</v>
      </c>
      <c r="R109" s="439">
        <f t="shared" si="26"/>
        <v>0</v>
      </c>
      <c r="S109" s="74"/>
      <c r="T109" s="74"/>
    </row>
    <row r="110" spans="1:32" s="273" customFormat="1" ht="15" hidden="1" customHeight="1" x14ac:dyDescent="0.25">
      <c r="A110" s="350"/>
      <c r="B110" s="317"/>
      <c r="C110" s="318">
        <v>16</v>
      </c>
      <c r="D110" s="83" t="s">
        <v>128</v>
      </c>
      <c r="E110" s="242">
        <v>1</v>
      </c>
      <c r="F110" s="302">
        <v>1</v>
      </c>
      <c r="G110" s="77" t="s">
        <v>55</v>
      </c>
      <c r="H110" s="72"/>
      <c r="I110" s="74">
        <f>F110*H110</f>
        <v>0</v>
      </c>
      <c r="J110" s="72"/>
      <c r="K110" s="74">
        <f t="shared" ref="K110" si="77">F110*J110</f>
        <v>0</v>
      </c>
      <c r="L110" s="72">
        <f t="shared" ref="L110" si="78">I110+K110</f>
        <v>0</v>
      </c>
      <c r="M110" s="74">
        <f t="shared" ref="M110:M141" si="79">H110/$P$252*$P$260</f>
        <v>0</v>
      </c>
      <c r="N110" s="74">
        <f t="shared" ref="N110:N141" si="80">J110/$P$252*$P$260</f>
        <v>0</v>
      </c>
      <c r="O110" s="72">
        <f t="shared" ref="O110:O144" si="81">N110+M110</f>
        <v>0</v>
      </c>
      <c r="P110" s="205">
        <f t="shared" ref="P110:P141" si="82">O110*F110</f>
        <v>0</v>
      </c>
      <c r="Q110" s="272">
        <f t="shared" ref="Q110:Q173" si="83">L110/$P$252*$P$260</f>
        <v>0</v>
      </c>
      <c r="R110" s="439">
        <f t="shared" ref="R110:R144" si="84">P110-Q110</f>
        <v>0</v>
      </c>
      <c r="S110" s="72">
        <f>(27888+33600)*0.85</f>
        <v>52264.799999999996</v>
      </c>
      <c r="T110" s="72">
        <f>(27888+33600)*0.15</f>
        <v>9223.1999999999989</v>
      </c>
    </row>
    <row r="111" spans="1:32" s="273" customFormat="1" ht="15" hidden="1" customHeight="1" x14ac:dyDescent="0.25">
      <c r="A111" s="350"/>
      <c r="B111" s="319"/>
      <c r="C111" s="318"/>
      <c r="D111" s="83" t="s">
        <v>164</v>
      </c>
      <c r="E111" s="242"/>
      <c r="F111" s="302"/>
      <c r="G111" s="75"/>
      <c r="H111" s="74"/>
      <c r="I111" s="74"/>
      <c r="J111" s="74"/>
      <c r="K111" s="74"/>
      <c r="L111" s="74"/>
      <c r="M111" s="74">
        <f t="shared" si="79"/>
        <v>0</v>
      </c>
      <c r="N111" s="74">
        <f t="shared" si="80"/>
        <v>0</v>
      </c>
      <c r="O111" s="72">
        <f t="shared" si="81"/>
        <v>0</v>
      </c>
      <c r="P111" s="205">
        <f t="shared" si="82"/>
        <v>0</v>
      </c>
      <c r="Q111" s="272">
        <f t="shared" si="83"/>
        <v>0</v>
      </c>
      <c r="R111" s="439">
        <f t="shared" si="84"/>
        <v>0</v>
      </c>
      <c r="S111" s="74"/>
      <c r="T111" s="224"/>
    </row>
    <row r="112" spans="1:32" s="273" customFormat="1" x14ac:dyDescent="0.25">
      <c r="A112" s="350"/>
      <c r="B112" s="319"/>
      <c r="C112" s="318"/>
      <c r="D112" s="83"/>
      <c r="E112" s="242"/>
      <c r="F112" s="302"/>
      <c r="G112" s="75"/>
      <c r="H112" s="74"/>
      <c r="I112" s="74"/>
      <c r="J112" s="74"/>
      <c r="K112" s="74"/>
      <c r="L112" s="74"/>
      <c r="M112" s="74">
        <f t="shared" si="79"/>
        <v>0</v>
      </c>
      <c r="N112" s="74">
        <f t="shared" si="80"/>
        <v>0</v>
      </c>
      <c r="O112" s="72">
        <f t="shared" si="81"/>
        <v>0</v>
      </c>
      <c r="P112" s="205">
        <f t="shared" si="82"/>
        <v>0</v>
      </c>
      <c r="Q112" s="272">
        <f t="shared" si="83"/>
        <v>0</v>
      </c>
      <c r="R112" s="439">
        <f t="shared" si="84"/>
        <v>0</v>
      </c>
      <c r="T112" s="224"/>
      <c r="AD112" s="224"/>
      <c r="AF112" s="224"/>
    </row>
    <row r="113" spans="1:32" s="273" customFormat="1" x14ac:dyDescent="0.25">
      <c r="A113" s="350"/>
      <c r="B113" s="724" t="s">
        <v>330</v>
      </c>
      <c r="C113" s="725" t="s">
        <v>141</v>
      </c>
      <c r="D113" s="83"/>
      <c r="E113" s="242"/>
      <c r="F113" s="302"/>
      <c r="G113" s="75"/>
      <c r="H113" s="74"/>
      <c r="I113" s="74"/>
      <c r="J113" s="74"/>
      <c r="K113" s="74"/>
      <c r="L113" s="74"/>
      <c r="M113" s="74">
        <f t="shared" si="79"/>
        <v>0</v>
      </c>
      <c r="N113" s="74">
        <f t="shared" si="80"/>
        <v>0</v>
      </c>
      <c r="O113" s="72">
        <f t="shared" si="81"/>
        <v>0</v>
      </c>
      <c r="P113" s="205">
        <f t="shared" si="82"/>
        <v>0</v>
      </c>
      <c r="Q113" s="272">
        <f t="shared" si="83"/>
        <v>0</v>
      </c>
      <c r="R113" s="439">
        <f t="shared" si="84"/>
        <v>0</v>
      </c>
      <c r="T113" s="224"/>
      <c r="AD113" s="224"/>
      <c r="AF113" s="224"/>
    </row>
    <row r="114" spans="1:32" s="273" customFormat="1" x14ac:dyDescent="0.25">
      <c r="A114" s="350"/>
      <c r="B114" s="317"/>
      <c r="C114" s="318">
        <v>1</v>
      </c>
      <c r="D114" s="83" t="s">
        <v>455</v>
      </c>
      <c r="E114" s="242">
        <v>20</v>
      </c>
      <c r="F114" s="302">
        <v>20</v>
      </c>
      <c r="G114" s="77" t="s">
        <v>28</v>
      </c>
      <c r="H114" s="74">
        <f>2400/1.05</f>
        <v>2285.7142857142858</v>
      </c>
      <c r="I114" s="74">
        <f>F114*H114</f>
        <v>45714.285714285717</v>
      </c>
      <c r="J114" s="74">
        <v>350</v>
      </c>
      <c r="K114" s="74">
        <f t="shared" ref="K114:K115" si="85">F114*J114</f>
        <v>7000</v>
      </c>
      <c r="L114" s="72">
        <f t="shared" ref="L114:L115" si="86">I114+K114</f>
        <v>52714.285714285717</v>
      </c>
      <c r="M114" s="74">
        <f t="shared" si="79"/>
        <v>3177.5429645174036</v>
      </c>
      <c r="N114" s="74">
        <f t="shared" si="80"/>
        <v>486.56126644172741</v>
      </c>
      <c r="O114" s="72">
        <f t="shared" si="81"/>
        <v>3664.1042309591312</v>
      </c>
      <c r="P114" s="205">
        <f t="shared" si="82"/>
        <v>73282.084619182628</v>
      </c>
      <c r="Q114" s="272">
        <f t="shared" si="83"/>
        <v>73282.084619182628</v>
      </c>
      <c r="R114" s="439">
        <f t="shared" si="84"/>
        <v>0</v>
      </c>
      <c r="T114" s="224"/>
      <c r="AD114" s="224"/>
      <c r="AF114" s="224"/>
    </row>
    <row r="115" spans="1:32" s="273" customFormat="1" x14ac:dyDescent="0.25">
      <c r="A115" s="350"/>
      <c r="B115" s="317"/>
      <c r="C115" s="318">
        <v>2</v>
      </c>
      <c r="D115" s="83" t="s">
        <v>143</v>
      </c>
      <c r="E115" s="242">
        <f>(20-4)*3</f>
        <v>48</v>
      </c>
      <c r="F115" s="302">
        <v>48</v>
      </c>
      <c r="G115" s="77" t="s">
        <v>283</v>
      </c>
      <c r="H115" s="74">
        <f>350/1.05</f>
        <v>333.33333333333331</v>
      </c>
      <c r="I115" s="74">
        <f>F115*H115</f>
        <v>16000</v>
      </c>
      <c r="J115" s="74">
        <v>75</v>
      </c>
      <c r="K115" s="74">
        <f t="shared" si="85"/>
        <v>3600</v>
      </c>
      <c r="L115" s="72">
        <f t="shared" si="86"/>
        <v>19600</v>
      </c>
      <c r="M115" s="74">
        <f t="shared" si="79"/>
        <v>463.39168232545467</v>
      </c>
      <c r="N115" s="74">
        <f t="shared" si="80"/>
        <v>104.26312852322729</v>
      </c>
      <c r="O115" s="72">
        <f t="shared" si="81"/>
        <v>567.65481084868202</v>
      </c>
      <c r="P115" s="205">
        <f t="shared" si="82"/>
        <v>27247.430920736737</v>
      </c>
      <c r="Q115" s="272">
        <f t="shared" si="83"/>
        <v>27247.430920736733</v>
      </c>
      <c r="R115" s="439">
        <f t="shared" si="84"/>
        <v>0</v>
      </c>
      <c r="T115" s="224"/>
      <c r="W115" s="904" t="s">
        <v>294</v>
      </c>
      <c r="X115" s="904"/>
      <c r="Y115" s="904"/>
      <c r="Z115" s="662" t="s">
        <v>243</v>
      </c>
      <c r="AA115" s="662" t="s">
        <v>244</v>
      </c>
      <c r="AB115" s="662" t="s">
        <v>245</v>
      </c>
      <c r="AC115" s="123" t="s">
        <v>246</v>
      </c>
      <c r="AD115" s="196" t="s">
        <v>247</v>
      </c>
      <c r="AE115" s="662" t="s">
        <v>248</v>
      </c>
      <c r="AF115" s="212" t="s">
        <v>249</v>
      </c>
    </row>
    <row r="116" spans="1:32" s="273" customFormat="1" x14ac:dyDescent="0.25">
      <c r="A116" s="350"/>
      <c r="B116" s="319"/>
      <c r="C116" s="318"/>
      <c r="D116" s="83" t="s">
        <v>331</v>
      </c>
      <c r="E116" s="242"/>
      <c r="F116" s="302"/>
      <c r="G116" s="75"/>
      <c r="H116" s="74"/>
      <c r="I116" s="74"/>
      <c r="J116" s="74"/>
      <c r="K116" s="74"/>
      <c r="L116" s="74"/>
      <c r="M116" s="74">
        <f t="shared" si="79"/>
        <v>0</v>
      </c>
      <c r="N116" s="74">
        <f t="shared" si="80"/>
        <v>0</v>
      </c>
      <c r="O116" s="72">
        <f t="shared" si="81"/>
        <v>0</v>
      </c>
      <c r="P116" s="205">
        <f t="shared" si="82"/>
        <v>0</v>
      </c>
      <c r="Q116" s="272">
        <f t="shared" si="83"/>
        <v>0</v>
      </c>
      <c r="R116" s="439">
        <f t="shared" si="84"/>
        <v>0</v>
      </c>
      <c r="T116" s="224"/>
      <c r="W116" s="878" t="s">
        <v>272</v>
      </c>
      <c r="X116" s="878"/>
      <c r="Y116" s="878"/>
      <c r="Z116" s="124" t="s">
        <v>251</v>
      </c>
      <c r="AA116" s="661">
        <v>12.5</v>
      </c>
      <c r="AB116" s="661">
        <v>13</v>
      </c>
      <c r="AC116" s="123">
        <f>98/1.06</f>
        <v>92.452830188679243</v>
      </c>
      <c r="AD116" s="196">
        <f>AC116*AB116</f>
        <v>1201.8867924528302</v>
      </c>
      <c r="AE116" s="661">
        <v>16.5</v>
      </c>
      <c r="AF116" s="219">
        <f>AE116*AB116</f>
        <v>214.5</v>
      </c>
    </row>
    <row r="117" spans="1:32" s="273" customFormat="1" x14ac:dyDescent="0.25">
      <c r="A117" s="350"/>
      <c r="B117" s="317"/>
      <c r="C117" s="318">
        <v>3</v>
      </c>
      <c r="D117" s="83" t="s">
        <v>146</v>
      </c>
      <c r="E117" s="242">
        <v>4</v>
      </c>
      <c r="F117" s="302">
        <v>4</v>
      </c>
      <c r="G117" s="77" t="s">
        <v>28</v>
      </c>
      <c r="H117" s="74">
        <f>4000/1.05</f>
        <v>3809.5238095238092</v>
      </c>
      <c r="I117" s="74">
        <f>F117*H117</f>
        <v>15238.095238095237</v>
      </c>
      <c r="J117" s="74">
        <v>400</v>
      </c>
      <c r="K117" s="74">
        <f t="shared" ref="K117:K118" si="87">F117*J117</f>
        <v>1600</v>
      </c>
      <c r="L117" s="72">
        <f t="shared" ref="L117:L118" si="88">I117+K117</f>
        <v>16838.095238095237</v>
      </c>
      <c r="M117" s="74">
        <f t="shared" si="79"/>
        <v>5295.9049408623387</v>
      </c>
      <c r="N117" s="74">
        <f t="shared" si="80"/>
        <v>556.07001879054565</v>
      </c>
      <c r="O117" s="72">
        <f t="shared" si="81"/>
        <v>5851.9749596528845</v>
      </c>
      <c r="P117" s="205">
        <f t="shared" si="82"/>
        <v>23407.899838611538</v>
      </c>
      <c r="Q117" s="272">
        <f t="shared" si="83"/>
        <v>23407.899838611535</v>
      </c>
      <c r="R117" s="439">
        <f t="shared" si="84"/>
        <v>0</v>
      </c>
      <c r="T117" s="224"/>
      <c r="W117" s="878" t="s">
        <v>252</v>
      </c>
      <c r="X117" s="878"/>
      <c r="Y117" s="878"/>
      <c r="Z117" s="124" t="s">
        <v>253</v>
      </c>
      <c r="AA117" s="661">
        <v>0.25</v>
      </c>
      <c r="AB117" s="661">
        <v>0.25</v>
      </c>
      <c r="AC117" s="123">
        <f>285/1.06</f>
        <v>268.8679245283019</v>
      </c>
      <c r="AD117" s="196">
        <f>AC117*AB117</f>
        <v>67.216981132075475</v>
      </c>
      <c r="AE117" s="661"/>
      <c r="AF117" s="219">
        <f>AE117*AB117</f>
        <v>0</v>
      </c>
    </row>
    <row r="118" spans="1:32" s="273" customFormat="1" x14ac:dyDescent="0.25">
      <c r="A118" s="350"/>
      <c r="B118" s="317"/>
      <c r="C118" s="318">
        <v>4</v>
      </c>
      <c r="D118" s="83" t="s">
        <v>147</v>
      </c>
      <c r="E118" s="242">
        <f>4*4</f>
        <v>16</v>
      </c>
      <c r="F118" s="302">
        <v>16</v>
      </c>
      <c r="G118" s="77" t="s">
        <v>28</v>
      </c>
      <c r="H118" s="74">
        <f>750/1.05</f>
        <v>714.28571428571422</v>
      </c>
      <c r="I118" s="74">
        <f>F118*H118</f>
        <v>11428.571428571428</v>
      </c>
      <c r="J118" s="74">
        <v>75</v>
      </c>
      <c r="K118" s="74">
        <f t="shared" si="87"/>
        <v>1200</v>
      </c>
      <c r="L118" s="72">
        <f t="shared" si="88"/>
        <v>12628.571428571428</v>
      </c>
      <c r="M118" s="74">
        <f t="shared" si="79"/>
        <v>992.98217641168856</v>
      </c>
      <c r="N118" s="74">
        <f t="shared" si="80"/>
        <v>104.26312852322729</v>
      </c>
      <c r="O118" s="72">
        <f t="shared" si="81"/>
        <v>1097.2453049349158</v>
      </c>
      <c r="P118" s="205">
        <f t="shared" si="82"/>
        <v>17555.924878958653</v>
      </c>
      <c r="Q118" s="272">
        <f t="shared" si="83"/>
        <v>17555.924878958653</v>
      </c>
      <c r="R118" s="439">
        <f t="shared" si="84"/>
        <v>0</v>
      </c>
      <c r="T118" s="224"/>
      <c r="W118" s="878" t="s">
        <v>254</v>
      </c>
      <c r="X118" s="878"/>
      <c r="Y118" s="878"/>
      <c r="Z118" s="124" t="s">
        <v>255</v>
      </c>
      <c r="AA118" s="661">
        <v>0.25</v>
      </c>
      <c r="AB118" s="661">
        <v>0.35</v>
      </c>
      <c r="AC118" s="123">
        <f>37/1.06</f>
        <v>34.905660377358487</v>
      </c>
      <c r="AD118" s="196">
        <f>AC118*AB118</f>
        <v>12.216981132075469</v>
      </c>
      <c r="AE118" s="661"/>
      <c r="AF118" s="219">
        <f>AE118*AB118</f>
        <v>0</v>
      </c>
    </row>
    <row r="119" spans="1:32" s="273" customFormat="1" x14ac:dyDescent="0.25">
      <c r="A119" s="350"/>
      <c r="B119" s="319"/>
      <c r="C119" s="318"/>
      <c r="D119" s="83"/>
      <c r="E119" s="242"/>
      <c r="F119" s="302"/>
      <c r="G119" s="75"/>
      <c r="H119" s="74"/>
      <c r="I119" s="74"/>
      <c r="J119" s="74"/>
      <c r="K119" s="74"/>
      <c r="L119" s="74"/>
      <c r="M119" s="74">
        <f t="shared" si="79"/>
        <v>0</v>
      </c>
      <c r="N119" s="74">
        <f t="shared" si="80"/>
        <v>0</v>
      </c>
      <c r="O119" s="72">
        <f t="shared" si="81"/>
        <v>0</v>
      </c>
      <c r="P119" s="205">
        <f t="shared" si="82"/>
        <v>0</v>
      </c>
      <c r="Q119" s="272">
        <f t="shared" si="83"/>
        <v>0</v>
      </c>
      <c r="R119" s="439">
        <f t="shared" si="84"/>
        <v>0</v>
      </c>
      <c r="T119" s="224"/>
      <c r="W119" s="878" t="s">
        <v>256</v>
      </c>
      <c r="X119" s="878"/>
      <c r="Y119" s="878"/>
      <c r="Z119" s="124" t="s">
        <v>257</v>
      </c>
      <c r="AA119" s="661">
        <v>1</v>
      </c>
      <c r="AB119" s="661">
        <v>1</v>
      </c>
      <c r="AC119" s="123">
        <f>AN59</f>
        <v>0</v>
      </c>
      <c r="AD119" s="196">
        <f>AC119*AB119</f>
        <v>0</v>
      </c>
      <c r="AE119" s="661"/>
      <c r="AF119" s="219">
        <f>AE119*AB119</f>
        <v>0</v>
      </c>
    </row>
    <row r="120" spans="1:32" s="273" customFormat="1" x14ac:dyDescent="0.25">
      <c r="A120" s="350"/>
      <c r="B120" s="724" t="s">
        <v>332</v>
      </c>
      <c r="C120" s="725" t="s">
        <v>148</v>
      </c>
      <c r="D120" s="83"/>
      <c r="E120" s="242"/>
      <c r="F120" s="302"/>
      <c r="G120" s="75"/>
      <c r="H120" s="74"/>
      <c r="I120" s="74"/>
      <c r="J120" s="74"/>
      <c r="K120" s="74"/>
      <c r="L120" s="74"/>
      <c r="M120" s="74">
        <f t="shared" si="79"/>
        <v>0</v>
      </c>
      <c r="N120" s="74">
        <f t="shared" si="80"/>
        <v>0</v>
      </c>
      <c r="O120" s="72">
        <f t="shared" si="81"/>
        <v>0</v>
      </c>
      <c r="P120" s="205">
        <f t="shared" si="82"/>
        <v>0</v>
      </c>
      <c r="Q120" s="272">
        <f t="shared" si="83"/>
        <v>0</v>
      </c>
      <c r="R120" s="439">
        <f t="shared" si="84"/>
        <v>0</v>
      </c>
      <c r="T120" s="224"/>
      <c r="W120" s="126"/>
      <c r="X120" s="126"/>
      <c r="Y120" s="126"/>
      <c r="Z120" s="126"/>
      <c r="AA120" s="661"/>
      <c r="AB120" s="661"/>
      <c r="AC120" s="123"/>
      <c r="AD120" s="212">
        <f>SUM(AD116:AD119)</f>
        <v>1281.3207547169811</v>
      </c>
      <c r="AE120" s="662"/>
      <c r="AF120" s="212">
        <f>SUM(AF116:AF119)</f>
        <v>214.5</v>
      </c>
    </row>
    <row r="121" spans="1:32" s="273" customFormat="1" x14ac:dyDescent="0.25">
      <c r="A121" s="350"/>
      <c r="B121" s="317"/>
      <c r="C121" s="318">
        <v>1</v>
      </c>
      <c r="D121" s="83" t="s">
        <v>149</v>
      </c>
      <c r="E121" s="242">
        <v>76.8</v>
      </c>
      <c r="F121" s="302">
        <v>78</v>
      </c>
      <c r="G121" s="77" t="s">
        <v>100</v>
      </c>
      <c r="H121" s="74">
        <f>231/1.05</f>
        <v>220</v>
      </c>
      <c r="I121" s="74">
        <f t="shared" ref="I121:I127" si="89">F121*H121</f>
        <v>17160</v>
      </c>
      <c r="J121" s="74">
        <v>75</v>
      </c>
      <c r="K121" s="74">
        <f t="shared" ref="K121:K127" si="90">F121*J121</f>
        <v>5850</v>
      </c>
      <c r="L121" s="72">
        <f t="shared" ref="L121:L127" si="91">I121+K121</f>
        <v>23010</v>
      </c>
      <c r="M121" s="74">
        <f t="shared" si="79"/>
        <v>305.83851033480011</v>
      </c>
      <c r="N121" s="74">
        <f t="shared" si="80"/>
        <v>104.26312852322729</v>
      </c>
      <c r="O121" s="72">
        <f t="shared" si="81"/>
        <v>410.1016388580274</v>
      </c>
      <c r="P121" s="205">
        <f t="shared" si="82"/>
        <v>31987.927830926135</v>
      </c>
      <c r="Q121" s="272">
        <f t="shared" si="83"/>
        <v>31987.927830926139</v>
      </c>
      <c r="R121" s="439">
        <f t="shared" si="84"/>
        <v>0</v>
      </c>
      <c r="T121" s="224"/>
      <c r="AD121" s="224"/>
      <c r="AF121" s="224"/>
    </row>
    <row r="122" spans="1:32" s="273" customFormat="1" x14ac:dyDescent="0.25">
      <c r="A122" s="350"/>
      <c r="B122" s="317"/>
      <c r="C122" s="318">
        <v>2</v>
      </c>
      <c r="D122" s="83" t="s">
        <v>150</v>
      </c>
      <c r="E122" s="242">
        <v>56.4</v>
      </c>
      <c r="F122" s="302">
        <v>58</v>
      </c>
      <c r="G122" s="77" t="s">
        <v>100</v>
      </c>
      <c r="H122" s="74">
        <f>140/1.05</f>
        <v>133.33333333333331</v>
      </c>
      <c r="I122" s="74">
        <f t="shared" si="89"/>
        <v>7733.3333333333321</v>
      </c>
      <c r="J122" s="74">
        <v>75</v>
      </c>
      <c r="K122" s="74">
        <f t="shared" si="90"/>
        <v>4350</v>
      </c>
      <c r="L122" s="72">
        <f t="shared" si="91"/>
        <v>12083.333333333332</v>
      </c>
      <c r="M122" s="74">
        <f t="shared" si="79"/>
        <v>185.35667293018184</v>
      </c>
      <c r="N122" s="74">
        <f t="shared" si="80"/>
        <v>104.26312852322729</v>
      </c>
      <c r="O122" s="72">
        <f t="shared" si="81"/>
        <v>289.61980145340914</v>
      </c>
      <c r="P122" s="205">
        <f t="shared" si="82"/>
        <v>16797.948484297729</v>
      </c>
      <c r="Q122" s="272">
        <f t="shared" si="83"/>
        <v>16797.948484297729</v>
      </c>
      <c r="R122" s="439">
        <f t="shared" si="84"/>
        <v>0</v>
      </c>
      <c r="T122" s="224"/>
      <c r="W122" s="904" t="s">
        <v>295</v>
      </c>
      <c r="X122" s="904"/>
      <c r="Y122" s="904"/>
      <c r="Z122" s="662" t="s">
        <v>243</v>
      </c>
      <c r="AA122" s="662" t="s">
        <v>244</v>
      </c>
      <c r="AB122" s="662" t="s">
        <v>245</v>
      </c>
      <c r="AC122" s="123" t="s">
        <v>246</v>
      </c>
      <c r="AD122" s="196" t="s">
        <v>247</v>
      </c>
      <c r="AE122" s="662" t="s">
        <v>248</v>
      </c>
      <c r="AF122" s="212" t="s">
        <v>249</v>
      </c>
    </row>
    <row r="123" spans="1:32" s="273" customFormat="1" x14ac:dyDescent="0.25">
      <c r="A123" s="350"/>
      <c r="B123" s="317"/>
      <c r="C123" s="318">
        <v>3</v>
      </c>
      <c r="D123" s="83" t="s">
        <v>354</v>
      </c>
      <c r="E123" s="242">
        <f>7.83+5.5*2</f>
        <v>18.829999999999998</v>
      </c>
      <c r="F123" s="302">
        <v>19.5</v>
      </c>
      <c r="G123" s="77" t="s">
        <v>100</v>
      </c>
      <c r="H123" s="74">
        <f>825/1.05</f>
        <v>785.71428571428567</v>
      </c>
      <c r="I123" s="74">
        <f t="shared" si="89"/>
        <v>15321.428571428571</v>
      </c>
      <c r="J123" s="74">
        <v>120</v>
      </c>
      <c r="K123" s="74">
        <f t="shared" si="90"/>
        <v>2340</v>
      </c>
      <c r="L123" s="72">
        <f t="shared" si="91"/>
        <v>17661.428571428572</v>
      </c>
      <c r="M123" s="74">
        <f t="shared" si="79"/>
        <v>1092.2803940528574</v>
      </c>
      <c r="N123" s="74">
        <f t="shared" si="80"/>
        <v>166.82100563716369</v>
      </c>
      <c r="O123" s="72">
        <f t="shared" si="81"/>
        <v>1259.101399690021</v>
      </c>
      <c r="P123" s="205">
        <f t="shared" si="82"/>
        <v>24552.47729395541</v>
      </c>
      <c r="Q123" s="272">
        <f t="shared" si="83"/>
        <v>24552.477293955413</v>
      </c>
      <c r="R123" s="439">
        <f t="shared" si="84"/>
        <v>0</v>
      </c>
      <c r="T123" s="224"/>
      <c r="W123" s="878" t="s">
        <v>271</v>
      </c>
      <c r="X123" s="878"/>
      <c r="Y123" s="878"/>
      <c r="Z123" s="124" t="s">
        <v>251</v>
      </c>
      <c r="AA123" s="661">
        <v>8.33</v>
      </c>
      <c r="AB123" s="661">
        <v>9</v>
      </c>
      <c r="AC123" s="123">
        <f>143/1.06</f>
        <v>134.90566037735849</v>
      </c>
      <c r="AD123" s="196">
        <f>AC123*AB123</f>
        <v>1214.1509433962265</v>
      </c>
      <c r="AE123" s="661">
        <v>23.9</v>
      </c>
      <c r="AF123" s="219">
        <f>AE123*AB123</f>
        <v>215.1</v>
      </c>
    </row>
    <row r="124" spans="1:32" s="273" customFormat="1" x14ac:dyDescent="0.25">
      <c r="A124" s="350"/>
      <c r="B124" s="317"/>
      <c r="C124" s="318">
        <v>4</v>
      </c>
      <c r="D124" s="83" t="s">
        <v>297</v>
      </c>
      <c r="E124" s="306">
        <v>2</v>
      </c>
      <c r="F124" s="302">
        <v>2</v>
      </c>
      <c r="G124" s="77" t="s">
        <v>100</v>
      </c>
      <c r="H124" s="74">
        <f>1200/1.05</f>
        <v>1142.8571428571429</v>
      </c>
      <c r="I124" s="74">
        <f t="shared" si="89"/>
        <v>2285.7142857142858</v>
      </c>
      <c r="J124" s="74">
        <v>175</v>
      </c>
      <c r="K124" s="74">
        <f t="shared" si="90"/>
        <v>350</v>
      </c>
      <c r="L124" s="72">
        <f t="shared" si="91"/>
        <v>2635.7142857142858</v>
      </c>
      <c r="M124" s="74">
        <f t="shared" si="79"/>
        <v>1588.7714822587018</v>
      </c>
      <c r="N124" s="74">
        <f t="shared" si="80"/>
        <v>243.28063322086371</v>
      </c>
      <c r="O124" s="72">
        <f t="shared" si="81"/>
        <v>1832.0521154795656</v>
      </c>
      <c r="P124" s="205">
        <f t="shared" si="82"/>
        <v>3664.1042309591312</v>
      </c>
      <c r="Q124" s="272">
        <f t="shared" si="83"/>
        <v>3664.1042309591312</v>
      </c>
      <c r="R124" s="439">
        <f t="shared" si="84"/>
        <v>0</v>
      </c>
      <c r="T124" s="224"/>
      <c r="W124" s="878" t="s">
        <v>252</v>
      </c>
      <c r="X124" s="878"/>
      <c r="Y124" s="878"/>
      <c r="Z124" s="124" t="s">
        <v>253</v>
      </c>
      <c r="AA124" s="661">
        <v>0.25</v>
      </c>
      <c r="AB124" s="661">
        <v>0.25</v>
      </c>
      <c r="AC124" s="123">
        <f>AC117</f>
        <v>268.8679245283019</v>
      </c>
      <c r="AD124" s="196">
        <f>AC124*AB124</f>
        <v>67.216981132075475</v>
      </c>
      <c r="AE124" s="661"/>
      <c r="AF124" s="219">
        <f>AE124*AB124</f>
        <v>0</v>
      </c>
    </row>
    <row r="125" spans="1:32" s="273" customFormat="1" x14ac:dyDescent="0.25">
      <c r="A125" s="350"/>
      <c r="B125" s="317"/>
      <c r="C125" s="318">
        <v>5</v>
      </c>
      <c r="D125" s="83" t="s">
        <v>416</v>
      </c>
      <c r="E125" s="306" t="s">
        <v>39</v>
      </c>
      <c r="F125" s="302"/>
      <c r="G125" s="75"/>
      <c r="H125" s="74"/>
      <c r="I125" s="74">
        <f t="shared" si="89"/>
        <v>0</v>
      </c>
      <c r="J125" s="74"/>
      <c r="K125" s="74">
        <f t="shared" si="90"/>
        <v>0</v>
      </c>
      <c r="L125" s="72">
        <f t="shared" si="91"/>
        <v>0</v>
      </c>
      <c r="M125" s="74">
        <f t="shared" si="79"/>
        <v>0</v>
      </c>
      <c r="N125" s="74">
        <f t="shared" si="80"/>
        <v>0</v>
      </c>
      <c r="O125" s="72">
        <f t="shared" si="81"/>
        <v>0</v>
      </c>
      <c r="P125" s="205">
        <f t="shared" si="82"/>
        <v>0</v>
      </c>
      <c r="Q125" s="272">
        <f t="shared" si="83"/>
        <v>0</v>
      </c>
      <c r="R125" s="439">
        <f t="shared" si="84"/>
        <v>0</v>
      </c>
      <c r="T125" s="224"/>
      <c r="W125" s="878" t="s">
        <v>254</v>
      </c>
      <c r="X125" s="878"/>
      <c r="Y125" s="878"/>
      <c r="Z125" s="124" t="s">
        <v>255</v>
      </c>
      <c r="AA125" s="661">
        <v>0.25</v>
      </c>
      <c r="AB125" s="661">
        <v>0.35</v>
      </c>
      <c r="AC125" s="123">
        <f>37/1.06</f>
        <v>34.905660377358487</v>
      </c>
      <c r="AD125" s="196">
        <f>AC125*AB125</f>
        <v>12.216981132075469</v>
      </c>
      <c r="AE125" s="661"/>
      <c r="AF125" s="219">
        <f>AE125*AB125</f>
        <v>0</v>
      </c>
    </row>
    <row r="126" spans="1:32" s="224" customFormat="1" x14ac:dyDescent="0.25">
      <c r="A126" s="350"/>
      <c r="B126" s="726"/>
      <c r="C126" s="318">
        <v>6</v>
      </c>
      <c r="D126" s="83" t="s">
        <v>159</v>
      </c>
      <c r="E126" s="306" t="s">
        <v>39</v>
      </c>
      <c r="F126" s="302"/>
      <c r="G126" s="75"/>
      <c r="H126" s="74"/>
      <c r="I126" s="74">
        <f t="shared" si="89"/>
        <v>0</v>
      </c>
      <c r="J126" s="74"/>
      <c r="K126" s="74">
        <f t="shared" si="90"/>
        <v>0</v>
      </c>
      <c r="L126" s="72">
        <f t="shared" si="91"/>
        <v>0</v>
      </c>
      <c r="M126" s="74">
        <f t="shared" si="79"/>
        <v>0</v>
      </c>
      <c r="N126" s="74">
        <f t="shared" si="80"/>
        <v>0</v>
      </c>
      <c r="O126" s="72">
        <f t="shared" si="81"/>
        <v>0</v>
      </c>
      <c r="P126" s="205">
        <f t="shared" si="82"/>
        <v>0</v>
      </c>
      <c r="Q126" s="272">
        <f t="shared" si="83"/>
        <v>0</v>
      </c>
      <c r="R126" s="439">
        <f t="shared" si="84"/>
        <v>0</v>
      </c>
      <c r="S126" s="273"/>
      <c r="W126" s="878" t="s">
        <v>256</v>
      </c>
      <c r="X126" s="878"/>
      <c r="Y126" s="878"/>
      <c r="Z126" s="124" t="s">
        <v>257</v>
      </c>
      <c r="AA126" s="661">
        <v>1</v>
      </c>
      <c r="AB126" s="661">
        <v>1</v>
      </c>
      <c r="AC126" s="123">
        <v>0</v>
      </c>
      <c r="AD126" s="196">
        <f>AC126*AB126</f>
        <v>0</v>
      </c>
      <c r="AE126" s="661">
        <v>0</v>
      </c>
      <c r="AF126" s="219">
        <f>AE126*AB126</f>
        <v>0</v>
      </c>
    </row>
    <row r="127" spans="1:32" s="224" customFormat="1" x14ac:dyDescent="0.25">
      <c r="A127" s="350"/>
      <c r="B127" s="726"/>
      <c r="C127" s="318">
        <v>7</v>
      </c>
      <c r="D127" s="83" t="s">
        <v>417</v>
      </c>
      <c r="E127" s="306">
        <v>7.5</v>
      </c>
      <c r="F127" s="302">
        <v>8</v>
      </c>
      <c r="G127" s="77" t="s">
        <v>101</v>
      </c>
      <c r="H127" s="74">
        <f>5878*0.85/1.03</f>
        <v>4850.7766990291266</v>
      </c>
      <c r="I127" s="74">
        <f t="shared" si="89"/>
        <v>38806.213592233013</v>
      </c>
      <c r="J127" s="74">
        <f>5878*0.15/1.03</f>
        <v>856.01941747572812</v>
      </c>
      <c r="K127" s="74">
        <f t="shared" si="90"/>
        <v>6848.155339805825</v>
      </c>
      <c r="L127" s="72">
        <f t="shared" si="91"/>
        <v>45654.368932038837</v>
      </c>
      <c r="M127" s="74">
        <f t="shared" si="79"/>
        <v>6743.4287254446681</v>
      </c>
      <c r="N127" s="74">
        <f t="shared" si="80"/>
        <v>1190.0168339020001</v>
      </c>
      <c r="O127" s="72">
        <f t="shared" si="81"/>
        <v>7933.4455593466682</v>
      </c>
      <c r="P127" s="205">
        <f t="shared" si="82"/>
        <v>63467.564474773346</v>
      </c>
      <c r="Q127" s="272">
        <f t="shared" si="83"/>
        <v>63467.564474773346</v>
      </c>
      <c r="R127" s="439">
        <f t="shared" si="84"/>
        <v>0</v>
      </c>
      <c r="S127" s="273"/>
      <c r="W127" s="126"/>
      <c r="X127" s="126"/>
      <c r="Y127" s="126"/>
      <c r="Z127" s="126"/>
      <c r="AA127" s="661"/>
      <c r="AB127" s="661"/>
      <c r="AC127" s="123"/>
      <c r="AD127" s="212">
        <f>SUM(AD123:AD126)</f>
        <v>1293.5849056603774</v>
      </c>
      <c r="AE127" s="662"/>
      <c r="AF127" s="212">
        <f>SUM(AF123:AF126)</f>
        <v>215.1</v>
      </c>
    </row>
    <row r="128" spans="1:32" s="224" customFormat="1" ht="15" customHeight="1" x14ac:dyDescent="0.25">
      <c r="A128" s="350"/>
      <c r="B128" s="319"/>
      <c r="C128" s="318"/>
      <c r="D128" s="82"/>
      <c r="E128" s="242"/>
      <c r="F128" s="302"/>
      <c r="G128" s="75"/>
      <c r="H128" s="74"/>
      <c r="I128" s="74"/>
      <c r="J128" s="74"/>
      <c r="K128" s="74"/>
      <c r="L128" s="74"/>
      <c r="M128" s="74">
        <f t="shared" si="79"/>
        <v>0</v>
      </c>
      <c r="N128" s="74">
        <f t="shared" si="80"/>
        <v>0</v>
      </c>
      <c r="O128" s="72">
        <f t="shared" si="81"/>
        <v>0</v>
      </c>
      <c r="P128" s="205">
        <f t="shared" si="82"/>
        <v>0</v>
      </c>
      <c r="Q128" s="272">
        <f t="shared" si="83"/>
        <v>0</v>
      </c>
      <c r="R128" s="439">
        <f t="shared" si="84"/>
        <v>0</v>
      </c>
      <c r="S128" s="273"/>
    </row>
    <row r="129" spans="1:34" s="273" customFormat="1" x14ac:dyDescent="0.25">
      <c r="A129" s="350"/>
      <c r="B129" s="412" t="s">
        <v>335</v>
      </c>
      <c r="C129" s="413" t="s">
        <v>413</v>
      </c>
      <c r="D129" s="83"/>
      <c r="E129" s="242"/>
      <c r="F129" s="302"/>
      <c r="G129" s="75"/>
      <c r="H129" s="74"/>
      <c r="I129" s="74"/>
      <c r="J129" s="74"/>
      <c r="K129" s="74"/>
      <c r="L129" s="74"/>
      <c r="M129" s="74">
        <f t="shared" si="79"/>
        <v>0</v>
      </c>
      <c r="N129" s="74">
        <f t="shared" si="80"/>
        <v>0</v>
      </c>
      <c r="O129" s="72">
        <f t="shared" si="81"/>
        <v>0</v>
      </c>
      <c r="P129" s="205">
        <f t="shared" si="82"/>
        <v>0</v>
      </c>
      <c r="Q129" s="272">
        <f t="shared" si="83"/>
        <v>0</v>
      </c>
      <c r="R129" s="439">
        <f t="shared" si="84"/>
        <v>0</v>
      </c>
    </row>
    <row r="130" spans="1:34" s="273" customFormat="1" hidden="1" x14ac:dyDescent="0.25">
      <c r="A130" s="350"/>
      <c r="B130" s="317"/>
      <c r="C130" s="318">
        <v>1</v>
      </c>
      <c r="D130" s="83" t="s">
        <v>414</v>
      </c>
      <c r="E130" s="242">
        <v>15.7</v>
      </c>
      <c r="F130" s="302">
        <v>16.5</v>
      </c>
      <c r="G130" s="77" t="s">
        <v>100</v>
      </c>
      <c r="H130" s="74"/>
      <c r="I130" s="74">
        <f>F130*H130</f>
        <v>0</v>
      </c>
      <c r="J130" s="74"/>
      <c r="K130" s="74">
        <f t="shared" ref="K130:K133" si="92">F130*J130</f>
        <v>0</v>
      </c>
      <c r="L130" s="72">
        <f t="shared" ref="L130:L133" si="93">I130+K130</f>
        <v>0</v>
      </c>
      <c r="M130" s="74">
        <f t="shared" si="79"/>
        <v>0</v>
      </c>
      <c r="N130" s="74">
        <f t="shared" si="80"/>
        <v>0</v>
      </c>
      <c r="O130" s="72">
        <f t="shared" si="81"/>
        <v>0</v>
      </c>
      <c r="P130" s="205">
        <f t="shared" si="82"/>
        <v>0</v>
      </c>
      <c r="Q130" s="272">
        <f t="shared" si="83"/>
        <v>0</v>
      </c>
      <c r="R130" s="439">
        <f t="shared" si="84"/>
        <v>0</v>
      </c>
    </row>
    <row r="131" spans="1:34" s="273" customFormat="1" hidden="1" x14ac:dyDescent="0.25">
      <c r="A131" s="350"/>
      <c r="B131" s="317"/>
      <c r="C131" s="318">
        <v>2</v>
      </c>
      <c r="D131" s="83" t="s">
        <v>415</v>
      </c>
      <c r="E131" s="242">
        <v>8.5</v>
      </c>
      <c r="F131" s="302">
        <v>9</v>
      </c>
      <c r="G131" s="77" t="s">
        <v>100</v>
      </c>
      <c r="H131" s="74"/>
      <c r="I131" s="74">
        <f>F131*H131</f>
        <v>0</v>
      </c>
      <c r="J131" s="74"/>
      <c r="K131" s="74">
        <f t="shared" si="92"/>
        <v>0</v>
      </c>
      <c r="L131" s="72">
        <f t="shared" si="93"/>
        <v>0</v>
      </c>
      <c r="M131" s="74">
        <f t="shared" si="79"/>
        <v>0</v>
      </c>
      <c r="N131" s="74">
        <f t="shared" si="80"/>
        <v>0</v>
      </c>
      <c r="O131" s="72">
        <f t="shared" si="81"/>
        <v>0</v>
      </c>
      <c r="P131" s="205">
        <f t="shared" si="82"/>
        <v>0</v>
      </c>
      <c r="Q131" s="272">
        <f t="shared" si="83"/>
        <v>0</v>
      </c>
      <c r="R131" s="439">
        <f t="shared" si="84"/>
        <v>0</v>
      </c>
    </row>
    <row r="132" spans="1:34" s="273" customFormat="1" x14ac:dyDescent="0.25">
      <c r="A132" s="350"/>
      <c r="B132" s="317"/>
      <c r="C132" s="318">
        <v>3</v>
      </c>
      <c r="D132" s="83" t="s">
        <v>336</v>
      </c>
      <c r="E132" s="242">
        <v>4</v>
      </c>
      <c r="F132" s="302">
        <v>4</v>
      </c>
      <c r="G132" s="77" t="s">
        <v>100</v>
      </c>
      <c r="H132" s="74">
        <f>AR200/F132</f>
        <v>6348.8095238095229</v>
      </c>
      <c r="I132" s="74">
        <f>F132*H132</f>
        <v>25395.238095238092</v>
      </c>
      <c r="J132" s="74">
        <f>AT200/F132</f>
        <v>3225</v>
      </c>
      <c r="K132" s="74">
        <f t="shared" si="92"/>
        <v>12900</v>
      </c>
      <c r="L132" s="72">
        <f t="shared" si="93"/>
        <v>38295.238095238092</v>
      </c>
      <c r="M132" s="74">
        <f t="shared" si="79"/>
        <v>8825.9565780058892</v>
      </c>
      <c r="N132" s="74">
        <f t="shared" si="80"/>
        <v>4483.3145264987734</v>
      </c>
      <c r="O132" s="72">
        <f t="shared" si="81"/>
        <v>13309.271104504664</v>
      </c>
      <c r="P132" s="205">
        <f t="shared" si="82"/>
        <v>53237.084418018654</v>
      </c>
      <c r="Q132" s="272">
        <f t="shared" si="83"/>
        <v>53237.084418018661</v>
      </c>
      <c r="R132" s="439">
        <f t="shared" si="84"/>
        <v>0</v>
      </c>
      <c r="T132" s="224"/>
      <c r="AD132" s="224"/>
      <c r="AF132" s="224"/>
    </row>
    <row r="133" spans="1:34" s="273" customFormat="1" x14ac:dyDescent="0.25">
      <c r="A133" s="350"/>
      <c r="B133" s="317"/>
      <c r="C133" s="318">
        <v>4</v>
      </c>
      <c r="D133" s="83" t="s">
        <v>337</v>
      </c>
      <c r="E133" s="242">
        <v>56</v>
      </c>
      <c r="F133" s="302">
        <v>58</v>
      </c>
      <c r="G133" s="77" t="s">
        <v>101</v>
      </c>
      <c r="H133" s="74">
        <v>185</v>
      </c>
      <c r="I133" s="74">
        <f>F133*H133</f>
        <v>10730</v>
      </c>
      <c r="J133" s="74">
        <v>185</v>
      </c>
      <c r="K133" s="74">
        <f t="shared" si="92"/>
        <v>10730</v>
      </c>
      <c r="L133" s="72">
        <f t="shared" si="93"/>
        <v>21460</v>
      </c>
      <c r="M133" s="74">
        <f t="shared" si="79"/>
        <v>257.18238369062738</v>
      </c>
      <c r="N133" s="74">
        <f t="shared" si="80"/>
        <v>257.18238369062738</v>
      </c>
      <c r="O133" s="72">
        <f t="shared" si="81"/>
        <v>514.36476738125475</v>
      </c>
      <c r="P133" s="205">
        <f t="shared" si="82"/>
        <v>29833.156508112777</v>
      </c>
      <c r="Q133" s="272">
        <f t="shared" si="83"/>
        <v>29833.156508112774</v>
      </c>
      <c r="R133" s="439">
        <f t="shared" si="84"/>
        <v>0</v>
      </c>
      <c r="T133" s="224"/>
      <c r="AD133" s="224"/>
      <c r="AF133" s="224"/>
    </row>
    <row r="134" spans="1:34" s="273" customFormat="1" x14ac:dyDescent="0.25">
      <c r="A134" s="350"/>
      <c r="B134" s="724"/>
      <c r="C134" s="725"/>
      <c r="D134" s="83"/>
      <c r="E134" s="242"/>
      <c r="F134" s="302"/>
      <c r="G134" s="75"/>
      <c r="H134" s="74"/>
      <c r="I134" s="74"/>
      <c r="J134" s="74"/>
      <c r="K134" s="74"/>
      <c r="L134" s="74"/>
      <c r="M134" s="74">
        <f t="shared" si="79"/>
        <v>0</v>
      </c>
      <c r="N134" s="74">
        <f t="shared" si="80"/>
        <v>0</v>
      </c>
      <c r="O134" s="72">
        <f t="shared" si="81"/>
        <v>0</v>
      </c>
      <c r="P134" s="205">
        <f t="shared" si="82"/>
        <v>0</v>
      </c>
      <c r="Q134" s="272">
        <f t="shared" si="83"/>
        <v>0</v>
      </c>
      <c r="R134" s="439">
        <f t="shared" si="84"/>
        <v>0</v>
      </c>
    </row>
    <row r="135" spans="1:34" s="273" customFormat="1" x14ac:dyDescent="0.25">
      <c r="A135" s="350"/>
      <c r="B135" s="317"/>
      <c r="C135" s="318"/>
      <c r="D135" s="83"/>
      <c r="E135" s="242"/>
      <c r="F135" s="302"/>
      <c r="G135" s="77"/>
      <c r="H135" s="74"/>
      <c r="I135" s="74"/>
      <c r="J135" s="74"/>
      <c r="K135" s="74"/>
      <c r="L135" s="72"/>
      <c r="M135" s="74">
        <f t="shared" si="79"/>
        <v>0</v>
      </c>
      <c r="N135" s="74">
        <f t="shared" si="80"/>
        <v>0</v>
      </c>
      <c r="O135" s="72">
        <f t="shared" si="81"/>
        <v>0</v>
      </c>
      <c r="P135" s="205">
        <f t="shared" si="82"/>
        <v>0</v>
      </c>
      <c r="Q135" s="272">
        <f t="shared" si="83"/>
        <v>0</v>
      </c>
      <c r="R135" s="439">
        <f t="shared" si="84"/>
        <v>0</v>
      </c>
    </row>
    <row r="136" spans="1:34" s="224" customFormat="1" x14ac:dyDescent="0.25">
      <c r="A136" s="411"/>
      <c r="B136" s="412" t="s">
        <v>338</v>
      </c>
      <c r="C136" s="413" t="s">
        <v>131</v>
      </c>
      <c r="D136" s="82"/>
      <c r="E136" s="242"/>
      <c r="F136" s="302"/>
      <c r="G136" s="77"/>
      <c r="H136" s="74"/>
      <c r="I136" s="74"/>
      <c r="J136" s="74"/>
      <c r="K136" s="74"/>
      <c r="L136" s="72"/>
      <c r="M136" s="74">
        <f t="shared" si="79"/>
        <v>0</v>
      </c>
      <c r="N136" s="74">
        <f t="shared" si="80"/>
        <v>0</v>
      </c>
      <c r="O136" s="72">
        <f t="shared" si="81"/>
        <v>0</v>
      </c>
      <c r="P136" s="205">
        <f t="shared" si="82"/>
        <v>0</v>
      </c>
      <c r="Q136" s="272">
        <f t="shared" si="83"/>
        <v>0</v>
      </c>
      <c r="R136" s="439">
        <f t="shared" si="84"/>
        <v>0</v>
      </c>
      <c r="S136" s="273"/>
    </row>
    <row r="137" spans="1:34" s="224" customFormat="1" x14ac:dyDescent="0.25">
      <c r="A137" s="411"/>
      <c r="B137" s="412"/>
      <c r="C137" s="413">
        <v>1</v>
      </c>
      <c r="D137" s="83" t="s">
        <v>456</v>
      </c>
      <c r="E137" s="242">
        <v>1</v>
      </c>
      <c r="F137" s="302">
        <v>1</v>
      </c>
      <c r="G137" s="77" t="s">
        <v>55</v>
      </c>
      <c r="H137" s="74">
        <f>(23600+74200)*0.85/1.3889/1.07</f>
        <v>55937.496425262238</v>
      </c>
      <c r="I137" s="74">
        <f t="shared" ref="I137:I139" si="94">F137*H137</f>
        <v>55937.496425262238</v>
      </c>
      <c r="J137" s="74">
        <f>(23600+74200)*0.15/1.3889/1.07</f>
        <v>9871.3228985756905</v>
      </c>
      <c r="K137" s="74">
        <f t="shared" ref="K137:K139" si="95">F137*J137</f>
        <v>9871.3228985756905</v>
      </c>
      <c r="L137" s="72">
        <f t="shared" ref="L137:L139" si="96">I137+K137</f>
        <v>65808.819323837932</v>
      </c>
      <c r="M137" s="74">
        <f t="shared" si="79"/>
        <v>77762.911720729127</v>
      </c>
      <c r="N137" s="74">
        <f t="shared" si="80"/>
        <v>13722.866774246319</v>
      </c>
      <c r="O137" s="72">
        <f t="shared" si="81"/>
        <v>91485.778494975442</v>
      </c>
      <c r="P137" s="205">
        <f t="shared" si="82"/>
        <v>91485.778494975442</v>
      </c>
      <c r="Q137" s="272">
        <f t="shared" si="83"/>
        <v>91485.778494975457</v>
      </c>
      <c r="R137" s="439">
        <f t="shared" si="84"/>
        <v>0</v>
      </c>
      <c r="S137" s="273"/>
    </row>
    <row r="138" spans="1:34" s="224" customFormat="1" x14ac:dyDescent="0.25">
      <c r="A138" s="350"/>
      <c r="B138" s="412"/>
      <c r="C138" s="413">
        <v>2</v>
      </c>
      <c r="D138" s="83" t="s">
        <v>457</v>
      </c>
      <c r="E138" s="242">
        <v>1</v>
      </c>
      <c r="F138" s="302">
        <v>1</v>
      </c>
      <c r="G138" s="77" t="s">
        <v>55</v>
      </c>
      <c r="H138" s="74">
        <f>(58600+74200)*0.85/1.3889/1.07</f>
        <v>75956.027865795753</v>
      </c>
      <c r="I138" s="74">
        <f t="shared" si="94"/>
        <v>75956.027865795753</v>
      </c>
      <c r="J138" s="74">
        <f>(58600+74200)*0.15/1.3889/1.07</f>
        <v>13404.00491749337</v>
      </c>
      <c r="K138" s="74">
        <f t="shared" si="95"/>
        <v>13404.00491749337</v>
      </c>
      <c r="L138" s="72">
        <f t="shared" si="96"/>
        <v>89360.03278328912</v>
      </c>
      <c r="M138" s="74">
        <f t="shared" si="79"/>
        <v>105592.17460647062</v>
      </c>
      <c r="N138" s="74">
        <f t="shared" si="80"/>
        <v>18633.91316584776</v>
      </c>
      <c r="O138" s="72">
        <f t="shared" si="81"/>
        <v>124226.08777231838</v>
      </c>
      <c r="P138" s="205">
        <f t="shared" si="82"/>
        <v>124226.08777231838</v>
      </c>
      <c r="Q138" s="272">
        <f t="shared" si="83"/>
        <v>124226.08777231838</v>
      </c>
      <c r="R138" s="439">
        <f t="shared" si="84"/>
        <v>0</v>
      </c>
      <c r="S138" s="273"/>
      <c r="U138" s="225"/>
      <c r="V138" s="225"/>
    </row>
    <row r="139" spans="1:34" s="224" customFormat="1" x14ac:dyDescent="0.25">
      <c r="A139" s="411"/>
      <c r="B139" s="412"/>
      <c r="C139" s="413">
        <v>3</v>
      </c>
      <c r="D139" s="83" t="s">
        <v>418</v>
      </c>
      <c r="E139" s="242">
        <v>1</v>
      </c>
      <c r="F139" s="302">
        <v>1</v>
      </c>
      <c r="G139" s="77" t="s">
        <v>55</v>
      </c>
      <c r="H139" s="74">
        <f>5900*0.85/1.3889/1.03</f>
        <v>3505.6030231369796</v>
      </c>
      <c r="I139" s="74">
        <f t="shared" si="94"/>
        <v>3505.6030231369796</v>
      </c>
      <c r="J139" s="74">
        <f>5900*0.15/1.3889/1.03</f>
        <v>618.63582761240821</v>
      </c>
      <c r="K139" s="74">
        <f t="shared" si="95"/>
        <v>618.63582761240821</v>
      </c>
      <c r="L139" s="72">
        <f t="shared" si="96"/>
        <v>4124.2388507493879</v>
      </c>
      <c r="M139" s="74">
        <f t="shared" si="79"/>
        <v>4873.4018473699343</v>
      </c>
      <c r="N139" s="74">
        <f t="shared" si="80"/>
        <v>860.01209071234132</v>
      </c>
      <c r="O139" s="72">
        <f t="shared" si="81"/>
        <v>5733.4139380822753</v>
      </c>
      <c r="P139" s="205">
        <f t="shared" si="82"/>
        <v>5733.4139380822753</v>
      </c>
      <c r="Q139" s="272">
        <f t="shared" si="83"/>
        <v>5733.4139380822762</v>
      </c>
      <c r="R139" s="439">
        <f t="shared" si="84"/>
        <v>0</v>
      </c>
      <c r="S139" s="273"/>
      <c r="U139" s="225"/>
      <c r="V139" s="225"/>
    </row>
    <row r="140" spans="1:34" s="224" customFormat="1" x14ac:dyDescent="0.25">
      <c r="A140" s="350"/>
      <c r="B140" s="718"/>
      <c r="C140" s="719"/>
      <c r="D140" s="82"/>
      <c r="E140" s="242"/>
      <c r="F140" s="302"/>
      <c r="G140" s="75"/>
      <c r="H140" s="74"/>
      <c r="I140" s="74"/>
      <c r="J140" s="74"/>
      <c r="K140" s="74"/>
      <c r="L140" s="74"/>
      <c r="M140" s="74">
        <f t="shared" si="79"/>
        <v>0</v>
      </c>
      <c r="N140" s="74">
        <f t="shared" si="80"/>
        <v>0</v>
      </c>
      <c r="O140" s="72">
        <f t="shared" si="81"/>
        <v>0</v>
      </c>
      <c r="P140" s="205">
        <f t="shared" si="82"/>
        <v>0</v>
      </c>
      <c r="Q140" s="272">
        <f t="shared" si="83"/>
        <v>0</v>
      </c>
      <c r="R140" s="439">
        <f t="shared" si="84"/>
        <v>0</v>
      </c>
      <c r="S140" s="273"/>
      <c r="U140" s="225"/>
      <c r="V140" s="225"/>
    </row>
    <row r="141" spans="1:34" s="273" customFormat="1" x14ac:dyDescent="0.25">
      <c r="A141" s="350"/>
      <c r="B141" s="412" t="s">
        <v>339</v>
      </c>
      <c r="C141" s="413" t="s">
        <v>340</v>
      </c>
      <c r="D141" s="83"/>
      <c r="E141" s="242"/>
      <c r="F141" s="302"/>
      <c r="G141" s="75"/>
      <c r="H141" s="74"/>
      <c r="I141" s="74"/>
      <c r="J141" s="74"/>
      <c r="K141" s="74"/>
      <c r="L141" s="74"/>
      <c r="M141" s="74">
        <f t="shared" si="79"/>
        <v>0</v>
      </c>
      <c r="N141" s="74">
        <f t="shared" si="80"/>
        <v>0</v>
      </c>
      <c r="O141" s="72">
        <f t="shared" si="81"/>
        <v>0</v>
      </c>
      <c r="P141" s="205">
        <f t="shared" si="82"/>
        <v>0</v>
      </c>
      <c r="Q141" s="272">
        <f t="shared" si="83"/>
        <v>0</v>
      </c>
      <c r="R141" s="439">
        <f t="shared" si="84"/>
        <v>0</v>
      </c>
      <c r="T141" s="224"/>
      <c r="AD141" s="224"/>
      <c r="AF141" s="224"/>
    </row>
    <row r="142" spans="1:34" s="273" customFormat="1" x14ac:dyDescent="0.25">
      <c r="A142" s="350"/>
      <c r="B142" s="317"/>
      <c r="C142" s="318">
        <v>1</v>
      </c>
      <c r="D142" s="83" t="s">
        <v>341</v>
      </c>
      <c r="E142" s="242">
        <v>1</v>
      </c>
      <c r="F142" s="302">
        <v>1</v>
      </c>
      <c r="G142" s="77" t="s">
        <v>55</v>
      </c>
      <c r="H142" s="74">
        <f>79415.5*0.7/1.07</f>
        <v>51954.065420560742</v>
      </c>
      <c r="I142" s="74">
        <f>F142*H142</f>
        <v>51954.065420560742</v>
      </c>
      <c r="J142" s="74">
        <f>79415.5*0.3/1.07</f>
        <v>22266.028037383174</v>
      </c>
      <c r="K142" s="74">
        <f t="shared" ref="K142:K144" si="97">F142*J142</f>
        <v>22266.028037383174</v>
      </c>
      <c r="L142" s="72">
        <f t="shared" ref="L142:L144" si="98">I142+K142</f>
        <v>74220.09345794392</v>
      </c>
      <c r="M142" s="74">
        <v>71351.765447542959</v>
      </c>
      <c r="N142" s="74">
        <v>30579.32804894698</v>
      </c>
      <c r="O142" s="72">
        <f t="shared" si="81"/>
        <v>101931.09349648994</v>
      </c>
      <c r="P142" s="205">
        <v>101931.09349648994</v>
      </c>
      <c r="Q142" s="272">
        <f t="shared" si="83"/>
        <v>103178.92190948731</v>
      </c>
      <c r="R142" s="439">
        <f t="shared" si="84"/>
        <v>-1247.8284129973763</v>
      </c>
      <c r="T142" s="224"/>
      <c r="V142" s="224"/>
      <c r="W142" s="225"/>
      <c r="X142" s="225"/>
      <c r="Y142" s="932" t="s">
        <v>366</v>
      </c>
      <c r="Z142" s="932"/>
      <c r="AA142" s="932"/>
      <c r="AB142" s="727"/>
      <c r="AC142" s="727"/>
      <c r="AD142" s="727"/>
      <c r="AE142" s="727"/>
      <c r="AF142" s="727"/>
      <c r="AG142" s="728"/>
      <c r="AH142" s="728"/>
    </row>
    <row r="143" spans="1:34" s="273" customFormat="1" x14ac:dyDescent="0.25">
      <c r="A143" s="350"/>
      <c r="B143" s="317"/>
      <c r="C143" s="318">
        <v>2</v>
      </c>
      <c r="D143" s="83" t="s">
        <v>342</v>
      </c>
      <c r="E143" s="242">
        <v>1</v>
      </c>
      <c r="F143" s="302">
        <v>1</v>
      </c>
      <c r="G143" s="77" t="s">
        <v>55</v>
      </c>
      <c r="H143" s="74">
        <f>120317.5*0.7/1.07</f>
        <v>78712.383177570082</v>
      </c>
      <c r="I143" s="74">
        <f>F143*H143</f>
        <v>78712.383177570082</v>
      </c>
      <c r="J143" s="74">
        <f>120317.5*0.3/1.07</f>
        <v>33733.878504672895</v>
      </c>
      <c r="K143" s="74">
        <f t="shared" si="97"/>
        <v>33733.878504672895</v>
      </c>
      <c r="L143" s="72">
        <f t="shared" si="98"/>
        <v>112446.26168224297</v>
      </c>
      <c r="M143" s="74">
        <v>108100.63576045922</v>
      </c>
      <c r="N143" s="74">
        <v>46328.843897339677</v>
      </c>
      <c r="O143" s="72">
        <f t="shared" si="81"/>
        <v>154429.47965779889</v>
      </c>
      <c r="P143" s="205">
        <v>154429.47965779889</v>
      </c>
      <c r="Q143" s="272">
        <f t="shared" si="83"/>
        <v>156319.98711642865</v>
      </c>
      <c r="R143" s="439">
        <f t="shared" si="84"/>
        <v>-1890.507458629756</v>
      </c>
      <c r="T143" s="224"/>
      <c r="V143" s="224"/>
      <c r="W143" s="225"/>
      <c r="X143" s="225"/>
      <c r="Y143" s="354"/>
      <c r="Z143" s="354"/>
      <c r="AA143" s="354"/>
      <c r="AB143" s="727" t="s">
        <v>81</v>
      </c>
      <c r="AC143" s="727" t="s">
        <v>6</v>
      </c>
      <c r="AD143" s="727" t="s">
        <v>5</v>
      </c>
      <c r="AE143" s="727" t="s">
        <v>174</v>
      </c>
      <c r="AF143" s="727" t="s">
        <v>175</v>
      </c>
      <c r="AG143" s="728" t="s">
        <v>176</v>
      </c>
      <c r="AH143" s="728" t="s">
        <v>177</v>
      </c>
    </row>
    <row r="144" spans="1:34" s="273" customFormat="1" x14ac:dyDescent="0.25">
      <c r="A144" s="350"/>
      <c r="B144" s="317"/>
      <c r="C144" s="318">
        <v>3</v>
      </c>
      <c r="D144" s="83" t="s">
        <v>359</v>
      </c>
      <c r="E144" s="242">
        <v>6.3</v>
      </c>
      <c r="F144" s="302">
        <v>6.5</v>
      </c>
      <c r="G144" s="77" t="s">
        <v>100</v>
      </c>
      <c r="H144" s="74">
        <f>(AE208*2+AE224*3)/F144/1.07</f>
        <v>3035.8015815959739</v>
      </c>
      <c r="I144" s="74">
        <f>F144*H144</f>
        <v>19732.710280373831</v>
      </c>
      <c r="J144" s="74">
        <f>(AE215*2+AE231*3)/F144/1.07</f>
        <v>2859.0941768511857</v>
      </c>
      <c r="K144" s="74">
        <f t="shared" si="97"/>
        <v>18584.112149532706</v>
      </c>
      <c r="L144" s="72">
        <f t="shared" si="98"/>
        <v>38316.822429906533</v>
      </c>
      <c r="M144" s="74">
        <v>4248.6704670076906</v>
      </c>
      <c r="N144" s="74">
        <v>4001.3646034123294</v>
      </c>
      <c r="O144" s="72">
        <f t="shared" si="81"/>
        <v>8250.0350704200209</v>
      </c>
      <c r="P144" s="205">
        <v>53625.227957730138</v>
      </c>
      <c r="Q144" s="272">
        <f t="shared" si="83"/>
        <v>53267.090421480316</v>
      </c>
      <c r="R144" s="439">
        <f t="shared" si="84"/>
        <v>358.13753624982201</v>
      </c>
      <c r="T144" s="224"/>
      <c r="V144" s="224"/>
      <c r="W144" s="225"/>
      <c r="X144" s="225"/>
      <c r="Y144" s="931" t="s">
        <v>367</v>
      </c>
      <c r="Z144" s="931"/>
      <c r="AA144" s="931"/>
      <c r="AB144" s="729">
        <f>5.925*5.9</f>
        <v>34.957500000000003</v>
      </c>
      <c r="AC144" s="657">
        <v>35</v>
      </c>
      <c r="AD144" s="657" t="s">
        <v>101</v>
      </c>
      <c r="AE144" s="730">
        <f>4500/1.12</f>
        <v>4017.8571428571427</v>
      </c>
      <c r="AF144" s="730">
        <f>AE144*AC144</f>
        <v>140625</v>
      </c>
      <c r="AG144" s="731">
        <v>375</v>
      </c>
      <c r="AH144" s="731">
        <f>AG144*AC144</f>
        <v>13125</v>
      </c>
    </row>
    <row r="145" spans="1:47" s="273" customFormat="1" ht="15.75" thickBot="1" x14ac:dyDescent="0.3">
      <c r="A145" s="350"/>
      <c r="B145" s="724"/>
      <c r="C145" s="725"/>
      <c r="D145" s="83"/>
      <c r="E145" s="242"/>
      <c r="F145" s="302"/>
      <c r="G145" s="75"/>
      <c r="H145" s="74"/>
      <c r="I145" s="74"/>
      <c r="J145" s="74"/>
      <c r="K145" s="74"/>
      <c r="L145" s="74"/>
      <c r="M145" s="72"/>
      <c r="N145" s="72"/>
      <c r="O145" s="72"/>
      <c r="P145" s="205"/>
      <c r="Q145" s="272">
        <f t="shared" si="83"/>
        <v>0</v>
      </c>
      <c r="R145" s="439"/>
      <c r="T145" s="224"/>
      <c r="V145" s="224"/>
      <c r="W145" s="225"/>
      <c r="X145" s="225"/>
      <c r="Y145" s="931" t="s">
        <v>368</v>
      </c>
      <c r="Z145" s="931"/>
      <c r="AA145" s="931"/>
      <c r="AB145" s="657">
        <f>2*3.5</f>
        <v>7</v>
      </c>
      <c r="AC145" s="657">
        <v>12</v>
      </c>
      <c r="AD145" s="657" t="s">
        <v>100</v>
      </c>
      <c r="AE145" s="730">
        <f>7.4*50</f>
        <v>370</v>
      </c>
      <c r="AF145" s="730">
        <f>AE145*AC145</f>
        <v>4440</v>
      </c>
      <c r="AG145" s="731">
        <v>85</v>
      </c>
      <c r="AH145" s="731">
        <f>AG145*AC145</f>
        <v>1020</v>
      </c>
    </row>
    <row r="146" spans="1:47" s="234" customFormat="1" ht="15.75" thickBot="1" x14ac:dyDescent="0.3">
      <c r="A146" s="308"/>
      <c r="B146" s="910" t="s">
        <v>343</v>
      </c>
      <c r="C146" s="911"/>
      <c r="D146" s="912"/>
      <c r="E146" s="309"/>
      <c r="F146" s="310"/>
      <c r="G146" s="311"/>
      <c r="H146" s="312"/>
      <c r="I146" s="313">
        <f>SUM(I31:I145)</f>
        <v>2314492.7914971029</v>
      </c>
      <c r="J146" s="312"/>
      <c r="K146" s="313">
        <f>SUM(K31:K145)</f>
        <v>946255.88767507602</v>
      </c>
      <c r="L146" s="313">
        <f>SUM(L31:L145)</f>
        <v>3260748.6791721801</v>
      </c>
      <c r="M146" s="312"/>
      <c r="N146" s="312"/>
      <c r="O146" s="313"/>
      <c r="P146" s="315">
        <f>SUM(P31:P145)</f>
        <v>4530231.2499109246</v>
      </c>
      <c r="Q146" s="272">
        <f t="shared" si="83"/>
        <v>4533011.4482463021</v>
      </c>
      <c r="R146" s="439">
        <f t="shared" ref="R146" si="99">P146-Q146</f>
        <v>-2780.1983353774995</v>
      </c>
      <c r="T146" s="211"/>
      <c r="V146" s="224"/>
      <c r="W146" s="225"/>
      <c r="X146" s="225"/>
      <c r="Y146" s="899" t="s">
        <v>369</v>
      </c>
      <c r="Z146" s="899"/>
      <c r="AA146" s="899"/>
      <c r="AB146" s="664">
        <v>11.8</v>
      </c>
      <c r="AC146" s="664">
        <v>12</v>
      </c>
      <c r="AD146" s="664" t="s">
        <v>100</v>
      </c>
      <c r="AE146" s="360">
        <f>47.1*36/1.12</f>
        <v>1513.9285714285713</v>
      </c>
      <c r="AF146" s="360">
        <f>AE146*AC146</f>
        <v>18167.142857142855</v>
      </c>
      <c r="AG146" s="362">
        <v>200</v>
      </c>
      <c r="AH146" s="362">
        <f>AG146*AC146</f>
        <v>2400</v>
      </c>
      <c r="AI146" s="277"/>
      <c r="AJ146" s="277"/>
      <c r="AK146" s="278"/>
      <c r="AL146" s="225"/>
      <c r="AM146" s="282"/>
    </row>
    <row r="147" spans="1:47" s="226" customFormat="1" ht="15.75" x14ac:dyDescent="0.25">
      <c r="A147" s="517" t="s">
        <v>86</v>
      </c>
      <c r="B147" s="513" t="s">
        <v>344</v>
      </c>
      <c r="C147" s="514"/>
      <c r="D147" s="515"/>
      <c r="E147" s="254"/>
      <c r="F147" s="304"/>
      <c r="G147" s="255"/>
      <c r="H147" s="256"/>
      <c r="I147" s="256"/>
      <c r="J147" s="256"/>
      <c r="K147" s="256"/>
      <c r="L147" s="256"/>
      <c r="M147" s="256"/>
      <c r="N147" s="256"/>
      <c r="O147" s="256"/>
      <c r="P147" s="257"/>
      <c r="Q147" s="272">
        <f t="shared" si="83"/>
        <v>0</v>
      </c>
      <c r="R147" s="439"/>
      <c r="T147" s="1"/>
      <c r="V147" s="1"/>
      <c r="Y147" s="899" t="s">
        <v>370</v>
      </c>
      <c r="Z147" s="899"/>
      <c r="AA147" s="899"/>
      <c r="AB147" s="363">
        <f>(5.825*7)+(5.9*2)</f>
        <v>52.575000000000003</v>
      </c>
      <c r="AC147" s="664">
        <v>54</v>
      </c>
      <c r="AD147" s="664" t="s">
        <v>100</v>
      </c>
      <c r="AE147" s="360">
        <f>33*36/1.12</f>
        <v>1060.7142857142856</v>
      </c>
      <c r="AF147" s="360">
        <f>AE147*AC147</f>
        <v>57278.57142857142</v>
      </c>
      <c r="AG147" s="362">
        <v>130</v>
      </c>
      <c r="AH147" s="362">
        <f>AG147*AC147</f>
        <v>7020</v>
      </c>
      <c r="AI147" s="286"/>
      <c r="AJ147" s="286"/>
      <c r="AK147" s="127"/>
      <c r="AL147" s="285"/>
      <c r="AM147" s="225"/>
    </row>
    <row r="148" spans="1:47" s="224" customFormat="1" x14ac:dyDescent="0.25">
      <c r="A148" s="350"/>
      <c r="B148" s="412" t="s">
        <v>319</v>
      </c>
      <c r="C148" s="413" t="s">
        <v>132</v>
      </c>
      <c r="D148" s="316"/>
      <c r="E148" s="244"/>
      <c r="F148" s="302"/>
      <c r="G148" s="75"/>
      <c r="H148" s="74"/>
      <c r="I148" s="74"/>
      <c r="J148" s="74"/>
      <c r="K148" s="74"/>
      <c r="L148" s="74"/>
      <c r="M148" s="72"/>
      <c r="N148" s="72"/>
      <c r="O148" s="72"/>
      <c r="P148" s="205"/>
      <c r="Q148" s="272">
        <f t="shared" si="83"/>
        <v>0</v>
      </c>
      <c r="R148" s="439"/>
      <c r="S148" s="273"/>
      <c r="W148" s="225"/>
      <c r="X148" s="225"/>
      <c r="Y148" s="931" t="s">
        <v>371</v>
      </c>
      <c r="Z148" s="931"/>
      <c r="AA148" s="931"/>
      <c r="AB148" s="363">
        <f>(5.825*1)</f>
        <v>5.8250000000000002</v>
      </c>
      <c r="AC148" s="657">
        <v>6</v>
      </c>
      <c r="AD148" s="657" t="s">
        <v>100</v>
      </c>
      <c r="AE148" s="730">
        <f>9.42*36/1.075</f>
        <v>315.46046511627907</v>
      </c>
      <c r="AF148" s="730">
        <f>AE148*AC148</f>
        <v>1892.7627906976745</v>
      </c>
      <c r="AG148" s="731">
        <v>35</v>
      </c>
      <c r="AH148" s="731">
        <f>AG148*AC148</f>
        <v>210</v>
      </c>
    </row>
    <row r="149" spans="1:47" s="224" customFormat="1" x14ac:dyDescent="0.25">
      <c r="A149" s="350"/>
      <c r="B149" s="317"/>
      <c r="C149" s="318">
        <v>1</v>
      </c>
      <c r="D149" s="83" t="s">
        <v>419</v>
      </c>
      <c r="E149" s="242">
        <f>61+1+5</f>
        <v>67</v>
      </c>
      <c r="F149" s="242">
        <f>61+1+5</f>
        <v>67</v>
      </c>
      <c r="G149" s="77" t="s">
        <v>283</v>
      </c>
      <c r="H149" s="74">
        <f>360/1.05</f>
        <v>342.85714285714283</v>
      </c>
      <c r="I149" s="74">
        <f>F149*H149</f>
        <v>22971.428571428569</v>
      </c>
      <c r="J149" s="74">
        <v>130</v>
      </c>
      <c r="K149" s="74">
        <f t="shared" ref="K149:K152" si="100">F149*J149</f>
        <v>8710</v>
      </c>
      <c r="L149" s="72">
        <f t="shared" ref="L149:L152" si="101">I149+K149</f>
        <v>31681.428571428569</v>
      </c>
      <c r="M149" s="74">
        <f t="shared" ref="M149:M205" si="102">H149/$P$252*$P$260</f>
        <v>476.63144467761049</v>
      </c>
      <c r="N149" s="74">
        <f t="shared" ref="N149:N205" si="103">J149/$P$252*$P$260</f>
        <v>180.72275610692733</v>
      </c>
      <c r="O149" s="72">
        <f t="shared" ref="O149:O205" si="104">N149+M149</f>
        <v>657.35420078453785</v>
      </c>
      <c r="P149" s="205">
        <f t="shared" ref="P149:P205" si="105">O149*F149</f>
        <v>44042.73145256404</v>
      </c>
      <c r="Q149" s="272">
        <f t="shared" si="83"/>
        <v>44042.731452564032</v>
      </c>
      <c r="R149" s="439">
        <f t="shared" ref="R149:R205" si="106">P149-Q149</f>
        <v>0</v>
      </c>
      <c r="S149" s="273"/>
      <c r="T149" s="74">
        <f>360/1.05</f>
        <v>342.85714285714283</v>
      </c>
      <c r="V149" s="931" t="s">
        <v>372</v>
      </c>
      <c r="W149" s="931"/>
      <c r="X149" s="931"/>
      <c r="Y149" s="931"/>
      <c r="Z149" s="931"/>
      <c r="AA149" s="931"/>
      <c r="AB149" s="729">
        <f>7*5.925</f>
        <v>41.475000000000001</v>
      </c>
      <c r="AC149" s="657">
        <v>42</v>
      </c>
      <c r="AD149" s="732" t="s">
        <v>100</v>
      </c>
      <c r="AE149" s="730">
        <f>4.7*70/1.12</f>
        <v>293.75</v>
      </c>
      <c r="AF149" s="730">
        <f t="shared" ref="AF149:AF152" si="107">AE149*AC149</f>
        <v>12337.5</v>
      </c>
      <c r="AG149" s="731">
        <v>60</v>
      </c>
      <c r="AH149" s="731">
        <f t="shared" ref="AH149:AH152" si="108">AG149*AC149</f>
        <v>2520</v>
      </c>
    </row>
    <row r="150" spans="1:47" s="224" customFormat="1" x14ac:dyDescent="0.25">
      <c r="A150" s="350"/>
      <c r="B150" s="317"/>
      <c r="C150" s="318">
        <v>2</v>
      </c>
      <c r="D150" s="83" t="s">
        <v>134</v>
      </c>
      <c r="E150" s="242">
        <v>88</v>
      </c>
      <c r="F150" s="242">
        <v>88</v>
      </c>
      <c r="G150" s="77" t="s">
        <v>283</v>
      </c>
      <c r="H150" s="74">
        <f>837/1.05</f>
        <v>797.14285714285711</v>
      </c>
      <c r="I150" s="74">
        <f>F150*H150</f>
        <v>70148.57142857142</v>
      </c>
      <c r="J150" s="74">
        <f>J149</f>
        <v>130</v>
      </c>
      <c r="K150" s="74">
        <f t="shared" si="100"/>
        <v>11440</v>
      </c>
      <c r="L150" s="72">
        <f t="shared" si="101"/>
        <v>81588.57142857142</v>
      </c>
      <c r="M150" s="74">
        <f t="shared" si="102"/>
        <v>1108.1681088754444</v>
      </c>
      <c r="N150" s="74">
        <f t="shared" si="103"/>
        <v>180.72275610692733</v>
      </c>
      <c r="O150" s="72">
        <f t="shared" si="104"/>
        <v>1288.8908649823718</v>
      </c>
      <c r="P150" s="205">
        <f t="shared" si="105"/>
        <v>113422.39611844871</v>
      </c>
      <c r="Q150" s="272">
        <f t="shared" si="83"/>
        <v>113422.39611844871</v>
      </c>
      <c r="R150" s="439">
        <f t="shared" si="106"/>
        <v>0</v>
      </c>
      <c r="S150" s="273"/>
      <c r="T150" s="74">
        <f>837/1.05</f>
        <v>797.14285714285711</v>
      </c>
      <c r="W150" s="225"/>
      <c r="X150" s="225"/>
      <c r="Y150" s="931" t="s">
        <v>373</v>
      </c>
      <c r="Z150" s="931"/>
      <c r="AA150" s="931"/>
      <c r="AB150" s="729">
        <v>5.83</v>
      </c>
      <c r="AC150" s="657">
        <v>6</v>
      </c>
      <c r="AD150" s="732" t="s">
        <v>100</v>
      </c>
      <c r="AE150" s="730">
        <f>600/1.05</f>
        <v>571.42857142857144</v>
      </c>
      <c r="AF150" s="730">
        <f t="shared" si="107"/>
        <v>3428.5714285714284</v>
      </c>
      <c r="AG150" s="731">
        <v>150</v>
      </c>
      <c r="AH150" s="731">
        <f t="shared" si="108"/>
        <v>900</v>
      </c>
    </row>
    <row r="151" spans="1:47" s="224" customFormat="1" x14ac:dyDescent="0.25">
      <c r="A151" s="350"/>
      <c r="B151" s="317"/>
      <c r="C151" s="318">
        <v>3</v>
      </c>
      <c r="D151" s="83" t="s">
        <v>135</v>
      </c>
      <c r="E151" s="242">
        <f>3+1</f>
        <v>4</v>
      </c>
      <c r="F151" s="242">
        <f>3+1</f>
        <v>4</v>
      </c>
      <c r="G151" s="77" t="s">
        <v>283</v>
      </c>
      <c r="H151" s="74">
        <f>260/1.05</f>
        <v>247.61904761904762</v>
      </c>
      <c r="I151" s="74">
        <f>F151*H151</f>
        <v>990.47619047619048</v>
      </c>
      <c r="J151" s="74">
        <f>J149</f>
        <v>130</v>
      </c>
      <c r="K151" s="74">
        <f t="shared" si="100"/>
        <v>520</v>
      </c>
      <c r="L151" s="72">
        <f t="shared" si="101"/>
        <v>1510.4761904761904</v>
      </c>
      <c r="M151" s="74">
        <f t="shared" si="102"/>
        <v>344.23382115605204</v>
      </c>
      <c r="N151" s="74">
        <f t="shared" si="103"/>
        <v>180.72275610692733</v>
      </c>
      <c r="O151" s="72">
        <f t="shared" si="104"/>
        <v>524.95657726297941</v>
      </c>
      <c r="P151" s="205">
        <f t="shared" si="105"/>
        <v>2099.8263090519176</v>
      </c>
      <c r="Q151" s="272">
        <f t="shared" si="83"/>
        <v>2099.8263090519172</v>
      </c>
      <c r="R151" s="439">
        <f t="shared" si="106"/>
        <v>0</v>
      </c>
      <c r="S151" s="273"/>
      <c r="T151" s="74">
        <f>260/1.05</f>
        <v>247.61904761904762</v>
      </c>
      <c r="U151" s="273"/>
      <c r="W151" s="225"/>
      <c r="X151" s="225"/>
      <c r="Y151" s="931" t="s">
        <v>374</v>
      </c>
      <c r="Z151" s="931"/>
      <c r="AA151" s="931"/>
      <c r="AB151" s="729">
        <v>2</v>
      </c>
      <c r="AC151" s="657">
        <v>2</v>
      </c>
      <c r="AD151" s="732" t="s">
        <v>283</v>
      </c>
      <c r="AE151" s="730">
        <f>14.13*60</f>
        <v>847.80000000000007</v>
      </c>
      <c r="AF151" s="730">
        <f t="shared" si="107"/>
        <v>1695.6000000000001</v>
      </c>
      <c r="AG151" s="731">
        <v>151</v>
      </c>
      <c r="AH151" s="731">
        <f t="shared" si="108"/>
        <v>302</v>
      </c>
    </row>
    <row r="152" spans="1:47" s="224" customFormat="1" x14ac:dyDescent="0.25">
      <c r="A152" s="350"/>
      <c r="B152" s="317"/>
      <c r="C152" s="318">
        <v>4</v>
      </c>
      <c r="D152" s="83" t="s">
        <v>136</v>
      </c>
      <c r="E152" s="242">
        <v>18</v>
      </c>
      <c r="F152" s="242">
        <v>18</v>
      </c>
      <c r="G152" s="77" t="s">
        <v>283</v>
      </c>
      <c r="H152" s="74">
        <f>1980/1.05</f>
        <v>1885.7142857142856</v>
      </c>
      <c r="I152" s="74">
        <f>F152*H152</f>
        <v>33942.857142857138</v>
      </c>
      <c r="J152" s="74">
        <v>210</v>
      </c>
      <c r="K152" s="74">
        <f t="shared" si="100"/>
        <v>3780</v>
      </c>
      <c r="L152" s="72">
        <f t="shared" si="101"/>
        <v>37722.857142857138</v>
      </c>
      <c r="M152" s="74">
        <f t="shared" si="102"/>
        <v>2621.4729457268577</v>
      </c>
      <c r="N152" s="74">
        <f t="shared" si="103"/>
        <v>291.93675986503644</v>
      </c>
      <c r="O152" s="72">
        <f t="shared" si="104"/>
        <v>2913.4097055918942</v>
      </c>
      <c r="P152" s="205">
        <f t="shared" si="105"/>
        <v>52441.374700654094</v>
      </c>
      <c r="Q152" s="272">
        <f t="shared" si="83"/>
        <v>52441.374700654094</v>
      </c>
      <c r="R152" s="439">
        <f t="shared" si="106"/>
        <v>0</v>
      </c>
      <c r="S152" s="273"/>
      <c r="T152" s="74">
        <f>1980/1.05</f>
        <v>1885.7142857142856</v>
      </c>
      <c r="U152" s="273"/>
      <c r="W152" s="225"/>
      <c r="X152" s="225"/>
      <c r="Y152" s="931" t="s">
        <v>375</v>
      </c>
      <c r="Z152" s="931"/>
      <c r="AA152" s="931"/>
      <c r="AB152" s="729">
        <v>2</v>
      </c>
      <c r="AC152" s="657">
        <v>2</v>
      </c>
      <c r="AD152" s="732" t="s">
        <v>283</v>
      </c>
      <c r="AE152" s="730">
        <f>24.72*60</f>
        <v>1483.1999999999998</v>
      </c>
      <c r="AF152" s="730">
        <f t="shared" si="107"/>
        <v>2966.3999999999996</v>
      </c>
      <c r="AG152" s="731">
        <v>152</v>
      </c>
      <c r="AH152" s="731">
        <f t="shared" si="108"/>
        <v>304</v>
      </c>
    </row>
    <row r="153" spans="1:47" s="224" customFormat="1" x14ac:dyDescent="0.25">
      <c r="A153" s="350"/>
      <c r="B153" s="319"/>
      <c r="C153" s="318"/>
      <c r="D153" s="83" t="s">
        <v>137</v>
      </c>
      <c r="E153" s="242"/>
      <c r="F153" s="242"/>
      <c r="G153" s="75"/>
      <c r="H153" s="74"/>
      <c r="I153" s="74"/>
      <c r="J153" s="74"/>
      <c r="K153" s="74"/>
      <c r="L153" s="74"/>
      <c r="M153" s="74">
        <f t="shared" si="102"/>
        <v>0</v>
      </c>
      <c r="N153" s="74">
        <f t="shared" si="103"/>
        <v>0</v>
      </c>
      <c r="O153" s="72">
        <f t="shared" si="104"/>
        <v>0</v>
      </c>
      <c r="P153" s="205">
        <f t="shared" si="105"/>
        <v>0</v>
      </c>
      <c r="Q153" s="272">
        <f t="shared" si="83"/>
        <v>0</v>
      </c>
      <c r="R153" s="439">
        <f t="shared" si="106"/>
        <v>0</v>
      </c>
      <c r="S153" s="273"/>
      <c r="T153" s="74"/>
      <c r="U153" s="273"/>
      <c r="W153" s="225"/>
      <c r="X153" s="225"/>
      <c r="Y153" s="931" t="s">
        <v>370</v>
      </c>
      <c r="Z153" s="931"/>
      <c r="AA153" s="931"/>
      <c r="AB153" s="363">
        <f>(5.825*7)+(5.9*2)</f>
        <v>52.575000000000003</v>
      </c>
      <c r="AC153" s="657">
        <v>54</v>
      </c>
      <c r="AD153" s="657" t="s">
        <v>100</v>
      </c>
      <c r="AE153" s="730">
        <f>33*36/1.12</f>
        <v>1060.7142857142856</v>
      </c>
      <c r="AF153" s="730">
        <f>AE153*AC153</f>
        <v>57278.57142857142</v>
      </c>
      <c r="AG153" s="731">
        <v>130</v>
      </c>
      <c r="AH153" s="731">
        <f>AG153*AC153</f>
        <v>7020</v>
      </c>
    </row>
    <row r="154" spans="1:47" s="224" customFormat="1" x14ac:dyDescent="0.25">
      <c r="A154" s="350"/>
      <c r="B154" s="317"/>
      <c r="C154" s="318">
        <v>5</v>
      </c>
      <c r="D154" s="83" t="s">
        <v>138</v>
      </c>
      <c r="E154" s="242">
        <v>3</v>
      </c>
      <c r="F154" s="242">
        <v>3</v>
      </c>
      <c r="G154" s="77" t="s">
        <v>283</v>
      </c>
      <c r="H154" s="74">
        <f>1620/1.05</f>
        <v>1542.8571428571429</v>
      </c>
      <c r="I154" s="74">
        <f>F154*H154</f>
        <v>4628.5714285714284</v>
      </c>
      <c r="J154" s="74">
        <v>210</v>
      </c>
      <c r="K154" s="74">
        <f t="shared" ref="K154:K155" si="109">F154*J154</f>
        <v>630</v>
      </c>
      <c r="L154" s="72">
        <f t="shared" ref="L154:L155" si="110">I154+K154</f>
        <v>5258.5714285714284</v>
      </c>
      <c r="M154" s="74">
        <f t="shared" si="102"/>
        <v>2144.8415010492477</v>
      </c>
      <c r="N154" s="74">
        <f t="shared" si="103"/>
        <v>291.93675986503644</v>
      </c>
      <c r="O154" s="72">
        <f t="shared" si="104"/>
        <v>2436.7782609142841</v>
      </c>
      <c r="P154" s="205">
        <f t="shared" si="105"/>
        <v>7310.3347827428524</v>
      </c>
      <c r="Q154" s="272">
        <f t="shared" si="83"/>
        <v>7310.3347827428515</v>
      </c>
      <c r="R154" s="439">
        <f t="shared" si="106"/>
        <v>0</v>
      </c>
      <c r="S154" s="273"/>
      <c r="T154" s="74">
        <f>1620/1.05</f>
        <v>1542.8571428571429</v>
      </c>
      <c r="U154" s="273"/>
      <c r="W154" s="273"/>
      <c r="X154" s="273"/>
      <c r="Y154" s="931" t="s">
        <v>376</v>
      </c>
      <c r="Z154" s="931"/>
      <c r="AA154" s="931"/>
      <c r="AB154" s="729">
        <f>4*4</f>
        <v>16</v>
      </c>
      <c r="AC154" s="657">
        <v>16</v>
      </c>
      <c r="AD154" s="732" t="s">
        <v>283</v>
      </c>
      <c r="AE154" s="730">
        <v>160</v>
      </c>
      <c r="AF154" s="730">
        <f>AE154*AC154</f>
        <v>2560</v>
      </c>
      <c r="AG154" s="731">
        <v>35</v>
      </c>
      <c r="AH154" s="731">
        <f>AG154*AC154</f>
        <v>560</v>
      </c>
    </row>
    <row r="155" spans="1:47" s="224" customFormat="1" x14ac:dyDescent="0.25">
      <c r="A155" s="350"/>
      <c r="B155" s="412"/>
      <c r="C155" s="318">
        <v>6</v>
      </c>
      <c r="D155" s="83" t="s">
        <v>139</v>
      </c>
      <c r="E155" s="242">
        <v>44</v>
      </c>
      <c r="F155" s="242">
        <v>44</v>
      </c>
      <c r="G155" s="77" t="s">
        <v>283</v>
      </c>
      <c r="H155" s="74">
        <f>3500/1.05</f>
        <v>3333.333333333333</v>
      </c>
      <c r="I155" s="74">
        <f>F155*H155</f>
        <v>146666.66666666666</v>
      </c>
      <c r="J155" s="74">
        <v>210</v>
      </c>
      <c r="K155" s="74">
        <f t="shared" si="109"/>
        <v>9240</v>
      </c>
      <c r="L155" s="72">
        <f t="shared" si="110"/>
        <v>155906.66666666666</v>
      </c>
      <c r="M155" s="74">
        <f t="shared" si="102"/>
        <v>4633.9168232545471</v>
      </c>
      <c r="N155" s="74">
        <f t="shared" si="103"/>
        <v>291.93675986503644</v>
      </c>
      <c r="O155" s="72">
        <f t="shared" si="104"/>
        <v>4925.8535831195832</v>
      </c>
      <c r="P155" s="205">
        <f t="shared" si="105"/>
        <v>216737.55765726167</v>
      </c>
      <c r="Q155" s="272">
        <f t="shared" si="83"/>
        <v>216737.55765726164</v>
      </c>
      <c r="R155" s="439">
        <f t="shared" si="106"/>
        <v>0</v>
      </c>
      <c r="S155" s="273"/>
      <c r="T155" s="74">
        <f>3500/1.05</f>
        <v>3333.333333333333</v>
      </c>
      <c r="W155" s="273"/>
      <c r="X155" s="273"/>
      <c r="Y155" s="931" t="s">
        <v>377</v>
      </c>
      <c r="Z155" s="931"/>
      <c r="AA155" s="931"/>
      <c r="AB155" s="729">
        <v>58</v>
      </c>
      <c r="AC155" s="657">
        <v>60</v>
      </c>
      <c r="AD155" s="732" t="s">
        <v>101</v>
      </c>
      <c r="AE155" s="730">
        <v>65</v>
      </c>
      <c r="AF155" s="730">
        <f>AE155*AC155</f>
        <v>3900</v>
      </c>
      <c r="AG155" s="731">
        <v>65</v>
      </c>
      <c r="AH155" s="731">
        <f>AG155*AC155</f>
        <v>3900</v>
      </c>
    </row>
    <row r="156" spans="1:47" s="224" customFormat="1" x14ac:dyDescent="0.25">
      <c r="A156" s="350"/>
      <c r="B156" s="317"/>
      <c r="C156" s="318"/>
      <c r="D156" s="83" t="s">
        <v>140</v>
      </c>
      <c r="E156" s="242"/>
      <c r="F156" s="242"/>
      <c r="G156" s="75"/>
      <c r="H156" s="74"/>
      <c r="I156" s="74"/>
      <c r="J156" s="74"/>
      <c r="K156" s="74"/>
      <c r="L156" s="72"/>
      <c r="M156" s="74">
        <f t="shared" si="102"/>
        <v>0</v>
      </c>
      <c r="N156" s="74">
        <f t="shared" si="103"/>
        <v>0</v>
      </c>
      <c r="O156" s="72">
        <f t="shared" si="104"/>
        <v>0</v>
      </c>
      <c r="P156" s="205">
        <f t="shared" si="105"/>
        <v>0</v>
      </c>
      <c r="Q156" s="272">
        <f t="shared" si="83"/>
        <v>0</v>
      </c>
      <c r="R156" s="439">
        <f t="shared" si="106"/>
        <v>0</v>
      </c>
      <c r="S156" s="273"/>
      <c r="T156" s="74"/>
      <c r="V156" s="657"/>
      <c r="W156" s="657"/>
      <c r="X156" s="657"/>
      <c r="Y156" s="931" t="s">
        <v>378</v>
      </c>
      <c r="Z156" s="931"/>
      <c r="AA156" s="931"/>
      <c r="AB156" s="657">
        <v>1</v>
      </c>
      <c r="AC156" s="657">
        <v>1</v>
      </c>
      <c r="AD156" s="657" t="s">
        <v>301</v>
      </c>
      <c r="AE156" s="730">
        <v>2000</v>
      </c>
      <c r="AF156" s="730">
        <f>AE156*AC156</f>
        <v>2000</v>
      </c>
      <c r="AG156" s="731">
        <v>500</v>
      </c>
      <c r="AH156" s="731">
        <f>AG156*AC156</f>
        <v>500</v>
      </c>
    </row>
    <row r="157" spans="1:47" s="224" customFormat="1" x14ac:dyDescent="0.25">
      <c r="A157" s="350"/>
      <c r="B157" s="317"/>
      <c r="C157" s="318">
        <v>7</v>
      </c>
      <c r="D157" s="83" t="s">
        <v>412</v>
      </c>
      <c r="E157" s="242">
        <v>25</v>
      </c>
      <c r="F157" s="302">
        <v>25</v>
      </c>
      <c r="G157" s="77" t="s">
        <v>283</v>
      </c>
      <c r="H157" s="74">
        <f>3100/1.05</f>
        <v>2952.3809523809523</v>
      </c>
      <c r="I157" s="74">
        <f>F157*H157</f>
        <v>73809.523809523802</v>
      </c>
      <c r="J157" s="74">
        <v>210</v>
      </c>
      <c r="K157" s="74">
        <f t="shared" ref="K157:K170" si="111">F157*J157</f>
        <v>5250</v>
      </c>
      <c r="L157" s="72">
        <f t="shared" ref="L157:L170" si="112">I157+K157</f>
        <v>79059.523809523802</v>
      </c>
      <c r="M157" s="74">
        <f t="shared" si="102"/>
        <v>4104.3263291683134</v>
      </c>
      <c r="N157" s="74">
        <f t="shared" si="103"/>
        <v>291.93675986503644</v>
      </c>
      <c r="O157" s="72">
        <f t="shared" si="104"/>
        <v>4396.2630890333494</v>
      </c>
      <c r="P157" s="205">
        <f t="shared" si="105"/>
        <v>109906.57722583374</v>
      </c>
      <c r="Q157" s="272">
        <f t="shared" si="83"/>
        <v>109906.57722583372</v>
      </c>
      <c r="R157" s="439">
        <f t="shared" si="106"/>
        <v>0</v>
      </c>
      <c r="S157" s="273"/>
      <c r="T157" s="74">
        <f>3100/1.05</f>
        <v>2952.3809523809523</v>
      </c>
      <c r="W157" s="225"/>
      <c r="X157" s="225"/>
      <c r="Y157" s="931" t="s">
        <v>379</v>
      </c>
      <c r="Z157" s="931"/>
      <c r="AA157" s="931"/>
      <c r="AB157" s="657">
        <v>1</v>
      </c>
      <c r="AC157" s="657">
        <v>1</v>
      </c>
      <c r="AD157" s="657" t="s">
        <v>301</v>
      </c>
      <c r="AE157" s="730">
        <v>2000</v>
      </c>
      <c r="AF157" s="730">
        <f>AE157*AC157</f>
        <v>2000</v>
      </c>
      <c r="AG157" s="731">
        <v>1000</v>
      </c>
      <c r="AH157" s="731">
        <f>AG157*AC157</f>
        <v>1000</v>
      </c>
      <c r="AL157" s="904" t="s">
        <v>350</v>
      </c>
      <c r="AM157" s="904"/>
      <c r="AN157" s="904"/>
      <c r="AO157" s="662" t="s">
        <v>243</v>
      </c>
      <c r="AP157" s="662" t="s">
        <v>244</v>
      </c>
      <c r="AQ157" s="662" t="s">
        <v>245</v>
      </c>
      <c r="AR157" s="123" t="s">
        <v>246</v>
      </c>
      <c r="AS157" s="196" t="s">
        <v>247</v>
      </c>
      <c r="AT157" s="662" t="s">
        <v>248</v>
      </c>
      <c r="AU157" s="212" t="s">
        <v>249</v>
      </c>
    </row>
    <row r="158" spans="1:47" s="224" customFormat="1" x14ac:dyDescent="0.25">
      <c r="A158" s="350"/>
      <c r="B158" s="317"/>
      <c r="C158" s="318">
        <v>8</v>
      </c>
      <c r="D158" s="83" t="s">
        <v>286</v>
      </c>
      <c r="E158" s="242">
        <v>4</v>
      </c>
      <c r="F158" s="302">
        <v>4</v>
      </c>
      <c r="G158" s="77" t="s">
        <v>283</v>
      </c>
      <c r="H158" s="74">
        <f>2400/1.05</f>
        <v>2285.7142857142858</v>
      </c>
      <c r="I158" s="74">
        <f>F158*H158</f>
        <v>9142.8571428571431</v>
      </c>
      <c r="J158" s="74">
        <v>210</v>
      </c>
      <c r="K158" s="74">
        <f t="shared" si="111"/>
        <v>840</v>
      </c>
      <c r="L158" s="72">
        <f t="shared" si="112"/>
        <v>9982.8571428571431</v>
      </c>
      <c r="M158" s="74">
        <f t="shared" si="102"/>
        <v>3177.5429645174036</v>
      </c>
      <c r="N158" s="74">
        <f t="shared" si="103"/>
        <v>291.93675986503644</v>
      </c>
      <c r="O158" s="72">
        <f t="shared" si="104"/>
        <v>3469.4797243824401</v>
      </c>
      <c r="P158" s="205">
        <f t="shared" si="105"/>
        <v>13877.91889752976</v>
      </c>
      <c r="Q158" s="272">
        <f t="shared" si="83"/>
        <v>13877.918897529758</v>
      </c>
      <c r="R158" s="439">
        <f t="shared" si="106"/>
        <v>0</v>
      </c>
      <c r="S158" s="273"/>
      <c r="T158" s="74">
        <f>2400/1.05</f>
        <v>2285.7142857142858</v>
      </c>
      <c r="W158" s="225"/>
      <c r="X158" s="225"/>
      <c r="Y158" s="225"/>
      <c r="Z158" s="225"/>
      <c r="AA158" s="225"/>
      <c r="AB158" s="225"/>
      <c r="AC158" s="225"/>
      <c r="AD158" s="225"/>
      <c r="AE158" s="225"/>
      <c r="AF158" s="733">
        <f>SUM(AF144:AF157)</f>
        <v>310570.11993355479</v>
      </c>
      <c r="AG158" s="734"/>
      <c r="AH158" s="735">
        <f>SUM(AH144:AH157)</f>
        <v>40781</v>
      </c>
      <c r="AL158" s="878" t="s">
        <v>250</v>
      </c>
      <c r="AM158" s="878"/>
      <c r="AN158" s="878"/>
      <c r="AO158" s="124" t="s">
        <v>251</v>
      </c>
      <c r="AP158" s="661">
        <v>2.77</v>
      </c>
      <c r="AQ158" s="661">
        <v>3</v>
      </c>
      <c r="AR158" s="123">
        <f>350/1.07</f>
        <v>327.10280373831773</v>
      </c>
      <c r="AS158" s="196">
        <f>AR158*AQ158</f>
        <v>981.30841121495314</v>
      </c>
      <c r="AT158" s="661">
        <v>71.7</v>
      </c>
      <c r="AU158" s="219">
        <f>AT158*AQ158</f>
        <v>215.10000000000002</v>
      </c>
    </row>
    <row r="159" spans="1:47" s="224" customFormat="1" x14ac:dyDescent="0.25">
      <c r="A159" s="350"/>
      <c r="B159" s="317"/>
      <c r="C159" s="318"/>
      <c r="D159" s="83"/>
      <c r="E159" s="242"/>
      <c r="F159" s="302"/>
      <c r="G159" s="77"/>
      <c r="H159" s="74"/>
      <c r="I159" s="74"/>
      <c r="J159" s="74"/>
      <c r="K159" s="74"/>
      <c r="L159" s="72"/>
      <c r="M159" s="74">
        <f t="shared" si="102"/>
        <v>0</v>
      </c>
      <c r="N159" s="74">
        <f t="shared" si="103"/>
        <v>0</v>
      </c>
      <c r="O159" s="72">
        <f t="shared" si="104"/>
        <v>0</v>
      </c>
      <c r="P159" s="205">
        <f t="shared" si="105"/>
        <v>0</v>
      </c>
      <c r="Q159" s="272">
        <f t="shared" si="83"/>
        <v>0</v>
      </c>
      <c r="R159" s="439">
        <f t="shared" si="106"/>
        <v>0</v>
      </c>
      <c r="S159" s="273"/>
      <c r="AL159" s="878" t="s">
        <v>252</v>
      </c>
      <c r="AM159" s="878"/>
      <c r="AN159" s="878"/>
      <c r="AO159" s="124" t="s">
        <v>253</v>
      </c>
      <c r="AP159" s="661">
        <v>0.25</v>
      </c>
      <c r="AQ159" s="661">
        <v>0.25</v>
      </c>
      <c r="AR159" s="123">
        <f>AC39</f>
        <v>268.8679245283019</v>
      </c>
      <c r="AS159" s="196">
        <f>AR159*AQ159</f>
        <v>67.216981132075475</v>
      </c>
      <c r="AT159" s="661"/>
      <c r="AU159" s="219">
        <f>AT159*AQ159</f>
        <v>0</v>
      </c>
    </row>
    <row r="160" spans="1:47" s="224" customFormat="1" x14ac:dyDescent="0.25">
      <c r="A160" s="350"/>
      <c r="B160" s="412" t="s">
        <v>320</v>
      </c>
      <c r="C160" s="413" t="s">
        <v>420</v>
      </c>
      <c r="D160" s="316"/>
      <c r="E160" s="244"/>
      <c r="F160" s="302"/>
      <c r="G160" s="75"/>
      <c r="H160" s="440">
        <v>0.87</v>
      </c>
      <c r="I160" s="74"/>
      <c r="J160" s="440">
        <v>0.85</v>
      </c>
      <c r="K160" s="74"/>
      <c r="L160" s="74"/>
      <c r="M160" s="74">
        <f t="shared" si="102"/>
        <v>1.2094522908694367</v>
      </c>
      <c r="N160" s="74">
        <f t="shared" si="103"/>
        <v>1.1816487899299093</v>
      </c>
      <c r="O160" s="72">
        <f t="shared" si="104"/>
        <v>2.3911010807993458</v>
      </c>
      <c r="P160" s="205">
        <f t="shared" si="105"/>
        <v>0</v>
      </c>
      <c r="Q160" s="272">
        <f t="shared" si="83"/>
        <v>0</v>
      </c>
      <c r="R160" s="439">
        <f t="shared" si="106"/>
        <v>0</v>
      </c>
      <c r="S160" s="273"/>
      <c r="AL160" s="878" t="s">
        <v>254</v>
      </c>
      <c r="AM160" s="878"/>
      <c r="AN160" s="878"/>
      <c r="AO160" s="124" t="s">
        <v>255</v>
      </c>
      <c r="AP160" s="661">
        <v>0.25</v>
      </c>
      <c r="AQ160" s="661">
        <v>0.35</v>
      </c>
      <c r="AR160" s="123">
        <f>AC40</f>
        <v>34.905660377358487</v>
      </c>
      <c r="AS160" s="196">
        <f>AR160*AQ160</f>
        <v>12.216981132075469</v>
      </c>
      <c r="AT160" s="661"/>
      <c r="AU160" s="219">
        <f>AT160*AQ160</f>
        <v>0</v>
      </c>
    </row>
    <row r="161" spans="1:47" s="224" customFormat="1" x14ac:dyDescent="0.25">
      <c r="A161" s="350"/>
      <c r="B161" s="317"/>
      <c r="C161" s="318">
        <v>1</v>
      </c>
      <c r="D161" s="83" t="s">
        <v>421</v>
      </c>
      <c r="E161" s="242">
        <v>2284</v>
      </c>
      <c r="F161" s="242">
        <v>2450</v>
      </c>
      <c r="G161" s="77" t="s">
        <v>100</v>
      </c>
      <c r="H161" s="74">
        <f>T161/$H$160</f>
        <v>17.241379310344829</v>
      </c>
      <c r="I161" s="74">
        <f>F161*H161</f>
        <v>42241.379310344833</v>
      </c>
      <c r="J161" s="74">
        <f>W161/$J$160</f>
        <v>5.882352941176471</v>
      </c>
      <c r="K161" s="74">
        <f t="shared" si="111"/>
        <v>14411.764705882353</v>
      </c>
      <c r="L161" s="72">
        <f t="shared" si="112"/>
        <v>56653.14401622719</v>
      </c>
      <c r="M161" s="74">
        <f t="shared" si="102"/>
        <v>23.968535292695933</v>
      </c>
      <c r="N161" s="74">
        <f t="shared" si="103"/>
        <v>8.1775002763315534</v>
      </c>
      <c r="O161" s="72">
        <f t="shared" si="104"/>
        <v>32.146035569027489</v>
      </c>
      <c r="P161" s="205">
        <f t="shared" si="105"/>
        <v>78757.787144117348</v>
      </c>
      <c r="Q161" s="272">
        <f t="shared" si="83"/>
        <v>78757.787144117363</v>
      </c>
      <c r="R161" s="439">
        <f t="shared" si="106"/>
        <v>0</v>
      </c>
      <c r="S161" s="273"/>
      <c r="T161" s="74">
        <v>15</v>
      </c>
      <c r="U161" s="273"/>
      <c r="V161" s="273"/>
      <c r="W161" s="74">
        <v>5</v>
      </c>
      <c r="AL161" s="878" t="s">
        <v>256</v>
      </c>
      <c r="AM161" s="878"/>
      <c r="AN161" s="878"/>
      <c r="AO161" s="124" t="s">
        <v>257</v>
      </c>
      <c r="AP161" s="661">
        <v>1</v>
      </c>
      <c r="AQ161" s="661">
        <v>1</v>
      </c>
      <c r="AR161" s="123">
        <v>0</v>
      </c>
      <c r="AS161" s="196">
        <f>AR161*AQ161</f>
        <v>0</v>
      </c>
      <c r="AT161" s="661">
        <v>0</v>
      </c>
      <c r="AU161" s="219">
        <f>AT161*AQ161</f>
        <v>0</v>
      </c>
    </row>
    <row r="162" spans="1:47" s="224" customFormat="1" x14ac:dyDescent="0.25">
      <c r="A162" s="350"/>
      <c r="B162" s="317"/>
      <c r="C162" s="318">
        <v>2</v>
      </c>
      <c r="D162" s="83" t="s">
        <v>422</v>
      </c>
      <c r="E162" s="242">
        <v>6464</v>
      </c>
      <c r="F162" s="242">
        <v>6880</v>
      </c>
      <c r="G162" s="77" t="s">
        <v>100</v>
      </c>
      <c r="H162" s="74">
        <f>T162/$H$160</f>
        <v>25.287356321839081</v>
      </c>
      <c r="I162" s="74">
        <f t="shared" ref="I162:I170" si="113">F162*H162</f>
        <v>173977.01149425289</v>
      </c>
      <c r="J162" s="74">
        <f t="shared" ref="J162:J170" si="114">W162/$J$160</f>
        <v>8.2352941176470598</v>
      </c>
      <c r="K162" s="74">
        <f t="shared" si="111"/>
        <v>56658.823529411769</v>
      </c>
      <c r="L162" s="72">
        <f t="shared" si="112"/>
        <v>230635.83502366467</v>
      </c>
      <c r="M162" s="74">
        <f t="shared" si="102"/>
        <v>35.153851762620697</v>
      </c>
      <c r="N162" s="74">
        <f t="shared" si="103"/>
        <v>11.448500386864175</v>
      </c>
      <c r="O162" s="72">
        <f t="shared" si="104"/>
        <v>46.602352149484872</v>
      </c>
      <c r="P162" s="205">
        <f t="shared" si="105"/>
        <v>320624.18278845592</v>
      </c>
      <c r="Q162" s="272">
        <f t="shared" si="83"/>
        <v>320624.18278845598</v>
      </c>
      <c r="R162" s="439">
        <f t="shared" si="106"/>
        <v>0</v>
      </c>
      <c r="S162" s="273"/>
      <c r="T162" s="74">
        <v>22</v>
      </c>
      <c r="U162" s="273"/>
      <c r="V162" s="273"/>
      <c r="W162" s="74">
        <v>7</v>
      </c>
      <c r="AL162" s="126"/>
      <c r="AM162" s="126"/>
      <c r="AN162" s="126"/>
      <c r="AO162" s="126"/>
      <c r="AP162" s="661"/>
      <c r="AQ162" s="661"/>
      <c r="AR162" s="123"/>
      <c r="AS162" s="212">
        <f>SUM(AS158:AS161)</f>
        <v>1060.7423734791041</v>
      </c>
      <c r="AT162" s="662"/>
      <c r="AU162" s="212">
        <f>SUM(AU158:AU161)</f>
        <v>215.10000000000002</v>
      </c>
    </row>
    <row r="163" spans="1:47" s="224" customFormat="1" x14ac:dyDescent="0.25">
      <c r="A163" s="350"/>
      <c r="B163" s="317"/>
      <c r="C163" s="318">
        <v>3</v>
      </c>
      <c r="D163" s="83" t="s">
        <v>423</v>
      </c>
      <c r="E163" s="242">
        <v>1087</v>
      </c>
      <c r="F163" s="242">
        <v>1215</v>
      </c>
      <c r="G163" s="77" t="s">
        <v>100</v>
      </c>
      <c r="H163" s="74">
        <f t="shared" ref="H163:H170" si="115">T163/$H$160</f>
        <v>37.931034482758619</v>
      </c>
      <c r="I163" s="74">
        <f t="shared" si="113"/>
        <v>46086.206896551725</v>
      </c>
      <c r="J163" s="74">
        <f t="shared" si="114"/>
        <v>18.823529411764707</v>
      </c>
      <c r="K163" s="74">
        <f t="shared" si="111"/>
        <v>22870.588235294119</v>
      </c>
      <c r="L163" s="72">
        <f t="shared" si="112"/>
        <v>68956.795131845836</v>
      </c>
      <c r="M163" s="74">
        <f t="shared" si="102"/>
        <v>52.730777643931049</v>
      </c>
      <c r="N163" s="74">
        <f t="shared" si="103"/>
        <v>26.168000884260969</v>
      </c>
      <c r="O163" s="72">
        <f t="shared" si="104"/>
        <v>78.898778528192025</v>
      </c>
      <c r="P163" s="205">
        <f t="shared" si="105"/>
        <v>95862.015911753304</v>
      </c>
      <c r="Q163" s="272">
        <f t="shared" si="83"/>
        <v>95862.015911753289</v>
      </c>
      <c r="R163" s="439">
        <f t="shared" si="106"/>
        <v>0</v>
      </c>
      <c r="S163" s="273"/>
      <c r="T163" s="74">
        <v>33</v>
      </c>
      <c r="U163" s="273"/>
      <c r="V163" s="273"/>
      <c r="W163" s="74">
        <v>16</v>
      </c>
      <c r="AL163" s="273"/>
      <c r="AM163" s="273"/>
      <c r="AN163" s="273"/>
      <c r="AO163" s="273"/>
      <c r="AP163" s="273"/>
      <c r="AQ163" s="273"/>
      <c r="AR163" s="273"/>
      <c r="AT163" s="273"/>
    </row>
    <row r="164" spans="1:47" s="224" customFormat="1" x14ac:dyDescent="0.25">
      <c r="A164" s="350"/>
      <c r="B164" s="317"/>
      <c r="C164" s="318">
        <v>4</v>
      </c>
      <c r="D164" s="83" t="s">
        <v>430</v>
      </c>
      <c r="E164" s="242">
        <v>1771</v>
      </c>
      <c r="F164" s="242">
        <v>1880</v>
      </c>
      <c r="G164" s="77" t="s">
        <v>100</v>
      </c>
      <c r="H164" s="74">
        <f t="shared" si="115"/>
        <v>60.919540229885058</v>
      </c>
      <c r="I164" s="74">
        <f t="shared" si="113"/>
        <v>114528.7356321839</v>
      </c>
      <c r="J164" s="74">
        <f t="shared" si="114"/>
        <v>18.823529411764707</v>
      </c>
      <c r="K164" s="74">
        <f t="shared" si="111"/>
        <v>35388.23529411765</v>
      </c>
      <c r="L164" s="72">
        <f t="shared" si="112"/>
        <v>149916.97092630155</v>
      </c>
      <c r="M164" s="74">
        <f t="shared" si="102"/>
        <v>84.688824700858959</v>
      </c>
      <c r="N164" s="74">
        <f t="shared" si="103"/>
        <v>26.168000884260969</v>
      </c>
      <c r="O164" s="72">
        <f t="shared" si="104"/>
        <v>110.85682558511994</v>
      </c>
      <c r="P164" s="205">
        <f t="shared" si="105"/>
        <v>208410.83210002547</v>
      </c>
      <c r="Q164" s="272">
        <f t="shared" si="83"/>
        <v>208410.83210002544</v>
      </c>
      <c r="R164" s="439">
        <f t="shared" si="106"/>
        <v>0</v>
      </c>
      <c r="S164" s="273"/>
      <c r="T164" s="74">
        <v>53</v>
      </c>
      <c r="U164" s="273"/>
      <c r="V164" s="273"/>
      <c r="W164" s="74">
        <v>16</v>
      </c>
      <c r="AL164" s="273"/>
      <c r="AM164" s="273"/>
      <c r="AN164" s="273"/>
      <c r="AO164" s="273"/>
      <c r="AP164" s="273"/>
      <c r="AQ164" s="273"/>
      <c r="AR164" s="273"/>
      <c r="AT164" s="273"/>
    </row>
    <row r="165" spans="1:47" s="224" customFormat="1" x14ac:dyDescent="0.25">
      <c r="A165" s="350"/>
      <c r="B165" s="317"/>
      <c r="C165" s="318">
        <v>5</v>
      </c>
      <c r="D165" s="83" t="s">
        <v>424</v>
      </c>
      <c r="E165" s="242">
        <v>21</v>
      </c>
      <c r="F165" s="242">
        <v>23</v>
      </c>
      <c r="G165" s="77" t="s">
        <v>100</v>
      </c>
      <c r="H165" s="74">
        <f t="shared" si="115"/>
        <v>95.402298850574709</v>
      </c>
      <c r="I165" s="74">
        <f t="shared" si="113"/>
        <v>2194.2528735632181</v>
      </c>
      <c r="J165" s="74">
        <f t="shared" si="114"/>
        <v>29.411764705882355</v>
      </c>
      <c r="K165" s="74">
        <f t="shared" si="111"/>
        <v>676.47058823529414</v>
      </c>
      <c r="L165" s="72">
        <f t="shared" si="112"/>
        <v>2870.7234617985123</v>
      </c>
      <c r="M165" s="74">
        <f t="shared" si="102"/>
        <v>132.62589528625082</v>
      </c>
      <c r="N165" s="74">
        <f t="shared" si="103"/>
        <v>40.887501381657763</v>
      </c>
      <c r="O165" s="72">
        <f t="shared" si="104"/>
        <v>173.51339666790858</v>
      </c>
      <c r="P165" s="205">
        <f t="shared" si="105"/>
        <v>3990.8081233618973</v>
      </c>
      <c r="Q165" s="272">
        <f t="shared" si="83"/>
        <v>3990.8081233618973</v>
      </c>
      <c r="R165" s="439">
        <f t="shared" si="106"/>
        <v>0</v>
      </c>
      <c r="S165" s="273"/>
      <c r="T165" s="74">
        <v>83</v>
      </c>
      <c r="U165" s="273"/>
      <c r="V165" s="273"/>
      <c r="W165" s="74">
        <v>25</v>
      </c>
      <c r="AL165" s="900" t="s">
        <v>351</v>
      </c>
      <c r="AM165" s="900"/>
      <c r="AN165" s="900"/>
      <c r="AO165" s="662" t="s">
        <v>243</v>
      </c>
      <c r="AP165" s="662" t="s">
        <v>244</v>
      </c>
      <c r="AQ165" s="662" t="s">
        <v>245</v>
      </c>
      <c r="AR165" s="123" t="s">
        <v>246</v>
      </c>
      <c r="AS165" s="196" t="s">
        <v>247</v>
      </c>
      <c r="AT165" s="662" t="s">
        <v>248</v>
      </c>
      <c r="AU165" s="212" t="s">
        <v>249</v>
      </c>
    </row>
    <row r="166" spans="1:47" s="224" customFormat="1" x14ac:dyDescent="0.25">
      <c r="A166" s="350"/>
      <c r="B166" s="319"/>
      <c r="C166" s="318">
        <v>6</v>
      </c>
      <c r="D166" s="83" t="s">
        <v>425</v>
      </c>
      <c r="E166" s="242">
        <v>24</v>
      </c>
      <c r="F166" s="242">
        <v>27</v>
      </c>
      <c r="G166" s="77" t="s">
        <v>100</v>
      </c>
      <c r="H166" s="74">
        <f t="shared" si="115"/>
        <v>149.42528735632183</v>
      </c>
      <c r="I166" s="74">
        <f t="shared" si="113"/>
        <v>4034.4827586206893</v>
      </c>
      <c r="J166" s="74">
        <f t="shared" si="114"/>
        <v>45.882352941176471</v>
      </c>
      <c r="K166" s="74">
        <f t="shared" si="111"/>
        <v>1238.8235294117646</v>
      </c>
      <c r="L166" s="72">
        <f t="shared" si="112"/>
        <v>5273.3062880324542</v>
      </c>
      <c r="M166" s="74">
        <f t="shared" si="102"/>
        <v>207.72730587003139</v>
      </c>
      <c r="N166" s="74">
        <f t="shared" si="103"/>
        <v>63.784502155386114</v>
      </c>
      <c r="O166" s="72">
        <f t="shared" si="104"/>
        <v>271.51180802541751</v>
      </c>
      <c r="P166" s="205">
        <f t="shared" si="105"/>
        <v>7330.8188166862728</v>
      </c>
      <c r="Q166" s="272">
        <f t="shared" si="83"/>
        <v>7330.8188166862728</v>
      </c>
      <c r="R166" s="439">
        <f t="shared" si="106"/>
        <v>0</v>
      </c>
      <c r="S166" s="273"/>
      <c r="T166" s="74">
        <v>130</v>
      </c>
      <c r="U166" s="273"/>
      <c r="V166" s="273"/>
      <c r="W166" s="74">
        <v>39</v>
      </c>
      <c r="AL166" s="878" t="s">
        <v>352</v>
      </c>
      <c r="AM166" s="878"/>
      <c r="AN166" s="878"/>
      <c r="AO166" s="124" t="s">
        <v>251</v>
      </c>
      <c r="AP166" s="661">
        <v>8.33</v>
      </c>
      <c r="AQ166" s="661">
        <v>9</v>
      </c>
      <c r="AR166" s="123">
        <f>130/1.06</f>
        <v>122.64150943396226</v>
      </c>
      <c r="AS166" s="196">
        <f>AR166*AQ166</f>
        <v>1103.7735849056603</v>
      </c>
      <c r="AT166" s="661">
        <f>AE123</f>
        <v>23.9</v>
      </c>
      <c r="AU166" s="219">
        <f>AT166*AQ166</f>
        <v>215.1</v>
      </c>
    </row>
    <row r="167" spans="1:47" s="224" customFormat="1" x14ac:dyDescent="0.25">
      <c r="A167" s="350"/>
      <c r="B167" s="317"/>
      <c r="C167" s="318">
        <v>7</v>
      </c>
      <c r="D167" s="83" t="s">
        <v>426</v>
      </c>
      <c r="E167" s="242">
        <v>9</v>
      </c>
      <c r="F167" s="242">
        <v>11</v>
      </c>
      <c r="G167" s="77" t="s">
        <v>100</v>
      </c>
      <c r="H167" s="74">
        <f t="shared" si="115"/>
        <v>218.39080459770116</v>
      </c>
      <c r="I167" s="74">
        <f t="shared" si="113"/>
        <v>2402.2988505747126</v>
      </c>
      <c r="J167" s="74">
        <f t="shared" si="114"/>
        <v>67.058823529411768</v>
      </c>
      <c r="K167" s="74">
        <f t="shared" si="111"/>
        <v>737.64705882352951</v>
      </c>
      <c r="L167" s="72">
        <f t="shared" si="112"/>
        <v>3139.9459093982423</v>
      </c>
      <c r="M167" s="74">
        <f t="shared" si="102"/>
        <v>303.60144704081512</v>
      </c>
      <c r="N167" s="74">
        <f t="shared" si="103"/>
        <v>93.22350315017971</v>
      </c>
      <c r="O167" s="72">
        <f t="shared" si="104"/>
        <v>396.82495019099485</v>
      </c>
      <c r="P167" s="205">
        <f t="shared" si="105"/>
        <v>4365.0744521009437</v>
      </c>
      <c r="Q167" s="272">
        <f t="shared" si="83"/>
        <v>4365.0744521009437</v>
      </c>
      <c r="R167" s="439">
        <f t="shared" si="106"/>
        <v>0</v>
      </c>
      <c r="S167" s="273"/>
      <c r="T167" s="74">
        <v>190</v>
      </c>
      <c r="U167" s="273"/>
      <c r="V167" s="273"/>
      <c r="W167" s="74">
        <v>57</v>
      </c>
      <c r="AL167" s="878" t="s">
        <v>252</v>
      </c>
      <c r="AM167" s="878"/>
      <c r="AN167" s="878"/>
      <c r="AO167" s="124" t="s">
        <v>253</v>
      </c>
      <c r="AP167" s="661">
        <v>0.25</v>
      </c>
      <c r="AQ167" s="661">
        <v>0.25</v>
      </c>
      <c r="AR167" s="123">
        <f>260/1.06</f>
        <v>245.28301886792451</v>
      </c>
      <c r="AS167" s="196">
        <f>AR167*AQ167</f>
        <v>61.320754716981128</v>
      </c>
      <c r="AT167" s="661"/>
      <c r="AU167" s="219">
        <f>AT167*AQ167</f>
        <v>0</v>
      </c>
    </row>
    <row r="168" spans="1:47" s="224" customFormat="1" x14ac:dyDescent="0.25">
      <c r="A168" s="350"/>
      <c r="B168" s="317"/>
      <c r="C168" s="318">
        <v>8</v>
      </c>
      <c r="D168" s="83" t="s">
        <v>427</v>
      </c>
      <c r="E168" s="242">
        <v>34</v>
      </c>
      <c r="F168" s="242">
        <v>47</v>
      </c>
      <c r="G168" s="77" t="s">
        <v>100</v>
      </c>
      <c r="H168" s="74">
        <f t="shared" si="115"/>
        <v>356.32183908045977</v>
      </c>
      <c r="I168" s="74">
        <f t="shared" si="113"/>
        <v>16747.126436781607</v>
      </c>
      <c r="J168" s="74">
        <f t="shared" si="114"/>
        <v>109.41176470588236</v>
      </c>
      <c r="K168" s="74">
        <f t="shared" si="111"/>
        <v>5142.3529411764712</v>
      </c>
      <c r="L168" s="72">
        <f t="shared" si="112"/>
        <v>21889.47937795808</v>
      </c>
      <c r="M168" s="74">
        <f t="shared" si="102"/>
        <v>495.34972938238258</v>
      </c>
      <c r="N168" s="74">
        <f t="shared" si="103"/>
        <v>152.10150513976689</v>
      </c>
      <c r="O168" s="72">
        <f t="shared" si="104"/>
        <v>647.45123452214943</v>
      </c>
      <c r="P168" s="205">
        <f t="shared" si="105"/>
        <v>30430.208022541025</v>
      </c>
      <c r="Q168" s="272">
        <f t="shared" si="83"/>
        <v>30430.208022541025</v>
      </c>
      <c r="R168" s="439">
        <f t="shared" si="106"/>
        <v>0</v>
      </c>
      <c r="S168" s="273"/>
      <c r="T168" s="74">
        <v>310</v>
      </c>
      <c r="U168" s="273"/>
      <c r="V168" s="273"/>
      <c r="W168" s="74">
        <v>93</v>
      </c>
      <c r="AL168" s="878" t="s">
        <v>254</v>
      </c>
      <c r="AM168" s="878"/>
      <c r="AN168" s="878"/>
      <c r="AO168" s="124" t="s">
        <v>255</v>
      </c>
      <c r="AP168" s="661">
        <v>0.25</v>
      </c>
      <c r="AQ168" s="661">
        <v>0.35</v>
      </c>
      <c r="AR168" s="123">
        <f>37/1.06</f>
        <v>34.905660377358487</v>
      </c>
      <c r="AS168" s="196">
        <f>AR168*AQ168</f>
        <v>12.216981132075469</v>
      </c>
      <c r="AT168" s="661"/>
      <c r="AU168" s="219">
        <f>AT168*AQ168</f>
        <v>0</v>
      </c>
    </row>
    <row r="169" spans="1:47" s="224" customFormat="1" x14ac:dyDescent="0.25">
      <c r="A169" s="350"/>
      <c r="B169" s="317"/>
      <c r="C169" s="318">
        <v>9</v>
      </c>
      <c r="D169" s="83" t="s">
        <v>428</v>
      </c>
      <c r="E169" s="242">
        <v>27</v>
      </c>
      <c r="F169" s="242">
        <v>37</v>
      </c>
      <c r="G169" s="77" t="s">
        <v>100</v>
      </c>
      <c r="H169" s="74">
        <f t="shared" si="115"/>
        <v>1018.3908045977012</v>
      </c>
      <c r="I169" s="74">
        <f t="shared" si="113"/>
        <v>37680.45977011494</v>
      </c>
      <c r="J169" s="74">
        <f t="shared" si="114"/>
        <v>311.76470588235293</v>
      </c>
      <c r="K169" s="74">
        <f t="shared" si="111"/>
        <v>11535.294117647058</v>
      </c>
      <c r="L169" s="72">
        <f t="shared" si="112"/>
        <v>49215.753887761995</v>
      </c>
      <c r="M169" s="74">
        <f t="shared" si="102"/>
        <v>1415.7414846219062</v>
      </c>
      <c r="N169" s="74">
        <f t="shared" si="103"/>
        <v>433.40751464557229</v>
      </c>
      <c r="O169" s="72">
        <f t="shared" si="104"/>
        <v>1849.1489992674785</v>
      </c>
      <c r="P169" s="205">
        <f t="shared" si="105"/>
        <v>68418.5129728967</v>
      </c>
      <c r="Q169" s="272">
        <f t="shared" si="83"/>
        <v>68418.5129728967</v>
      </c>
      <c r="R169" s="439">
        <f t="shared" si="106"/>
        <v>0</v>
      </c>
      <c r="S169" s="273"/>
      <c r="T169" s="74">
        <v>886</v>
      </c>
      <c r="U169" s="273"/>
      <c r="V169" s="273"/>
      <c r="W169" s="74">
        <v>265</v>
      </c>
      <c r="AL169" s="878" t="s">
        <v>256</v>
      </c>
      <c r="AM169" s="878"/>
      <c r="AN169" s="878"/>
      <c r="AO169" s="124" t="s">
        <v>257</v>
      </c>
      <c r="AP169" s="661">
        <v>1</v>
      </c>
      <c r="AQ169" s="661">
        <v>1</v>
      </c>
      <c r="AR169" s="123">
        <v>0</v>
      </c>
      <c r="AS169" s="196">
        <f>AR169*AQ169</f>
        <v>0</v>
      </c>
      <c r="AT169" s="661">
        <v>0</v>
      </c>
      <c r="AU169" s="219">
        <f>AT169*AQ169</f>
        <v>0</v>
      </c>
    </row>
    <row r="170" spans="1:47" s="224" customFormat="1" x14ac:dyDescent="0.25">
      <c r="A170" s="350"/>
      <c r="B170" s="317"/>
      <c r="C170" s="318">
        <v>10</v>
      </c>
      <c r="D170" s="83" t="s">
        <v>429</v>
      </c>
      <c r="E170" s="242">
        <v>102</v>
      </c>
      <c r="F170" s="242">
        <v>125</v>
      </c>
      <c r="G170" s="77" t="s">
        <v>100</v>
      </c>
      <c r="H170" s="74">
        <f t="shared" si="115"/>
        <v>1650.5747126436781</v>
      </c>
      <c r="I170" s="74">
        <f t="shared" si="113"/>
        <v>206321.83908045976</v>
      </c>
      <c r="J170" s="74">
        <f t="shared" si="114"/>
        <v>505.88235294117646</v>
      </c>
      <c r="K170" s="74">
        <f t="shared" si="111"/>
        <v>63235.294117647056</v>
      </c>
      <c r="L170" s="72">
        <f t="shared" si="112"/>
        <v>269557.13319810684</v>
      </c>
      <c r="M170" s="74">
        <f t="shared" si="102"/>
        <v>2294.5877786874239</v>
      </c>
      <c r="N170" s="74">
        <f t="shared" si="103"/>
        <v>703.26502376451356</v>
      </c>
      <c r="O170" s="72">
        <f t="shared" si="104"/>
        <v>2997.8528024519374</v>
      </c>
      <c r="P170" s="205">
        <f t="shared" si="105"/>
        <v>374731.60030649218</v>
      </c>
      <c r="Q170" s="272">
        <f t="shared" si="83"/>
        <v>374731.60030649218</v>
      </c>
      <c r="R170" s="439">
        <f t="shared" si="106"/>
        <v>0</v>
      </c>
      <c r="S170" s="273"/>
      <c r="T170" s="74">
        <v>1436</v>
      </c>
      <c r="U170" s="273"/>
      <c r="V170" s="273"/>
      <c r="W170" s="74">
        <v>430</v>
      </c>
      <c r="AL170" s="126"/>
      <c r="AM170" s="126"/>
      <c r="AN170" s="126"/>
      <c r="AO170" s="126"/>
      <c r="AP170" s="661"/>
      <c r="AQ170" s="661"/>
      <c r="AR170" s="123"/>
      <c r="AS170" s="212">
        <f>SUM(AS166:AS169)</f>
        <v>1177.3113207547169</v>
      </c>
      <c r="AT170" s="662"/>
      <c r="AU170" s="212">
        <f>SUM(AU166:AU169)</f>
        <v>215.1</v>
      </c>
    </row>
    <row r="171" spans="1:47" s="224" customFormat="1" x14ac:dyDescent="0.25">
      <c r="A171" s="350"/>
      <c r="B171" s="317"/>
      <c r="C171" s="318"/>
      <c r="D171" s="83"/>
      <c r="E171" s="242"/>
      <c r="F171" s="242"/>
      <c r="G171" s="77"/>
      <c r="H171" s="74"/>
      <c r="I171" s="74"/>
      <c r="J171" s="74"/>
      <c r="K171" s="74"/>
      <c r="L171" s="72"/>
      <c r="M171" s="74">
        <f t="shared" si="102"/>
        <v>0</v>
      </c>
      <c r="N171" s="74">
        <f t="shared" si="103"/>
        <v>0</v>
      </c>
      <c r="O171" s="72">
        <f t="shared" si="104"/>
        <v>0</v>
      </c>
      <c r="P171" s="205">
        <f t="shared" si="105"/>
        <v>0</v>
      </c>
      <c r="Q171" s="272">
        <f t="shared" si="83"/>
        <v>0</v>
      </c>
      <c r="R171" s="439">
        <f t="shared" si="106"/>
        <v>0</v>
      </c>
      <c r="S171" s="273"/>
      <c r="T171" s="74"/>
      <c r="U171" s="273"/>
      <c r="V171" s="273"/>
      <c r="W171" s="74"/>
      <c r="X171" s="736"/>
      <c r="Y171" s="736"/>
      <c r="Z171" s="736"/>
      <c r="AA171" s="736"/>
      <c r="AB171" s="736"/>
      <c r="AC171" s="736"/>
      <c r="AD171" s="736"/>
      <c r="AE171" s="736"/>
      <c r="AF171" s="737"/>
      <c r="AG171" s="687"/>
      <c r="AH171" s="687"/>
      <c r="AI171" s="687"/>
      <c r="AJ171" s="687"/>
      <c r="AK171" s="687"/>
      <c r="AL171" s="273"/>
      <c r="AM171" s="273"/>
      <c r="AN171" s="273"/>
      <c r="AO171" s="273"/>
      <c r="AP171" s="273"/>
      <c r="AQ171" s="273"/>
      <c r="AR171" s="273"/>
      <c r="AT171" s="273"/>
    </row>
    <row r="172" spans="1:47" s="224" customFormat="1" x14ac:dyDescent="0.25">
      <c r="A172" s="350"/>
      <c r="B172" s="412" t="s">
        <v>321</v>
      </c>
      <c r="C172" s="413" t="s">
        <v>431</v>
      </c>
      <c r="D172" s="316"/>
      <c r="E172" s="244"/>
      <c r="F172" s="302"/>
      <c r="G172" s="75"/>
      <c r="H172" s="74"/>
      <c r="I172" s="74"/>
      <c r="J172" s="74"/>
      <c r="K172" s="74"/>
      <c r="L172" s="74"/>
      <c r="M172" s="74">
        <f t="shared" si="102"/>
        <v>0</v>
      </c>
      <c r="N172" s="74">
        <f t="shared" si="103"/>
        <v>0</v>
      </c>
      <c r="O172" s="72">
        <f t="shared" si="104"/>
        <v>0</v>
      </c>
      <c r="P172" s="205">
        <f t="shared" si="105"/>
        <v>0</v>
      </c>
      <c r="Q172" s="272">
        <f t="shared" si="83"/>
        <v>0</v>
      </c>
      <c r="R172" s="439">
        <f t="shared" si="106"/>
        <v>0</v>
      </c>
      <c r="S172" s="273"/>
      <c r="T172" s="74"/>
      <c r="W172" s="74"/>
      <c r="AL172" s="273"/>
      <c r="AM172" s="273"/>
      <c r="AN172" s="273"/>
      <c r="AO172" s="273"/>
      <c r="AP172" s="273"/>
      <c r="AQ172" s="273"/>
      <c r="AR172" s="273"/>
      <c r="AT172" s="273"/>
    </row>
    <row r="173" spans="1:47" s="224" customFormat="1" x14ac:dyDescent="0.25">
      <c r="A173" s="350"/>
      <c r="B173" s="317"/>
      <c r="C173" s="318">
        <v>1</v>
      </c>
      <c r="D173" s="83" t="s">
        <v>432</v>
      </c>
      <c r="E173" s="242">
        <v>24</v>
      </c>
      <c r="F173" s="242">
        <v>24</v>
      </c>
      <c r="G173" s="77" t="s">
        <v>28</v>
      </c>
      <c r="H173" s="74">
        <f t="shared" ref="H173:H179" si="116">T173/$H$160</f>
        <v>108.04597701149426</v>
      </c>
      <c r="I173" s="74">
        <f>F173*H173</f>
        <v>2593.1034482758623</v>
      </c>
      <c r="J173" s="74">
        <f t="shared" ref="J173:J179" si="117">W173/$J$160</f>
        <v>44.705882352941181</v>
      </c>
      <c r="K173" s="74">
        <f t="shared" ref="K173:K179" si="118">F173*J173</f>
        <v>1072.9411764705883</v>
      </c>
      <c r="L173" s="72">
        <f t="shared" ref="L173:L179" si="119">I173+K173</f>
        <v>3666.0446247464506</v>
      </c>
      <c r="M173" s="74">
        <f t="shared" si="102"/>
        <v>150.20282116756118</v>
      </c>
      <c r="N173" s="74">
        <f t="shared" si="103"/>
        <v>62.149002100119816</v>
      </c>
      <c r="O173" s="72">
        <f t="shared" si="104"/>
        <v>212.351823267681</v>
      </c>
      <c r="P173" s="205">
        <f t="shared" si="105"/>
        <v>5096.4437584243442</v>
      </c>
      <c r="Q173" s="272">
        <f t="shared" si="83"/>
        <v>5096.4437584243433</v>
      </c>
      <c r="R173" s="439">
        <f t="shared" si="106"/>
        <v>0</v>
      </c>
      <c r="S173" s="273"/>
      <c r="T173" s="74">
        <v>94</v>
      </c>
      <c r="U173" s="273"/>
      <c r="V173" s="273"/>
      <c r="W173" s="74">
        <v>38</v>
      </c>
      <c r="AL173" s="900" t="s">
        <v>351</v>
      </c>
      <c r="AM173" s="900"/>
      <c r="AN173" s="900"/>
      <c r="AO173" s="662" t="s">
        <v>243</v>
      </c>
      <c r="AP173" s="662" t="s">
        <v>244</v>
      </c>
      <c r="AQ173" s="662" t="s">
        <v>245</v>
      </c>
      <c r="AR173" s="123" t="s">
        <v>246</v>
      </c>
      <c r="AS173" s="123" t="s">
        <v>247</v>
      </c>
      <c r="AT173" s="662" t="s">
        <v>248</v>
      </c>
      <c r="AU173" s="662" t="s">
        <v>249</v>
      </c>
    </row>
    <row r="174" spans="1:47" s="224" customFormat="1" x14ac:dyDescent="0.25">
      <c r="A174" s="350"/>
      <c r="B174" s="317"/>
      <c r="C174" s="318">
        <v>2</v>
      </c>
      <c r="D174" s="83" t="s">
        <v>433</v>
      </c>
      <c r="E174" s="242">
        <v>6</v>
      </c>
      <c r="F174" s="242">
        <v>6</v>
      </c>
      <c r="G174" s="77" t="s">
        <v>28</v>
      </c>
      <c r="H174" s="74">
        <f t="shared" si="116"/>
        <v>163.2183908045977</v>
      </c>
      <c r="I174" s="74">
        <f t="shared" ref="I174:I176" si="120">F174*H174</f>
        <v>979.31034482758628</v>
      </c>
      <c r="J174" s="74">
        <f t="shared" si="117"/>
        <v>52.941176470588239</v>
      </c>
      <c r="K174" s="74">
        <f t="shared" si="118"/>
        <v>317.64705882352945</v>
      </c>
      <c r="L174" s="72">
        <f t="shared" si="119"/>
        <v>1296.9574036511158</v>
      </c>
      <c r="M174" s="74">
        <f t="shared" si="102"/>
        <v>226.90213410418815</v>
      </c>
      <c r="N174" s="74">
        <f t="shared" si="103"/>
        <v>73.597502486983984</v>
      </c>
      <c r="O174" s="72">
        <f t="shared" si="104"/>
        <v>300.49963659117213</v>
      </c>
      <c r="P174" s="205">
        <f t="shared" si="105"/>
        <v>1802.9978195470328</v>
      </c>
      <c r="Q174" s="272">
        <f t="shared" ref="Q174:Q235" si="121">L174/$P$252*$P$260</f>
        <v>1802.997819547033</v>
      </c>
      <c r="R174" s="439">
        <f t="shared" si="106"/>
        <v>0</v>
      </c>
      <c r="S174" s="273"/>
      <c r="T174" s="74">
        <v>142</v>
      </c>
      <c r="U174" s="273"/>
      <c r="V174" s="273"/>
      <c r="W174" s="74">
        <v>45</v>
      </c>
      <c r="AL174" s="878" t="s">
        <v>353</v>
      </c>
      <c r="AM174" s="878"/>
      <c r="AN174" s="878"/>
      <c r="AO174" s="124" t="s">
        <v>251</v>
      </c>
      <c r="AP174" s="661">
        <v>8.33</v>
      </c>
      <c r="AQ174" s="661">
        <v>9</v>
      </c>
      <c r="AR174" s="123">
        <f>143/1.06</f>
        <v>134.90566037735849</v>
      </c>
      <c r="AS174" s="123">
        <f>AR174*AQ174</f>
        <v>1214.1509433962265</v>
      </c>
      <c r="AT174" s="661">
        <f>AT166</f>
        <v>23.9</v>
      </c>
      <c r="AU174" s="219">
        <f>AT174*AQ174</f>
        <v>215.1</v>
      </c>
    </row>
    <row r="175" spans="1:47" s="224" customFormat="1" x14ac:dyDescent="0.25">
      <c r="A175" s="350"/>
      <c r="B175" s="317"/>
      <c r="C175" s="318">
        <v>3</v>
      </c>
      <c r="D175" s="83" t="s">
        <v>434</v>
      </c>
      <c r="E175" s="242">
        <v>3</v>
      </c>
      <c r="F175" s="242">
        <v>3</v>
      </c>
      <c r="G175" s="77" t="s">
        <v>28</v>
      </c>
      <c r="H175" s="74">
        <f t="shared" si="116"/>
        <v>235.63218390804599</v>
      </c>
      <c r="I175" s="74">
        <f t="shared" si="120"/>
        <v>706.89655172413791</v>
      </c>
      <c r="J175" s="74">
        <f t="shared" si="117"/>
        <v>72.941176470588232</v>
      </c>
      <c r="K175" s="74">
        <f t="shared" si="118"/>
        <v>218.8235294117647</v>
      </c>
      <c r="L175" s="72">
        <f t="shared" si="119"/>
        <v>925.72008113590255</v>
      </c>
      <c r="M175" s="74">
        <f t="shared" si="102"/>
        <v>327.56998233351106</v>
      </c>
      <c r="N175" s="74">
        <f t="shared" si="103"/>
        <v>101.40100342651125</v>
      </c>
      <c r="O175" s="72">
        <f t="shared" si="104"/>
        <v>428.9709857600223</v>
      </c>
      <c r="P175" s="205">
        <f t="shared" si="105"/>
        <v>1286.9129572800668</v>
      </c>
      <c r="Q175" s="272">
        <f t="shared" si="121"/>
        <v>1286.9129572800668</v>
      </c>
      <c r="R175" s="439">
        <f t="shared" si="106"/>
        <v>0</v>
      </c>
      <c r="S175" s="273"/>
      <c r="T175" s="74">
        <v>205</v>
      </c>
      <c r="U175" s="273"/>
      <c r="V175" s="273"/>
      <c r="W175" s="74">
        <v>62</v>
      </c>
      <c r="X175" s="273"/>
      <c r="Y175" s="273"/>
      <c r="Z175" s="273"/>
      <c r="AA175" s="273"/>
      <c r="AB175" s="273"/>
      <c r="AC175" s="273"/>
      <c r="AE175" s="273"/>
      <c r="AG175" s="738"/>
      <c r="AL175" s="878" t="s">
        <v>252</v>
      </c>
      <c r="AM175" s="878"/>
      <c r="AN175" s="878"/>
      <c r="AO175" s="124" t="s">
        <v>253</v>
      </c>
      <c r="AP175" s="661">
        <v>0.25</v>
      </c>
      <c r="AQ175" s="661">
        <v>0.25</v>
      </c>
      <c r="AR175" s="123">
        <f>260/1.06</f>
        <v>245.28301886792451</v>
      </c>
      <c r="AS175" s="123">
        <f>AR175*AQ175</f>
        <v>61.320754716981128</v>
      </c>
      <c r="AT175" s="661"/>
      <c r="AU175" s="219">
        <f>AT175*AQ175</f>
        <v>0</v>
      </c>
    </row>
    <row r="176" spans="1:47" s="224" customFormat="1" x14ac:dyDescent="0.25">
      <c r="A176" s="350"/>
      <c r="B176" s="317"/>
      <c r="C176" s="318">
        <v>4</v>
      </c>
      <c r="D176" s="83" t="s">
        <v>435</v>
      </c>
      <c r="E176" s="242">
        <v>4</v>
      </c>
      <c r="F176" s="242">
        <v>4</v>
      </c>
      <c r="G176" s="77" t="s">
        <v>28</v>
      </c>
      <c r="H176" s="74">
        <f t="shared" si="116"/>
        <v>168.9655172413793</v>
      </c>
      <c r="I176" s="74">
        <f t="shared" si="120"/>
        <v>675.86206896551721</v>
      </c>
      <c r="J176" s="74">
        <f t="shared" si="117"/>
        <v>51.764705882352942</v>
      </c>
      <c r="K176" s="74">
        <f t="shared" si="118"/>
        <v>207.05882352941177</v>
      </c>
      <c r="L176" s="72">
        <f t="shared" si="119"/>
        <v>882.92089249492892</v>
      </c>
      <c r="M176" s="74">
        <f t="shared" si="102"/>
        <v>234.89164586842014</v>
      </c>
      <c r="N176" s="74">
        <f t="shared" si="103"/>
        <v>71.962002431717664</v>
      </c>
      <c r="O176" s="72">
        <f t="shared" si="104"/>
        <v>306.85364830013782</v>
      </c>
      <c r="P176" s="205">
        <f t="shared" si="105"/>
        <v>1227.4145932005513</v>
      </c>
      <c r="Q176" s="272">
        <f t="shared" si="121"/>
        <v>1227.4145932005511</v>
      </c>
      <c r="R176" s="439">
        <f t="shared" si="106"/>
        <v>0</v>
      </c>
      <c r="S176" s="273"/>
      <c r="T176" s="74">
        <v>147</v>
      </c>
      <c r="U176" s="273"/>
      <c r="V176" s="273"/>
      <c r="W176" s="74">
        <v>44</v>
      </c>
      <c r="X176" s="273"/>
      <c r="Y176" s="273"/>
      <c r="Z176" s="273"/>
      <c r="AA176" s="273"/>
      <c r="AB176" s="273"/>
      <c r="AC176" s="273"/>
      <c r="AE176" s="273"/>
      <c r="AL176" s="878" t="s">
        <v>254</v>
      </c>
      <c r="AM176" s="878"/>
      <c r="AN176" s="878"/>
      <c r="AO176" s="124" t="s">
        <v>255</v>
      </c>
      <c r="AP176" s="661">
        <v>0.25</v>
      </c>
      <c r="AQ176" s="661">
        <v>0.35</v>
      </c>
      <c r="AR176" s="123">
        <f>37/1.06</f>
        <v>34.905660377358487</v>
      </c>
      <c r="AS176" s="123">
        <f>AR176*AQ176</f>
        <v>12.216981132075469</v>
      </c>
      <c r="AT176" s="661"/>
      <c r="AU176" s="219">
        <f>AT176*AQ176</f>
        <v>0</v>
      </c>
    </row>
    <row r="177" spans="1:47" s="224" customFormat="1" x14ac:dyDescent="0.25">
      <c r="A177" s="350"/>
      <c r="B177" s="317"/>
      <c r="C177" s="318">
        <v>5</v>
      </c>
      <c r="D177" s="83" t="s">
        <v>436</v>
      </c>
      <c r="E177" s="242">
        <v>104</v>
      </c>
      <c r="F177" s="242">
        <v>104</v>
      </c>
      <c r="G177" s="77" t="s">
        <v>28</v>
      </c>
      <c r="H177" s="74">
        <f t="shared" si="116"/>
        <v>275.86206896551727</v>
      </c>
      <c r="I177" s="74">
        <f>F177*H177</f>
        <v>28689.655172413797</v>
      </c>
      <c r="J177" s="74">
        <f t="shared" si="117"/>
        <v>84.705882352941174</v>
      </c>
      <c r="K177" s="74">
        <f t="shared" si="118"/>
        <v>8809.4117647058829</v>
      </c>
      <c r="L177" s="72">
        <f t="shared" si="119"/>
        <v>37499.066937119678</v>
      </c>
      <c r="M177" s="74">
        <f t="shared" si="102"/>
        <v>383.49656468313492</v>
      </c>
      <c r="N177" s="74">
        <f t="shared" si="103"/>
        <v>117.75600397917435</v>
      </c>
      <c r="O177" s="72">
        <f t="shared" si="104"/>
        <v>501.25256866230927</v>
      </c>
      <c r="P177" s="205">
        <f t="shared" si="105"/>
        <v>52130.267140880162</v>
      </c>
      <c r="Q177" s="272">
        <f t="shared" si="121"/>
        <v>52130.267140880169</v>
      </c>
      <c r="R177" s="439">
        <f t="shared" si="106"/>
        <v>0</v>
      </c>
      <c r="S177" s="273"/>
      <c r="T177" s="74">
        <v>240</v>
      </c>
      <c r="U177" s="273"/>
      <c r="V177" s="273"/>
      <c r="W177" s="74">
        <v>72</v>
      </c>
      <c r="AL177" s="878" t="s">
        <v>256</v>
      </c>
      <c r="AM177" s="878"/>
      <c r="AN177" s="878"/>
      <c r="AO177" s="124" t="s">
        <v>257</v>
      </c>
      <c r="AP177" s="661">
        <v>1</v>
      </c>
      <c r="AQ177" s="661">
        <v>1</v>
      </c>
      <c r="AR177" s="123">
        <f>AX99</f>
        <v>0</v>
      </c>
      <c r="AS177" s="123">
        <f>AR177*AQ177</f>
        <v>0</v>
      </c>
      <c r="AT177" s="661"/>
      <c r="AU177" s="219">
        <f>AT177*AQ177</f>
        <v>0</v>
      </c>
    </row>
    <row r="178" spans="1:47" s="224" customFormat="1" x14ac:dyDescent="0.25">
      <c r="A178" s="350"/>
      <c r="B178" s="317"/>
      <c r="C178" s="318">
        <v>6</v>
      </c>
      <c r="D178" s="83" t="s">
        <v>437</v>
      </c>
      <c r="E178" s="242">
        <v>5</v>
      </c>
      <c r="F178" s="242">
        <v>5</v>
      </c>
      <c r="G178" s="77" t="s">
        <v>28</v>
      </c>
      <c r="H178" s="74">
        <f t="shared" si="116"/>
        <v>180.45977011494253</v>
      </c>
      <c r="I178" s="74">
        <f t="shared" ref="I178:I179" si="122">F178*H178</f>
        <v>902.29885057471267</v>
      </c>
      <c r="J178" s="74">
        <f t="shared" si="117"/>
        <v>55.294117647058826</v>
      </c>
      <c r="K178" s="74">
        <f t="shared" si="118"/>
        <v>276.47058823529414</v>
      </c>
      <c r="L178" s="72">
        <f t="shared" si="119"/>
        <v>1178.7694388100067</v>
      </c>
      <c r="M178" s="74">
        <f t="shared" si="102"/>
        <v>250.8706693968841</v>
      </c>
      <c r="N178" s="74">
        <f t="shared" si="103"/>
        <v>76.86850259751661</v>
      </c>
      <c r="O178" s="72">
        <f t="shared" si="104"/>
        <v>327.73917199440069</v>
      </c>
      <c r="P178" s="205">
        <f t="shared" si="105"/>
        <v>1638.6958599720035</v>
      </c>
      <c r="Q178" s="272">
        <f t="shared" si="121"/>
        <v>1638.6958599720033</v>
      </c>
      <c r="R178" s="439">
        <f t="shared" si="106"/>
        <v>0</v>
      </c>
      <c r="S178" s="273"/>
      <c r="T178" s="74">
        <v>157</v>
      </c>
      <c r="U178" s="273"/>
      <c r="V178" s="273"/>
      <c r="W178" s="74">
        <v>47</v>
      </c>
      <c r="AL178" s="126"/>
      <c r="AM178" s="126"/>
      <c r="AN178" s="126"/>
      <c r="AO178" s="126"/>
      <c r="AP178" s="661"/>
      <c r="AQ178" s="661"/>
      <c r="AR178" s="123"/>
      <c r="AS178" s="212">
        <f>SUM(AS174:AS177)</f>
        <v>1287.6886792452831</v>
      </c>
      <c r="AT178" s="662"/>
      <c r="AU178" s="212">
        <f>SUM(AU174:AU177)</f>
        <v>215.1</v>
      </c>
    </row>
    <row r="179" spans="1:47" s="224" customFormat="1" x14ac:dyDescent="0.25">
      <c r="A179" s="350"/>
      <c r="B179" s="317"/>
      <c r="C179" s="318">
        <v>7</v>
      </c>
      <c r="D179" s="83" t="s">
        <v>438</v>
      </c>
      <c r="E179" s="242">
        <v>10</v>
      </c>
      <c r="F179" s="242">
        <v>10</v>
      </c>
      <c r="G179" s="77" t="s">
        <v>28</v>
      </c>
      <c r="H179" s="74">
        <f t="shared" si="116"/>
        <v>758.62068965517244</v>
      </c>
      <c r="I179" s="74">
        <f t="shared" si="122"/>
        <v>7586.2068965517246</v>
      </c>
      <c r="J179" s="74">
        <f t="shared" si="117"/>
        <v>155.29411764705884</v>
      </c>
      <c r="K179" s="74">
        <f t="shared" si="118"/>
        <v>1552.9411764705883</v>
      </c>
      <c r="L179" s="72">
        <f t="shared" si="119"/>
        <v>9139.148073022312</v>
      </c>
      <c r="M179" s="74">
        <f t="shared" si="102"/>
        <v>1054.615552878621</v>
      </c>
      <c r="N179" s="74">
        <f t="shared" si="103"/>
        <v>215.88600729515304</v>
      </c>
      <c r="O179" s="72">
        <f t="shared" si="104"/>
        <v>1270.5015601737741</v>
      </c>
      <c r="P179" s="205">
        <f t="shared" si="105"/>
        <v>12705.015601737741</v>
      </c>
      <c r="Q179" s="272">
        <f t="shared" si="121"/>
        <v>12705.015601737739</v>
      </c>
      <c r="R179" s="439">
        <f t="shared" si="106"/>
        <v>0</v>
      </c>
      <c r="S179" s="273"/>
      <c r="T179" s="74">
        <v>660</v>
      </c>
      <c r="U179" s="273"/>
      <c r="V179" s="273"/>
      <c r="W179" s="74">
        <v>132</v>
      </c>
      <c r="X179" s="273"/>
      <c r="Y179" s="273"/>
      <c r="Z179" s="273"/>
      <c r="AA179" s="273"/>
      <c r="AB179" s="273"/>
      <c r="AC179" s="273"/>
      <c r="AE179" s="273"/>
      <c r="AG179" s="738"/>
      <c r="AL179" s="338"/>
      <c r="AM179" s="338"/>
      <c r="AN179" s="339"/>
      <c r="AO179" s="340"/>
      <c r="AP179" s="340"/>
      <c r="AQ179" s="340"/>
      <c r="AR179" s="341"/>
      <c r="AS179" s="660"/>
      <c r="AT179" s="342"/>
      <c r="AU179" s="212"/>
    </row>
    <row r="180" spans="1:47" s="224" customFormat="1" x14ac:dyDescent="0.25">
      <c r="A180" s="350"/>
      <c r="B180" s="317"/>
      <c r="C180" s="318"/>
      <c r="D180" s="83"/>
      <c r="E180" s="242"/>
      <c r="F180" s="242"/>
      <c r="G180" s="77"/>
      <c r="H180" s="74"/>
      <c r="I180" s="74"/>
      <c r="J180" s="74"/>
      <c r="K180" s="74"/>
      <c r="L180" s="72"/>
      <c r="M180" s="74">
        <f t="shared" si="102"/>
        <v>0</v>
      </c>
      <c r="N180" s="74">
        <f t="shared" si="103"/>
        <v>0</v>
      </c>
      <c r="O180" s="72">
        <f t="shared" si="104"/>
        <v>0</v>
      </c>
      <c r="P180" s="205">
        <f t="shared" si="105"/>
        <v>0</v>
      </c>
      <c r="Q180" s="272">
        <f t="shared" si="121"/>
        <v>0</v>
      </c>
      <c r="R180" s="439">
        <f t="shared" si="106"/>
        <v>0</v>
      </c>
      <c r="S180" s="273"/>
      <c r="U180" s="273"/>
      <c r="V180" s="273"/>
      <c r="W180" s="74"/>
      <c r="X180" s="273"/>
      <c r="Y180" s="273"/>
      <c r="Z180" s="273"/>
      <c r="AA180" s="273"/>
      <c r="AB180" s="273"/>
      <c r="AC180" s="273"/>
      <c r="AE180" s="273"/>
      <c r="AG180" s="738"/>
      <c r="AL180" s="905"/>
      <c r="AM180" s="905"/>
      <c r="AN180" s="665"/>
      <c r="AO180" s="336"/>
      <c r="AP180" s="336"/>
      <c r="AQ180" s="344"/>
      <c r="AR180" s="345"/>
      <c r="AS180" s="337"/>
      <c r="AT180" s="342"/>
      <c r="AU180" s="220"/>
    </row>
    <row r="181" spans="1:47" s="224" customFormat="1" x14ac:dyDescent="0.25">
      <c r="A181" s="350"/>
      <c r="B181" s="412" t="s">
        <v>439</v>
      </c>
      <c r="C181" s="413" t="s">
        <v>454</v>
      </c>
      <c r="D181" s="316"/>
      <c r="E181" s="244"/>
      <c r="F181" s="244"/>
      <c r="G181" s="75"/>
      <c r="H181" s="440">
        <v>0.87</v>
      </c>
      <c r="I181" s="74"/>
      <c r="J181" s="74"/>
      <c r="K181" s="74"/>
      <c r="L181" s="74"/>
      <c r="M181" s="74">
        <f t="shared" si="102"/>
        <v>1.2094522908694367</v>
      </c>
      <c r="N181" s="74">
        <f t="shared" si="103"/>
        <v>0</v>
      </c>
      <c r="O181" s="72">
        <f t="shared" si="104"/>
        <v>1.2094522908694367</v>
      </c>
      <c r="P181" s="205">
        <f t="shared" si="105"/>
        <v>0</v>
      </c>
      <c r="Q181" s="272">
        <f t="shared" si="121"/>
        <v>0</v>
      </c>
      <c r="R181" s="439">
        <f t="shared" si="106"/>
        <v>0</v>
      </c>
      <c r="S181" s="273"/>
      <c r="W181" s="74"/>
      <c r="AL181" s="905"/>
      <c r="AM181" s="905"/>
      <c r="AN181" s="665"/>
      <c r="AO181" s="336"/>
      <c r="AP181" s="336"/>
      <c r="AQ181" s="344"/>
      <c r="AR181" s="345"/>
      <c r="AS181" s="337"/>
      <c r="AT181" s="342"/>
      <c r="AU181" s="220"/>
    </row>
    <row r="182" spans="1:47" s="224" customFormat="1" x14ac:dyDescent="0.25">
      <c r="A182" s="350"/>
      <c r="B182" s="317"/>
      <c r="C182" s="318">
        <v>1</v>
      </c>
      <c r="D182" s="83" t="s">
        <v>440</v>
      </c>
      <c r="E182" s="242">
        <v>1</v>
      </c>
      <c r="F182" s="242">
        <v>1</v>
      </c>
      <c r="G182" s="77" t="s">
        <v>55</v>
      </c>
      <c r="H182" s="74">
        <f>T182/$H$181</f>
        <v>20235.632183908045</v>
      </c>
      <c r="I182" s="74">
        <f>F182*H182</f>
        <v>20235.632183908045</v>
      </c>
      <c r="J182" s="74">
        <f t="shared" ref="J182:J186" si="123">W182/$J$160</f>
        <v>4117.6470588235297</v>
      </c>
      <c r="K182" s="74">
        <f t="shared" ref="K182:K194" si="124">F182*J182</f>
        <v>4117.6470588235297</v>
      </c>
      <c r="L182" s="72">
        <f t="shared" ref="L182:L194" si="125">I182+K182</f>
        <v>24353.279242731573</v>
      </c>
      <c r="M182" s="74">
        <f t="shared" si="102"/>
        <v>28131.070921860788</v>
      </c>
      <c r="N182" s="74">
        <f t="shared" si="103"/>
        <v>5724.2501934320871</v>
      </c>
      <c r="O182" s="72">
        <f t="shared" si="104"/>
        <v>33855.321115292878</v>
      </c>
      <c r="P182" s="205">
        <f t="shared" si="105"/>
        <v>33855.321115292878</v>
      </c>
      <c r="Q182" s="272">
        <f t="shared" si="121"/>
        <v>33855.321115292878</v>
      </c>
      <c r="R182" s="439">
        <f t="shared" si="106"/>
        <v>0</v>
      </c>
      <c r="S182" s="273"/>
      <c r="T182" s="74">
        <f>17605</f>
        <v>17605</v>
      </c>
      <c r="U182" s="273"/>
      <c r="V182" s="273"/>
      <c r="W182" s="74">
        <v>3500</v>
      </c>
      <c r="AL182" s="126"/>
      <c r="AM182" s="126"/>
      <c r="AN182" s="126"/>
      <c r="AO182" s="126"/>
      <c r="AP182" s="126"/>
      <c r="AQ182" s="126"/>
      <c r="AR182" s="346"/>
      <c r="AS182" s="337"/>
      <c r="AT182" s="342"/>
      <c r="AU182" s="212"/>
    </row>
    <row r="183" spans="1:47" s="224" customFormat="1" x14ac:dyDescent="0.25">
      <c r="A183" s="350"/>
      <c r="B183" s="317"/>
      <c r="C183" s="318">
        <v>2</v>
      </c>
      <c r="D183" s="83" t="s">
        <v>441</v>
      </c>
      <c r="E183" s="242">
        <v>1</v>
      </c>
      <c r="F183" s="242">
        <v>1</v>
      </c>
      <c r="G183" s="77" t="s">
        <v>55</v>
      </c>
      <c r="H183" s="74">
        <f t="shared" ref="H183:H194" si="126">T183/$H$181</f>
        <v>24827.586206896551</v>
      </c>
      <c r="I183" s="74">
        <f t="shared" ref="I183:I185" si="127">F183*H183</f>
        <v>24827.586206896551</v>
      </c>
      <c r="J183" s="74">
        <f t="shared" si="123"/>
        <v>5882.3529411764712</v>
      </c>
      <c r="K183" s="74">
        <f t="shared" si="124"/>
        <v>5882.3529411764712</v>
      </c>
      <c r="L183" s="72">
        <f t="shared" si="125"/>
        <v>30709.939148073023</v>
      </c>
      <c r="M183" s="74">
        <f t="shared" si="102"/>
        <v>34514.690821482138</v>
      </c>
      <c r="N183" s="74">
        <f t="shared" si="103"/>
        <v>8177.5002763315533</v>
      </c>
      <c r="O183" s="72">
        <f t="shared" si="104"/>
        <v>42692.191097813688</v>
      </c>
      <c r="P183" s="205">
        <f t="shared" si="105"/>
        <v>42692.191097813688</v>
      </c>
      <c r="Q183" s="272">
        <f t="shared" si="121"/>
        <v>42692.191097813695</v>
      </c>
      <c r="R183" s="439">
        <f t="shared" si="106"/>
        <v>0</v>
      </c>
      <c r="S183" s="273"/>
      <c r="T183" s="74">
        <f>21600</f>
        <v>21600</v>
      </c>
      <c r="U183" s="273"/>
      <c r="V183" s="273"/>
      <c r="W183" s="74">
        <v>5000</v>
      </c>
      <c r="AL183" s="126"/>
      <c r="AM183" s="126"/>
      <c r="AN183" s="126"/>
      <c r="AO183" s="126"/>
      <c r="AP183" s="126"/>
      <c r="AQ183" s="126"/>
      <c r="AR183" s="127"/>
      <c r="AS183" s="213"/>
      <c r="AT183" s="126"/>
      <c r="AU183" s="219"/>
    </row>
    <row r="184" spans="1:47" s="224" customFormat="1" x14ac:dyDescent="0.25">
      <c r="A184" s="350"/>
      <c r="B184" s="317"/>
      <c r="C184" s="318">
        <v>3</v>
      </c>
      <c r="D184" s="83" t="s">
        <v>442</v>
      </c>
      <c r="E184" s="242">
        <v>1</v>
      </c>
      <c r="F184" s="242">
        <v>1</v>
      </c>
      <c r="G184" s="77" t="s">
        <v>55</v>
      </c>
      <c r="H184" s="74">
        <f t="shared" si="126"/>
        <v>24827.586206896551</v>
      </c>
      <c r="I184" s="74">
        <f t="shared" si="127"/>
        <v>24827.586206896551</v>
      </c>
      <c r="J184" s="74">
        <f t="shared" si="123"/>
        <v>5882.3529411764712</v>
      </c>
      <c r="K184" s="74">
        <f t="shared" si="124"/>
        <v>5882.3529411764712</v>
      </c>
      <c r="L184" s="72">
        <f t="shared" si="125"/>
        <v>30709.939148073023</v>
      </c>
      <c r="M184" s="74">
        <f t="shared" si="102"/>
        <v>34514.690821482138</v>
      </c>
      <c r="N184" s="74">
        <f t="shared" si="103"/>
        <v>8177.5002763315533</v>
      </c>
      <c r="O184" s="72">
        <f t="shared" si="104"/>
        <v>42692.191097813688</v>
      </c>
      <c r="P184" s="205">
        <f t="shared" si="105"/>
        <v>42692.191097813688</v>
      </c>
      <c r="Q184" s="272">
        <f t="shared" si="121"/>
        <v>42692.191097813695</v>
      </c>
      <c r="R184" s="439">
        <f t="shared" si="106"/>
        <v>0</v>
      </c>
      <c r="S184" s="273"/>
      <c r="T184" s="74">
        <f>21600</f>
        <v>21600</v>
      </c>
      <c r="U184" s="273"/>
      <c r="V184" s="273"/>
      <c r="W184" s="74">
        <v>5000</v>
      </c>
      <c r="X184" s="273"/>
      <c r="Y184" s="273"/>
      <c r="Z184" s="273"/>
      <c r="AA184" s="273"/>
      <c r="AB184" s="273"/>
      <c r="AC184" s="273"/>
      <c r="AE184" s="273"/>
      <c r="AG184" s="738"/>
      <c r="AL184" s="880" t="s">
        <v>267</v>
      </c>
      <c r="AM184" s="880"/>
      <c r="AN184" s="141" t="s">
        <v>243</v>
      </c>
      <c r="AO184" s="141" t="s">
        <v>244</v>
      </c>
      <c r="AP184" s="141" t="s">
        <v>245</v>
      </c>
      <c r="AQ184" s="141" t="s">
        <v>246</v>
      </c>
      <c r="AR184" s="141" t="s">
        <v>247</v>
      </c>
      <c r="AS184" s="216" t="s">
        <v>248</v>
      </c>
      <c r="AT184" s="141" t="s">
        <v>249</v>
      </c>
      <c r="AU184" s="219"/>
    </row>
    <row r="185" spans="1:47" s="224" customFormat="1" x14ac:dyDescent="0.25">
      <c r="A185" s="350"/>
      <c r="B185" s="317"/>
      <c r="C185" s="318">
        <v>4</v>
      </c>
      <c r="D185" s="83" t="s">
        <v>443</v>
      </c>
      <c r="E185" s="242">
        <v>1</v>
      </c>
      <c r="F185" s="242">
        <v>1</v>
      </c>
      <c r="G185" s="77" t="s">
        <v>55</v>
      </c>
      <c r="H185" s="74">
        <f t="shared" si="126"/>
        <v>25280.459770114943</v>
      </c>
      <c r="I185" s="74">
        <f t="shared" si="127"/>
        <v>25280.459770114943</v>
      </c>
      <c r="J185" s="74">
        <f t="shared" si="123"/>
        <v>4117.6470588235297</v>
      </c>
      <c r="K185" s="74">
        <f t="shared" si="124"/>
        <v>4117.6470588235297</v>
      </c>
      <c r="L185" s="72">
        <f t="shared" si="125"/>
        <v>29398.106828938471</v>
      </c>
      <c r="M185" s="74">
        <f t="shared" si="102"/>
        <v>35144.264348503624</v>
      </c>
      <c r="N185" s="74">
        <f t="shared" si="103"/>
        <v>5724.2501934320871</v>
      </c>
      <c r="O185" s="72">
        <f t="shared" si="104"/>
        <v>40868.514541935714</v>
      </c>
      <c r="P185" s="205">
        <f t="shared" si="105"/>
        <v>40868.514541935714</v>
      </c>
      <c r="Q185" s="272">
        <f t="shared" si="121"/>
        <v>40868.514541935707</v>
      </c>
      <c r="R185" s="439">
        <f t="shared" si="106"/>
        <v>0</v>
      </c>
      <c r="S185" s="273"/>
      <c r="T185" s="74">
        <f>21994</f>
        <v>21994</v>
      </c>
      <c r="U185" s="273"/>
      <c r="V185" s="273"/>
      <c r="W185" s="74">
        <v>3500</v>
      </c>
      <c r="X185" s="273"/>
      <c r="Y185" s="273"/>
      <c r="Z185" s="273"/>
      <c r="AA185" s="273"/>
      <c r="AB185" s="273"/>
      <c r="AC185" s="273"/>
      <c r="AE185" s="273"/>
      <c r="AL185" s="739"/>
      <c r="AM185" s="659" t="s">
        <v>265</v>
      </c>
      <c r="AN185" s="659" t="s">
        <v>268</v>
      </c>
      <c r="AO185" s="659">
        <v>8.0000000000000002E-3</v>
      </c>
      <c r="AP185" s="659">
        <v>0.01</v>
      </c>
      <c r="AQ185" s="659">
        <v>1000</v>
      </c>
      <c r="AR185" s="659">
        <f>AQ185*AP185</f>
        <v>10</v>
      </c>
      <c r="AS185" s="144">
        <v>600</v>
      </c>
      <c r="AT185" s="659">
        <f>AS185*AP185</f>
        <v>6</v>
      </c>
      <c r="AU185" s="219"/>
    </row>
    <row r="186" spans="1:47" s="224" customFormat="1" x14ac:dyDescent="0.25">
      <c r="A186" s="350"/>
      <c r="B186" s="317"/>
      <c r="C186" s="318">
        <v>5</v>
      </c>
      <c r="D186" s="83" t="s">
        <v>444</v>
      </c>
      <c r="E186" s="242">
        <v>1</v>
      </c>
      <c r="F186" s="242">
        <v>1</v>
      </c>
      <c r="G186" s="77" t="s">
        <v>55</v>
      </c>
      <c r="H186" s="74">
        <f t="shared" si="126"/>
        <v>49827.586206896551</v>
      </c>
      <c r="I186" s="74">
        <f>F186*H186</f>
        <v>49827.586206896551</v>
      </c>
      <c r="J186" s="74">
        <f t="shared" si="123"/>
        <v>5882.3529411764712</v>
      </c>
      <c r="K186" s="74">
        <f t="shared" si="124"/>
        <v>5882.3529411764712</v>
      </c>
      <c r="L186" s="72">
        <f t="shared" si="125"/>
        <v>55709.939148073019</v>
      </c>
      <c r="M186" s="74">
        <f t="shared" si="102"/>
        <v>69269.066995891248</v>
      </c>
      <c r="N186" s="74">
        <f t="shared" si="103"/>
        <v>8177.5002763315533</v>
      </c>
      <c r="O186" s="72">
        <f t="shared" si="104"/>
        <v>77446.567272222805</v>
      </c>
      <c r="P186" s="205">
        <f t="shared" si="105"/>
        <v>77446.567272222805</v>
      </c>
      <c r="Q186" s="272">
        <f t="shared" si="121"/>
        <v>77446.56727222279</v>
      </c>
      <c r="R186" s="439">
        <f t="shared" si="106"/>
        <v>0</v>
      </c>
      <c r="S186" s="273"/>
      <c r="T186" s="74">
        <f>43350</f>
        <v>43350</v>
      </c>
      <c r="U186" s="273"/>
      <c r="V186" s="273"/>
      <c r="W186" s="74">
        <v>5000</v>
      </c>
      <c r="AL186" s="739"/>
      <c r="AM186" s="659" t="s">
        <v>264</v>
      </c>
      <c r="AN186" s="659" t="s">
        <v>253</v>
      </c>
      <c r="AO186" s="659">
        <v>0.14399999999999999</v>
      </c>
      <c r="AP186" s="659">
        <v>0.17</v>
      </c>
      <c r="AQ186" s="144">
        <f>230/1.075</f>
        <v>213.95348837209303</v>
      </c>
      <c r="AR186" s="144">
        <f>AQ186*AP186</f>
        <v>36.372093023255822</v>
      </c>
      <c r="AS186" s="144">
        <v>150</v>
      </c>
      <c r="AT186" s="659">
        <f>AS186*AP186</f>
        <v>25.500000000000004</v>
      </c>
      <c r="AU186" s="212"/>
    </row>
    <row r="187" spans="1:47" s="224" customFormat="1" x14ac:dyDescent="0.25">
      <c r="A187" s="350"/>
      <c r="B187" s="317"/>
      <c r="C187" s="318"/>
      <c r="D187" s="83" t="s">
        <v>445</v>
      </c>
      <c r="E187" s="242"/>
      <c r="F187" s="242"/>
      <c r="G187" s="77"/>
      <c r="H187" s="74"/>
      <c r="I187" s="74"/>
      <c r="J187" s="74"/>
      <c r="K187" s="74"/>
      <c r="L187" s="72"/>
      <c r="M187" s="74">
        <f t="shared" si="102"/>
        <v>0</v>
      </c>
      <c r="N187" s="74">
        <f t="shared" si="103"/>
        <v>0</v>
      </c>
      <c r="O187" s="72">
        <f t="shared" si="104"/>
        <v>0</v>
      </c>
      <c r="P187" s="205">
        <f t="shared" si="105"/>
        <v>0</v>
      </c>
      <c r="Q187" s="272">
        <f t="shared" si="121"/>
        <v>0</v>
      </c>
      <c r="R187" s="439">
        <f t="shared" si="106"/>
        <v>0</v>
      </c>
      <c r="S187" s="273"/>
      <c r="T187" s="74"/>
      <c r="U187" s="273"/>
      <c r="V187" s="273"/>
      <c r="W187" s="74"/>
      <c r="AL187" s="739"/>
      <c r="AM187" s="659" t="s">
        <v>269</v>
      </c>
      <c r="AN187" s="659" t="s">
        <v>253</v>
      </c>
      <c r="AO187" s="659">
        <v>5</v>
      </c>
      <c r="AP187" s="659">
        <v>5</v>
      </c>
      <c r="AQ187" s="437">
        <f>50/1.05</f>
        <v>47.61904761904762</v>
      </c>
      <c r="AR187" s="437">
        <f>AQ187*AP187</f>
        <v>238.0952380952381</v>
      </c>
      <c r="AS187" s="144">
        <v>20</v>
      </c>
      <c r="AT187" s="659">
        <f>AS187*AP187</f>
        <v>100</v>
      </c>
      <c r="AU187" s="220"/>
    </row>
    <row r="188" spans="1:47" s="224" customFormat="1" x14ac:dyDescent="0.25">
      <c r="A188" s="350"/>
      <c r="B188" s="317"/>
      <c r="C188" s="318">
        <v>6</v>
      </c>
      <c r="D188" s="83" t="s">
        <v>446</v>
      </c>
      <c r="E188" s="242">
        <v>2</v>
      </c>
      <c r="F188" s="242">
        <v>2</v>
      </c>
      <c r="G188" s="77" t="s">
        <v>28</v>
      </c>
      <c r="H188" s="74">
        <f t="shared" si="126"/>
        <v>1206.8965517241379</v>
      </c>
      <c r="I188" s="74">
        <f t="shared" ref="I188:I189" si="128">F188*H188</f>
        <v>2413.7931034482758</v>
      </c>
      <c r="J188" s="74">
        <f t="shared" ref="J188:J194" si="129">W188/$J$160</f>
        <v>305.88235294117646</v>
      </c>
      <c r="K188" s="74">
        <f t="shared" si="124"/>
        <v>611.76470588235293</v>
      </c>
      <c r="L188" s="72">
        <f t="shared" si="125"/>
        <v>3025.5578093306285</v>
      </c>
      <c r="M188" s="74">
        <f t="shared" si="102"/>
        <v>1677.7974704887151</v>
      </c>
      <c r="N188" s="74">
        <f t="shared" si="103"/>
        <v>425.23001436924079</v>
      </c>
      <c r="O188" s="72">
        <f t="shared" si="104"/>
        <v>2103.0274848579561</v>
      </c>
      <c r="P188" s="205">
        <f t="shared" si="105"/>
        <v>4206.0549697159122</v>
      </c>
      <c r="Q188" s="272">
        <f t="shared" si="121"/>
        <v>4206.0549697159113</v>
      </c>
      <c r="R188" s="439">
        <f t="shared" si="106"/>
        <v>0</v>
      </c>
      <c r="S188" s="273"/>
      <c r="T188" s="74">
        <v>1050</v>
      </c>
      <c r="U188" s="273"/>
      <c r="V188" s="273"/>
      <c r="W188" s="74">
        <v>260</v>
      </c>
      <c r="X188" s="273"/>
      <c r="Y188" s="273"/>
      <c r="Z188" s="273"/>
      <c r="AA188" s="273"/>
      <c r="AB188" s="273"/>
      <c r="AC188" s="273"/>
      <c r="AE188" s="273"/>
      <c r="AG188" s="738"/>
      <c r="AL188" s="739"/>
      <c r="AM188" s="145"/>
      <c r="AN188" s="145"/>
      <c r="AO188" s="145"/>
      <c r="AP188" s="145"/>
      <c r="AQ188" s="145"/>
      <c r="AR188" s="216">
        <f>SUM(AR185:AR187)</f>
        <v>284.46733111849392</v>
      </c>
      <c r="AS188" s="217"/>
      <c r="AT188" s="740">
        <f>SUM(AT185:AT187)</f>
        <v>131.5</v>
      </c>
      <c r="AU188" s="220"/>
    </row>
    <row r="189" spans="1:47" s="224" customFormat="1" x14ac:dyDescent="0.25">
      <c r="A189" s="350"/>
      <c r="B189" s="317"/>
      <c r="C189" s="318">
        <v>7</v>
      </c>
      <c r="D189" s="83" t="s">
        <v>447</v>
      </c>
      <c r="E189" s="242">
        <v>2</v>
      </c>
      <c r="F189" s="242">
        <v>2</v>
      </c>
      <c r="G189" s="77" t="s">
        <v>28</v>
      </c>
      <c r="H189" s="74">
        <f t="shared" si="126"/>
        <v>1206.8965517241379</v>
      </c>
      <c r="I189" s="74">
        <f t="shared" si="128"/>
        <v>2413.7931034482758</v>
      </c>
      <c r="J189" s="74">
        <f t="shared" si="129"/>
        <v>305.88235294117646</v>
      </c>
      <c r="K189" s="74">
        <f t="shared" si="124"/>
        <v>611.76470588235293</v>
      </c>
      <c r="L189" s="72">
        <f t="shared" si="125"/>
        <v>3025.5578093306285</v>
      </c>
      <c r="M189" s="74">
        <f t="shared" si="102"/>
        <v>1677.7974704887151</v>
      </c>
      <c r="N189" s="74">
        <f t="shared" si="103"/>
        <v>425.23001436924079</v>
      </c>
      <c r="O189" s="72">
        <f t="shared" si="104"/>
        <v>2103.0274848579561</v>
      </c>
      <c r="P189" s="205">
        <f t="shared" si="105"/>
        <v>4206.0549697159122</v>
      </c>
      <c r="Q189" s="272">
        <f t="shared" si="121"/>
        <v>4206.0549697159113</v>
      </c>
      <c r="R189" s="439">
        <f t="shared" si="106"/>
        <v>0</v>
      </c>
      <c r="S189" s="273"/>
      <c r="T189" s="74">
        <v>1050</v>
      </c>
      <c r="U189" s="273"/>
      <c r="V189" s="273"/>
      <c r="W189" s="74">
        <v>260</v>
      </c>
      <c r="X189" s="273"/>
      <c r="Y189" s="273"/>
      <c r="Z189" s="273"/>
      <c r="AA189" s="273"/>
      <c r="AB189" s="273"/>
      <c r="AC189" s="273"/>
      <c r="AE189" s="273"/>
      <c r="AL189" s="126"/>
      <c r="AM189" s="126"/>
      <c r="AN189" s="126"/>
      <c r="AO189" s="126"/>
      <c r="AP189" s="126"/>
      <c r="AQ189" s="126"/>
      <c r="AR189" s="127"/>
      <c r="AS189" s="213"/>
      <c r="AT189" s="126"/>
      <c r="AU189" s="220"/>
    </row>
    <row r="190" spans="1:47" s="224" customFormat="1" x14ac:dyDescent="0.25">
      <c r="A190" s="350"/>
      <c r="B190" s="317"/>
      <c r="C190" s="318">
        <v>8</v>
      </c>
      <c r="D190" s="83" t="s">
        <v>448</v>
      </c>
      <c r="E190" s="242">
        <v>9</v>
      </c>
      <c r="F190" s="242">
        <v>9</v>
      </c>
      <c r="G190" s="77" t="s">
        <v>28</v>
      </c>
      <c r="H190" s="74">
        <f t="shared" si="126"/>
        <v>1206.8965517241379</v>
      </c>
      <c r="I190" s="74">
        <f>F190*H190</f>
        <v>10862.068965517241</v>
      </c>
      <c r="J190" s="74">
        <f t="shared" si="129"/>
        <v>305.88235294117646</v>
      </c>
      <c r="K190" s="74">
        <f t="shared" si="124"/>
        <v>2752.9411764705883</v>
      </c>
      <c r="L190" s="72">
        <f t="shared" si="125"/>
        <v>13615.01014198783</v>
      </c>
      <c r="M190" s="74">
        <f t="shared" si="102"/>
        <v>1677.7974704887151</v>
      </c>
      <c r="N190" s="74">
        <f t="shared" si="103"/>
        <v>425.23001436924079</v>
      </c>
      <c r="O190" s="72">
        <f t="shared" si="104"/>
        <v>2103.0274848579561</v>
      </c>
      <c r="P190" s="205">
        <f t="shared" si="105"/>
        <v>18927.247363721606</v>
      </c>
      <c r="Q190" s="272">
        <f t="shared" si="121"/>
        <v>18927.247363721606</v>
      </c>
      <c r="R190" s="439">
        <f t="shared" si="106"/>
        <v>0</v>
      </c>
      <c r="S190" s="273"/>
      <c r="T190" s="74">
        <v>1050</v>
      </c>
      <c r="U190" s="273"/>
      <c r="V190" s="273"/>
      <c r="W190" s="74">
        <v>260</v>
      </c>
      <c r="AL190" s="880" t="s">
        <v>275</v>
      </c>
      <c r="AM190" s="880"/>
      <c r="AN190" s="141" t="s">
        <v>243</v>
      </c>
      <c r="AO190" s="141" t="s">
        <v>244</v>
      </c>
      <c r="AP190" s="141" t="s">
        <v>245</v>
      </c>
      <c r="AQ190" s="141" t="s">
        <v>246</v>
      </c>
      <c r="AR190" s="141" t="s">
        <v>247</v>
      </c>
      <c r="AS190" s="216" t="s">
        <v>248</v>
      </c>
      <c r="AT190" s="141" t="s">
        <v>249</v>
      </c>
      <c r="AU190" s="220"/>
    </row>
    <row r="191" spans="1:47" s="224" customFormat="1" x14ac:dyDescent="0.25">
      <c r="A191" s="350"/>
      <c r="B191" s="317"/>
      <c r="C191" s="318">
        <v>9</v>
      </c>
      <c r="D191" s="83" t="s">
        <v>449</v>
      </c>
      <c r="E191" s="242">
        <v>5</v>
      </c>
      <c r="F191" s="242">
        <v>5</v>
      </c>
      <c r="G191" s="77" t="s">
        <v>28</v>
      </c>
      <c r="H191" s="74">
        <f t="shared" si="126"/>
        <v>3333.3333333333335</v>
      </c>
      <c r="I191" s="74">
        <f t="shared" ref="I191:I194" si="130">F191*H191</f>
        <v>16666.666666666668</v>
      </c>
      <c r="J191" s="74">
        <f t="shared" si="129"/>
        <v>470.58823529411768</v>
      </c>
      <c r="K191" s="74">
        <f t="shared" si="124"/>
        <v>2352.9411764705883</v>
      </c>
      <c r="L191" s="72">
        <f t="shared" si="125"/>
        <v>19019.607843137255</v>
      </c>
      <c r="M191" s="74">
        <f t="shared" si="102"/>
        <v>4633.9168232545471</v>
      </c>
      <c r="N191" s="74">
        <f t="shared" si="103"/>
        <v>654.20002210652422</v>
      </c>
      <c r="O191" s="72">
        <f t="shared" si="104"/>
        <v>5288.1168453610717</v>
      </c>
      <c r="P191" s="205">
        <f t="shared" si="105"/>
        <v>26440.58422680536</v>
      </c>
      <c r="Q191" s="272">
        <f t="shared" si="121"/>
        <v>26440.584226805353</v>
      </c>
      <c r="R191" s="439">
        <f t="shared" si="106"/>
        <v>0</v>
      </c>
      <c r="S191" s="273"/>
      <c r="T191" s="74">
        <v>2900</v>
      </c>
      <c r="U191" s="273"/>
      <c r="V191" s="273"/>
      <c r="W191" s="74">
        <v>400</v>
      </c>
      <c r="AL191" s="891" t="s">
        <v>276</v>
      </c>
      <c r="AM191" s="891"/>
      <c r="AN191" s="659" t="s">
        <v>100</v>
      </c>
      <c r="AO191" s="659">
        <v>26</v>
      </c>
      <c r="AP191" s="659">
        <f>5*6</f>
        <v>30</v>
      </c>
      <c r="AQ191" s="144">
        <f>270/1.05</f>
        <v>257.14285714285711</v>
      </c>
      <c r="AR191" s="144">
        <f t="shared" ref="AR191:AR199" si="131">AQ191*AP191</f>
        <v>7714.2857142857138</v>
      </c>
      <c r="AS191" s="144">
        <v>150</v>
      </c>
      <c r="AT191" s="144">
        <f t="shared" ref="AT191:AT199" si="132">AS191*AP191</f>
        <v>4500</v>
      </c>
      <c r="AU191" s="220"/>
    </row>
    <row r="192" spans="1:47" s="224" customFormat="1" x14ac:dyDescent="0.25">
      <c r="A192" s="350"/>
      <c r="B192" s="317"/>
      <c r="C192" s="318">
        <v>10</v>
      </c>
      <c r="D192" s="83" t="s">
        <v>451</v>
      </c>
      <c r="E192" s="242">
        <v>240</v>
      </c>
      <c r="F192" s="242">
        <v>247</v>
      </c>
      <c r="G192" s="77" t="s">
        <v>453</v>
      </c>
      <c r="H192" s="74">
        <f t="shared" si="126"/>
        <v>31.781344350866043</v>
      </c>
      <c r="I192" s="74">
        <f t="shared" si="130"/>
        <v>7849.9920546639123</v>
      </c>
      <c r="J192" s="74">
        <f t="shared" si="129"/>
        <v>12.941176470588236</v>
      </c>
      <c r="K192" s="74">
        <f t="shared" si="124"/>
        <v>3196.4705882352941</v>
      </c>
      <c r="L192" s="72">
        <f t="shared" si="125"/>
        <v>11046.462642899207</v>
      </c>
      <c r="M192" s="74">
        <f t="shared" si="102"/>
        <v>44.1816318759372</v>
      </c>
      <c r="N192" s="74">
        <f t="shared" si="103"/>
        <v>17.990500607929416</v>
      </c>
      <c r="O192" s="72">
        <f t="shared" si="104"/>
        <v>62.172132483866619</v>
      </c>
      <c r="P192" s="205">
        <f t="shared" si="105"/>
        <v>15356.516723515055</v>
      </c>
      <c r="Q192" s="272">
        <f t="shared" si="121"/>
        <v>15356.516723515055</v>
      </c>
      <c r="R192" s="439">
        <f t="shared" si="106"/>
        <v>0</v>
      </c>
      <c r="S192" s="273"/>
      <c r="T192" s="74">
        <f>30/1.085</f>
        <v>27.649769585253456</v>
      </c>
      <c r="U192" s="273"/>
      <c r="V192" s="273"/>
      <c r="W192" s="74">
        <v>11</v>
      </c>
      <c r="AL192" s="891" t="s">
        <v>277</v>
      </c>
      <c r="AM192" s="891"/>
      <c r="AN192" s="659" t="s">
        <v>283</v>
      </c>
      <c r="AO192" s="659">
        <v>10</v>
      </c>
      <c r="AP192" s="659">
        <v>10</v>
      </c>
      <c r="AQ192" s="144">
        <v>250</v>
      </c>
      <c r="AR192" s="144">
        <f t="shared" si="131"/>
        <v>2500</v>
      </c>
      <c r="AS192" s="144">
        <v>65</v>
      </c>
      <c r="AT192" s="144">
        <f t="shared" si="132"/>
        <v>650</v>
      </c>
      <c r="AU192" s="220"/>
    </row>
    <row r="193" spans="1:47" s="224" customFormat="1" x14ac:dyDescent="0.25">
      <c r="A193" s="350"/>
      <c r="B193" s="317"/>
      <c r="C193" s="318">
        <v>11</v>
      </c>
      <c r="D193" s="83" t="s">
        <v>450</v>
      </c>
      <c r="E193" s="242">
        <v>240</v>
      </c>
      <c r="F193" s="242">
        <v>247</v>
      </c>
      <c r="G193" s="77" t="s">
        <v>283</v>
      </c>
      <c r="H193" s="74">
        <f t="shared" si="126"/>
        <v>18.390804597701148</v>
      </c>
      <c r="I193" s="74">
        <f t="shared" si="130"/>
        <v>4542.5287356321833</v>
      </c>
      <c r="J193" s="74">
        <f t="shared" si="129"/>
        <v>7.0588235294117645</v>
      </c>
      <c r="K193" s="74">
        <f t="shared" si="124"/>
        <v>1743.5294117647059</v>
      </c>
      <c r="L193" s="72">
        <f t="shared" si="125"/>
        <v>6286.0581473968887</v>
      </c>
      <c r="M193" s="74">
        <f t="shared" si="102"/>
        <v>25.566437645542326</v>
      </c>
      <c r="N193" s="74">
        <f t="shared" si="103"/>
        <v>9.8130003315978627</v>
      </c>
      <c r="O193" s="72">
        <f t="shared" si="104"/>
        <v>35.379437977140185</v>
      </c>
      <c r="P193" s="205">
        <f t="shared" si="105"/>
        <v>8738.7211803536266</v>
      </c>
      <c r="Q193" s="272">
        <f t="shared" si="121"/>
        <v>8738.7211803536247</v>
      </c>
      <c r="R193" s="439">
        <f t="shared" si="106"/>
        <v>0</v>
      </c>
      <c r="S193" s="273"/>
      <c r="T193" s="74">
        <v>16</v>
      </c>
      <c r="U193" s="273"/>
      <c r="V193" s="273"/>
      <c r="W193" s="74">
        <v>6</v>
      </c>
      <c r="AL193" s="891" t="s">
        <v>278</v>
      </c>
      <c r="AM193" s="891"/>
      <c r="AN193" s="659" t="s">
        <v>283</v>
      </c>
      <c r="AO193" s="659">
        <v>10</v>
      </c>
      <c r="AP193" s="659">
        <v>10</v>
      </c>
      <c r="AQ193" s="144">
        <v>280</v>
      </c>
      <c r="AR193" s="144">
        <f t="shared" si="131"/>
        <v>2800</v>
      </c>
      <c r="AS193" s="144">
        <v>70</v>
      </c>
      <c r="AT193" s="144">
        <f t="shared" si="132"/>
        <v>700</v>
      </c>
      <c r="AU193" s="220"/>
    </row>
    <row r="194" spans="1:47" s="224" customFormat="1" x14ac:dyDescent="0.25">
      <c r="A194" s="350"/>
      <c r="B194" s="317"/>
      <c r="C194" s="318">
        <v>12</v>
      </c>
      <c r="D194" s="83" t="s">
        <v>452</v>
      </c>
      <c r="E194" s="242">
        <v>95</v>
      </c>
      <c r="F194" s="242">
        <v>100</v>
      </c>
      <c r="G194" s="77" t="s">
        <v>283</v>
      </c>
      <c r="H194" s="74">
        <f t="shared" si="126"/>
        <v>28.735632183908045</v>
      </c>
      <c r="I194" s="74">
        <f t="shared" si="130"/>
        <v>2873.5632183908046</v>
      </c>
      <c r="J194" s="74">
        <f t="shared" si="129"/>
        <v>10.588235294117647</v>
      </c>
      <c r="K194" s="74">
        <f t="shared" si="124"/>
        <v>1058.8235294117646</v>
      </c>
      <c r="L194" s="72">
        <f t="shared" si="125"/>
        <v>3932.3867478025695</v>
      </c>
      <c r="M194" s="74">
        <f t="shared" si="102"/>
        <v>39.947558821159888</v>
      </c>
      <c r="N194" s="74">
        <f t="shared" si="103"/>
        <v>14.719500497396794</v>
      </c>
      <c r="O194" s="72">
        <f t="shared" si="104"/>
        <v>54.667059318556682</v>
      </c>
      <c r="P194" s="205">
        <f t="shared" si="105"/>
        <v>5466.7059318556685</v>
      </c>
      <c r="Q194" s="272">
        <f t="shared" si="121"/>
        <v>5466.7059318556685</v>
      </c>
      <c r="R194" s="439">
        <f t="shared" si="106"/>
        <v>0</v>
      </c>
      <c r="S194" s="273"/>
      <c r="T194" s="74">
        <v>25</v>
      </c>
      <c r="U194" s="273"/>
      <c r="V194" s="273"/>
      <c r="W194" s="74">
        <v>9</v>
      </c>
      <c r="AL194" s="933" t="s">
        <v>280</v>
      </c>
      <c r="AM194" s="933"/>
      <c r="AN194" s="659" t="s">
        <v>101</v>
      </c>
      <c r="AO194" s="659">
        <f>4.5*1.2</f>
        <v>5.3999999999999995</v>
      </c>
      <c r="AP194" s="659">
        <v>6</v>
      </c>
      <c r="AQ194" s="144">
        <v>160</v>
      </c>
      <c r="AR194" s="144">
        <f t="shared" si="131"/>
        <v>960</v>
      </c>
      <c r="AS194" s="144">
        <v>145</v>
      </c>
      <c r="AT194" s="144">
        <f t="shared" si="132"/>
        <v>870</v>
      </c>
      <c r="AU194" s="220"/>
    </row>
    <row r="195" spans="1:47" s="224" customFormat="1" x14ac:dyDescent="0.25">
      <c r="A195" s="350"/>
      <c r="B195" s="317"/>
      <c r="C195" s="318"/>
      <c r="D195" s="83"/>
      <c r="E195" s="242"/>
      <c r="F195" s="242"/>
      <c r="G195" s="77"/>
      <c r="H195" s="74"/>
      <c r="I195" s="74"/>
      <c r="J195" s="74"/>
      <c r="K195" s="74"/>
      <c r="L195" s="72"/>
      <c r="M195" s="74">
        <f t="shared" si="102"/>
        <v>0</v>
      </c>
      <c r="N195" s="74">
        <f t="shared" si="103"/>
        <v>0</v>
      </c>
      <c r="O195" s="72">
        <f t="shared" si="104"/>
        <v>0</v>
      </c>
      <c r="P195" s="205">
        <f t="shared" si="105"/>
        <v>0</v>
      </c>
      <c r="Q195" s="272">
        <f t="shared" si="121"/>
        <v>0</v>
      </c>
      <c r="R195" s="439">
        <f t="shared" si="106"/>
        <v>0</v>
      </c>
      <c r="S195" s="273"/>
      <c r="U195" s="273"/>
      <c r="V195" s="273"/>
      <c r="W195" s="74"/>
      <c r="X195" s="273"/>
      <c r="Y195" s="273"/>
      <c r="Z195" s="273"/>
      <c r="AA195" s="273"/>
      <c r="AB195" s="273"/>
      <c r="AC195" s="273"/>
      <c r="AE195" s="273"/>
      <c r="AG195" s="738"/>
      <c r="AL195" s="933" t="s">
        <v>285</v>
      </c>
      <c r="AM195" s="933"/>
      <c r="AN195" s="659" t="s">
        <v>100</v>
      </c>
      <c r="AO195" s="659">
        <v>26</v>
      </c>
      <c r="AP195" s="659">
        <v>32</v>
      </c>
      <c r="AQ195" s="441">
        <v>90</v>
      </c>
      <c r="AR195" s="144">
        <f t="shared" si="131"/>
        <v>2880</v>
      </c>
      <c r="AS195" s="441">
        <v>90</v>
      </c>
      <c r="AT195" s="144">
        <f t="shared" si="132"/>
        <v>2880</v>
      </c>
      <c r="AU195" s="220"/>
    </row>
    <row r="196" spans="1:47" s="224" customFormat="1" x14ac:dyDescent="0.25">
      <c r="A196" s="350"/>
      <c r="B196" s="412" t="s">
        <v>329</v>
      </c>
      <c r="C196" s="413" t="s">
        <v>458</v>
      </c>
      <c r="D196" s="316"/>
      <c r="E196" s="244"/>
      <c r="F196" s="244"/>
      <c r="G196" s="75"/>
      <c r="H196" s="74"/>
      <c r="I196" s="74"/>
      <c r="J196" s="74"/>
      <c r="K196" s="74"/>
      <c r="L196" s="74"/>
      <c r="M196" s="74">
        <f t="shared" si="102"/>
        <v>0</v>
      </c>
      <c r="N196" s="74">
        <f t="shared" si="103"/>
        <v>0</v>
      </c>
      <c r="O196" s="72">
        <f t="shared" si="104"/>
        <v>0</v>
      </c>
      <c r="P196" s="205">
        <f t="shared" si="105"/>
        <v>0</v>
      </c>
      <c r="Q196" s="272">
        <f t="shared" si="121"/>
        <v>0</v>
      </c>
      <c r="R196" s="439">
        <f t="shared" si="106"/>
        <v>0</v>
      </c>
      <c r="S196" s="273"/>
      <c r="W196" s="74"/>
      <c r="AL196" s="933" t="s">
        <v>279</v>
      </c>
      <c r="AM196" s="933"/>
      <c r="AN196" s="659" t="s">
        <v>266</v>
      </c>
      <c r="AO196" s="659">
        <f>4.5*1.2*0.15+(4.5*0.3*0.1)*2</f>
        <v>1.0799999999999998</v>
      </c>
      <c r="AP196" s="659">
        <v>1.25</v>
      </c>
      <c r="AQ196" s="441">
        <f>3800/1.05</f>
        <v>3619.0476190476188</v>
      </c>
      <c r="AR196" s="144">
        <f t="shared" si="131"/>
        <v>4523.8095238095239</v>
      </c>
      <c r="AS196" s="441">
        <v>800</v>
      </c>
      <c r="AT196" s="144">
        <f t="shared" si="132"/>
        <v>1000</v>
      </c>
      <c r="AU196" s="220"/>
    </row>
    <row r="197" spans="1:47" s="224" customFormat="1" x14ac:dyDescent="0.25">
      <c r="A197" s="350"/>
      <c r="B197" s="317"/>
      <c r="C197" s="318">
        <v>1</v>
      </c>
      <c r="D197" s="83" t="s">
        <v>459</v>
      </c>
      <c r="E197" s="242">
        <v>1337</v>
      </c>
      <c r="F197" s="242">
        <v>1446</v>
      </c>
      <c r="G197" s="77" t="s">
        <v>100</v>
      </c>
      <c r="H197" s="74">
        <f>10</f>
        <v>10</v>
      </c>
      <c r="I197" s="74">
        <f>F197*H197</f>
        <v>14460</v>
      </c>
      <c r="J197" s="74">
        <f t="shared" ref="J197:J205" si="133">W197/$J$160</f>
        <v>4.7058823529411766</v>
      </c>
      <c r="K197" s="74">
        <f t="shared" ref="K197:K205" si="134">F197*J197</f>
        <v>6804.7058823529414</v>
      </c>
      <c r="L197" s="72">
        <f t="shared" ref="L197:L205" si="135">I197+K197</f>
        <v>21264.705882352941</v>
      </c>
      <c r="M197" s="74">
        <f t="shared" si="102"/>
        <v>13.901750469763639</v>
      </c>
      <c r="N197" s="74">
        <f t="shared" si="103"/>
        <v>6.5420002210652424</v>
      </c>
      <c r="O197" s="72">
        <f t="shared" si="104"/>
        <v>20.443750690828882</v>
      </c>
      <c r="P197" s="205">
        <f t="shared" si="105"/>
        <v>29561.663498938564</v>
      </c>
      <c r="Q197" s="272">
        <f t="shared" si="121"/>
        <v>29561.663498938564</v>
      </c>
      <c r="R197" s="439">
        <f t="shared" si="106"/>
        <v>0</v>
      </c>
      <c r="S197" s="273"/>
      <c r="U197" s="273"/>
      <c r="V197" s="273"/>
      <c r="W197" s="74">
        <v>4</v>
      </c>
      <c r="AL197" s="933" t="s">
        <v>282</v>
      </c>
      <c r="AM197" s="933"/>
      <c r="AN197" s="659" t="s">
        <v>284</v>
      </c>
      <c r="AO197" s="173">
        <f>(5*12+23*1.2+16)*0.616</f>
        <v>63.817599999999999</v>
      </c>
      <c r="AP197" s="659">
        <v>75</v>
      </c>
      <c r="AQ197" s="441">
        <f>33/1.05</f>
        <v>31.428571428571427</v>
      </c>
      <c r="AR197" s="144">
        <f t="shared" si="131"/>
        <v>2357.1428571428569</v>
      </c>
      <c r="AS197" s="441">
        <v>12</v>
      </c>
      <c r="AT197" s="144">
        <f t="shared" si="132"/>
        <v>900</v>
      </c>
      <c r="AU197" s="220"/>
    </row>
    <row r="198" spans="1:47" s="224" customFormat="1" x14ac:dyDescent="0.25">
      <c r="A198" s="350"/>
      <c r="B198" s="317"/>
      <c r="C198" s="318">
        <v>2</v>
      </c>
      <c r="D198" s="83" t="s">
        <v>460</v>
      </c>
      <c r="E198" s="242">
        <v>1113</v>
      </c>
      <c r="F198" s="242">
        <v>1320</v>
      </c>
      <c r="G198" s="77" t="s">
        <v>100</v>
      </c>
      <c r="H198" s="74">
        <f>25</f>
        <v>25</v>
      </c>
      <c r="I198" s="74">
        <f t="shared" ref="I198:I200" si="136">F198*H198</f>
        <v>33000</v>
      </c>
      <c r="J198" s="74">
        <f t="shared" si="133"/>
        <v>10.588235294117647</v>
      </c>
      <c r="K198" s="74">
        <f t="shared" si="134"/>
        <v>13976.470588235294</v>
      </c>
      <c r="L198" s="72">
        <f t="shared" si="135"/>
        <v>46976.470588235294</v>
      </c>
      <c r="M198" s="74">
        <f t="shared" si="102"/>
        <v>34.754376174409103</v>
      </c>
      <c r="N198" s="74">
        <f t="shared" si="103"/>
        <v>14.719500497396794</v>
      </c>
      <c r="O198" s="72">
        <f t="shared" si="104"/>
        <v>49.473876671805897</v>
      </c>
      <c r="P198" s="205">
        <f t="shared" si="105"/>
        <v>65305.517206783785</v>
      </c>
      <c r="Q198" s="272">
        <f t="shared" si="121"/>
        <v>65305.517206783785</v>
      </c>
      <c r="R198" s="439">
        <f t="shared" si="106"/>
        <v>0</v>
      </c>
      <c r="S198" s="273"/>
      <c r="U198" s="273"/>
      <c r="V198" s="273"/>
      <c r="W198" s="74">
        <v>9</v>
      </c>
      <c r="AL198" s="933" t="s">
        <v>281</v>
      </c>
      <c r="AM198" s="933"/>
      <c r="AN198" s="659" t="s">
        <v>101</v>
      </c>
      <c r="AO198" s="659">
        <f>0.3*4.5*2</f>
        <v>2.6999999999999997</v>
      </c>
      <c r="AP198" s="659">
        <v>3</v>
      </c>
      <c r="AQ198" s="441">
        <v>220</v>
      </c>
      <c r="AR198" s="144">
        <f t="shared" si="131"/>
        <v>660</v>
      </c>
      <c r="AS198" s="441">
        <v>200</v>
      </c>
      <c r="AT198" s="144">
        <f t="shared" si="132"/>
        <v>600</v>
      </c>
      <c r="AU198" s="220"/>
    </row>
    <row r="199" spans="1:47" s="224" customFormat="1" x14ac:dyDescent="0.25">
      <c r="A199" s="350"/>
      <c r="B199" s="317"/>
      <c r="C199" s="318">
        <v>3</v>
      </c>
      <c r="D199" s="83" t="s">
        <v>461</v>
      </c>
      <c r="E199" s="242">
        <v>33</v>
      </c>
      <c r="F199" s="242">
        <v>33</v>
      </c>
      <c r="G199" s="77" t="s">
        <v>28</v>
      </c>
      <c r="H199" s="74">
        <f>258</f>
        <v>258</v>
      </c>
      <c r="I199" s="74">
        <f t="shared" si="136"/>
        <v>8514</v>
      </c>
      <c r="J199" s="74">
        <f t="shared" si="133"/>
        <v>117.64705882352942</v>
      </c>
      <c r="K199" s="74">
        <f t="shared" si="134"/>
        <v>3882.3529411764707</v>
      </c>
      <c r="L199" s="72">
        <f t="shared" si="135"/>
        <v>12396.35294117647</v>
      </c>
      <c r="M199" s="74">
        <f t="shared" si="102"/>
        <v>358.66516211990194</v>
      </c>
      <c r="N199" s="74">
        <f t="shared" si="103"/>
        <v>163.55000552663105</v>
      </c>
      <c r="O199" s="72">
        <f t="shared" si="104"/>
        <v>522.21516764653302</v>
      </c>
      <c r="P199" s="205">
        <f t="shared" si="105"/>
        <v>17233.100532335589</v>
      </c>
      <c r="Q199" s="272">
        <f t="shared" si="121"/>
        <v>17233.100532335589</v>
      </c>
      <c r="R199" s="439">
        <f t="shared" si="106"/>
        <v>0</v>
      </c>
      <c r="S199" s="273"/>
      <c r="U199" s="273"/>
      <c r="V199" s="273"/>
      <c r="W199" s="74">
        <v>100</v>
      </c>
      <c r="X199" s="273"/>
      <c r="Y199" s="273"/>
      <c r="Z199" s="273"/>
      <c r="AA199" s="273"/>
      <c r="AB199" s="273"/>
      <c r="AC199" s="273"/>
      <c r="AE199" s="273"/>
      <c r="AG199" s="738"/>
      <c r="AL199" s="933" t="s">
        <v>379</v>
      </c>
      <c r="AM199" s="933"/>
      <c r="AN199" s="659" t="s">
        <v>301</v>
      </c>
      <c r="AO199" s="659">
        <v>1</v>
      </c>
      <c r="AP199" s="659">
        <v>1</v>
      </c>
      <c r="AQ199" s="441">
        <v>1000</v>
      </c>
      <c r="AR199" s="144">
        <f t="shared" si="131"/>
        <v>1000</v>
      </c>
      <c r="AS199" s="441">
        <v>800</v>
      </c>
      <c r="AT199" s="144">
        <f t="shared" si="132"/>
        <v>800</v>
      </c>
    </row>
    <row r="200" spans="1:47" s="224" customFormat="1" x14ac:dyDescent="0.25">
      <c r="A200" s="350"/>
      <c r="B200" s="317"/>
      <c r="C200" s="318">
        <v>4</v>
      </c>
      <c r="D200" s="83" t="s">
        <v>462</v>
      </c>
      <c r="E200" s="242">
        <v>33</v>
      </c>
      <c r="F200" s="242">
        <v>33</v>
      </c>
      <c r="G200" s="77" t="s">
        <v>28</v>
      </c>
      <c r="H200" s="74">
        <f>456</f>
        <v>456</v>
      </c>
      <c r="I200" s="74">
        <f t="shared" si="136"/>
        <v>15048</v>
      </c>
      <c r="J200" s="74">
        <f t="shared" si="133"/>
        <v>117.64705882352942</v>
      </c>
      <c r="K200" s="74">
        <f t="shared" si="134"/>
        <v>3882.3529411764707</v>
      </c>
      <c r="L200" s="72">
        <f t="shared" si="135"/>
        <v>18930.352941176472</v>
      </c>
      <c r="M200" s="74">
        <f t="shared" si="102"/>
        <v>633.91982142122197</v>
      </c>
      <c r="N200" s="74">
        <f t="shared" si="103"/>
        <v>163.55000552663105</v>
      </c>
      <c r="O200" s="72">
        <f t="shared" si="104"/>
        <v>797.46982694785299</v>
      </c>
      <c r="P200" s="205">
        <f t="shared" si="105"/>
        <v>26316.50428927915</v>
      </c>
      <c r="Q200" s="272">
        <f t="shared" si="121"/>
        <v>26316.504289279153</v>
      </c>
      <c r="R200" s="439">
        <f t="shared" si="106"/>
        <v>0</v>
      </c>
      <c r="S200" s="273"/>
      <c r="U200" s="273"/>
      <c r="V200" s="273"/>
      <c r="W200" s="74">
        <v>100</v>
      </c>
      <c r="X200" s="273"/>
      <c r="Y200" s="273"/>
      <c r="Z200" s="273"/>
      <c r="AA200" s="273"/>
      <c r="AB200" s="273"/>
      <c r="AC200" s="273"/>
      <c r="AE200" s="273"/>
      <c r="AL200" s="273"/>
      <c r="AM200" s="273"/>
      <c r="AN200" s="273"/>
      <c r="AO200" s="273"/>
      <c r="AP200" s="273"/>
      <c r="AQ200" s="273"/>
      <c r="AR200" s="216">
        <f>SUM(AR191:AR199)</f>
        <v>25395.238095238092</v>
      </c>
      <c r="AS200" s="273"/>
      <c r="AT200" s="216">
        <f>SUM(AT191:AT199)</f>
        <v>12900</v>
      </c>
    </row>
    <row r="201" spans="1:47" s="224" customFormat="1" x14ac:dyDescent="0.25">
      <c r="A201" s="350"/>
      <c r="B201" s="317"/>
      <c r="C201" s="318">
        <v>1</v>
      </c>
      <c r="D201" s="83" t="s">
        <v>463</v>
      </c>
      <c r="E201" s="242">
        <v>1</v>
      </c>
      <c r="F201" s="242">
        <v>1</v>
      </c>
      <c r="G201" s="77" t="s">
        <v>251</v>
      </c>
      <c r="H201" s="74">
        <f>4500</f>
        <v>4500</v>
      </c>
      <c r="I201" s="74">
        <f>F201*H201</f>
        <v>4500</v>
      </c>
      <c r="J201" s="74">
        <f t="shared" si="133"/>
        <v>1058.8235294117646</v>
      </c>
      <c r="K201" s="74">
        <f t="shared" si="134"/>
        <v>1058.8235294117646</v>
      </c>
      <c r="L201" s="72">
        <f t="shared" si="135"/>
        <v>5558.8235294117649</v>
      </c>
      <c r="M201" s="74">
        <f t="shared" si="102"/>
        <v>6255.7877113936374</v>
      </c>
      <c r="N201" s="74">
        <f t="shared" si="103"/>
        <v>1471.9500497396796</v>
      </c>
      <c r="O201" s="72">
        <f t="shared" si="104"/>
        <v>7727.7377611333168</v>
      </c>
      <c r="P201" s="205">
        <f t="shared" si="105"/>
        <v>7727.7377611333168</v>
      </c>
      <c r="Q201" s="272">
        <f t="shared" si="121"/>
        <v>7727.7377611333177</v>
      </c>
      <c r="R201" s="439">
        <f t="shared" si="106"/>
        <v>0</v>
      </c>
      <c r="S201" s="273"/>
      <c r="U201" s="273"/>
      <c r="V201" s="273"/>
      <c r="W201" s="74">
        <v>900</v>
      </c>
    </row>
    <row r="202" spans="1:47" s="224" customFormat="1" x14ac:dyDescent="0.25">
      <c r="A202" s="350"/>
      <c r="B202" s="317"/>
      <c r="C202" s="318">
        <v>2</v>
      </c>
      <c r="D202" s="83" t="s">
        <v>464</v>
      </c>
      <c r="E202" s="242">
        <v>1</v>
      </c>
      <c r="F202" s="242">
        <v>1</v>
      </c>
      <c r="G202" s="77" t="s">
        <v>251</v>
      </c>
      <c r="H202" s="74">
        <f>15000</f>
        <v>15000</v>
      </c>
      <c r="I202" s="74">
        <f t="shared" ref="I202:I204" si="137">F202*H202</f>
        <v>15000</v>
      </c>
      <c r="J202" s="74">
        <f t="shared" si="133"/>
        <v>3529.4117647058824</v>
      </c>
      <c r="K202" s="74">
        <f t="shared" si="134"/>
        <v>3529.4117647058824</v>
      </c>
      <c r="L202" s="72">
        <f t="shared" si="135"/>
        <v>18529.411764705881</v>
      </c>
      <c r="M202" s="74">
        <f t="shared" si="102"/>
        <v>20852.625704645459</v>
      </c>
      <c r="N202" s="74">
        <f t="shared" si="103"/>
        <v>4906.5001657989314</v>
      </c>
      <c r="O202" s="72">
        <f t="shared" si="104"/>
        <v>25759.12587044439</v>
      </c>
      <c r="P202" s="205">
        <f t="shared" si="105"/>
        <v>25759.12587044439</v>
      </c>
      <c r="Q202" s="272">
        <f t="shared" si="121"/>
        <v>25759.12587044439</v>
      </c>
      <c r="R202" s="439">
        <f t="shared" si="106"/>
        <v>0</v>
      </c>
      <c r="S202" s="273"/>
      <c r="U202" s="273"/>
      <c r="V202" s="273"/>
      <c r="W202" s="74">
        <v>3000</v>
      </c>
    </row>
    <row r="203" spans="1:47" s="224" customFormat="1" x14ac:dyDescent="0.25">
      <c r="A203" s="350"/>
      <c r="B203" s="317"/>
      <c r="C203" s="318">
        <v>3</v>
      </c>
      <c r="D203" s="83" t="s">
        <v>465</v>
      </c>
      <c r="E203" s="242">
        <v>1</v>
      </c>
      <c r="F203" s="242">
        <v>1</v>
      </c>
      <c r="G203" s="77" t="s">
        <v>243</v>
      </c>
      <c r="H203" s="74">
        <f>12000</f>
        <v>12000</v>
      </c>
      <c r="I203" s="74">
        <f t="shared" si="137"/>
        <v>12000</v>
      </c>
      <c r="J203" s="74">
        <f t="shared" si="133"/>
        <v>529.41176470588232</v>
      </c>
      <c r="K203" s="74">
        <f t="shared" si="134"/>
        <v>529.41176470588232</v>
      </c>
      <c r="L203" s="72">
        <f t="shared" si="135"/>
        <v>12529.411764705883</v>
      </c>
      <c r="M203" s="74">
        <f t="shared" si="102"/>
        <v>16682.100563716369</v>
      </c>
      <c r="N203" s="74">
        <f t="shared" si="103"/>
        <v>735.97502486983979</v>
      </c>
      <c r="O203" s="72">
        <f t="shared" si="104"/>
        <v>17418.075588586209</v>
      </c>
      <c r="P203" s="205">
        <f t="shared" si="105"/>
        <v>17418.075588586209</v>
      </c>
      <c r="Q203" s="272">
        <f t="shared" si="121"/>
        <v>17418.075588586209</v>
      </c>
      <c r="R203" s="439">
        <f t="shared" si="106"/>
        <v>0</v>
      </c>
      <c r="S203" s="273"/>
      <c r="U203" s="273"/>
      <c r="V203" s="273"/>
      <c r="W203" s="74">
        <v>450</v>
      </c>
      <c r="X203" s="273"/>
      <c r="Y203" s="273"/>
      <c r="Z203" s="273"/>
      <c r="AA203" s="273"/>
      <c r="AB203" s="273"/>
      <c r="AC203" s="273"/>
      <c r="AE203" s="273"/>
      <c r="AG203" s="738">
        <f>AE216*2+AE232*3</f>
        <v>40999</v>
      </c>
    </row>
    <row r="204" spans="1:47" s="224" customFormat="1" x14ac:dyDescent="0.25">
      <c r="A204" s="350"/>
      <c r="B204" s="317"/>
      <c r="C204" s="318">
        <v>4</v>
      </c>
      <c r="D204" s="83" t="s">
        <v>466</v>
      </c>
      <c r="E204" s="242">
        <v>2</v>
      </c>
      <c r="F204" s="242">
        <v>2</v>
      </c>
      <c r="G204" s="77" t="s">
        <v>283</v>
      </c>
      <c r="H204" s="74">
        <f>5612</f>
        <v>5612</v>
      </c>
      <c r="I204" s="74">
        <f t="shared" si="137"/>
        <v>11224</v>
      </c>
      <c r="J204" s="74">
        <f t="shared" si="133"/>
        <v>2352.9411764705883</v>
      </c>
      <c r="K204" s="74">
        <f t="shared" si="134"/>
        <v>4705.8823529411766</v>
      </c>
      <c r="L204" s="72">
        <f t="shared" si="135"/>
        <v>15929.882352941177</v>
      </c>
      <c r="M204" s="74">
        <f t="shared" si="102"/>
        <v>7801.6623636313552</v>
      </c>
      <c r="N204" s="74">
        <f t="shared" si="103"/>
        <v>3271.000110532621</v>
      </c>
      <c r="O204" s="72">
        <f t="shared" si="104"/>
        <v>11072.662474163975</v>
      </c>
      <c r="P204" s="205">
        <f t="shared" si="105"/>
        <v>22145.324948327951</v>
      </c>
      <c r="Q204" s="272">
        <f t="shared" si="121"/>
        <v>22145.324948327954</v>
      </c>
      <c r="R204" s="439">
        <f t="shared" si="106"/>
        <v>0</v>
      </c>
      <c r="S204" s="273"/>
      <c r="U204" s="273"/>
      <c r="V204" s="273"/>
      <c r="W204" s="74">
        <v>2000</v>
      </c>
      <c r="X204" s="273"/>
      <c r="Y204" s="273"/>
      <c r="Z204" s="273"/>
      <c r="AA204" s="273"/>
      <c r="AB204" s="273"/>
      <c r="AC204" s="273"/>
      <c r="AE204" s="273"/>
    </row>
    <row r="205" spans="1:47" s="224" customFormat="1" x14ac:dyDescent="0.25">
      <c r="A205" s="350"/>
      <c r="B205" s="317"/>
      <c r="C205" s="318">
        <v>5</v>
      </c>
      <c r="D205" s="83" t="s">
        <v>467</v>
      </c>
      <c r="E205" s="242">
        <v>1</v>
      </c>
      <c r="F205" s="242">
        <v>1</v>
      </c>
      <c r="G205" s="77" t="s">
        <v>301</v>
      </c>
      <c r="H205" s="74">
        <f>7500+3000</f>
        <v>10500</v>
      </c>
      <c r="I205" s="74">
        <f>F205*H205</f>
        <v>10500</v>
      </c>
      <c r="J205" s="74">
        <f t="shared" si="133"/>
        <v>6470.588235294118</v>
      </c>
      <c r="K205" s="74">
        <f t="shared" si="134"/>
        <v>6470.588235294118</v>
      </c>
      <c r="L205" s="72">
        <f t="shared" si="135"/>
        <v>16970.588235294119</v>
      </c>
      <c r="M205" s="74">
        <f t="shared" si="102"/>
        <v>14596.837993251822</v>
      </c>
      <c r="N205" s="74">
        <f t="shared" si="103"/>
        <v>8995.250303964709</v>
      </c>
      <c r="O205" s="72">
        <f t="shared" si="104"/>
        <v>23592.088297216531</v>
      </c>
      <c r="P205" s="205">
        <f t="shared" si="105"/>
        <v>23592.088297216531</v>
      </c>
      <c r="Q205" s="272">
        <f t="shared" si="121"/>
        <v>23592.088297216531</v>
      </c>
      <c r="R205" s="439">
        <f t="shared" si="106"/>
        <v>0</v>
      </c>
      <c r="S205" s="273"/>
      <c r="U205" s="273"/>
      <c r="V205" s="273"/>
      <c r="W205" s="74">
        <f>2500+3000</f>
        <v>5500</v>
      </c>
      <c r="X205" s="736" t="s">
        <v>7</v>
      </c>
      <c r="Y205" s="736" t="s">
        <v>6</v>
      </c>
      <c r="Z205" s="736" t="s">
        <v>5</v>
      </c>
      <c r="AA205" s="934" t="s">
        <v>380</v>
      </c>
      <c r="AB205" s="934"/>
      <c r="AC205" s="934"/>
      <c r="AD205" s="934" t="s">
        <v>381</v>
      </c>
      <c r="AE205" s="934"/>
      <c r="AF205" s="737"/>
      <c r="AG205" s="687"/>
      <c r="AH205" s="687"/>
      <c r="AI205" s="687"/>
      <c r="AJ205" s="687"/>
      <c r="AK205" s="687" t="s">
        <v>397</v>
      </c>
      <c r="AL205" s="687" t="s">
        <v>398</v>
      </c>
    </row>
    <row r="206" spans="1:47" ht="15.75" thickBot="1" x14ac:dyDescent="0.3">
      <c r="A206" s="238"/>
      <c r="B206" s="249"/>
      <c r="C206" s="293"/>
      <c r="D206" s="83"/>
      <c r="E206" s="242"/>
      <c r="F206" s="302"/>
      <c r="G206" s="68"/>
      <c r="H206" s="67"/>
      <c r="I206" s="67"/>
      <c r="J206" s="67"/>
      <c r="K206" s="67"/>
      <c r="L206" s="67"/>
      <c r="M206" s="72"/>
      <c r="N206" s="72"/>
      <c r="O206" s="72"/>
      <c r="P206" s="205"/>
      <c r="Q206" s="272">
        <f t="shared" si="121"/>
        <v>0</v>
      </c>
      <c r="R206" s="439"/>
      <c r="V206" s="273"/>
      <c r="W206" s="368" t="s">
        <v>400</v>
      </c>
      <c r="X206" s="667"/>
      <c r="Y206" s="667"/>
      <c r="Z206" s="667"/>
      <c r="AA206" s="667"/>
      <c r="AB206" s="667"/>
      <c r="AC206" s="667"/>
      <c r="AD206" s="667"/>
      <c r="AE206" s="667"/>
      <c r="AF206" s="386"/>
      <c r="AG206" s="386">
        <v>0.6</v>
      </c>
      <c r="AH206" s="387">
        <v>1.8</v>
      </c>
      <c r="AI206" s="385">
        <f>AG206*AH206</f>
        <v>1.08</v>
      </c>
      <c r="AJ206" s="387">
        <f>AG206+AH206</f>
        <v>2.4</v>
      </c>
      <c r="AK206" s="385">
        <v>0.6</v>
      </c>
      <c r="AL206" s="385">
        <v>0.15</v>
      </c>
    </row>
    <row r="207" spans="1:47" s="234" customFormat="1" ht="15.75" thickBot="1" x14ac:dyDescent="0.3">
      <c r="A207" s="308"/>
      <c r="B207" s="910" t="s">
        <v>345</v>
      </c>
      <c r="C207" s="911"/>
      <c r="D207" s="912"/>
      <c r="E207" s="309"/>
      <c r="F207" s="310"/>
      <c r="G207" s="311"/>
      <c r="H207" s="312"/>
      <c r="I207" s="313">
        <f>SUM(I147:I206)</f>
        <v>1367515.3352402137</v>
      </c>
      <c r="J207" s="312"/>
      <c r="K207" s="313">
        <f>SUM(K147:K206)</f>
        <v>347811.17647058825</v>
      </c>
      <c r="L207" s="313">
        <f>SUM(L147:L206)</f>
        <v>1715326.5117108023</v>
      </c>
      <c r="M207" s="312"/>
      <c r="N207" s="312"/>
      <c r="O207" s="313"/>
      <c r="P207" s="315">
        <f>SUM(P147:P206)</f>
        <v>2384604.1139973681</v>
      </c>
      <c r="Q207" s="272">
        <f t="shared" si="121"/>
        <v>2384604.1139973672</v>
      </c>
      <c r="R207" s="439">
        <f t="shared" ref="R207" si="138">P207-Q207</f>
        <v>0</v>
      </c>
      <c r="T207" s="443"/>
      <c r="U207" s="275"/>
      <c r="V207" s="276"/>
      <c r="W207" s="667" t="s">
        <v>9</v>
      </c>
      <c r="X207" s="667" t="s">
        <v>382</v>
      </c>
      <c r="Y207" s="369">
        <f>+Y210*1.2</f>
        <v>2.2680000000000002</v>
      </c>
      <c r="Z207" s="370" t="s">
        <v>383</v>
      </c>
      <c r="AA207" s="371" t="s">
        <v>384</v>
      </c>
      <c r="AB207" s="372">
        <v>2300</v>
      </c>
      <c r="AC207" s="370" t="s">
        <v>385</v>
      </c>
      <c r="AD207" s="373" t="s">
        <v>384</v>
      </c>
      <c r="AE207" s="374">
        <f>Y207*AB207</f>
        <v>5216.4000000000005</v>
      </c>
      <c r="AF207" s="386"/>
      <c r="AG207" s="385">
        <v>0.15</v>
      </c>
      <c r="AH207" s="385">
        <v>1.8</v>
      </c>
      <c r="AI207" s="385">
        <f>AG207*AH207</f>
        <v>0.27</v>
      </c>
      <c r="AJ207" s="387">
        <f t="shared" ref="AJ207" si="139">AG207+AH207</f>
        <v>1.95</v>
      </c>
      <c r="AK207" s="385">
        <v>1.8</v>
      </c>
      <c r="AL207" s="385">
        <v>0.6</v>
      </c>
      <c r="AM207" s="282"/>
    </row>
    <row r="208" spans="1:47" ht="15.75" x14ac:dyDescent="0.25">
      <c r="A208" s="321" t="s">
        <v>346</v>
      </c>
      <c r="B208" s="320" t="s">
        <v>356</v>
      </c>
      <c r="C208" s="292"/>
      <c r="D208" s="83"/>
      <c r="E208" s="242"/>
      <c r="F208" s="302"/>
      <c r="G208" s="68"/>
      <c r="H208" s="67"/>
      <c r="I208" s="67"/>
      <c r="J208" s="67"/>
      <c r="K208" s="67"/>
      <c r="L208" s="67"/>
      <c r="M208" s="72"/>
      <c r="N208" s="72"/>
      <c r="O208" s="72"/>
      <c r="P208" s="205"/>
      <c r="Q208" s="272">
        <f t="shared" si="121"/>
        <v>0</v>
      </c>
      <c r="R208" s="439"/>
      <c r="V208" s="273"/>
      <c r="W208" s="375"/>
      <c r="X208" s="376"/>
      <c r="Y208" s="370"/>
      <c r="Z208" s="370"/>
      <c r="AA208" s="371"/>
      <c r="AB208" s="370"/>
      <c r="AC208" s="373" t="s">
        <v>386</v>
      </c>
      <c r="AD208" s="373" t="s">
        <v>384</v>
      </c>
      <c r="AE208" s="377">
        <f>SUM(AE207:AE207)</f>
        <v>5216.4000000000005</v>
      </c>
      <c r="AF208" s="386"/>
      <c r="AG208" s="385">
        <v>0.15</v>
      </c>
      <c r="AH208" s="385">
        <v>0.6</v>
      </c>
      <c r="AI208" s="385">
        <f>AG208*AH208</f>
        <v>0.09</v>
      </c>
      <c r="AJ208" s="387">
        <f>AG208+AH208</f>
        <v>0.75</v>
      </c>
      <c r="AK208" s="385">
        <v>0.15</v>
      </c>
      <c r="AL208" s="385">
        <v>1.8</v>
      </c>
    </row>
    <row r="209" spans="1:38" s="273" customFormat="1" x14ac:dyDescent="0.25">
      <c r="A209" s="350"/>
      <c r="B209" s="412" t="s">
        <v>319</v>
      </c>
      <c r="C209" s="413" t="s">
        <v>403</v>
      </c>
      <c r="D209" s="83"/>
      <c r="E209" s="242"/>
      <c r="F209" s="242"/>
      <c r="G209" s="77"/>
      <c r="H209" s="74"/>
      <c r="I209" s="74"/>
      <c r="J209" s="74"/>
      <c r="K209" s="74"/>
      <c r="L209" s="72"/>
      <c r="M209" s="74"/>
      <c r="N209" s="74"/>
      <c r="O209" s="72"/>
      <c r="P209" s="205"/>
      <c r="Q209" s="272">
        <f t="shared" si="121"/>
        <v>0</v>
      </c>
      <c r="R209" s="439"/>
      <c r="T209" s="224"/>
      <c r="W209" s="681"/>
      <c r="X209" s="682"/>
      <c r="Y209" s="683"/>
      <c r="Z209" s="683"/>
      <c r="AA209" s="741"/>
      <c r="AB209" s="683"/>
      <c r="AC209" s="684"/>
      <c r="AD209" s="684"/>
      <c r="AE209" s="742"/>
      <c r="AF209" s="686"/>
      <c r="AG209" s="687">
        <v>0.15</v>
      </c>
      <c r="AH209" s="687">
        <v>0.6</v>
      </c>
      <c r="AI209" s="687">
        <f>AG209*AH209</f>
        <v>0.09</v>
      </c>
      <c r="AJ209" s="688">
        <f>AG209+AH209</f>
        <v>0.75</v>
      </c>
      <c r="AK209" s="687"/>
      <c r="AL209" s="687">
        <v>0.6</v>
      </c>
    </row>
    <row r="210" spans="1:38" s="273" customFormat="1" x14ac:dyDescent="0.25">
      <c r="A210" s="350"/>
      <c r="B210" s="317"/>
      <c r="C210" s="318">
        <v>1</v>
      </c>
      <c r="D210" s="83" t="s">
        <v>404</v>
      </c>
      <c r="E210" s="242">
        <v>10</v>
      </c>
      <c r="F210" s="242">
        <v>10</v>
      </c>
      <c r="G210" s="77" t="s">
        <v>28</v>
      </c>
      <c r="H210" s="74"/>
      <c r="I210" s="74">
        <f t="shared" ref="I210:I220" si="140">F210*H210</f>
        <v>0</v>
      </c>
      <c r="J210" s="74">
        <f>750+100</f>
        <v>850</v>
      </c>
      <c r="K210" s="74">
        <f t="shared" ref="K210:K220" si="141">F210*J210</f>
        <v>8500</v>
      </c>
      <c r="L210" s="72">
        <f t="shared" ref="L210:L220" si="142">I210+K210</f>
        <v>8500</v>
      </c>
      <c r="M210" s="74">
        <f t="shared" ref="M210:M231" si="143">H210/$P$252*$P$260</f>
        <v>0</v>
      </c>
      <c r="N210" s="74">
        <f t="shared" ref="N210:N231" si="144">J210/$P$252*$P$260</f>
        <v>1181.6487899299093</v>
      </c>
      <c r="O210" s="72">
        <f t="shared" ref="O210:O231" si="145">N210+M210</f>
        <v>1181.6487899299093</v>
      </c>
      <c r="P210" s="205">
        <f t="shared" ref="P210:P231" si="146">O210*F210</f>
        <v>11816.487899299093</v>
      </c>
      <c r="Q210" s="272">
        <f t="shared" si="121"/>
        <v>11816.487899299094</v>
      </c>
      <c r="R210" s="439">
        <f t="shared" ref="R210:R231" si="147">P210-Q210</f>
        <v>0</v>
      </c>
      <c r="T210" s="224"/>
      <c r="W210" s="736" t="s">
        <v>10</v>
      </c>
      <c r="X210" s="743" t="s">
        <v>387</v>
      </c>
      <c r="Y210" s="744">
        <f>AI214</f>
        <v>1.8900000000000003</v>
      </c>
      <c r="Z210" s="683" t="s">
        <v>383</v>
      </c>
      <c r="AA210" s="741" t="s">
        <v>384</v>
      </c>
      <c r="AB210" s="745">
        <v>400</v>
      </c>
      <c r="AC210" s="683" t="s">
        <v>385</v>
      </c>
      <c r="AD210" s="684" t="s">
        <v>384</v>
      </c>
      <c r="AE210" s="742">
        <f t="shared" ref="AE210:AE214" si="148">Y210*AB210</f>
        <v>756.00000000000011</v>
      </c>
      <c r="AF210" s="686"/>
      <c r="AG210" s="687">
        <v>0.2</v>
      </c>
      <c r="AH210" s="687">
        <v>1.8</v>
      </c>
      <c r="AI210" s="687">
        <f>AG210*AH210</f>
        <v>0.36000000000000004</v>
      </c>
      <c r="AJ210" s="688">
        <f>AG210+AH210</f>
        <v>2</v>
      </c>
      <c r="AK210" s="687"/>
      <c r="AL210" s="687">
        <v>0.2</v>
      </c>
    </row>
    <row r="211" spans="1:38" s="273" customFormat="1" x14ac:dyDescent="0.25">
      <c r="A211" s="722"/>
      <c r="B211" s="317"/>
      <c r="C211" s="318">
        <v>2</v>
      </c>
      <c r="D211" s="83" t="s">
        <v>405</v>
      </c>
      <c r="E211" s="242">
        <v>3</v>
      </c>
      <c r="F211" s="242">
        <v>3</v>
      </c>
      <c r="G211" s="77" t="s">
        <v>28</v>
      </c>
      <c r="H211" s="74"/>
      <c r="I211" s="74">
        <f>F211*H211</f>
        <v>0</v>
      </c>
      <c r="J211" s="74">
        <f>750+100</f>
        <v>850</v>
      </c>
      <c r="K211" s="74">
        <f>F211*J211</f>
        <v>2550</v>
      </c>
      <c r="L211" s="72">
        <f>I211+K211</f>
        <v>2550</v>
      </c>
      <c r="M211" s="74">
        <f t="shared" si="143"/>
        <v>0</v>
      </c>
      <c r="N211" s="74">
        <f t="shared" si="144"/>
        <v>1181.6487899299093</v>
      </c>
      <c r="O211" s="72">
        <f t="shared" si="145"/>
        <v>1181.6487899299093</v>
      </c>
      <c r="P211" s="205">
        <f t="shared" si="146"/>
        <v>3544.9463697897281</v>
      </c>
      <c r="Q211" s="272">
        <f t="shared" si="121"/>
        <v>3544.9463697897286</v>
      </c>
      <c r="R211" s="439">
        <f t="shared" si="147"/>
        <v>0</v>
      </c>
      <c r="T211" s="224"/>
      <c r="W211" s="736"/>
      <c r="X211" s="743" t="s">
        <v>388</v>
      </c>
      <c r="Y211" s="744">
        <f>AJ214</f>
        <v>7.85</v>
      </c>
      <c r="Z211" s="683" t="s">
        <v>383</v>
      </c>
      <c r="AA211" s="741"/>
      <c r="AB211" s="745">
        <v>100</v>
      </c>
      <c r="AC211" s="683" t="s">
        <v>385</v>
      </c>
      <c r="AD211" s="684"/>
      <c r="AE211" s="742">
        <f t="shared" si="148"/>
        <v>785</v>
      </c>
      <c r="AF211" s="686"/>
      <c r="AG211" s="687"/>
      <c r="AH211" s="687"/>
      <c r="AI211" s="687"/>
      <c r="AJ211" s="688"/>
      <c r="AK211" s="687"/>
      <c r="AL211" s="687"/>
    </row>
    <row r="212" spans="1:38" s="273" customFormat="1" x14ac:dyDescent="0.25">
      <c r="A212" s="723"/>
      <c r="B212" s="317"/>
      <c r="C212" s="318">
        <v>3</v>
      </c>
      <c r="D212" s="83" t="s">
        <v>406</v>
      </c>
      <c r="E212" s="242">
        <v>7</v>
      </c>
      <c r="F212" s="242">
        <v>7</v>
      </c>
      <c r="G212" s="77" t="s">
        <v>28</v>
      </c>
      <c r="H212" s="74"/>
      <c r="I212" s="74">
        <f t="shared" si="140"/>
        <v>0</v>
      </c>
      <c r="J212" s="74">
        <f>600+100</f>
        <v>700</v>
      </c>
      <c r="K212" s="74">
        <f t="shared" si="141"/>
        <v>4900</v>
      </c>
      <c r="L212" s="72">
        <f t="shared" si="142"/>
        <v>4900</v>
      </c>
      <c r="M212" s="74">
        <f t="shared" si="143"/>
        <v>0</v>
      </c>
      <c r="N212" s="74">
        <f t="shared" si="144"/>
        <v>973.12253288345482</v>
      </c>
      <c r="O212" s="72">
        <f t="shared" si="145"/>
        <v>973.12253288345482</v>
      </c>
      <c r="P212" s="205">
        <f t="shared" si="146"/>
        <v>6811.8577301841833</v>
      </c>
      <c r="Q212" s="272">
        <f t="shared" si="121"/>
        <v>6811.8577301841833</v>
      </c>
      <c r="R212" s="439">
        <f t="shared" si="147"/>
        <v>0</v>
      </c>
      <c r="T212" s="224"/>
      <c r="W212" s="736"/>
      <c r="X212" s="743" t="s">
        <v>389</v>
      </c>
      <c r="Y212" s="744">
        <f>AK214</f>
        <v>2.5499999999999998</v>
      </c>
      <c r="Z212" s="683" t="s">
        <v>100</v>
      </c>
      <c r="AA212" s="741"/>
      <c r="AB212" s="745">
        <v>400</v>
      </c>
      <c r="AC212" s="746" t="s">
        <v>390</v>
      </c>
      <c r="AD212" s="684"/>
      <c r="AE212" s="742">
        <f t="shared" si="148"/>
        <v>1019.9999999999999</v>
      </c>
      <c r="AF212" s="686"/>
      <c r="AG212" s="687"/>
      <c r="AH212" s="687"/>
      <c r="AI212" s="687"/>
      <c r="AJ212" s="688"/>
      <c r="AK212" s="687"/>
      <c r="AL212" s="687"/>
    </row>
    <row r="213" spans="1:38" s="273" customFormat="1" x14ac:dyDescent="0.25">
      <c r="A213" s="350"/>
      <c r="B213" s="317"/>
      <c r="C213" s="318">
        <v>4</v>
      </c>
      <c r="D213" s="83" t="s">
        <v>407</v>
      </c>
      <c r="E213" s="242">
        <v>7</v>
      </c>
      <c r="F213" s="242">
        <v>7</v>
      </c>
      <c r="G213" s="77" t="s">
        <v>28</v>
      </c>
      <c r="H213" s="74"/>
      <c r="I213" s="74">
        <f t="shared" si="140"/>
        <v>0</v>
      </c>
      <c r="J213" s="74">
        <f>300+100</f>
        <v>400</v>
      </c>
      <c r="K213" s="74">
        <f t="shared" si="141"/>
        <v>2800</v>
      </c>
      <c r="L213" s="72">
        <f t="shared" si="142"/>
        <v>2800</v>
      </c>
      <c r="M213" s="74">
        <f t="shared" si="143"/>
        <v>0</v>
      </c>
      <c r="N213" s="74">
        <f t="shared" si="144"/>
        <v>556.07001879054565</v>
      </c>
      <c r="O213" s="72">
        <f t="shared" si="145"/>
        <v>556.07001879054565</v>
      </c>
      <c r="P213" s="205">
        <f t="shared" si="146"/>
        <v>3892.4901315338193</v>
      </c>
      <c r="Q213" s="272">
        <f t="shared" si="121"/>
        <v>3892.4901315338193</v>
      </c>
      <c r="R213" s="439">
        <f t="shared" si="147"/>
        <v>0</v>
      </c>
      <c r="T213" s="224"/>
      <c r="W213" s="736"/>
      <c r="X213" s="743" t="s">
        <v>391</v>
      </c>
      <c r="Y213" s="744">
        <f>AL214</f>
        <v>3.35</v>
      </c>
      <c r="Z213" s="683" t="s">
        <v>100</v>
      </c>
      <c r="AA213" s="741"/>
      <c r="AB213" s="745">
        <v>400</v>
      </c>
      <c r="AC213" s="746" t="s">
        <v>390</v>
      </c>
      <c r="AD213" s="684"/>
      <c r="AE213" s="742">
        <f t="shared" si="148"/>
        <v>1340</v>
      </c>
      <c r="AF213" s="686"/>
      <c r="AG213" s="687"/>
      <c r="AH213" s="687"/>
      <c r="AI213" s="687"/>
      <c r="AJ213" s="688"/>
      <c r="AK213" s="687"/>
      <c r="AL213" s="687"/>
    </row>
    <row r="214" spans="1:38" s="273" customFormat="1" x14ac:dyDescent="0.25">
      <c r="A214" s="350"/>
      <c r="B214" s="317"/>
      <c r="C214" s="318">
        <v>5</v>
      </c>
      <c r="D214" s="83" t="s">
        <v>523</v>
      </c>
      <c r="E214" s="242">
        <v>2</v>
      </c>
      <c r="F214" s="242">
        <v>2</v>
      </c>
      <c r="G214" s="77" t="s">
        <v>28</v>
      </c>
      <c r="H214" s="74">
        <f>4000/1.07</f>
        <v>3738.3177570093458</v>
      </c>
      <c r="I214" s="74">
        <f t="shared" si="140"/>
        <v>7476.6355140186915</v>
      </c>
      <c r="J214" s="74">
        <f>400+100</f>
        <v>500</v>
      </c>
      <c r="K214" s="74">
        <f t="shared" si="141"/>
        <v>1000</v>
      </c>
      <c r="L214" s="72">
        <f t="shared" si="142"/>
        <v>8476.6355140186915</v>
      </c>
      <c r="M214" s="74">
        <f t="shared" si="143"/>
        <v>5196.9160634630425</v>
      </c>
      <c r="N214" s="74">
        <f t="shared" si="144"/>
        <v>695.087523488182</v>
      </c>
      <c r="O214" s="72">
        <f t="shared" si="145"/>
        <v>5892.0035869512249</v>
      </c>
      <c r="P214" s="205">
        <f t="shared" si="146"/>
        <v>11784.00717390245</v>
      </c>
      <c r="Q214" s="272">
        <f t="shared" si="121"/>
        <v>11784.00717390245</v>
      </c>
      <c r="R214" s="439">
        <f t="shared" si="147"/>
        <v>0</v>
      </c>
      <c r="T214" s="224"/>
      <c r="W214" s="736"/>
      <c r="X214" s="743" t="s">
        <v>392</v>
      </c>
      <c r="Y214" s="747">
        <v>2</v>
      </c>
      <c r="Z214" s="683" t="s">
        <v>393</v>
      </c>
      <c r="AA214" s="684"/>
      <c r="AB214" s="745">
        <v>500</v>
      </c>
      <c r="AC214" s="746" t="s">
        <v>394</v>
      </c>
      <c r="AD214" s="684"/>
      <c r="AE214" s="748">
        <f t="shared" si="148"/>
        <v>1000</v>
      </c>
      <c r="AF214" s="686"/>
      <c r="AG214" s="687"/>
      <c r="AH214" s="687"/>
      <c r="AI214" s="749">
        <f>SUM(AI206:AI210)</f>
        <v>1.8900000000000003</v>
      </c>
      <c r="AJ214" s="749">
        <f>SUM(AJ206:AJ210)</f>
        <v>7.85</v>
      </c>
      <c r="AK214" s="749">
        <f>SUM(AK206:AK209)</f>
        <v>2.5499999999999998</v>
      </c>
      <c r="AL214" s="749">
        <f>SUM(AL206:AL210)</f>
        <v>3.35</v>
      </c>
    </row>
    <row r="215" spans="1:38" s="273" customFormat="1" x14ac:dyDescent="0.25">
      <c r="A215" s="350"/>
      <c r="B215" s="317"/>
      <c r="C215" s="318">
        <v>6</v>
      </c>
      <c r="D215" s="83" t="s">
        <v>507</v>
      </c>
      <c r="E215" s="242">
        <v>2</v>
      </c>
      <c r="F215" s="242">
        <v>2</v>
      </c>
      <c r="G215" s="77" t="s">
        <v>28</v>
      </c>
      <c r="H215" s="74">
        <f>1800</f>
        <v>1800</v>
      </c>
      <c r="I215" s="74">
        <f t="shared" si="140"/>
        <v>3600</v>
      </c>
      <c r="J215" s="74">
        <f>400+100</f>
        <v>500</v>
      </c>
      <c r="K215" s="74">
        <f t="shared" si="141"/>
        <v>1000</v>
      </c>
      <c r="L215" s="72">
        <f t="shared" si="142"/>
        <v>4600</v>
      </c>
      <c r="M215" s="74">
        <f t="shared" si="143"/>
        <v>2502.3150845574555</v>
      </c>
      <c r="N215" s="74">
        <f t="shared" si="144"/>
        <v>695.087523488182</v>
      </c>
      <c r="O215" s="72">
        <f t="shared" si="145"/>
        <v>3197.4026080456374</v>
      </c>
      <c r="P215" s="205">
        <f t="shared" si="146"/>
        <v>6394.8052160912748</v>
      </c>
      <c r="Q215" s="272">
        <f t="shared" si="121"/>
        <v>6394.8052160912748</v>
      </c>
      <c r="R215" s="439">
        <f t="shared" si="147"/>
        <v>0</v>
      </c>
      <c r="T215" s="224"/>
      <c r="W215" s="681"/>
      <c r="X215" s="682"/>
      <c r="Y215" s="683"/>
      <c r="Z215" s="683"/>
      <c r="AA215" s="684"/>
      <c r="AB215" s="683"/>
      <c r="AC215" s="684" t="s">
        <v>395</v>
      </c>
      <c r="AD215" s="684" t="s">
        <v>384</v>
      </c>
      <c r="AE215" s="750">
        <f>SUM(AE210:AE214)</f>
        <v>4901</v>
      </c>
      <c r="AF215" s="686"/>
      <c r="AG215" s="687"/>
      <c r="AH215" s="687"/>
      <c r="AI215" s="687"/>
      <c r="AJ215" s="688"/>
      <c r="AK215" s="687"/>
      <c r="AL215" s="687"/>
    </row>
    <row r="216" spans="1:38" s="273" customFormat="1" ht="15.75" thickBot="1" x14ac:dyDescent="0.3">
      <c r="A216" s="350"/>
      <c r="B216" s="317"/>
      <c r="C216" s="318">
        <v>7</v>
      </c>
      <c r="D216" s="83" t="s">
        <v>410</v>
      </c>
      <c r="E216" s="242">
        <v>2</v>
      </c>
      <c r="F216" s="242">
        <v>2</v>
      </c>
      <c r="G216" s="77" t="s">
        <v>28</v>
      </c>
      <c r="H216" s="74"/>
      <c r="I216" s="74">
        <f t="shared" si="140"/>
        <v>0</v>
      </c>
      <c r="J216" s="74">
        <f>200+100</f>
        <v>300</v>
      </c>
      <c r="K216" s="74">
        <f t="shared" si="141"/>
        <v>600</v>
      </c>
      <c r="L216" s="72">
        <f t="shared" si="142"/>
        <v>600</v>
      </c>
      <c r="M216" s="74">
        <f t="shared" si="143"/>
        <v>0</v>
      </c>
      <c r="N216" s="74">
        <f t="shared" si="144"/>
        <v>417.05251409290918</v>
      </c>
      <c r="O216" s="72">
        <f t="shared" si="145"/>
        <v>417.05251409290918</v>
      </c>
      <c r="P216" s="205">
        <f t="shared" si="146"/>
        <v>834.10502818581836</v>
      </c>
      <c r="Q216" s="272">
        <f t="shared" si="121"/>
        <v>834.10502818581836</v>
      </c>
      <c r="R216" s="439">
        <f t="shared" si="147"/>
        <v>0</v>
      </c>
      <c r="T216" s="224"/>
      <c r="W216" s="681"/>
      <c r="X216" s="682"/>
      <c r="Y216" s="683"/>
      <c r="Z216" s="683"/>
      <c r="AA216" s="684"/>
      <c r="AB216" s="683"/>
      <c r="AC216" s="684" t="s">
        <v>396</v>
      </c>
      <c r="AD216" s="684" t="s">
        <v>384</v>
      </c>
      <c r="AE216" s="685">
        <f>AE208+AE215</f>
        <v>10117.400000000001</v>
      </c>
      <c r="AF216" s="686"/>
      <c r="AG216" s="687"/>
      <c r="AH216" s="687"/>
      <c r="AI216" s="687"/>
      <c r="AJ216" s="688"/>
      <c r="AK216" s="687"/>
      <c r="AL216" s="687"/>
    </row>
    <row r="217" spans="1:38" s="273" customFormat="1" ht="15.75" thickTop="1" x14ac:dyDescent="0.25">
      <c r="A217" s="350"/>
      <c r="B217" s="317"/>
      <c r="C217" s="318">
        <v>8</v>
      </c>
      <c r="D217" s="83" t="s">
        <v>358</v>
      </c>
      <c r="E217" s="242">
        <v>10</v>
      </c>
      <c r="F217" s="242">
        <v>10</v>
      </c>
      <c r="G217" s="77" t="s">
        <v>28</v>
      </c>
      <c r="H217" s="74"/>
      <c r="I217" s="74">
        <f t="shared" si="140"/>
        <v>0</v>
      </c>
      <c r="J217" s="74">
        <f>250+100</f>
        <v>350</v>
      </c>
      <c r="K217" s="74">
        <f t="shared" si="141"/>
        <v>3500</v>
      </c>
      <c r="L217" s="72">
        <f t="shared" si="142"/>
        <v>3500</v>
      </c>
      <c r="M217" s="74">
        <f t="shared" si="143"/>
        <v>0</v>
      </c>
      <c r="N217" s="74">
        <f t="shared" si="144"/>
        <v>486.56126644172741</v>
      </c>
      <c r="O217" s="72">
        <f t="shared" si="145"/>
        <v>486.56126644172741</v>
      </c>
      <c r="P217" s="205">
        <f t="shared" si="146"/>
        <v>4865.6126644172746</v>
      </c>
      <c r="Q217" s="272">
        <f t="shared" si="121"/>
        <v>4865.6126644172737</v>
      </c>
      <c r="R217" s="439">
        <f t="shared" si="147"/>
        <v>0</v>
      </c>
      <c r="T217" s="224"/>
      <c r="W217" s="751"/>
      <c r="X217" s="752"/>
      <c r="Y217" s="753"/>
      <c r="Z217" s="753"/>
      <c r="AA217" s="754"/>
      <c r="AB217" s="753"/>
      <c r="AC217" s="754"/>
      <c r="AD217" s="754"/>
      <c r="AE217" s="742"/>
      <c r="AF217" s="755"/>
      <c r="AG217" s="756"/>
      <c r="AH217" s="756"/>
      <c r="AI217" s="756"/>
      <c r="AJ217" s="757"/>
      <c r="AK217" s="756"/>
      <c r="AL217" s="756"/>
    </row>
    <row r="218" spans="1:38" s="273" customFormat="1" x14ac:dyDescent="0.25">
      <c r="A218" s="350"/>
      <c r="B218" s="317"/>
      <c r="C218" s="318">
        <v>9</v>
      </c>
      <c r="D218" s="83" t="s">
        <v>468</v>
      </c>
      <c r="E218" s="242">
        <v>12</v>
      </c>
      <c r="F218" s="242">
        <v>12</v>
      </c>
      <c r="G218" s="77" t="s">
        <v>28</v>
      </c>
      <c r="H218" s="74">
        <f>550/1.05</f>
        <v>523.80952380952374</v>
      </c>
      <c r="I218" s="74">
        <f t="shared" si="140"/>
        <v>6285.7142857142844</v>
      </c>
      <c r="J218" s="74">
        <f>150+100</f>
        <v>250</v>
      </c>
      <c r="K218" s="74">
        <f t="shared" si="141"/>
        <v>3000</v>
      </c>
      <c r="L218" s="72">
        <f t="shared" si="142"/>
        <v>9285.7142857142844</v>
      </c>
      <c r="M218" s="74">
        <f t="shared" si="143"/>
        <v>728.18692936857155</v>
      </c>
      <c r="N218" s="74">
        <f t="shared" si="144"/>
        <v>347.543761744091</v>
      </c>
      <c r="O218" s="72">
        <f t="shared" si="145"/>
        <v>1075.7306911126625</v>
      </c>
      <c r="P218" s="205">
        <f t="shared" si="146"/>
        <v>12908.76829335195</v>
      </c>
      <c r="Q218" s="272">
        <f t="shared" si="121"/>
        <v>12908.76829335195</v>
      </c>
      <c r="R218" s="439">
        <f t="shared" si="147"/>
        <v>0</v>
      </c>
      <c r="T218" s="224"/>
      <c r="W218" s="758"/>
      <c r="X218" s="759"/>
      <c r="Y218" s="759"/>
      <c r="Z218" s="759"/>
      <c r="AA218" s="759"/>
      <c r="AB218" s="759"/>
      <c r="AC218" s="759"/>
      <c r="AD218" s="759"/>
      <c r="AE218" s="759"/>
      <c r="AF218" s="755"/>
      <c r="AG218" s="755"/>
      <c r="AH218" s="757"/>
      <c r="AI218" s="756"/>
      <c r="AJ218" s="757"/>
      <c r="AK218" s="756"/>
      <c r="AL218" s="756"/>
    </row>
    <row r="219" spans="1:38" s="273" customFormat="1" x14ac:dyDescent="0.25">
      <c r="A219" s="350"/>
      <c r="B219" s="317"/>
      <c r="C219" s="318">
        <v>10</v>
      </c>
      <c r="D219" s="83" t="s">
        <v>470</v>
      </c>
      <c r="E219" s="242">
        <v>2</v>
      </c>
      <c r="F219" s="242">
        <v>2</v>
      </c>
      <c r="G219" s="77" t="s">
        <v>28</v>
      </c>
      <c r="H219" s="74">
        <f>6000/1.05</f>
        <v>5714.2857142857138</v>
      </c>
      <c r="I219" s="74">
        <f t="shared" si="140"/>
        <v>11428.571428571428</v>
      </c>
      <c r="J219" s="74">
        <v>1500</v>
      </c>
      <c r="K219" s="74">
        <f t="shared" si="141"/>
        <v>3000</v>
      </c>
      <c r="L219" s="72">
        <f t="shared" si="142"/>
        <v>14428.571428571428</v>
      </c>
      <c r="M219" s="74">
        <f t="shared" si="143"/>
        <v>7943.8574112935084</v>
      </c>
      <c r="N219" s="74">
        <f t="shared" si="144"/>
        <v>2085.2625704645461</v>
      </c>
      <c r="O219" s="72">
        <f t="shared" si="145"/>
        <v>10029.119981758055</v>
      </c>
      <c r="P219" s="205">
        <f t="shared" si="146"/>
        <v>20058.239963516109</v>
      </c>
      <c r="Q219" s="272">
        <f t="shared" si="121"/>
        <v>20058.239963516105</v>
      </c>
      <c r="R219" s="439">
        <f t="shared" si="147"/>
        <v>0</v>
      </c>
      <c r="T219" s="224"/>
      <c r="AF219" s="737"/>
      <c r="AG219" s="687"/>
      <c r="AH219" s="687"/>
      <c r="AI219" s="687"/>
      <c r="AJ219" s="687"/>
      <c r="AK219" s="687" t="s">
        <v>397</v>
      </c>
      <c r="AL219" s="687" t="s">
        <v>398</v>
      </c>
    </row>
    <row r="220" spans="1:38" s="273" customFormat="1" x14ac:dyDescent="0.25">
      <c r="A220" s="350"/>
      <c r="B220" s="317"/>
      <c r="C220" s="318">
        <v>11</v>
      </c>
      <c r="D220" s="83" t="s">
        <v>467</v>
      </c>
      <c r="E220" s="242">
        <v>1</v>
      </c>
      <c r="F220" s="242">
        <v>1</v>
      </c>
      <c r="G220" s="77" t="s">
        <v>301</v>
      </c>
      <c r="H220" s="74">
        <v>10000</v>
      </c>
      <c r="I220" s="74">
        <f t="shared" si="140"/>
        <v>10000</v>
      </c>
      <c r="J220" s="74">
        <v>4000</v>
      </c>
      <c r="K220" s="74">
        <f t="shared" si="141"/>
        <v>4000</v>
      </c>
      <c r="L220" s="72">
        <f t="shared" si="142"/>
        <v>14000</v>
      </c>
      <c r="M220" s="74">
        <f t="shared" si="143"/>
        <v>13901.75046976364</v>
      </c>
      <c r="N220" s="74">
        <f t="shared" si="144"/>
        <v>5560.700187905456</v>
      </c>
      <c r="O220" s="72">
        <f t="shared" si="145"/>
        <v>19462.450657669095</v>
      </c>
      <c r="P220" s="205">
        <f t="shared" si="146"/>
        <v>19462.450657669095</v>
      </c>
      <c r="Q220" s="272">
        <f t="shared" si="121"/>
        <v>19462.450657669095</v>
      </c>
      <c r="R220" s="439">
        <f t="shared" si="147"/>
        <v>0</v>
      </c>
      <c r="T220" s="224"/>
      <c r="W220" s="736" t="s">
        <v>4</v>
      </c>
      <c r="X220" s="736" t="s">
        <v>7</v>
      </c>
      <c r="Y220" s="736" t="s">
        <v>6</v>
      </c>
      <c r="Z220" s="736" t="s">
        <v>5</v>
      </c>
      <c r="AA220" s="934" t="s">
        <v>380</v>
      </c>
      <c r="AB220" s="934"/>
      <c r="AC220" s="934"/>
      <c r="AD220" s="934" t="s">
        <v>381</v>
      </c>
      <c r="AE220" s="934"/>
      <c r="AF220" s="737"/>
      <c r="AG220" s="687"/>
      <c r="AH220" s="687"/>
      <c r="AI220" s="687"/>
      <c r="AJ220" s="687"/>
      <c r="AK220" s="687"/>
      <c r="AL220" s="687"/>
    </row>
    <row r="221" spans="1:38" s="273" customFormat="1" x14ac:dyDescent="0.25">
      <c r="A221" s="350"/>
      <c r="B221" s="317"/>
      <c r="C221" s="318"/>
      <c r="D221" s="83"/>
      <c r="E221" s="242"/>
      <c r="F221" s="302"/>
      <c r="G221" s="77"/>
      <c r="H221" s="74"/>
      <c r="I221" s="74"/>
      <c r="J221" s="74"/>
      <c r="K221" s="74"/>
      <c r="L221" s="74"/>
      <c r="M221" s="74">
        <f t="shared" si="143"/>
        <v>0</v>
      </c>
      <c r="N221" s="74">
        <f t="shared" si="144"/>
        <v>0</v>
      </c>
      <c r="O221" s="72">
        <f t="shared" si="145"/>
        <v>0</v>
      </c>
      <c r="P221" s="205">
        <f t="shared" si="146"/>
        <v>0</v>
      </c>
      <c r="Q221" s="272">
        <f t="shared" si="121"/>
        <v>0</v>
      </c>
      <c r="R221" s="439">
        <f t="shared" si="147"/>
        <v>0</v>
      </c>
      <c r="T221" s="224"/>
      <c r="W221" s="760" t="s">
        <v>399</v>
      </c>
      <c r="X221" s="736"/>
      <c r="Y221" s="736"/>
      <c r="Z221" s="736"/>
      <c r="AA221" s="736"/>
      <c r="AB221" s="736"/>
      <c r="AC221" s="736"/>
      <c r="AD221" s="736"/>
      <c r="AE221" s="736"/>
      <c r="AF221" s="686"/>
      <c r="AG221" s="686">
        <v>0.6</v>
      </c>
      <c r="AH221" s="688">
        <v>1</v>
      </c>
      <c r="AI221" s="687">
        <f>AG221*AH221</f>
        <v>0.6</v>
      </c>
      <c r="AJ221" s="688">
        <f>AG221+AH221</f>
        <v>1.6</v>
      </c>
      <c r="AK221" s="687">
        <v>0.6</v>
      </c>
      <c r="AL221" s="687">
        <v>0.15</v>
      </c>
    </row>
    <row r="222" spans="1:38" s="273" customFormat="1" x14ac:dyDescent="0.25">
      <c r="A222" s="350"/>
      <c r="B222" s="412" t="s">
        <v>320</v>
      </c>
      <c r="C222" s="413" t="s">
        <v>355</v>
      </c>
      <c r="D222" s="83"/>
      <c r="E222" s="242"/>
      <c r="F222" s="242"/>
      <c r="G222" s="77"/>
      <c r="H222" s="74"/>
      <c r="I222" s="74"/>
      <c r="J222" s="74"/>
      <c r="K222" s="74"/>
      <c r="L222" s="72"/>
      <c r="M222" s="74">
        <f t="shared" si="143"/>
        <v>0</v>
      </c>
      <c r="N222" s="74">
        <f t="shared" si="144"/>
        <v>0</v>
      </c>
      <c r="O222" s="72">
        <f t="shared" si="145"/>
        <v>0</v>
      </c>
      <c r="P222" s="205">
        <f t="shared" si="146"/>
        <v>0</v>
      </c>
      <c r="Q222" s="272">
        <f t="shared" si="121"/>
        <v>0</v>
      </c>
      <c r="R222" s="439">
        <f t="shared" si="147"/>
        <v>0</v>
      </c>
      <c r="T222" s="224"/>
      <c r="W222" s="736" t="s">
        <v>9</v>
      </c>
      <c r="X222" s="736" t="s">
        <v>382</v>
      </c>
      <c r="Y222" s="761">
        <f>+Y226*1.2</f>
        <v>1.548</v>
      </c>
      <c r="Z222" s="683" t="s">
        <v>383</v>
      </c>
      <c r="AA222" s="741" t="s">
        <v>384</v>
      </c>
      <c r="AB222" s="745">
        <v>2300</v>
      </c>
      <c r="AC222" s="683" t="s">
        <v>385</v>
      </c>
      <c r="AD222" s="684" t="s">
        <v>384</v>
      </c>
      <c r="AE222" s="748">
        <f>Y222*AB222</f>
        <v>3560.4</v>
      </c>
      <c r="AF222" s="686"/>
      <c r="AG222" s="687">
        <v>0.15</v>
      </c>
      <c r="AH222" s="687">
        <v>1</v>
      </c>
      <c r="AI222" s="687">
        <f>AG222*AH222</f>
        <v>0.15</v>
      </c>
      <c r="AJ222" s="688">
        <f t="shared" ref="AJ222" si="149">AG222+AH222</f>
        <v>1.1499999999999999</v>
      </c>
      <c r="AK222" s="687">
        <v>1</v>
      </c>
      <c r="AL222" s="687">
        <v>0.6</v>
      </c>
    </row>
    <row r="223" spans="1:38" s="273" customFormat="1" x14ac:dyDescent="0.25">
      <c r="A223" s="350"/>
      <c r="B223" s="412"/>
      <c r="C223" s="318">
        <v>1</v>
      </c>
      <c r="D223" s="83" t="s">
        <v>493</v>
      </c>
      <c r="E223" s="242">
        <v>5</v>
      </c>
      <c r="F223" s="242">
        <v>5</v>
      </c>
      <c r="G223" s="77" t="s">
        <v>283</v>
      </c>
      <c r="H223" s="74"/>
      <c r="I223" s="74">
        <f t="shared" ref="I223:I231" si="150">F223*H223</f>
        <v>0</v>
      </c>
      <c r="J223" s="74">
        <f>300+100</f>
        <v>400</v>
      </c>
      <c r="K223" s="74">
        <f t="shared" ref="K223:K231" si="151">F223*J223</f>
        <v>2000</v>
      </c>
      <c r="L223" s="72">
        <f t="shared" ref="L223:L231" si="152">I223+K223</f>
        <v>2000</v>
      </c>
      <c r="M223" s="74">
        <f t="shared" si="143"/>
        <v>0</v>
      </c>
      <c r="N223" s="74">
        <f t="shared" si="144"/>
        <v>556.07001879054565</v>
      </c>
      <c r="O223" s="72">
        <f t="shared" si="145"/>
        <v>556.07001879054565</v>
      </c>
      <c r="P223" s="205">
        <f t="shared" si="146"/>
        <v>2780.3500939527285</v>
      </c>
      <c r="Q223" s="272">
        <f t="shared" si="121"/>
        <v>2780.350093952728</v>
      </c>
      <c r="R223" s="439">
        <f t="shared" si="147"/>
        <v>0</v>
      </c>
      <c r="T223" s="224"/>
      <c r="W223" s="736"/>
      <c r="X223" s="736"/>
      <c r="Y223" s="761"/>
      <c r="Z223" s="683"/>
      <c r="AA223" s="741"/>
      <c r="AB223" s="745"/>
      <c r="AC223" s="683"/>
      <c r="AD223" s="684"/>
      <c r="AE223" s="742"/>
      <c r="AF223" s="686"/>
      <c r="AG223" s="687"/>
      <c r="AH223" s="687"/>
      <c r="AI223" s="687"/>
      <c r="AJ223" s="688"/>
      <c r="AK223" s="687"/>
      <c r="AL223" s="687"/>
    </row>
    <row r="224" spans="1:38" s="273" customFormat="1" x14ac:dyDescent="0.25">
      <c r="A224" s="350"/>
      <c r="B224" s="317"/>
      <c r="C224" s="318">
        <v>2</v>
      </c>
      <c r="D224" s="83" t="s">
        <v>361</v>
      </c>
      <c r="E224" s="242">
        <v>10</v>
      </c>
      <c r="F224" s="242">
        <v>10</v>
      </c>
      <c r="G224" s="77" t="s">
        <v>283</v>
      </c>
      <c r="H224" s="74"/>
      <c r="I224" s="74">
        <f t="shared" si="150"/>
        <v>0</v>
      </c>
      <c r="J224" s="74">
        <f>150+100</f>
        <v>250</v>
      </c>
      <c r="K224" s="74">
        <f t="shared" si="151"/>
        <v>2500</v>
      </c>
      <c r="L224" s="72">
        <f t="shared" si="152"/>
        <v>2500</v>
      </c>
      <c r="M224" s="74">
        <f t="shared" si="143"/>
        <v>0</v>
      </c>
      <c r="N224" s="74">
        <f t="shared" si="144"/>
        <v>347.543761744091</v>
      </c>
      <c r="O224" s="72">
        <f t="shared" si="145"/>
        <v>347.543761744091</v>
      </c>
      <c r="P224" s="205">
        <f t="shared" si="146"/>
        <v>3475.4376174409099</v>
      </c>
      <c r="Q224" s="272">
        <f t="shared" si="121"/>
        <v>3475.4376174409099</v>
      </c>
      <c r="R224" s="439">
        <f t="shared" si="147"/>
        <v>0</v>
      </c>
      <c r="T224" s="224"/>
      <c r="V224" s="287"/>
      <c r="W224" s="681"/>
      <c r="X224" s="682"/>
      <c r="Y224" s="683"/>
      <c r="Z224" s="683"/>
      <c r="AA224" s="741"/>
      <c r="AB224" s="683"/>
      <c r="AC224" s="684" t="s">
        <v>386</v>
      </c>
      <c r="AD224" s="684" t="s">
        <v>384</v>
      </c>
      <c r="AE224" s="750">
        <f>SUM(AE222:AE222)</f>
        <v>3560.4</v>
      </c>
      <c r="AF224" s="686"/>
      <c r="AG224" s="687">
        <v>0.15</v>
      </c>
      <c r="AH224" s="687">
        <v>0.6</v>
      </c>
      <c r="AI224" s="687">
        <f>AG224*AH224</f>
        <v>0.09</v>
      </c>
      <c r="AJ224" s="688">
        <f>AG224+AH224</f>
        <v>0.75</v>
      </c>
      <c r="AK224" s="687">
        <v>0.15</v>
      </c>
      <c r="AL224" s="687">
        <v>1</v>
      </c>
    </row>
    <row r="225" spans="1:39" s="273" customFormat="1" x14ac:dyDescent="0.25">
      <c r="A225" s="350"/>
      <c r="B225" s="317"/>
      <c r="C225" s="318">
        <v>3</v>
      </c>
      <c r="D225" s="83" t="s">
        <v>517</v>
      </c>
      <c r="E225" s="242">
        <v>1</v>
      </c>
      <c r="F225" s="242">
        <v>1</v>
      </c>
      <c r="G225" s="77" t="s">
        <v>55</v>
      </c>
      <c r="H225" s="74">
        <f>4200/1.085</f>
        <v>3870.9677419354839</v>
      </c>
      <c r="I225" s="74">
        <f t="shared" si="150"/>
        <v>3870.9677419354839</v>
      </c>
      <c r="J225" s="74">
        <f>600+100</f>
        <v>700</v>
      </c>
      <c r="K225" s="74">
        <f t="shared" si="151"/>
        <v>700</v>
      </c>
      <c r="L225" s="72">
        <f t="shared" si="152"/>
        <v>4570.9677419354839</v>
      </c>
      <c r="M225" s="74">
        <f t="shared" si="143"/>
        <v>5381.3227624891506</v>
      </c>
      <c r="N225" s="74">
        <f t="shared" si="144"/>
        <v>973.12253288345482</v>
      </c>
      <c r="O225" s="72">
        <f t="shared" si="145"/>
        <v>6354.445295372605</v>
      </c>
      <c r="P225" s="205">
        <f t="shared" si="146"/>
        <v>6354.445295372605</v>
      </c>
      <c r="Q225" s="272">
        <f t="shared" si="121"/>
        <v>6354.4452953726059</v>
      </c>
      <c r="R225" s="439">
        <f t="shared" si="147"/>
        <v>0</v>
      </c>
      <c r="T225" s="224"/>
      <c r="V225" s="287"/>
      <c r="W225" s="681"/>
      <c r="X225" s="682"/>
      <c r="Y225" s="683"/>
      <c r="Z225" s="683"/>
      <c r="AA225" s="741"/>
      <c r="AB225" s="683"/>
      <c r="AC225" s="684"/>
      <c r="AD225" s="684"/>
      <c r="AE225" s="742"/>
      <c r="AF225" s="686"/>
      <c r="AG225" s="687">
        <v>0.15</v>
      </c>
      <c r="AH225" s="687">
        <v>0.6</v>
      </c>
      <c r="AI225" s="687">
        <f>AG225*AH225</f>
        <v>0.09</v>
      </c>
      <c r="AJ225" s="688">
        <f>AG225+AH225</f>
        <v>0.75</v>
      </c>
      <c r="AK225" s="687"/>
      <c r="AL225" s="687">
        <v>0.6</v>
      </c>
    </row>
    <row r="226" spans="1:39" s="273" customFormat="1" x14ac:dyDescent="0.25">
      <c r="A226" s="350"/>
      <c r="B226" s="317"/>
      <c r="C226" s="318">
        <v>4</v>
      </c>
      <c r="D226" s="83" t="s">
        <v>518</v>
      </c>
      <c r="E226" s="242">
        <v>7</v>
      </c>
      <c r="F226" s="242">
        <v>7</v>
      </c>
      <c r="G226" s="77" t="s">
        <v>28</v>
      </c>
      <c r="H226" s="74">
        <f>AE274</f>
        <v>2337.1111111111113</v>
      </c>
      <c r="I226" s="74">
        <f t="shared" si="150"/>
        <v>16359.777777777779</v>
      </c>
      <c r="J226" s="74">
        <v>1200</v>
      </c>
      <c r="K226" s="74">
        <f t="shared" si="151"/>
        <v>8400</v>
      </c>
      <c r="L226" s="72">
        <f t="shared" si="152"/>
        <v>24759.777777777781</v>
      </c>
      <c r="M226" s="74">
        <f t="shared" si="143"/>
        <v>3248.9935486778713</v>
      </c>
      <c r="N226" s="74">
        <f t="shared" si="144"/>
        <v>1668.2100563716367</v>
      </c>
      <c r="O226" s="72">
        <f t="shared" si="145"/>
        <v>4917.203605049508</v>
      </c>
      <c r="P226" s="205">
        <f t="shared" si="146"/>
        <v>34420.425235346556</v>
      </c>
      <c r="Q226" s="272">
        <f t="shared" si="121"/>
        <v>34420.425235346564</v>
      </c>
      <c r="R226" s="439">
        <f t="shared" si="147"/>
        <v>0</v>
      </c>
      <c r="T226" s="224"/>
      <c r="V226" s="287"/>
      <c r="W226" s="736" t="s">
        <v>10</v>
      </c>
      <c r="X226" s="743" t="s">
        <v>387</v>
      </c>
      <c r="Y226" s="744">
        <f>AI231</f>
        <v>1.29</v>
      </c>
      <c r="Z226" s="683" t="s">
        <v>383</v>
      </c>
      <c r="AA226" s="741" t="s">
        <v>384</v>
      </c>
      <c r="AB226" s="745">
        <v>400</v>
      </c>
      <c r="AC226" s="683" t="s">
        <v>385</v>
      </c>
      <c r="AD226" s="684" t="s">
        <v>384</v>
      </c>
      <c r="AE226" s="742">
        <f t="shared" ref="AE226:AE229" si="153">Y226*AB226</f>
        <v>516</v>
      </c>
      <c r="AF226" s="686"/>
      <c r="AG226" s="687">
        <v>0.2</v>
      </c>
      <c r="AH226" s="687">
        <v>1.8</v>
      </c>
      <c r="AI226" s="687">
        <f>AG226*AH226</f>
        <v>0.36000000000000004</v>
      </c>
      <c r="AJ226" s="688">
        <f>AG226+AH226</f>
        <v>2</v>
      </c>
      <c r="AK226" s="687"/>
      <c r="AL226" s="687">
        <v>0.2</v>
      </c>
    </row>
    <row r="227" spans="1:39" s="273" customFormat="1" x14ac:dyDescent="0.25">
      <c r="A227" s="350"/>
      <c r="B227" s="317"/>
      <c r="C227" s="318">
        <v>5</v>
      </c>
      <c r="D227" s="83" t="s">
        <v>519</v>
      </c>
      <c r="E227" s="242">
        <v>2</v>
      </c>
      <c r="F227" s="242">
        <v>2</v>
      </c>
      <c r="G227" s="77" t="s">
        <v>283</v>
      </c>
      <c r="H227" s="74">
        <v>3000</v>
      </c>
      <c r="I227" s="74">
        <f t="shared" si="150"/>
        <v>6000</v>
      </c>
      <c r="J227" s="74">
        <f>350+100</f>
        <v>450</v>
      </c>
      <c r="K227" s="74">
        <f t="shared" si="151"/>
        <v>900</v>
      </c>
      <c r="L227" s="72">
        <f t="shared" si="152"/>
        <v>6900</v>
      </c>
      <c r="M227" s="74">
        <f t="shared" si="143"/>
        <v>4170.5251409290922</v>
      </c>
      <c r="N227" s="74">
        <f t="shared" si="144"/>
        <v>625.57877113936388</v>
      </c>
      <c r="O227" s="72">
        <f t="shared" si="145"/>
        <v>4796.1039120684563</v>
      </c>
      <c r="P227" s="205">
        <f t="shared" si="146"/>
        <v>9592.2078241369127</v>
      </c>
      <c r="Q227" s="272">
        <f t="shared" si="121"/>
        <v>9592.2078241369109</v>
      </c>
      <c r="R227" s="439">
        <f t="shared" si="147"/>
        <v>0</v>
      </c>
      <c r="T227" s="224"/>
      <c r="V227" s="287"/>
      <c r="W227" s="736"/>
      <c r="X227" s="743" t="s">
        <v>388</v>
      </c>
      <c r="Y227" s="744">
        <f>AJ231</f>
        <v>6.25</v>
      </c>
      <c r="Z227" s="683" t="s">
        <v>383</v>
      </c>
      <c r="AA227" s="741"/>
      <c r="AB227" s="745">
        <v>100</v>
      </c>
      <c r="AC227" s="683" t="s">
        <v>385</v>
      </c>
      <c r="AD227" s="684"/>
      <c r="AE227" s="742">
        <f t="shared" si="153"/>
        <v>625</v>
      </c>
      <c r="AF227" s="686"/>
      <c r="AG227" s="687"/>
      <c r="AH227" s="687"/>
      <c r="AI227" s="687"/>
      <c r="AJ227" s="688"/>
      <c r="AK227" s="687"/>
      <c r="AL227" s="687"/>
    </row>
    <row r="228" spans="1:39" s="273" customFormat="1" x14ac:dyDescent="0.25">
      <c r="A228" s="350"/>
      <c r="B228" s="317"/>
      <c r="C228" s="318">
        <v>6</v>
      </c>
      <c r="D228" s="83" t="s">
        <v>520</v>
      </c>
      <c r="E228" s="242">
        <v>2</v>
      </c>
      <c r="F228" s="242">
        <v>2</v>
      </c>
      <c r="G228" s="77" t="s">
        <v>283</v>
      </c>
      <c r="H228" s="74">
        <v>3500</v>
      </c>
      <c r="I228" s="74">
        <f t="shared" si="150"/>
        <v>7000</v>
      </c>
      <c r="J228" s="74">
        <f>350+100</f>
        <v>450</v>
      </c>
      <c r="K228" s="74">
        <f t="shared" si="151"/>
        <v>900</v>
      </c>
      <c r="L228" s="72">
        <f t="shared" si="152"/>
        <v>7900</v>
      </c>
      <c r="M228" s="74">
        <f t="shared" si="143"/>
        <v>4865.6126644172737</v>
      </c>
      <c r="N228" s="74">
        <f t="shared" si="144"/>
        <v>625.57877113936388</v>
      </c>
      <c r="O228" s="72">
        <f t="shared" si="145"/>
        <v>5491.1914355566378</v>
      </c>
      <c r="P228" s="205">
        <f t="shared" si="146"/>
        <v>10982.382871113276</v>
      </c>
      <c r="Q228" s="272">
        <f t="shared" si="121"/>
        <v>10982.382871113276</v>
      </c>
      <c r="R228" s="439">
        <f t="shared" si="147"/>
        <v>0</v>
      </c>
      <c r="T228" s="224"/>
      <c r="V228" s="287"/>
      <c r="W228" s="736"/>
      <c r="X228" s="743" t="s">
        <v>389</v>
      </c>
      <c r="Y228" s="744">
        <f>AK231</f>
        <v>1.75</v>
      </c>
      <c r="Z228" s="683" t="s">
        <v>100</v>
      </c>
      <c r="AA228" s="741"/>
      <c r="AB228" s="745">
        <v>400</v>
      </c>
      <c r="AC228" s="746" t="s">
        <v>390</v>
      </c>
      <c r="AD228" s="684"/>
      <c r="AE228" s="742">
        <f t="shared" si="153"/>
        <v>700</v>
      </c>
      <c r="AF228" s="686"/>
      <c r="AG228" s="687"/>
      <c r="AH228" s="687"/>
      <c r="AI228" s="687"/>
      <c r="AJ228" s="688"/>
      <c r="AK228" s="687"/>
      <c r="AL228" s="687"/>
    </row>
    <row r="229" spans="1:39" s="273" customFormat="1" x14ac:dyDescent="0.25">
      <c r="A229" s="350"/>
      <c r="B229" s="317"/>
      <c r="C229" s="318">
        <v>7</v>
      </c>
      <c r="D229" s="83" t="s">
        <v>360</v>
      </c>
      <c r="E229" s="242">
        <f>35.04+6</f>
        <v>41.04</v>
      </c>
      <c r="F229" s="242">
        <v>42</v>
      </c>
      <c r="G229" s="77" t="s">
        <v>100</v>
      </c>
      <c r="H229" s="74">
        <f>(480/2.4)/1.075</f>
        <v>186.04651162790699</v>
      </c>
      <c r="I229" s="74">
        <f t="shared" si="150"/>
        <v>7813.9534883720935</v>
      </c>
      <c r="J229" s="74">
        <f>65+100</f>
        <v>165</v>
      </c>
      <c r="K229" s="74">
        <f t="shared" si="151"/>
        <v>6930</v>
      </c>
      <c r="L229" s="72">
        <f t="shared" si="152"/>
        <v>14743.953488372093</v>
      </c>
      <c r="M229" s="74">
        <f t="shared" si="143"/>
        <v>258.63721804211428</v>
      </c>
      <c r="N229" s="74">
        <f t="shared" si="144"/>
        <v>229.37888275110006</v>
      </c>
      <c r="O229" s="72">
        <f t="shared" si="145"/>
        <v>488.01610079321438</v>
      </c>
      <c r="P229" s="205">
        <f t="shared" si="146"/>
        <v>20496.676233315004</v>
      </c>
      <c r="Q229" s="272">
        <f t="shared" si="121"/>
        <v>20496.676233315</v>
      </c>
      <c r="R229" s="439">
        <f t="shared" si="147"/>
        <v>0</v>
      </c>
      <c r="T229" s="224"/>
      <c r="V229" s="287"/>
      <c r="W229" s="736"/>
      <c r="X229" s="743" t="s">
        <v>391</v>
      </c>
      <c r="Y229" s="744">
        <f>AL231</f>
        <v>2.5500000000000003</v>
      </c>
      <c r="Z229" s="683" t="s">
        <v>100</v>
      </c>
      <c r="AA229" s="741"/>
      <c r="AB229" s="745">
        <v>400</v>
      </c>
      <c r="AC229" s="746" t="s">
        <v>390</v>
      </c>
      <c r="AD229" s="684"/>
      <c r="AE229" s="742">
        <f t="shared" si="153"/>
        <v>1020.0000000000001</v>
      </c>
      <c r="AF229" s="686"/>
      <c r="AG229" s="687"/>
      <c r="AH229" s="687"/>
      <c r="AI229" s="687"/>
      <c r="AJ229" s="688"/>
      <c r="AK229" s="687"/>
      <c r="AL229" s="687"/>
    </row>
    <row r="230" spans="1:39" s="273" customFormat="1" x14ac:dyDescent="0.25">
      <c r="A230" s="350"/>
      <c r="B230" s="317"/>
      <c r="C230" s="318">
        <v>8</v>
      </c>
      <c r="D230" s="83" t="s">
        <v>411</v>
      </c>
      <c r="E230" s="242">
        <f>0.6*2</f>
        <v>1.2</v>
      </c>
      <c r="F230" s="242">
        <v>2.4</v>
      </c>
      <c r="G230" s="77" t="s">
        <v>100</v>
      </c>
      <c r="H230" s="74">
        <f>1850/1.075</f>
        <v>1720.9302325581396</v>
      </c>
      <c r="I230" s="74">
        <f t="shared" si="150"/>
        <v>4130.2325581395344</v>
      </c>
      <c r="J230" s="74">
        <f>160+100</f>
        <v>260</v>
      </c>
      <c r="K230" s="74">
        <f t="shared" si="151"/>
        <v>624</v>
      </c>
      <c r="L230" s="72">
        <f t="shared" si="152"/>
        <v>4754.2325581395344</v>
      </c>
      <c r="M230" s="74">
        <f t="shared" si="143"/>
        <v>2392.394266889557</v>
      </c>
      <c r="N230" s="74">
        <f t="shared" si="144"/>
        <v>361.44551221385467</v>
      </c>
      <c r="O230" s="72">
        <f t="shared" si="145"/>
        <v>2753.8397791034117</v>
      </c>
      <c r="P230" s="205">
        <f t="shared" si="146"/>
        <v>6609.2154698481881</v>
      </c>
      <c r="Q230" s="272">
        <f t="shared" si="121"/>
        <v>6609.2154698481863</v>
      </c>
      <c r="R230" s="439">
        <f t="shared" si="147"/>
        <v>0</v>
      </c>
      <c r="T230" s="224"/>
      <c r="V230" s="287"/>
      <c r="W230" s="736"/>
      <c r="X230" s="743" t="s">
        <v>392</v>
      </c>
      <c r="Y230" s="747">
        <v>1</v>
      </c>
      <c r="Z230" s="683" t="s">
        <v>393</v>
      </c>
      <c r="AA230" s="684"/>
      <c r="AB230" s="745">
        <v>500</v>
      </c>
      <c r="AC230" s="746" t="s">
        <v>394</v>
      </c>
      <c r="AD230" s="684"/>
      <c r="AE230" s="748">
        <f>Y230*AB230</f>
        <v>500</v>
      </c>
      <c r="AF230" s="686"/>
      <c r="AG230" s="687"/>
      <c r="AH230" s="687"/>
      <c r="AI230" s="749"/>
      <c r="AJ230" s="749"/>
      <c r="AK230" s="749"/>
      <c r="AL230" s="749"/>
    </row>
    <row r="231" spans="1:39" s="273" customFormat="1" x14ac:dyDescent="0.25">
      <c r="A231" s="350"/>
      <c r="B231" s="317"/>
      <c r="C231" s="318">
        <v>9</v>
      </c>
      <c r="D231" s="83" t="s">
        <v>411</v>
      </c>
      <c r="E231" s="242">
        <f>0.6*2</f>
        <v>1.2</v>
      </c>
      <c r="F231" s="242">
        <v>2.4</v>
      </c>
      <c r="G231" s="77" t="s">
        <v>100</v>
      </c>
      <c r="H231" s="74">
        <f>1850/1.075</f>
        <v>1720.9302325581396</v>
      </c>
      <c r="I231" s="74">
        <f t="shared" si="150"/>
        <v>4130.2325581395344</v>
      </c>
      <c r="J231" s="74">
        <f>160+100</f>
        <v>260</v>
      </c>
      <c r="K231" s="74">
        <f t="shared" si="151"/>
        <v>624</v>
      </c>
      <c r="L231" s="72">
        <f t="shared" si="152"/>
        <v>4754.2325581395344</v>
      </c>
      <c r="M231" s="74">
        <f t="shared" si="143"/>
        <v>2392.394266889557</v>
      </c>
      <c r="N231" s="74">
        <f t="shared" si="144"/>
        <v>361.44551221385467</v>
      </c>
      <c r="O231" s="72">
        <f t="shared" si="145"/>
        <v>2753.8397791034117</v>
      </c>
      <c r="P231" s="205">
        <f t="shared" si="146"/>
        <v>6609.2154698481881</v>
      </c>
      <c r="Q231" s="272">
        <f t="shared" si="121"/>
        <v>6609.2154698481863</v>
      </c>
      <c r="R231" s="439">
        <f t="shared" si="147"/>
        <v>0</v>
      </c>
      <c r="T231" s="224"/>
      <c r="V231" s="287"/>
      <c r="W231" s="736"/>
      <c r="AC231" s="684" t="s">
        <v>395</v>
      </c>
      <c r="AD231" s="684" t="s">
        <v>384</v>
      </c>
      <c r="AE231" s="750">
        <f>SUM(AE226:AE230)</f>
        <v>3361</v>
      </c>
      <c r="AF231" s="686"/>
      <c r="AG231" s="687"/>
      <c r="AH231" s="687"/>
      <c r="AI231" s="749">
        <f>SUM(AI221:AI226)</f>
        <v>1.29</v>
      </c>
      <c r="AJ231" s="749">
        <f>SUM(AJ221:AJ226)</f>
        <v>6.25</v>
      </c>
      <c r="AK231" s="749">
        <f>SUM(AK221:AK225)</f>
        <v>1.75</v>
      </c>
      <c r="AL231" s="749">
        <f>SUM(AL221:AL226)</f>
        <v>2.5500000000000003</v>
      </c>
    </row>
    <row r="232" spans="1:39" s="273" customFormat="1" ht="15.75" thickBot="1" x14ac:dyDescent="0.3">
      <c r="A232" s="350"/>
      <c r="B232" s="317"/>
      <c r="C232" s="318"/>
      <c r="D232" s="83"/>
      <c r="E232" s="242"/>
      <c r="F232" s="242"/>
      <c r="G232" s="77"/>
      <c r="H232" s="74"/>
      <c r="I232" s="74"/>
      <c r="J232" s="74"/>
      <c r="K232" s="74"/>
      <c r="L232" s="72"/>
      <c r="M232" s="74"/>
      <c r="N232" s="74"/>
      <c r="O232" s="72"/>
      <c r="P232" s="205"/>
      <c r="Q232" s="272">
        <f t="shared" si="121"/>
        <v>0</v>
      </c>
      <c r="R232" s="439"/>
      <c r="T232" s="224"/>
      <c r="V232" s="287"/>
      <c r="W232" s="681"/>
      <c r="X232" s="682"/>
      <c r="Y232" s="683"/>
      <c r="Z232" s="683"/>
      <c r="AA232" s="684"/>
      <c r="AB232" s="683"/>
      <c r="AC232" s="684" t="s">
        <v>396</v>
      </c>
      <c r="AD232" s="684" t="s">
        <v>384</v>
      </c>
      <c r="AE232" s="685">
        <f>AE224+AE231</f>
        <v>6921.4</v>
      </c>
      <c r="AF232" s="686"/>
      <c r="AG232" s="687"/>
      <c r="AH232" s="687"/>
      <c r="AI232" s="687"/>
      <c r="AJ232" s="688"/>
      <c r="AK232" s="687"/>
      <c r="AL232" s="687"/>
    </row>
    <row r="233" spans="1:39" s="234" customFormat="1" ht="16.5" thickTop="1" thickBot="1" x14ac:dyDescent="0.3">
      <c r="A233" s="308"/>
      <c r="B233" s="910" t="s">
        <v>348</v>
      </c>
      <c r="C233" s="911"/>
      <c r="D233" s="912"/>
      <c r="E233" s="309"/>
      <c r="F233" s="310"/>
      <c r="G233" s="311"/>
      <c r="H233" s="312"/>
      <c r="I233" s="313">
        <f>SUM(I208:I232)</f>
        <v>88096.08535266883</v>
      </c>
      <c r="J233" s="312"/>
      <c r="K233" s="313">
        <f>SUM(K208:K232)</f>
        <v>58428</v>
      </c>
      <c r="L233" s="313">
        <f>SUM(L208:L232)</f>
        <v>146524.08535266886</v>
      </c>
      <c r="M233" s="312"/>
      <c r="N233" s="312"/>
      <c r="O233" s="313"/>
      <c r="P233" s="315">
        <f>SUM(P208:P232)</f>
        <v>203694.12723831515</v>
      </c>
      <c r="Q233" s="272">
        <f t="shared" si="121"/>
        <v>203694.12723831521</v>
      </c>
      <c r="R233" s="439">
        <f t="shared" ref="R233" si="154">P233-Q233</f>
        <v>0</v>
      </c>
      <c r="T233" s="443"/>
      <c r="U233" s="275"/>
      <c r="V233" s="402"/>
      <c r="W233" s="375"/>
      <c r="X233" s="376"/>
      <c r="Y233" s="370"/>
      <c r="Z233" s="370"/>
      <c r="AF233" s="386"/>
      <c r="AG233" s="385"/>
      <c r="AH233" s="385"/>
      <c r="AI233" s="385"/>
      <c r="AJ233" s="387"/>
      <c r="AK233" s="385"/>
      <c r="AL233" s="385"/>
      <c r="AM233" s="282"/>
    </row>
    <row r="234" spans="1:39" s="1" customFormat="1" x14ac:dyDescent="0.25">
      <c r="A234" s="500"/>
      <c r="B234" s="501"/>
      <c r="C234" s="293"/>
      <c r="D234" s="502"/>
      <c r="E234" s="503"/>
      <c r="F234" s="504"/>
      <c r="G234" s="504"/>
      <c r="H234" s="504"/>
      <c r="I234" s="504"/>
      <c r="J234" s="504"/>
      <c r="K234" s="504"/>
      <c r="L234" s="504">
        <f>SUM(L233,L207,L146,L30)</f>
        <v>6488593.383427117</v>
      </c>
      <c r="M234" s="504"/>
      <c r="N234" s="504"/>
      <c r="O234" s="504"/>
      <c r="P234" s="505"/>
      <c r="Q234" s="272">
        <f t="shared" si="121"/>
        <v>9020280.6116163172</v>
      </c>
      <c r="R234" s="439"/>
      <c r="V234" s="211"/>
      <c r="W234" s="506"/>
      <c r="X234" s="507"/>
      <c r="Y234" s="508"/>
      <c r="Z234" s="508"/>
      <c r="AA234" s="509"/>
      <c r="AB234" s="508"/>
      <c r="AC234" s="510"/>
      <c r="AD234" s="510"/>
      <c r="AE234" s="511"/>
      <c r="AF234" s="508"/>
      <c r="AG234" s="512"/>
      <c r="AH234" s="512"/>
      <c r="AI234" s="512"/>
      <c r="AJ234" s="512"/>
      <c r="AK234" s="512"/>
      <c r="AL234" s="512"/>
    </row>
    <row r="235" spans="1:39" s="287" customFormat="1" ht="20.25" customHeight="1" thickBot="1" x14ac:dyDescent="0.3">
      <c r="A235" s="329"/>
      <c r="B235" s="901" t="s">
        <v>347</v>
      </c>
      <c r="C235" s="902"/>
      <c r="D235" s="903"/>
      <c r="E235" s="330"/>
      <c r="F235" s="331"/>
      <c r="G235" s="332"/>
      <c r="H235" s="663"/>
      <c r="I235" s="663">
        <f>I233+I207+I146+I30</f>
        <v>4730309.0636180211</v>
      </c>
      <c r="J235" s="663"/>
      <c r="K235" s="663">
        <f>K233+K207+K146+K30</f>
        <v>1758284.3198090945</v>
      </c>
      <c r="L235" s="663">
        <f>L233+L207+L146+L30</f>
        <v>6488593.383427117</v>
      </c>
      <c r="M235" s="922">
        <f>P233+P207+P146+P30</f>
        <v>9017500.4132809397</v>
      </c>
      <c r="N235" s="922"/>
      <c r="O235" s="922"/>
      <c r="P235" s="923"/>
      <c r="Q235" s="272">
        <f t="shared" si="121"/>
        <v>9020280.6116163172</v>
      </c>
      <c r="R235" s="439">
        <f>M235-Q235</f>
        <v>-2780.1983353774995</v>
      </c>
      <c r="T235" s="443"/>
      <c r="V235" s="446"/>
      <c r="W235" s="447"/>
      <c r="X235" s="448"/>
      <c r="Y235" s="448"/>
      <c r="Z235" s="448"/>
      <c r="AA235" s="448"/>
      <c r="AB235" s="448"/>
      <c r="AC235" s="448"/>
      <c r="AD235" s="448"/>
      <c r="AE235" s="448"/>
      <c r="AF235" s="449"/>
      <c r="AG235" s="449"/>
      <c r="AH235" s="450"/>
      <c r="AI235" s="451"/>
      <c r="AJ235" s="450"/>
      <c r="AK235" s="451"/>
      <c r="AL235" s="451"/>
    </row>
    <row r="236" spans="1:39" s="528" customFormat="1" ht="3.75" customHeight="1" x14ac:dyDescent="0.25">
      <c r="A236" s="521"/>
      <c r="B236" s="526"/>
      <c r="C236" s="527"/>
      <c r="E236" s="529"/>
      <c r="F236" s="530"/>
      <c r="G236" s="521"/>
      <c r="H236" s="522"/>
      <c r="I236" s="522"/>
      <c r="J236" s="522"/>
      <c r="K236" s="522"/>
      <c r="L236" s="522"/>
      <c r="M236" s="523"/>
      <c r="N236" s="523"/>
      <c r="O236" s="523"/>
      <c r="P236" s="523"/>
      <c r="Q236" s="523"/>
      <c r="R236" s="523"/>
      <c r="T236" s="523"/>
      <c r="V236" s="531"/>
      <c r="W236" s="666" t="s">
        <v>4</v>
      </c>
      <c r="X236" s="666" t="s">
        <v>7</v>
      </c>
      <c r="Y236" s="666" t="s">
        <v>6</v>
      </c>
      <c r="Z236" s="666" t="s">
        <v>5</v>
      </c>
      <c r="AA236" s="896" t="s">
        <v>380</v>
      </c>
      <c r="AB236" s="896"/>
      <c r="AC236" s="896"/>
      <c r="AD236" s="896" t="s">
        <v>381</v>
      </c>
      <c r="AE236" s="896"/>
      <c r="AF236" s="453"/>
      <c r="AG236" s="454"/>
      <c r="AH236" s="454"/>
      <c r="AI236" s="454"/>
      <c r="AJ236" s="454"/>
      <c r="AK236" s="454" t="s">
        <v>397</v>
      </c>
      <c r="AL236" s="454" t="s">
        <v>398</v>
      </c>
    </row>
    <row r="237" spans="1:39" s="528" customFormat="1" hidden="1" x14ac:dyDescent="0.25">
      <c r="A237" s="521"/>
      <c r="B237" s="526"/>
      <c r="C237" s="527"/>
      <c r="E237" s="529"/>
      <c r="F237" s="530"/>
      <c r="G237" s="521"/>
      <c r="H237" s="522"/>
      <c r="I237" s="522"/>
      <c r="J237" s="522"/>
      <c r="K237" s="522"/>
      <c r="L237" s="522"/>
      <c r="M237" s="523"/>
      <c r="N237" s="523"/>
      <c r="O237" s="523"/>
      <c r="P237" s="523"/>
      <c r="Q237" s="523"/>
      <c r="R237" s="523"/>
      <c r="T237" s="523"/>
      <c r="V237" s="531"/>
      <c r="W237" s="455" t="s">
        <v>401</v>
      </c>
      <c r="X237" s="666"/>
      <c r="Y237" s="666"/>
      <c r="Z237" s="666"/>
      <c r="AA237" s="666"/>
      <c r="AB237" s="666"/>
      <c r="AC237" s="666"/>
      <c r="AD237" s="666"/>
      <c r="AE237" s="666"/>
      <c r="AF237" s="456"/>
      <c r="AG237" s="456">
        <v>0.6</v>
      </c>
      <c r="AH237" s="457">
        <v>2.25</v>
      </c>
      <c r="AI237" s="454">
        <f>AG237*AH237</f>
        <v>1.3499999999999999</v>
      </c>
      <c r="AJ237" s="457">
        <f>AG237+AH237</f>
        <v>2.85</v>
      </c>
      <c r="AK237" s="454">
        <v>0.6</v>
      </c>
      <c r="AL237" s="454">
        <v>0.1</v>
      </c>
    </row>
    <row r="238" spans="1:39" s="528" customFormat="1" hidden="1" x14ac:dyDescent="0.25">
      <c r="A238" s="521"/>
      <c r="B238" s="526"/>
      <c r="C238" s="527"/>
      <c r="E238" s="529"/>
      <c r="F238" s="530"/>
      <c r="G238" s="518"/>
      <c r="H238" s="519"/>
      <c r="I238" s="519"/>
      <c r="J238" s="519"/>
      <c r="K238" s="519"/>
      <c r="L238" s="519"/>
      <c r="M238" s="520"/>
      <c r="N238" s="520"/>
      <c r="O238" s="520"/>
      <c r="P238" s="520"/>
      <c r="Q238" s="520"/>
      <c r="R238" s="520"/>
      <c r="T238" s="523"/>
      <c r="V238" s="531"/>
      <c r="W238" s="666" t="s">
        <v>9</v>
      </c>
      <c r="X238" s="666" t="s">
        <v>382</v>
      </c>
      <c r="Y238" s="458">
        <f>+Y241*1.2</f>
        <v>2.2094999999999998</v>
      </c>
      <c r="Z238" s="459" t="s">
        <v>383</v>
      </c>
      <c r="AA238" s="460" t="s">
        <v>384</v>
      </c>
      <c r="AB238" s="461">
        <v>2300</v>
      </c>
      <c r="AC238" s="459" t="s">
        <v>385</v>
      </c>
      <c r="AD238" s="462" t="s">
        <v>384</v>
      </c>
      <c r="AE238" s="463">
        <f>Y238*AB238</f>
        <v>5081.8499999999995</v>
      </c>
      <c r="AF238" s="456"/>
      <c r="AG238" s="454">
        <v>0.1</v>
      </c>
      <c r="AH238" s="454">
        <v>2.25</v>
      </c>
      <c r="AI238" s="454">
        <f>AG238*AH238</f>
        <v>0.22500000000000001</v>
      </c>
      <c r="AJ238" s="457">
        <f t="shared" ref="AJ238" si="155">AG238+AH238</f>
        <v>2.35</v>
      </c>
      <c r="AK238" s="454">
        <v>2.25</v>
      </c>
      <c r="AL238" s="454">
        <v>0.6</v>
      </c>
    </row>
    <row r="239" spans="1:39" s="528" customFormat="1" x14ac:dyDescent="0.25">
      <c r="A239" s="521"/>
      <c r="B239" s="526"/>
      <c r="C239" s="527"/>
      <c r="E239" s="529"/>
      <c r="F239" s="530"/>
      <c r="G239" s="518"/>
      <c r="H239" s="519"/>
      <c r="Q239" s="520"/>
      <c r="R239" s="520"/>
      <c r="T239" s="523"/>
      <c r="V239" s="531"/>
      <c r="W239" s="464"/>
      <c r="X239" s="465"/>
      <c r="Y239" s="459"/>
      <c r="Z239" s="459"/>
      <c r="AA239" s="460"/>
      <c r="AB239" s="459"/>
      <c r="AC239" s="462" t="s">
        <v>386</v>
      </c>
      <c r="AD239" s="462" t="s">
        <v>384</v>
      </c>
      <c r="AE239" s="466">
        <f>SUM(AE238:AE238)</f>
        <v>5081.8499999999995</v>
      </c>
      <c r="AF239" s="456"/>
      <c r="AG239" s="454">
        <v>0.1</v>
      </c>
      <c r="AH239" s="454">
        <v>0.6</v>
      </c>
      <c r="AI239" s="454">
        <f>AG239*AH239</f>
        <v>0.06</v>
      </c>
      <c r="AJ239" s="457">
        <f>AG239+AH239</f>
        <v>0.7</v>
      </c>
      <c r="AK239" s="454">
        <v>0.1</v>
      </c>
      <c r="AL239" s="454">
        <v>2.25</v>
      </c>
    </row>
    <row r="240" spans="1:39" s="528" customFormat="1" ht="15.75" x14ac:dyDescent="0.25">
      <c r="A240" s="532" t="s">
        <v>18</v>
      </c>
      <c r="B240" s="533"/>
      <c r="C240" s="534"/>
      <c r="D240" s="535"/>
      <c r="E240" s="529"/>
      <c r="F240" s="530"/>
      <c r="G240" s="521"/>
      <c r="H240" s="522"/>
      <c r="Q240" s="523"/>
      <c r="R240" s="520"/>
      <c r="T240" s="523"/>
      <c r="V240" s="531"/>
      <c r="W240" s="464"/>
      <c r="X240" s="465"/>
      <c r="Y240" s="459"/>
      <c r="Z240" s="459"/>
      <c r="AA240" s="460"/>
      <c r="AB240" s="459"/>
      <c r="AC240" s="462"/>
      <c r="AD240" s="462"/>
      <c r="AE240" s="467"/>
      <c r="AF240" s="456"/>
      <c r="AG240" s="454">
        <v>0.1</v>
      </c>
      <c r="AH240" s="454">
        <v>0.6</v>
      </c>
      <c r="AI240" s="454">
        <f>AG240*AH240</f>
        <v>0.06</v>
      </c>
      <c r="AJ240" s="457">
        <f>AG240+AH240</f>
        <v>0.7</v>
      </c>
      <c r="AK240" s="454"/>
      <c r="AL240" s="454">
        <v>0.6</v>
      </c>
    </row>
    <row r="241" spans="1:38" s="522" customFormat="1" ht="15.75" x14ac:dyDescent="0.25">
      <c r="A241" s="536"/>
      <c r="B241" s="533"/>
      <c r="C241" s="534"/>
      <c r="D241" s="537"/>
      <c r="R241" s="519"/>
      <c r="V241" s="538"/>
      <c r="W241" s="666" t="s">
        <v>10</v>
      </c>
      <c r="X241" s="469" t="s">
        <v>387</v>
      </c>
      <c r="Y241" s="470">
        <f>AI245</f>
        <v>1.8412500000000001</v>
      </c>
      <c r="Z241" s="459" t="s">
        <v>383</v>
      </c>
      <c r="AA241" s="460" t="s">
        <v>384</v>
      </c>
      <c r="AB241" s="461">
        <v>400</v>
      </c>
      <c r="AC241" s="459" t="s">
        <v>385</v>
      </c>
      <c r="AD241" s="462" t="s">
        <v>384</v>
      </c>
      <c r="AE241" s="467">
        <f t="shared" ref="AE241:AE245" si="156">Y241*AB241</f>
        <v>736.5</v>
      </c>
      <c r="AF241" s="456"/>
      <c r="AG241" s="454">
        <v>6.5000000000000002E-2</v>
      </c>
      <c r="AH241" s="454">
        <v>2.25</v>
      </c>
      <c r="AI241" s="454">
        <f>AG241*AH241</f>
        <v>0.14624999999999999</v>
      </c>
      <c r="AJ241" s="457">
        <f>AG241+AH241</f>
        <v>2.3149999999999999</v>
      </c>
      <c r="AK241" s="454"/>
      <c r="AL241" s="454">
        <v>0.1</v>
      </c>
    </row>
    <row r="242" spans="1:38" s="522" customFormat="1" ht="15.75" x14ac:dyDescent="0.25">
      <c r="A242" s="532" t="s">
        <v>19</v>
      </c>
      <c r="B242" s="533"/>
      <c r="C242" s="534"/>
      <c r="D242" s="535"/>
      <c r="R242" s="519"/>
      <c r="V242" s="538"/>
      <c r="W242" s="666"/>
      <c r="X242" s="469" t="s">
        <v>388</v>
      </c>
      <c r="Y242" s="470">
        <f>AJ245</f>
        <v>8.9150000000000009</v>
      </c>
      <c r="Z242" s="459" t="s">
        <v>383</v>
      </c>
      <c r="AA242" s="460"/>
      <c r="AB242" s="461">
        <v>100</v>
      </c>
      <c r="AC242" s="459" t="s">
        <v>385</v>
      </c>
      <c r="AD242" s="462"/>
      <c r="AE242" s="467">
        <f t="shared" si="156"/>
        <v>891.50000000000011</v>
      </c>
      <c r="AF242" s="456"/>
      <c r="AG242" s="454"/>
      <c r="AH242" s="454"/>
      <c r="AI242" s="454"/>
      <c r="AJ242" s="457"/>
      <c r="AK242" s="454"/>
      <c r="AL242" s="454"/>
    </row>
    <row r="243" spans="1:38" s="522" customFormat="1" ht="15.75" x14ac:dyDescent="0.25">
      <c r="A243" s="536"/>
      <c r="B243" s="533"/>
      <c r="C243" s="534"/>
      <c r="D243" s="535"/>
      <c r="R243" s="519"/>
      <c r="V243" s="538"/>
      <c r="W243" s="666"/>
      <c r="X243" s="469" t="s">
        <v>389</v>
      </c>
      <c r="Y243" s="470">
        <f>AK245</f>
        <v>2.95</v>
      </c>
      <c r="Z243" s="459" t="s">
        <v>100</v>
      </c>
      <c r="AA243" s="460"/>
      <c r="AB243" s="461">
        <v>400</v>
      </c>
      <c r="AC243" s="471" t="s">
        <v>390</v>
      </c>
      <c r="AD243" s="462"/>
      <c r="AE243" s="467">
        <f t="shared" si="156"/>
        <v>1180</v>
      </c>
      <c r="AF243" s="456"/>
      <c r="AG243" s="454"/>
      <c r="AH243" s="454"/>
      <c r="AI243" s="454"/>
      <c r="AJ243" s="457"/>
      <c r="AK243" s="454"/>
      <c r="AL243" s="454"/>
    </row>
    <row r="244" spans="1:38" s="522" customFormat="1" ht="15.75" x14ac:dyDescent="0.25">
      <c r="A244" s="536"/>
      <c r="B244" s="533"/>
      <c r="C244" s="534"/>
      <c r="D244" s="535"/>
      <c r="R244" s="519"/>
      <c r="V244" s="538"/>
      <c r="W244" s="666"/>
      <c r="X244" s="469" t="s">
        <v>391</v>
      </c>
      <c r="Y244" s="470">
        <f>AL245</f>
        <v>3.6500000000000004</v>
      </c>
      <c r="Z244" s="459" t="s">
        <v>100</v>
      </c>
      <c r="AA244" s="460"/>
      <c r="AB244" s="461">
        <v>400</v>
      </c>
      <c r="AC244" s="471" t="s">
        <v>390</v>
      </c>
      <c r="AD244" s="462"/>
      <c r="AE244" s="467">
        <f t="shared" si="156"/>
        <v>1460.0000000000002</v>
      </c>
      <c r="AF244" s="456"/>
      <c r="AG244" s="454"/>
      <c r="AH244" s="454"/>
      <c r="AI244" s="454"/>
      <c r="AJ244" s="457"/>
      <c r="AK244" s="454"/>
      <c r="AL244" s="454"/>
    </row>
    <row r="245" spans="1:38" s="522" customFormat="1" ht="15.75" x14ac:dyDescent="0.25">
      <c r="A245" s="532" t="s">
        <v>20</v>
      </c>
      <c r="B245" s="533"/>
      <c r="C245" s="534"/>
      <c r="D245" s="535"/>
      <c r="R245" s="519"/>
      <c r="V245" s="538"/>
      <c r="W245" s="666"/>
      <c r="X245" s="469" t="s">
        <v>392</v>
      </c>
      <c r="Y245" s="472">
        <v>1</v>
      </c>
      <c r="Z245" s="459" t="s">
        <v>393</v>
      </c>
      <c r="AA245" s="462"/>
      <c r="AB245" s="461">
        <v>500</v>
      </c>
      <c r="AC245" s="471" t="s">
        <v>394</v>
      </c>
      <c r="AD245" s="462"/>
      <c r="AE245" s="463">
        <f t="shared" si="156"/>
        <v>500</v>
      </c>
      <c r="AF245" s="456"/>
      <c r="AG245" s="454"/>
      <c r="AH245" s="454"/>
      <c r="AI245" s="473">
        <f>SUM(AI237:AI241)</f>
        <v>1.8412500000000001</v>
      </c>
      <c r="AJ245" s="473">
        <f>SUM(AJ237:AJ241)</f>
        <v>8.9150000000000009</v>
      </c>
      <c r="AK245" s="473">
        <f>SUM(AK237:AK240)</f>
        <v>2.95</v>
      </c>
      <c r="AL245" s="473">
        <f>SUM(AL237:AL241)</f>
        <v>3.6500000000000004</v>
      </c>
    </row>
    <row r="246" spans="1:38" s="522" customFormat="1" ht="15.75" x14ac:dyDescent="0.25">
      <c r="A246" s="532" t="s">
        <v>349</v>
      </c>
      <c r="B246" s="533"/>
      <c r="C246" s="534"/>
      <c r="D246" s="535"/>
      <c r="R246" s="519"/>
      <c r="V246" s="538"/>
      <c r="W246" s="464"/>
      <c r="X246" s="465"/>
      <c r="Y246" s="459"/>
      <c r="Z246" s="459"/>
      <c r="AA246" s="462"/>
      <c r="AB246" s="459"/>
      <c r="AC246" s="462" t="s">
        <v>395</v>
      </c>
      <c r="AD246" s="462" t="s">
        <v>384</v>
      </c>
      <c r="AE246" s="466">
        <f>SUM(AE241:AE245)</f>
        <v>4768</v>
      </c>
      <c r="AF246" s="456"/>
      <c r="AG246" s="454"/>
      <c r="AH246" s="454"/>
      <c r="AI246" s="454"/>
      <c r="AJ246" s="457"/>
      <c r="AK246" s="454"/>
      <c r="AL246" s="454"/>
    </row>
    <row r="247" spans="1:38" s="528" customFormat="1" ht="15.75" thickBot="1" x14ac:dyDescent="0.3">
      <c r="A247" s="521"/>
      <c r="B247" s="526"/>
      <c r="C247" s="527"/>
      <c r="E247" s="529"/>
      <c r="F247" s="530"/>
      <c r="G247" s="541"/>
      <c r="H247" s="542"/>
      <c r="Q247" s="523"/>
      <c r="R247" s="520"/>
      <c r="T247" s="523"/>
      <c r="V247" s="531"/>
      <c r="W247" s="464"/>
      <c r="X247" s="465"/>
      <c r="Y247" s="459"/>
      <c r="Z247" s="459"/>
      <c r="AA247" s="462"/>
      <c r="AB247" s="459"/>
      <c r="AC247" s="462" t="s">
        <v>396</v>
      </c>
      <c r="AD247" s="462" t="s">
        <v>384</v>
      </c>
      <c r="AE247" s="474">
        <f>AE239+AE246</f>
        <v>9849.8499999999985</v>
      </c>
      <c r="AF247" s="456"/>
      <c r="AG247" s="454"/>
      <c r="AH247" s="454"/>
      <c r="AI247" s="454"/>
      <c r="AJ247" s="457"/>
      <c r="AK247" s="454"/>
      <c r="AL247" s="454"/>
    </row>
    <row r="248" spans="1:38" s="528" customFormat="1" ht="16.5" thickTop="1" x14ac:dyDescent="0.25">
      <c r="A248" s="521"/>
      <c r="B248" s="526"/>
      <c r="C248" s="527"/>
      <c r="E248" s="529"/>
      <c r="F248" s="530"/>
      <c r="G248" s="541"/>
      <c r="H248" s="542"/>
      <c r="I248" s="542"/>
      <c r="J248" s="671"/>
      <c r="K248" s="671"/>
      <c r="L248" s="429"/>
      <c r="M248" s="428"/>
      <c r="N248" s="426"/>
      <c r="O248" s="422"/>
      <c r="P248" s="422"/>
      <c r="Q248" s="523"/>
      <c r="R248" s="520"/>
      <c r="T248" s="523"/>
      <c r="V248" s="531"/>
      <c r="W248" s="464"/>
      <c r="X248" s="465"/>
      <c r="Y248" s="459"/>
      <c r="Z248" s="459"/>
      <c r="AA248" s="462"/>
      <c r="AB248" s="459"/>
      <c r="AC248" s="462"/>
      <c r="AD248" s="462"/>
      <c r="AE248" s="467"/>
      <c r="AF248" s="456"/>
      <c r="AG248" s="454"/>
      <c r="AH248" s="454"/>
      <c r="AI248" s="454"/>
      <c r="AJ248" s="457"/>
      <c r="AK248" s="454"/>
      <c r="AL248" s="454"/>
    </row>
    <row r="249" spans="1:38" s="528" customFormat="1" ht="15.75" x14ac:dyDescent="0.25">
      <c r="A249" s="521"/>
      <c r="B249" s="526"/>
      <c r="C249" s="527"/>
      <c r="E249" s="529"/>
      <c r="F249" s="530"/>
      <c r="G249" s="541"/>
      <c r="H249" s="542"/>
      <c r="I249" s="542"/>
      <c r="J249" s="671"/>
      <c r="K249" s="671"/>
      <c r="L249" s="429"/>
      <c r="M249" s="428"/>
      <c r="N249" s="426"/>
      <c r="O249" s="422"/>
      <c r="P249" s="422"/>
      <c r="Q249" s="523"/>
      <c r="R249" s="520"/>
      <c r="T249" s="523"/>
      <c r="V249" s="531"/>
      <c r="W249" s="464"/>
      <c r="X249" s="465"/>
      <c r="Y249" s="459"/>
      <c r="Z249" s="459"/>
      <c r="AA249" s="462"/>
      <c r="AB249" s="459"/>
      <c r="AC249" s="462"/>
      <c r="AD249" s="462"/>
      <c r="AE249" s="467"/>
      <c r="AF249" s="456"/>
      <c r="AG249" s="454"/>
      <c r="AH249" s="454"/>
      <c r="AI249" s="454"/>
      <c r="AJ249" s="457"/>
      <c r="AK249" s="454"/>
      <c r="AL249" s="454"/>
    </row>
    <row r="250" spans="1:38" s="528" customFormat="1" ht="15.75" x14ac:dyDescent="0.25">
      <c r="A250" s="521"/>
      <c r="B250" s="526"/>
      <c r="C250" s="527"/>
      <c r="E250" s="529"/>
      <c r="F250" s="530"/>
      <c r="G250" s="541"/>
      <c r="H250" s="542"/>
      <c r="I250" s="542"/>
      <c r="J250" s="671"/>
      <c r="K250" s="671"/>
      <c r="L250" s="429"/>
      <c r="M250" s="428"/>
      <c r="N250" s="426"/>
      <c r="O250" s="422"/>
      <c r="P250" s="422"/>
      <c r="Q250" s="523"/>
      <c r="R250" s="520"/>
      <c r="T250" s="523"/>
      <c r="V250" s="531"/>
      <c r="W250" s="666" t="s">
        <v>4</v>
      </c>
      <c r="X250" s="666" t="s">
        <v>7</v>
      </c>
      <c r="Y250" s="666" t="s">
        <v>6</v>
      </c>
      <c r="Z250" s="666" t="s">
        <v>5</v>
      </c>
      <c r="AA250" s="896" t="s">
        <v>380</v>
      </c>
      <c r="AB250" s="896"/>
      <c r="AC250" s="896"/>
      <c r="AD250" s="896" t="s">
        <v>381</v>
      </c>
      <c r="AE250" s="896"/>
      <c r="AF250" s="453"/>
      <c r="AG250" s="454"/>
      <c r="AH250" s="454"/>
      <c r="AI250" s="454"/>
      <c r="AJ250" s="454"/>
      <c r="AK250" s="454" t="s">
        <v>397</v>
      </c>
      <c r="AL250" s="454" t="s">
        <v>398</v>
      </c>
    </row>
    <row r="251" spans="1:38" s="528" customFormat="1" x14ac:dyDescent="0.25">
      <c r="A251" s="521"/>
      <c r="B251" s="526"/>
      <c r="C251" s="527"/>
      <c r="E251" s="529"/>
      <c r="F251" s="530"/>
      <c r="G251" s="541"/>
      <c r="H251" s="542"/>
      <c r="I251" s="522"/>
      <c r="J251" s="522"/>
      <c r="K251" s="522"/>
      <c r="L251" s="522"/>
      <c r="M251" s="523"/>
      <c r="N251" s="523"/>
      <c r="O251" s="523"/>
      <c r="P251" s="523"/>
      <c r="Q251" s="523"/>
      <c r="R251" s="523"/>
      <c r="T251" s="523"/>
      <c r="V251" s="531"/>
      <c r="W251" s="455" t="s">
        <v>402</v>
      </c>
      <c r="X251" s="666"/>
      <c r="Y251" s="666"/>
      <c r="Z251" s="666"/>
      <c r="AA251" s="666"/>
      <c r="AB251" s="666"/>
      <c r="AC251" s="666"/>
      <c r="AD251" s="666"/>
      <c r="AE251" s="666"/>
      <c r="AF251" s="456"/>
      <c r="AG251" s="456">
        <v>0.6</v>
      </c>
      <c r="AH251" s="457">
        <v>3.2</v>
      </c>
      <c r="AI251" s="454">
        <f>AG251*AH251</f>
        <v>1.92</v>
      </c>
      <c r="AJ251" s="457">
        <f>AG251+AH251</f>
        <v>3.8000000000000003</v>
      </c>
      <c r="AK251" s="454">
        <v>0.6</v>
      </c>
      <c r="AL251" s="454">
        <v>0.1</v>
      </c>
    </row>
    <row r="252" spans="1:38" s="528" customFormat="1" ht="15.75" x14ac:dyDescent="0.25">
      <c r="A252" s="521"/>
      <c r="B252" s="526"/>
      <c r="C252" s="527"/>
      <c r="E252" s="529"/>
      <c r="F252" s="530"/>
      <c r="G252" s="541"/>
      <c r="H252" s="542"/>
      <c r="I252" s="522"/>
      <c r="J252" s="417"/>
      <c r="K252" s="417"/>
      <c r="L252" s="670"/>
      <c r="M252" s="419"/>
      <c r="N252" s="420" t="s">
        <v>178</v>
      </c>
      <c r="O252" s="420"/>
      <c r="P252" s="420">
        <f>L235</f>
        <v>6488593.383427117</v>
      </c>
      <c r="Q252" s="523"/>
      <c r="R252" s="523"/>
      <c r="T252" s="523"/>
      <c r="V252" s="531"/>
      <c r="W252" s="666" t="s">
        <v>9</v>
      </c>
      <c r="X252" s="666" t="s">
        <v>382</v>
      </c>
      <c r="Y252" s="458">
        <f>+Y255*1.2</f>
        <v>3.0816000000000003</v>
      </c>
      <c r="Z252" s="459" t="s">
        <v>383</v>
      </c>
      <c r="AA252" s="460" t="s">
        <v>384</v>
      </c>
      <c r="AB252" s="461">
        <v>2300</v>
      </c>
      <c r="AC252" s="459" t="s">
        <v>385</v>
      </c>
      <c r="AD252" s="462" t="s">
        <v>384</v>
      </c>
      <c r="AE252" s="463">
        <f>Y252*AB252</f>
        <v>7087.6800000000012</v>
      </c>
      <c r="AF252" s="456"/>
      <c r="AG252" s="454">
        <v>0.1</v>
      </c>
      <c r="AH252" s="454">
        <v>3.2</v>
      </c>
      <c r="AI252" s="454">
        <f>AG252*AH252</f>
        <v>0.32000000000000006</v>
      </c>
      <c r="AJ252" s="457">
        <f t="shared" ref="AJ252" si="157">AG252+AH252</f>
        <v>3.3000000000000003</v>
      </c>
      <c r="AK252" s="454">
        <v>3.2</v>
      </c>
      <c r="AL252" s="454">
        <v>0.6</v>
      </c>
    </row>
    <row r="253" spans="1:38" s="528" customFormat="1" ht="15.75" x14ac:dyDescent="0.25">
      <c r="A253" s="521"/>
      <c r="B253" s="526"/>
      <c r="C253" s="527"/>
      <c r="E253" s="529"/>
      <c r="F253" s="530"/>
      <c r="G253" s="541"/>
      <c r="H253" s="542"/>
      <c r="I253" s="522"/>
      <c r="J253" s="421"/>
      <c r="K253" s="421"/>
      <c r="L253" s="670"/>
      <c r="M253" s="420"/>
      <c r="N253" s="422"/>
      <c r="O253" s="422"/>
      <c r="P253" s="422"/>
      <c r="Q253" s="523"/>
      <c r="R253" s="523"/>
      <c r="T253" s="523"/>
      <c r="V253" s="531"/>
      <c r="W253" s="464"/>
      <c r="X253" s="465"/>
      <c r="Y253" s="459"/>
      <c r="Z253" s="459"/>
      <c r="AA253" s="460"/>
      <c r="AB253" s="459"/>
      <c r="AC253" s="462" t="s">
        <v>386</v>
      </c>
      <c r="AD253" s="462" t="s">
        <v>384</v>
      </c>
      <c r="AE253" s="466">
        <f>SUM(AE252:AE252)</f>
        <v>7087.6800000000012</v>
      </c>
      <c r="AF253" s="456"/>
      <c r="AG253" s="454">
        <v>0.1</v>
      </c>
      <c r="AH253" s="454">
        <v>0.6</v>
      </c>
      <c r="AI253" s="454">
        <f>AG253*AH253</f>
        <v>0.06</v>
      </c>
      <c r="AJ253" s="457">
        <f>AG253+AH253</f>
        <v>0.7</v>
      </c>
      <c r="AK253" s="454">
        <v>0.1</v>
      </c>
      <c r="AL253" s="454">
        <v>3.2</v>
      </c>
    </row>
    <row r="254" spans="1:38" s="528" customFormat="1" ht="15.75" x14ac:dyDescent="0.25">
      <c r="A254" s="521"/>
      <c r="B254" s="526"/>
      <c r="C254" s="527"/>
      <c r="E254" s="529"/>
      <c r="F254" s="530"/>
      <c r="G254" s="541"/>
      <c r="H254" s="542"/>
      <c r="I254" s="522"/>
      <c r="J254" s="921" t="s">
        <v>179</v>
      </c>
      <c r="K254" s="921"/>
      <c r="L254" s="423" t="s">
        <v>180</v>
      </c>
      <c r="M254" s="420" t="s">
        <v>181</v>
      </c>
      <c r="N254" s="424">
        <f>P252*0.03</f>
        <v>194657.8015028135</v>
      </c>
      <c r="O254" s="422"/>
      <c r="P254" s="422">
        <f>N254+P252</f>
        <v>6683251.1849299306</v>
      </c>
      <c r="Q254" s="523"/>
      <c r="R254" s="523"/>
      <c r="T254" s="523"/>
      <c r="V254" s="531"/>
      <c r="W254" s="464"/>
      <c r="X254" s="465"/>
      <c r="Y254" s="459"/>
      <c r="Z254" s="459"/>
      <c r="AA254" s="460"/>
      <c r="AB254" s="459"/>
      <c r="AC254" s="462"/>
      <c r="AD254" s="462"/>
      <c r="AE254" s="467"/>
      <c r="AF254" s="456"/>
      <c r="AG254" s="454">
        <v>0.1</v>
      </c>
      <c r="AH254" s="454">
        <v>0.6</v>
      </c>
      <c r="AI254" s="454">
        <f>AG254*AH254</f>
        <v>0.06</v>
      </c>
      <c r="AJ254" s="457">
        <f>AG254+AH254</f>
        <v>0.7</v>
      </c>
      <c r="AK254" s="454"/>
      <c r="AL254" s="454">
        <v>0.6</v>
      </c>
    </row>
    <row r="255" spans="1:38" s="528" customFormat="1" ht="15.75" x14ac:dyDescent="0.25">
      <c r="A255" s="521"/>
      <c r="B255" s="526"/>
      <c r="C255" s="527"/>
      <c r="E255" s="529"/>
      <c r="F255" s="530"/>
      <c r="G255" s="541"/>
      <c r="H255" s="542"/>
      <c r="I255" s="522"/>
      <c r="J255" s="921" t="s">
        <v>182</v>
      </c>
      <c r="K255" s="921"/>
      <c r="L255" s="423" t="s">
        <v>180</v>
      </c>
      <c r="M255" s="420" t="s">
        <v>183</v>
      </c>
      <c r="N255" s="424">
        <f>SUM(L254:L302)</f>
        <v>328828.34994462901</v>
      </c>
      <c r="O255" s="422"/>
      <c r="P255" s="422">
        <f>P254+N255</f>
        <v>7012079.5348745594</v>
      </c>
      <c r="Q255" s="523"/>
      <c r="R255" s="523"/>
      <c r="T255" s="523"/>
      <c r="V255" s="531"/>
      <c r="W255" s="666" t="s">
        <v>10</v>
      </c>
      <c r="X255" s="469" t="s">
        <v>387</v>
      </c>
      <c r="Y255" s="470">
        <f>AI259</f>
        <v>2.5680000000000005</v>
      </c>
      <c r="Z255" s="459" t="s">
        <v>383</v>
      </c>
      <c r="AA255" s="460" t="s">
        <v>384</v>
      </c>
      <c r="AB255" s="461">
        <v>400</v>
      </c>
      <c r="AC255" s="459" t="s">
        <v>385</v>
      </c>
      <c r="AD255" s="462" t="s">
        <v>384</v>
      </c>
      <c r="AE255" s="467">
        <f t="shared" ref="AE255:AE259" si="158">Y255*AB255</f>
        <v>1027.2000000000003</v>
      </c>
      <c r="AF255" s="456"/>
      <c r="AG255" s="454">
        <v>6.5000000000000002E-2</v>
      </c>
      <c r="AH255" s="454">
        <v>3.2</v>
      </c>
      <c r="AI255" s="454">
        <f>AG255*AH255</f>
        <v>0.20800000000000002</v>
      </c>
      <c r="AJ255" s="457">
        <f>AG255+AH255</f>
        <v>3.2650000000000001</v>
      </c>
      <c r="AK255" s="454"/>
      <c r="AL255" s="454">
        <v>0.1</v>
      </c>
    </row>
    <row r="256" spans="1:38" s="528" customFormat="1" ht="15.75" x14ac:dyDescent="0.25">
      <c r="A256" s="521"/>
      <c r="B256" s="526"/>
      <c r="C256" s="527"/>
      <c r="E256" s="529"/>
      <c r="F256" s="530"/>
      <c r="G256" s="541"/>
      <c r="H256" s="542"/>
      <c r="I256" s="522"/>
      <c r="J256" s="921" t="s">
        <v>184</v>
      </c>
      <c r="K256" s="921"/>
      <c r="L256" s="423" t="s">
        <v>161</v>
      </c>
      <c r="M256" s="420" t="s">
        <v>185</v>
      </c>
      <c r="N256" s="424"/>
      <c r="O256" s="422"/>
      <c r="P256" s="422">
        <f>P255+N256</f>
        <v>7012079.5348745594</v>
      </c>
      <c r="Q256" s="523"/>
      <c r="R256" s="523"/>
      <c r="T256" s="523"/>
      <c r="V256" s="531"/>
      <c r="W256" s="666"/>
      <c r="X256" s="469" t="s">
        <v>388</v>
      </c>
      <c r="Y256" s="470">
        <f>AJ259</f>
        <v>11.765000000000001</v>
      </c>
      <c r="Z256" s="459" t="s">
        <v>383</v>
      </c>
      <c r="AA256" s="460"/>
      <c r="AB256" s="461">
        <v>100</v>
      </c>
      <c r="AC256" s="459" t="s">
        <v>385</v>
      </c>
      <c r="AD256" s="462"/>
      <c r="AE256" s="467">
        <f t="shared" si="158"/>
        <v>1176.5</v>
      </c>
      <c r="AF256" s="456"/>
      <c r="AG256" s="454"/>
      <c r="AH256" s="454"/>
      <c r="AI256" s="454"/>
      <c r="AJ256" s="457"/>
      <c r="AK256" s="454"/>
      <c r="AL256" s="454"/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22"/>
      <c r="J257" s="921" t="s">
        <v>186</v>
      </c>
      <c r="K257" s="921"/>
      <c r="L257" s="423" t="s">
        <v>161</v>
      </c>
      <c r="M257" s="420" t="s">
        <v>187</v>
      </c>
      <c r="N257" s="424">
        <f>P256*0.15</f>
        <v>1051811.9302311838</v>
      </c>
      <c r="O257" s="422"/>
      <c r="P257" s="422">
        <f>P256+N257</f>
        <v>8063891.4651057431</v>
      </c>
      <c r="Q257" s="523"/>
      <c r="R257" s="523"/>
      <c r="T257" s="523"/>
      <c r="V257" s="531"/>
      <c r="W257" s="666"/>
      <c r="X257" s="469" t="s">
        <v>389</v>
      </c>
      <c r="Y257" s="470">
        <f>AK259</f>
        <v>3.9000000000000004</v>
      </c>
      <c r="Z257" s="459" t="s">
        <v>100</v>
      </c>
      <c r="AA257" s="460"/>
      <c r="AB257" s="461">
        <v>400</v>
      </c>
      <c r="AC257" s="471" t="s">
        <v>390</v>
      </c>
      <c r="AD257" s="462"/>
      <c r="AE257" s="467">
        <f t="shared" si="158"/>
        <v>1560.0000000000002</v>
      </c>
      <c r="AF257" s="456"/>
      <c r="AG257" s="454"/>
      <c r="AH257" s="454"/>
      <c r="AI257" s="454"/>
      <c r="AJ257" s="457"/>
      <c r="AK257" s="454"/>
      <c r="AL257" s="454"/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22" t="s">
        <v>495</v>
      </c>
      <c r="J258" s="921" t="s">
        <v>188</v>
      </c>
      <c r="K258" s="921"/>
      <c r="L258" s="425"/>
      <c r="M258" s="420" t="s">
        <v>190</v>
      </c>
      <c r="N258" s="424">
        <f>P257*0.1</f>
        <v>806389.14651057438</v>
      </c>
      <c r="O258" s="422"/>
      <c r="P258" s="422">
        <f>P257+N258</f>
        <v>8870280.6116163172</v>
      </c>
      <c r="Q258" s="523"/>
      <c r="R258" s="523">
        <f>P258-M235</f>
        <v>-147219.8016646225</v>
      </c>
      <c r="T258" s="523"/>
      <c r="V258" s="531"/>
      <c r="W258" s="666"/>
      <c r="X258" s="469" t="s">
        <v>391</v>
      </c>
      <c r="Y258" s="470">
        <f>AL259</f>
        <v>4.5999999999999996</v>
      </c>
      <c r="Z258" s="459" t="s">
        <v>100</v>
      </c>
      <c r="AA258" s="460"/>
      <c r="AB258" s="461">
        <v>400</v>
      </c>
      <c r="AC258" s="471" t="s">
        <v>390</v>
      </c>
      <c r="AD258" s="462"/>
      <c r="AE258" s="467">
        <f t="shared" si="158"/>
        <v>1839.9999999999998</v>
      </c>
      <c r="AF258" s="456"/>
      <c r="AG258" s="454"/>
      <c r="AH258" s="454"/>
      <c r="AI258" s="454"/>
      <c r="AJ258" s="457"/>
      <c r="AK258" s="454"/>
      <c r="AL258" s="454"/>
    </row>
    <row r="259" spans="1:38" s="528" customFormat="1" ht="15.75" x14ac:dyDescent="0.25">
      <c r="A259" s="521"/>
      <c r="B259" s="526"/>
      <c r="C259" s="527"/>
      <c r="E259" s="529"/>
      <c r="F259" s="530"/>
      <c r="G259" s="541"/>
      <c r="H259" s="542"/>
      <c r="I259" s="542"/>
      <c r="J259" s="924" t="s">
        <v>191</v>
      </c>
      <c r="K259" s="924"/>
      <c r="L259" s="429" t="s">
        <v>180</v>
      </c>
      <c r="M259" s="428"/>
      <c r="N259" s="426"/>
      <c r="O259" s="422"/>
      <c r="P259" s="422"/>
      <c r="Q259" s="523"/>
      <c r="R259" s="523"/>
      <c r="T259" s="523"/>
      <c r="V259" s="531"/>
      <c r="W259" s="666"/>
      <c r="X259" s="469" t="s">
        <v>392</v>
      </c>
      <c r="Y259" s="472">
        <v>1</v>
      </c>
      <c r="Z259" s="459" t="s">
        <v>393</v>
      </c>
      <c r="AA259" s="462"/>
      <c r="AB259" s="461">
        <v>500</v>
      </c>
      <c r="AC259" s="471" t="s">
        <v>394</v>
      </c>
      <c r="AD259" s="462"/>
      <c r="AE259" s="463">
        <f t="shared" si="158"/>
        <v>500</v>
      </c>
      <c r="AF259" s="456"/>
      <c r="AG259" s="454"/>
      <c r="AH259" s="454"/>
      <c r="AI259" s="473">
        <f>SUM(AI251:AI255)</f>
        <v>2.5680000000000005</v>
      </c>
      <c r="AJ259" s="473">
        <f>SUM(AJ251:AJ255)</f>
        <v>11.765000000000001</v>
      </c>
      <c r="AK259" s="473">
        <f>SUM(AK251:AK254)</f>
        <v>3.9000000000000004</v>
      </c>
      <c r="AL259" s="473">
        <f>SUM(AL251:AL255)</f>
        <v>4.5999999999999996</v>
      </c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42"/>
      <c r="J260" s="924" t="s">
        <v>472</v>
      </c>
      <c r="K260" s="924"/>
      <c r="L260" s="429">
        <f>4*17000/1.05</f>
        <v>64761.904761904756</v>
      </c>
      <c r="M260" s="428" t="s">
        <v>193</v>
      </c>
      <c r="N260" s="426">
        <f>SUM(N254:N258)</f>
        <v>2381687.2281892006</v>
      </c>
      <c r="O260" s="427"/>
      <c r="P260" s="428">
        <f>P258+150000</f>
        <v>9020280.6116163172</v>
      </c>
      <c r="Q260" s="523"/>
      <c r="R260" s="523"/>
      <c r="T260" s="523"/>
      <c r="V260" s="531"/>
      <c r="W260" s="464"/>
      <c r="X260" s="465"/>
      <c r="Y260" s="459"/>
      <c r="Z260" s="459"/>
      <c r="AA260" s="462"/>
      <c r="AB260" s="459"/>
      <c r="AC260" s="462" t="s">
        <v>395</v>
      </c>
      <c r="AD260" s="462" t="s">
        <v>384</v>
      </c>
      <c r="AE260" s="466">
        <f>SUM(AE255:AE259)</f>
        <v>6103.7000000000007</v>
      </c>
      <c r="AF260" s="456"/>
      <c r="AG260" s="454"/>
      <c r="AH260" s="454"/>
      <c r="AI260" s="454"/>
      <c r="AJ260" s="457"/>
      <c r="AK260" s="454"/>
      <c r="AL260" s="454"/>
    </row>
    <row r="261" spans="1:38" s="528" customFormat="1" ht="16.5" thickBot="1" x14ac:dyDescent="0.3">
      <c r="A261" s="521"/>
      <c r="B261" s="526"/>
      <c r="C261" s="527"/>
      <c r="E261" s="529"/>
      <c r="F261" s="530"/>
      <c r="G261" s="541"/>
      <c r="H261" s="542"/>
      <c r="I261" s="542"/>
      <c r="J261" s="924" t="s">
        <v>194</v>
      </c>
      <c r="K261" s="924"/>
      <c r="L261" s="429">
        <v>30000</v>
      </c>
      <c r="M261" s="428" t="s">
        <v>195</v>
      </c>
      <c r="N261" s="426">
        <f>SUM(N254:N259)</f>
        <v>2381687.2281892006</v>
      </c>
      <c r="O261" s="427"/>
      <c r="P261" s="428">
        <f>P260-P258</f>
        <v>150000</v>
      </c>
      <c r="Q261" s="523"/>
      <c r="R261" s="523"/>
      <c r="T261" s="523"/>
      <c r="V261" s="531"/>
      <c r="W261" s="464"/>
      <c r="X261" s="465"/>
      <c r="Y261" s="459"/>
      <c r="Z261" s="459"/>
      <c r="AA261" s="462"/>
      <c r="AB261" s="459"/>
      <c r="AC261" s="462" t="s">
        <v>396</v>
      </c>
      <c r="AD261" s="462" t="s">
        <v>384</v>
      </c>
      <c r="AE261" s="474">
        <f>AE253+AE260</f>
        <v>13191.380000000001</v>
      </c>
      <c r="AF261" s="456"/>
      <c r="AG261" s="454"/>
      <c r="AH261" s="454"/>
      <c r="AI261" s="454"/>
      <c r="AJ261" s="457"/>
      <c r="AK261" s="454"/>
      <c r="AL261" s="454"/>
    </row>
    <row r="262" spans="1:38" s="528" customFormat="1" ht="16.5" thickTop="1" x14ac:dyDescent="0.25">
      <c r="A262" s="521"/>
      <c r="B262" s="526"/>
      <c r="C262" s="527"/>
      <c r="E262" s="529"/>
      <c r="F262" s="530"/>
      <c r="G262" s="541"/>
      <c r="H262" s="542"/>
      <c r="I262" s="542"/>
      <c r="J262" s="924" t="s">
        <v>196</v>
      </c>
      <c r="K262" s="924"/>
      <c r="L262" s="429">
        <v>15000</v>
      </c>
      <c r="M262" s="428"/>
      <c r="N262" s="427"/>
      <c r="O262" s="422"/>
      <c r="P262" s="420"/>
      <c r="Q262" s="523"/>
      <c r="R262" s="523"/>
      <c r="T262" s="523"/>
      <c r="V262" s="531"/>
    </row>
    <row r="263" spans="1:38" s="528" customFormat="1" ht="15.75" x14ac:dyDescent="0.25">
      <c r="A263" s="521"/>
      <c r="B263" s="526"/>
      <c r="C263" s="527"/>
      <c r="E263" s="529"/>
      <c r="F263" s="530"/>
      <c r="G263" s="521"/>
      <c r="H263" s="522"/>
      <c r="I263" s="522"/>
      <c r="J263" s="921" t="s">
        <v>197</v>
      </c>
      <c r="K263" s="921"/>
      <c r="L263" s="423">
        <v>18000</v>
      </c>
      <c r="M263" s="428"/>
      <c r="N263" s="422"/>
      <c r="O263" s="422"/>
      <c r="P263" s="422"/>
      <c r="Q263" s="523"/>
      <c r="R263" s="523"/>
      <c r="T263" s="523"/>
      <c r="V263" s="531"/>
    </row>
    <row r="264" spans="1:38" s="528" customFormat="1" ht="15.75" x14ac:dyDescent="0.25">
      <c r="A264" s="521"/>
      <c r="B264" s="526"/>
      <c r="C264" s="527"/>
      <c r="E264" s="529"/>
      <c r="F264" s="530"/>
      <c r="G264" s="521"/>
      <c r="H264" s="522"/>
      <c r="I264" s="522"/>
      <c r="J264" s="921" t="s">
        <v>198</v>
      </c>
      <c r="K264" s="921"/>
      <c r="L264" s="423">
        <f>3*6000</f>
        <v>18000</v>
      </c>
      <c r="M264" s="422"/>
      <c r="N264" s="422"/>
      <c r="O264" s="422"/>
      <c r="P264" s="422"/>
      <c r="Q264" s="523"/>
      <c r="R264" s="523"/>
      <c r="T264" s="523"/>
      <c r="V264" s="531"/>
    </row>
    <row r="265" spans="1:38" s="528" customFormat="1" ht="15.75" x14ac:dyDescent="0.25">
      <c r="A265" s="521"/>
      <c r="B265" s="526"/>
      <c r="C265" s="527"/>
      <c r="E265" s="529"/>
      <c r="F265" s="530"/>
      <c r="G265" s="521"/>
      <c r="H265" s="522"/>
      <c r="I265" s="522" t="s">
        <v>494</v>
      </c>
      <c r="J265" s="921" t="s">
        <v>199</v>
      </c>
      <c r="K265" s="921"/>
      <c r="L265" s="482"/>
      <c r="M265" s="422"/>
      <c r="N265" s="422"/>
      <c r="O265" s="422"/>
      <c r="P265" s="422"/>
      <c r="Q265" s="523"/>
      <c r="R265" s="523"/>
      <c r="T265" s="523"/>
      <c r="V265" s="531"/>
    </row>
    <row r="266" spans="1:38" s="528" customFormat="1" ht="15.75" x14ac:dyDescent="0.25">
      <c r="E266" s="529"/>
      <c r="F266" s="530"/>
      <c r="G266" s="521"/>
      <c r="H266" s="522"/>
      <c r="I266" s="522"/>
      <c r="J266" s="921" t="s">
        <v>200</v>
      </c>
      <c r="K266" s="921"/>
      <c r="L266" s="425">
        <f>4*10000/1.075</f>
        <v>37209.302325581397</v>
      </c>
      <c r="M266" s="422"/>
      <c r="N266" s="422"/>
      <c r="O266" s="422"/>
      <c r="P266" s="422"/>
      <c r="Q266" s="523"/>
      <c r="R266" s="523"/>
      <c r="T266" s="523"/>
      <c r="V266" s="531"/>
    </row>
    <row r="267" spans="1:38" s="528" customFormat="1" ht="15.75" x14ac:dyDescent="0.25">
      <c r="E267" s="529"/>
      <c r="F267" s="530"/>
      <c r="G267" s="521"/>
      <c r="H267" s="522"/>
      <c r="I267" s="522"/>
      <c r="J267" s="921" t="s">
        <v>201</v>
      </c>
      <c r="K267" s="921"/>
      <c r="L267" s="423" t="s">
        <v>180</v>
      </c>
      <c r="M267" s="422"/>
      <c r="N267" s="422"/>
      <c r="O267" s="422"/>
      <c r="P267" s="422"/>
      <c r="Q267" s="523"/>
      <c r="R267" s="523"/>
      <c r="T267" s="523"/>
      <c r="V267" s="531"/>
    </row>
    <row r="268" spans="1:38" s="528" customFormat="1" ht="15.75" x14ac:dyDescent="0.25">
      <c r="E268" s="529"/>
      <c r="F268" s="530"/>
      <c r="G268" s="521"/>
      <c r="H268" s="522"/>
      <c r="I268" s="522" t="s">
        <v>494</v>
      </c>
      <c r="J268" s="921" t="s">
        <v>202</v>
      </c>
      <c r="K268" s="921"/>
      <c r="L268" s="482"/>
      <c r="M268" s="422"/>
      <c r="N268" s="422"/>
      <c r="O268" s="422"/>
      <c r="P268" s="422"/>
      <c r="Q268" s="523"/>
      <c r="R268" s="523"/>
      <c r="T268" s="523"/>
      <c r="V268" s="531"/>
      <c r="X268" s="877" t="s">
        <v>511</v>
      </c>
      <c r="Y268" s="877"/>
      <c r="Z268" s="877"/>
      <c r="AA268" s="662" t="s">
        <v>243</v>
      </c>
      <c r="AB268" s="662" t="s">
        <v>244</v>
      </c>
      <c r="AC268" s="662" t="s">
        <v>245</v>
      </c>
      <c r="AD268" s="123" t="s">
        <v>246</v>
      </c>
      <c r="AE268" s="196" t="s">
        <v>247</v>
      </c>
      <c r="AF268" s="662" t="s">
        <v>248</v>
      </c>
      <c r="AG268" s="212" t="s">
        <v>249</v>
      </c>
    </row>
    <row r="269" spans="1:38" s="528" customFormat="1" ht="15.75" x14ac:dyDescent="0.25">
      <c r="E269" s="529"/>
      <c r="F269" s="530"/>
      <c r="G269" s="521"/>
      <c r="H269" s="522"/>
      <c r="I269" s="522"/>
      <c r="J269" s="921" t="s">
        <v>203</v>
      </c>
      <c r="K269" s="921"/>
      <c r="L269" s="423">
        <v>16000</v>
      </c>
      <c r="M269" s="422"/>
      <c r="N269" s="422"/>
      <c r="O269" s="422"/>
      <c r="P269" s="422"/>
      <c r="Q269" s="523"/>
      <c r="R269" s="523"/>
      <c r="T269" s="523"/>
      <c r="V269" s="531"/>
      <c r="X269" s="878" t="s">
        <v>512</v>
      </c>
      <c r="Y269" s="878"/>
      <c r="Z269" s="878"/>
      <c r="AA269" s="124" t="s">
        <v>513</v>
      </c>
      <c r="AB269" s="675">
        <f>(1.1*0.6)*3.28*3.28</f>
        <v>7.1005440000000002</v>
      </c>
      <c r="AC269" s="661">
        <v>8</v>
      </c>
      <c r="AD269" s="123">
        <v>200</v>
      </c>
      <c r="AE269" s="196">
        <f>AD269*AC269</f>
        <v>1600</v>
      </c>
      <c r="AF269" s="661"/>
      <c r="AG269" s="219">
        <f>AF269*AC269</f>
        <v>0</v>
      </c>
    </row>
    <row r="270" spans="1:38" s="528" customFormat="1" ht="15.75" x14ac:dyDescent="0.25">
      <c r="E270" s="529"/>
      <c r="F270" s="530"/>
      <c r="G270" s="521"/>
      <c r="H270" s="522"/>
      <c r="I270" s="522"/>
      <c r="J270" s="921" t="s">
        <v>204</v>
      </c>
      <c r="K270" s="921"/>
      <c r="L270" s="423" t="s">
        <v>180</v>
      </c>
      <c r="M270" s="422"/>
      <c r="N270" s="422"/>
      <c r="O270" s="422"/>
      <c r="P270" s="422"/>
      <c r="Q270" s="523"/>
      <c r="R270" s="523"/>
      <c r="T270" s="523"/>
      <c r="V270" s="531"/>
      <c r="X270" s="878" t="s">
        <v>514</v>
      </c>
      <c r="Y270" s="878"/>
      <c r="Z270" s="878"/>
      <c r="AA270" s="124" t="s">
        <v>100</v>
      </c>
      <c r="AB270" s="661">
        <f>(1.1+0.6+1.1+0.6)</f>
        <v>3.4000000000000004</v>
      </c>
      <c r="AC270" s="661">
        <v>3.5</v>
      </c>
      <c r="AD270" s="123">
        <v>20</v>
      </c>
      <c r="AE270" s="196">
        <f>AD270*AC270</f>
        <v>70</v>
      </c>
      <c r="AF270" s="661"/>
      <c r="AG270" s="219">
        <f>AF270*AC270</f>
        <v>0</v>
      </c>
    </row>
    <row r="271" spans="1:38" s="528" customFormat="1" ht="15.75" x14ac:dyDescent="0.25">
      <c r="E271" s="529"/>
      <c r="F271" s="530"/>
      <c r="G271" s="521"/>
      <c r="H271" s="522"/>
      <c r="I271" s="522" t="s">
        <v>494</v>
      </c>
      <c r="J271" s="921" t="s">
        <v>205</v>
      </c>
      <c r="K271" s="921"/>
      <c r="L271" s="482"/>
      <c r="M271" s="422"/>
      <c r="N271" s="422"/>
      <c r="O271" s="422"/>
      <c r="P271" s="422"/>
      <c r="Q271" s="523"/>
      <c r="R271" s="523"/>
      <c r="T271" s="523"/>
      <c r="V271" s="531"/>
      <c r="X271" s="878" t="s">
        <v>515</v>
      </c>
      <c r="Y271" s="878"/>
      <c r="Z271" s="878"/>
      <c r="AA271" s="124" t="s">
        <v>100</v>
      </c>
      <c r="AB271" s="661">
        <f>(1.1+0.6+1.1+0.6)</f>
        <v>3.4000000000000004</v>
      </c>
      <c r="AC271" s="661">
        <v>3.5</v>
      </c>
      <c r="AD271" s="123">
        <v>16</v>
      </c>
      <c r="AE271" s="196">
        <f>AD271*AC271</f>
        <v>56</v>
      </c>
      <c r="AF271" s="661"/>
      <c r="AG271" s="219">
        <f>AF271*AC271</f>
        <v>0</v>
      </c>
    </row>
    <row r="272" spans="1:38" s="528" customFormat="1" ht="15.75" x14ac:dyDescent="0.25">
      <c r="E272" s="529"/>
      <c r="F272" s="530"/>
      <c r="G272" s="521"/>
      <c r="H272" s="522"/>
      <c r="I272" s="522" t="s">
        <v>494</v>
      </c>
      <c r="J272" s="921" t="s">
        <v>206</v>
      </c>
      <c r="K272" s="921"/>
      <c r="L272" s="482"/>
      <c r="M272" s="422"/>
      <c r="N272" s="422"/>
      <c r="O272" s="422"/>
      <c r="P272" s="422"/>
      <c r="Q272" s="523"/>
      <c r="R272" s="523"/>
      <c r="T272" s="523"/>
      <c r="V272" s="531"/>
      <c r="X272" s="878" t="s">
        <v>516</v>
      </c>
      <c r="Y272" s="878"/>
      <c r="Z272" s="878"/>
      <c r="AA272" s="124" t="s">
        <v>101</v>
      </c>
      <c r="AB272" s="675">
        <f>1.1*0.6</f>
        <v>0.66</v>
      </c>
      <c r="AC272" s="661">
        <v>0.8</v>
      </c>
      <c r="AD272" s="676">
        <f>400/2.88</f>
        <v>138.88888888888889</v>
      </c>
      <c r="AE272" s="196">
        <f t="shared" ref="AE272" si="159">AD272*AC272</f>
        <v>111.11111111111111</v>
      </c>
      <c r="AF272" s="661"/>
      <c r="AG272" s="219">
        <f t="shared" ref="AG272" si="160">AF272*AC272</f>
        <v>0</v>
      </c>
    </row>
    <row r="273" spans="1:44" s="528" customFormat="1" ht="15.75" x14ac:dyDescent="0.25">
      <c r="E273" s="529"/>
      <c r="F273" s="530"/>
      <c r="G273" s="521"/>
      <c r="H273" s="522"/>
      <c r="I273" s="522" t="s">
        <v>494</v>
      </c>
      <c r="J273" s="921" t="s">
        <v>473</v>
      </c>
      <c r="K273" s="921"/>
      <c r="L273" s="482"/>
      <c r="M273" s="422"/>
      <c r="N273" s="422"/>
      <c r="O273" s="422"/>
      <c r="P273" s="422"/>
      <c r="Q273" s="523"/>
      <c r="R273" s="523"/>
      <c r="T273" s="523"/>
      <c r="V273" s="531"/>
      <c r="X273" s="878" t="s">
        <v>379</v>
      </c>
      <c r="Y273" s="878"/>
      <c r="Z273" s="878"/>
      <c r="AA273" s="124" t="s">
        <v>301</v>
      </c>
      <c r="AB273" s="661">
        <v>1</v>
      </c>
      <c r="AC273" s="661">
        <v>1</v>
      </c>
      <c r="AD273" s="676">
        <v>500</v>
      </c>
      <c r="AE273" s="196">
        <f>AD273*AC273</f>
        <v>500</v>
      </c>
      <c r="AF273" s="661"/>
      <c r="AG273" s="219">
        <f>AF273*AC273</f>
        <v>0</v>
      </c>
    </row>
    <row r="274" spans="1:44" s="528" customFormat="1" ht="15.75" x14ac:dyDescent="0.25">
      <c r="E274" s="529"/>
      <c r="F274" s="530"/>
      <c r="G274" s="521"/>
      <c r="H274" s="522"/>
      <c r="I274" s="522" t="s">
        <v>494</v>
      </c>
      <c r="J274" s="921" t="s">
        <v>208</v>
      </c>
      <c r="K274" s="921"/>
      <c r="L274" s="482"/>
      <c r="M274" s="422"/>
      <c r="N274" s="422"/>
      <c r="O274" s="422"/>
      <c r="P274" s="422"/>
      <c r="Q274" s="523"/>
      <c r="R274" s="523"/>
      <c r="T274" s="523"/>
      <c r="V274" s="762"/>
      <c r="X274" s="878"/>
      <c r="Y274" s="878"/>
      <c r="Z274" s="878"/>
      <c r="AA274" s="124"/>
      <c r="AB274" s="661"/>
      <c r="AC274" s="661"/>
      <c r="AD274" s="123"/>
      <c r="AE274" s="212">
        <f>SUM(AE269:AE273)</f>
        <v>2337.1111111111113</v>
      </c>
      <c r="AF274" s="661"/>
      <c r="AG274" s="212">
        <f>SUM(AG269:AG273)</f>
        <v>0</v>
      </c>
    </row>
    <row r="275" spans="1:44" s="528" customFormat="1" ht="15.75" x14ac:dyDescent="0.25">
      <c r="E275" s="529"/>
      <c r="F275" s="530"/>
      <c r="G275" s="521"/>
      <c r="H275" s="522"/>
      <c r="I275" s="522" t="s">
        <v>496</v>
      </c>
      <c r="J275" s="921" t="s">
        <v>209</v>
      </c>
      <c r="K275" s="921"/>
      <c r="L275" s="482"/>
      <c r="M275" s="422"/>
      <c r="N275" s="422"/>
      <c r="O275" s="422"/>
      <c r="P275" s="422"/>
      <c r="Q275" s="523"/>
      <c r="R275" s="523"/>
      <c r="T275" s="523"/>
      <c r="V275" s="762"/>
    </row>
    <row r="276" spans="1:44" s="528" customFormat="1" ht="15.75" x14ac:dyDescent="0.25">
      <c r="E276" s="529"/>
      <c r="F276" s="530"/>
      <c r="G276" s="521"/>
      <c r="H276" s="522"/>
      <c r="I276" s="522"/>
      <c r="J276" s="921" t="s">
        <v>474</v>
      </c>
      <c r="K276" s="921"/>
      <c r="L276" s="423">
        <v>15000</v>
      </c>
      <c r="M276" s="422"/>
      <c r="N276" s="422"/>
      <c r="O276" s="422"/>
      <c r="P276" s="422"/>
      <c r="Q276" s="523"/>
      <c r="R276" s="523"/>
      <c r="T276" s="523"/>
      <c r="V276" s="762"/>
    </row>
    <row r="277" spans="1:44" s="528" customFormat="1" ht="15.75" x14ac:dyDescent="0.25">
      <c r="E277" s="529"/>
      <c r="F277" s="530"/>
      <c r="G277" s="521"/>
      <c r="H277" s="522"/>
      <c r="I277" s="522" t="s">
        <v>494</v>
      </c>
      <c r="J277" s="921" t="s">
        <v>211</v>
      </c>
      <c r="K277" s="921"/>
      <c r="L277" s="482"/>
      <c r="M277" s="422"/>
      <c r="N277" s="422"/>
      <c r="O277" s="422"/>
      <c r="P277" s="422"/>
      <c r="Q277" s="523"/>
      <c r="R277" s="523"/>
      <c r="T277" s="523"/>
      <c r="V277" s="762"/>
    </row>
    <row r="278" spans="1:44" s="528" customFormat="1" ht="15.75" x14ac:dyDescent="0.25">
      <c r="E278" s="529"/>
      <c r="F278" s="530"/>
      <c r="G278" s="521"/>
      <c r="H278" s="522"/>
      <c r="I278" s="522"/>
      <c r="J278" s="921" t="s">
        <v>212</v>
      </c>
      <c r="K278" s="921"/>
      <c r="L278" s="423">
        <v>15000</v>
      </c>
      <c r="M278" s="422"/>
      <c r="N278" s="422"/>
      <c r="O278" s="422"/>
      <c r="P278" s="422"/>
      <c r="Q278" s="523"/>
      <c r="R278" s="523"/>
      <c r="T278" s="523"/>
      <c r="V278" s="762"/>
      <c r="AD278" s="523"/>
      <c r="AF278" s="523"/>
    </row>
    <row r="279" spans="1:44" s="528" customFormat="1" ht="15.75" x14ac:dyDescent="0.25">
      <c r="E279" s="529"/>
      <c r="F279" s="530"/>
      <c r="G279" s="521"/>
      <c r="H279" s="522"/>
      <c r="I279" s="522"/>
      <c r="J279" s="921" t="s">
        <v>475</v>
      </c>
      <c r="K279" s="921"/>
      <c r="L279" s="423">
        <f>4*12000/1.12</f>
        <v>42857.142857142855</v>
      </c>
      <c r="M279" s="422"/>
      <c r="N279" s="422"/>
      <c r="O279" s="422"/>
      <c r="P279" s="422"/>
      <c r="Q279" s="523"/>
      <c r="R279" s="523"/>
      <c r="T279" s="523"/>
      <c r="V279" s="762"/>
      <c r="X279" s="878" t="s">
        <v>522</v>
      </c>
      <c r="Y279" s="878"/>
      <c r="Z279" s="878"/>
      <c r="AA279" s="124" t="s">
        <v>101</v>
      </c>
      <c r="AB279" s="675">
        <f>(3.2*1.5)*2+(1*1.5)*2</f>
        <v>12.600000000000001</v>
      </c>
      <c r="AC279" s="661">
        <v>13</v>
      </c>
      <c r="AD279" s="676">
        <f>375*(3.28*3.28)/1.075</f>
        <v>3752.9302325581389</v>
      </c>
      <c r="AE279" s="196">
        <f t="shared" ref="AE279" si="161">AD279*AC279</f>
        <v>48788.093023255802</v>
      </c>
      <c r="AF279" s="677">
        <f>AD279*0.35</f>
        <v>1313.5255813953486</v>
      </c>
      <c r="AG279" s="219">
        <f t="shared" ref="AG279" si="162">AF279*AC279</f>
        <v>17075.832558139533</v>
      </c>
    </row>
    <row r="280" spans="1:44" s="528" customFormat="1" ht="15.75" x14ac:dyDescent="0.25">
      <c r="E280" s="529"/>
      <c r="F280" s="530"/>
      <c r="G280" s="521"/>
      <c r="H280" s="522"/>
      <c r="I280" s="522"/>
      <c r="J280" s="921" t="s">
        <v>214</v>
      </c>
      <c r="K280" s="921"/>
      <c r="L280" s="423" t="s">
        <v>189</v>
      </c>
      <c r="M280" s="422"/>
      <c r="N280" s="422"/>
      <c r="O280" s="422"/>
      <c r="P280" s="422"/>
      <c r="Q280" s="523"/>
      <c r="R280" s="523"/>
      <c r="T280" s="523"/>
      <c r="V280" s="762"/>
      <c r="W280" s="397"/>
      <c r="X280" s="878" t="s">
        <v>379</v>
      </c>
      <c r="Y280" s="878"/>
      <c r="Z280" s="878"/>
      <c r="AA280" s="124" t="s">
        <v>301</v>
      </c>
      <c r="AB280" s="661">
        <v>1</v>
      </c>
      <c r="AC280" s="661">
        <v>1</v>
      </c>
      <c r="AD280" s="676">
        <v>2000</v>
      </c>
      <c r="AE280" s="196">
        <f>AD280*AC280</f>
        <v>2000</v>
      </c>
      <c r="AF280" s="661">
        <v>1000</v>
      </c>
      <c r="AG280" s="219">
        <f>AF280*AC280</f>
        <v>1000</v>
      </c>
      <c r="AH280" s="394"/>
      <c r="AI280" s="394"/>
      <c r="AJ280" s="395"/>
      <c r="AK280" s="394"/>
      <c r="AL280" s="394"/>
    </row>
    <row r="281" spans="1:44" s="528" customFormat="1" ht="15.75" x14ac:dyDescent="0.25">
      <c r="E281" s="529"/>
      <c r="F281" s="530"/>
      <c r="G281" s="521"/>
      <c r="H281" s="522"/>
      <c r="I281" s="522"/>
      <c r="J281" s="921" t="s">
        <v>476</v>
      </c>
      <c r="K281" s="921"/>
      <c r="L281" s="423">
        <v>10000</v>
      </c>
      <c r="M281" s="422"/>
      <c r="N281" s="422"/>
      <c r="O281" s="422"/>
      <c r="P281" s="422"/>
      <c r="Q281" s="523"/>
      <c r="R281" s="523"/>
      <c r="T281" s="523"/>
      <c r="V281" s="762"/>
      <c r="W281" s="397"/>
      <c r="AE281" s="763">
        <f>SUM(AE279:AE280)</f>
        <v>50788.093023255802</v>
      </c>
      <c r="AG281" s="763">
        <f>SUM(AG279:AG280)</f>
        <v>18075.832558139533</v>
      </c>
      <c r="AH281" s="394"/>
      <c r="AI281" s="394"/>
      <c r="AJ281" s="395"/>
      <c r="AK281" s="394"/>
      <c r="AL281" s="394"/>
    </row>
    <row r="282" spans="1:44" s="528" customFormat="1" ht="15.75" x14ac:dyDescent="0.25">
      <c r="A282" s="521"/>
      <c r="B282" s="526"/>
      <c r="C282" s="527"/>
      <c r="E282" s="529"/>
      <c r="F282" s="530"/>
      <c r="G282" s="521"/>
      <c r="H282" s="522"/>
      <c r="I282" s="522"/>
      <c r="J282" s="921" t="s">
        <v>477</v>
      </c>
      <c r="K282" s="921"/>
      <c r="L282" s="429"/>
      <c r="M282" s="422"/>
      <c r="N282" s="422"/>
      <c r="O282" s="422"/>
      <c r="P282" s="422"/>
      <c r="Q282" s="523"/>
      <c r="R282" s="523"/>
      <c r="T282" s="523"/>
      <c r="V282" s="762"/>
      <c r="W282" s="397"/>
      <c r="X282" s="400"/>
      <c r="Y282" s="404"/>
      <c r="Z282" s="391"/>
      <c r="AA282" s="392"/>
      <c r="AB282" s="399"/>
      <c r="AC282" s="403"/>
      <c r="AD282" s="392"/>
      <c r="AE282" s="378"/>
      <c r="AF282" s="393"/>
      <c r="AG282" s="394"/>
      <c r="AH282" s="394"/>
      <c r="AI282" s="405"/>
      <c r="AJ282" s="405"/>
      <c r="AK282" s="405"/>
      <c r="AL282" s="405"/>
    </row>
    <row r="283" spans="1:44" s="528" customFormat="1" ht="15.75" x14ac:dyDescent="0.25">
      <c r="A283" s="521"/>
      <c r="B283" s="526"/>
      <c r="C283" s="527"/>
      <c r="E283" s="529"/>
      <c r="F283" s="530"/>
      <c r="G283" s="521"/>
      <c r="H283" s="522"/>
      <c r="I283" s="522"/>
      <c r="J283" s="921" t="s">
        <v>217</v>
      </c>
      <c r="K283" s="921"/>
      <c r="L283" s="429" t="s">
        <v>180</v>
      </c>
      <c r="M283" s="422"/>
      <c r="N283" s="422"/>
      <c r="O283" s="422"/>
      <c r="P283" s="422"/>
      <c r="Q283" s="523"/>
      <c r="R283" s="523"/>
      <c r="T283" s="523"/>
      <c r="V283" s="762"/>
      <c r="W283" s="389"/>
      <c r="X283" s="390"/>
      <c r="Y283" s="391"/>
      <c r="Z283" s="391"/>
      <c r="AA283" s="392"/>
      <c r="AB283" s="391"/>
      <c r="AC283" s="392"/>
      <c r="AD283" s="392"/>
      <c r="AE283" s="378"/>
      <c r="AF283" s="393"/>
      <c r="AG283" s="394"/>
      <c r="AH283" s="394"/>
      <c r="AI283" s="394"/>
      <c r="AJ283" s="395"/>
      <c r="AK283" s="394"/>
      <c r="AL283" s="394"/>
    </row>
    <row r="284" spans="1:44" s="528" customFormat="1" ht="15.75" x14ac:dyDescent="0.25">
      <c r="A284" s="521"/>
      <c r="B284" s="526"/>
      <c r="C284" s="527"/>
      <c r="E284" s="529"/>
      <c r="F284" s="530"/>
      <c r="G284" s="521"/>
      <c r="H284" s="522"/>
      <c r="I284" s="522"/>
      <c r="J284" s="921" t="s">
        <v>478</v>
      </c>
      <c r="K284" s="921"/>
      <c r="L284" s="429">
        <v>3500</v>
      </c>
      <c r="M284" s="422"/>
      <c r="N284" s="422"/>
      <c r="O284" s="422"/>
      <c r="P284" s="422"/>
      <c r="Q284" s="523"/>
      <c r="R284" s="523"/>
      <c r="T284" s="523"/>
      <c r="V284" s="762"/>
      <c r="W284" s="389"/>
      <c r="X284" s="390"/>
      <c r="Y284" s="391"/>
      <c r="Z284" s="391"/>
      <c r="AA284" s="392"/>
      <c r="AB284" s="391"/>
      <c r="AC284" s="392"/>
      <c r="AD284" s="392"/>
      <c r="AE284" s="378"/>
      <c r="AF284" s="393"/>
      <c r="AG284" s="394"/>
      <c r="AH284" s="394"/>
      <c r="AI284" s="394"/>
      <c r="AJ284" s="395"/>
      <c r="AK284" s="394"/>
      <c r="AL284" s="394"/>
    </row>
    <row r="285" spans="1:44" s="528" customFormat="1" ht="15.75" x14ac:dyDescent="0.25">
      <c r="A285" s="521"/>
      <c r="B285" s="526"/>
      <c r="C285" s="527"/>
      <c r="E285" s="529"/>
      <c r="F285" s="530"/>
      <c r="G285" s="521"/>
      <c r="H285" s="522"/>
      <c r="I285" s="522"/>
      <c r="J285" s="921" t="s">
        <v>219</v>
      </c>
      <c r="K285" s="921"/>
      <c r="L285" s="429" t="s">
        <v>180</v>
      </c>
      <c r="M285" s="422"/>
      <c r="N285" s="422"/>
      <c r="O285" s="422"/>
      <c r="P285" s="422"/>
      <c r="Q285" s="523"/>
      <c r="R285" s="523"/>
      <c r="T285" s="523"/>
      <c r="V285" s="762"/>
      <c r="W285" s="764"/>
      <c r="X285" s="764"/>
      <c r="Y285" s="764"/>
      <c r="Z285" s="764"/>
      <c r="AA285" s="764"/>
      <c r="AB285" s="764"/>
      <c r="AC285" s="764"/>
      <c r="AD285" s="765"/>
      <c r="AE285" s="764"/>
      <c r="AF285" s="765"/>
      <c r="AG285" s="523"/>
      <c r="AH285" s="523"/>
      <c r="AI285" s="523"/>
      <c r="AJ285" s="523"/>
      <c r="AK285" s="523"/>
      <c r="AL285" s="523"/>
    </row>
    <row r="286" spans="1:44" s="523" customFormat="1" ht="15.75" x14ac:dyDescent="0.25">
      <c r="A286" s="521"/>
      <c r="B286" s="526"/>
      <c r="C286" s="527"/>
      <c r="D286" s="528"/>
      <c r="E286" s="529"/>
      <c r="F286" s="530"/>
      <c r="G286" s="521"/>
      <c r="H286" s="522"/>
      <c r="I286" s="522"/>
      <c r="J286" s="921" t="s">
        <v>220</v>
      </c>
      <c r="K286" s="921"/>
      <c r="L286" s="429">
        <v>3500</v>
      </c>
      <c r="M286" s="422"/>
      <c r="N286" s="422"/>
      <c r="O286" s="422"/>
      <c r="P286" s="422"/>
      <c r="S286" s="528"/>
      <c r="U286" s="528"/>
      <c r="V286" s="528"/>
      <c r="W286" s="528"/>
      <c r="X286" s="528"/>
      <c r="Y286" s="528"/>
      <c r="Z286" s="528"/>
      <c r="AA286" s="528"/>
      <c r="AB286" s="528"/>
      <c r="AC286" s="528"/>
      <c r="AE286" s="528"/>
      <c r="AG286" s="528"/>
      <c r="AH286" s="528"/>
      <c r="AI286" s="528"/>
      <c r="AJ286" s="528"/>
      <c r="AK286" s="528"/>
      <c r="AL286" s="528"/>
      <c r="AM286" s="528"/>
      <c r="AN286" s="528"/>
      <c r="AO286" s="528"/>
      <c r="AP286" s="528"/>
      <c r="AQ286" s="528"/>
      <c r="AR286" s="528"/>
    </row>
    <row r="287" spans="1:44" s="523" customFormat="1" ht="15.75" x14ac:dyDescent="0.25">
      <c r="A287" s="521"/>
      <c r="B287" s="526"/>
      <c r="C287" s="527"/>
      <c r="D287" s="528"/>
      <c r="E287" s="529"/>
      <c r="F287" s="530"/>
      <c r="G287" s="521"/>
      <c r="H287" s="522"/>
      <c r="I287" s="522"/>
      <c r="J287" s="921" t="s">
        <v>221</v>
      </c>
      <c r="K287" s="921"/>
      <c r="L287" s="429">
        <v>3500</v>
      </c>
      <c r="M287" s="422"/>
      <c r="N287" s="422"/>
      <c r="O287" s="422"/>
      <c r="P287" s="422"/>
      <c r="S287" s="528"/>
      <c r="U287" s="528"/>
      <c r="V287" s="528"/>
      <c r="W287" s="528"/>
      <c r="X287" s="528"/>
      <c r="Y287" s="528"/>
      <c r="Z287" s="528"/>
      <c r="AA287" s="528"/>
      <c r="AB287" s="528"/>
      <c r="AC287" s="528"/>
      <c r="AE287" s="528"/>
      <c r="AG287" s="528"/>
      <c r="AH287" s="528"/>
      <c r="AI287" s="528"/>
      <c r="AJ287" s="528"/>
      <c r="AK287" s="528"/>
      <c r="AL287" s="528"/>
      <c r="AM287" s="528"/>
      <c r="AN287" s="528"/>
      <c r="AO287" s="528"/>
      <c r="AP287" s="528"/>
      <c r="AQ287" s="528"/>
      <c r="AR287" s="528"/>
    </row>
    <row r="288" spans="1:44" s="523" customFormat="1" ht="15.75" x14ac:dyDescent="0.25">
      <c r="A288" s="521"/>
      <c r="B288" s="526"/>
      <c r="C288" s="527"/>
      <c r="D288" s="528"/>
      <c r="E288" s="529"/>
      <c r="F288" s="530"/>
      <c r="G288" s="521"/>
      <c r="H288" s="522"/>
      <c r="I288" s="522"/>
      <c r="J288" s="921" t="s">
        <v>479</v>
      </c>
      <c r="K288" s="921"/>
      <c r="L288" s="423">
        <v>0</v>
      </c>
      <c r="M288" s="422"/>
      <c r="N288" s="422"/>
      <c r="O288" s="422"/>
      <c r="P288" s="422"/>
      <c r="S288" s="528"/>
      <c r="U288" s="528"/>
      <c r="V288" s="528"/>
      <c r="W288" s="528"/>
      <c r="X288" s="528"/>
      <c r="Y288" s="528"/>
      <c r="Z288" s="528"/>
      <c r="AA288" s="528"/>
      <c r="AB288" s="528"/>
      <c r="AC288" s="528"/>
      <c r="AE288" s="528"/>
      <c r="AG288" s="528"/>
      <c r="AH288" s="528"/>
      <c r="AI288" s="528"/>
      <c r="AJ288" s="528"/>
      <c r="AK288" s="528"/>
      <c r="AL288" s="528"/>
      <c r="AM288" s="528"/>
      <c r="AN288" s="528"/>
      <c r="AO288" s="528"/>
      <c r="AP288" s="528"/>
      <c r="AQ288" s="528"/>
      <c r="AR288" s="528"/>
    </row>
    <row r="289" spans="1:44" s="523" customFormat="1" ht="15.75" x14ac:dyDescent="0.25">
      <c r="A289" s="521"/>
      <c r="B289" s="526"/>
      <c r="C289" s="527"/>
      <c r="D289" s="528"/>
      <c r="E289" s="529"/>
      <c r="F289" s="530"/>
      <c r="G289" s="521"/>
      <c r="H289" s="522"/>
      <c r="I289" s="522"/>
      <c r="J289" s="921" t="s">
        <v>223</v>
      </c>
      <c r="K289" s="921"/>
      <c r="L289" s="423">
        <v>12000</v>
      </c>
      <c r="M289" s="430"/>
      <c r="N289" s="422"/>
      <c r="O289" s="422"/>
      <c r="P289" s="422"/>
      <c r="S289" s="528"/>
      <c r="U289" s="528"/>
      <c r="V289" s="528"/>
      <c r="W289" s="528"/>
      <c r="X289" s="528"/>
      <c r="Y289" s="528"/>
      <c r="Z289" s="528"/>
      <c r="AA289" s="528"/>
      <c r="AB289" s="528"/>
      <c r="AC289" s="528"/>
      <c r="AE289" s="528"/>
      <c r="AG289" s="528"/>
      <c r="AH289" s="528"/>
      <c r="AI289" s="528"/>
      <c r="AJ289" s="528"/>
      <c r="AK289" s="528"/>
      <c r="AL289" s="528"/>
      <c r="AM289" s="528"/>
      <c r="AN289" s="528"/>
      <c r="AO289" s="528"/>
      <c r="AP289" s="528"/>
      <c r="AQ289" s="528"/>
      <c r="AR289" s="528"/>
    </row>
    <row r="290" spans="1:44" s="523" customFormat="1" ht="15.75" x14ac:dyDescent="0.25">
      <c r="A290" s="521"/>
      <c r="B290" s="526"/>
      <c r="C290" s="527"/>
      <c r="D290" s="528"/>
      <c r="E290" s="529"/>
      <c r="F290" s="530"/>
      <c r="G290" s="521"/>
      <c r="H290" s="522"/>
      <c r="I290" s="522"/>
      <c r="J290" s="921" t="s">
        <v>480</v>
      </c>
      <c r="K290" s="921"/>
      <c r="L290" s="423" t="s">
        <v>189</v>
      </c>
      <c r="M290" s="431"/>
      <c r="N290" s="431"/>
      <c r="O290" s="431"/>
      <c r="P290" s="431"/>
      <c r="S290" s="528"/>
      <c r="U290" s="528"/>
      <c r="V290" s="528"/>
      <c r="W290" s="528"/>
      <c r="X290" s="528"/>
      <c r="Y290" s="528"/>
      <c r="Z290" s="528"/>
      <c r="AA290" s="528"/>
      <c r="AB290" s="528"/>
      <c r="AC290" s="528"/>
      <c r="AE290" s="528"/>
      <c r="AG290" s="528"/>
      <c r="AH290" s="528"/>
      <c r="AI290" s="528"/>
      <c r="AJ290" s="528"/>
      <c r="AK290" s="528"/>
      <c r="AL290" s="528"/>
      <c r="AM290" s="528"/>
      <c r="AN290" s="528"/>
      <c r="AO290" s="528"/>
      <c r="AP290" s="528"/>
      <c r="AQ290" s="528"/>
      <c r="AR290" s="528"/>
    </row>
    <row r="291" spans="1:44" s="523" customFormat="1" ht="15.75" x14ac:dyDescent="0.25">
      <c r="A291" s="521"/>
      <c r="B291" s="526"/>
      <c r="C291" s="527"/>
      <c r="D291" s="528"/>
      <c r="E291" s="529"/>
      <c r="F291" s="530"/>
      <c r="G291" s="521"/>
      <c r="H291" s="522"/>
      <c r="I291" s="522"/>
      <c r="J291" s="935" t="s">
        <v>481</v>
      </c>
      <c r="K291" s="935"/>
      <c r="L291" s="423">
        <v>8500</v>
      </c>
      <c r="M291" s="431"/>
      <c r="N291" s="431"/>
      <c r="O291" s="431"/>
      <c r="P291" s="431"/>
      <c r="S291" s="528"/>
      <c r="U291" s="528"/>
      <c r="V291" s="528"/>
      <c r="W291" s="528"/>
      <c r="X291" s="528"/>
      <c r="Y291" s="528"/>
      <c r="Z291" s="528"/>
      <c r="AA291" s="528"/>
      <c r="AB291" s="528"/>
      <c r="AC291" s="528"/>
      <c r="AE291" s="528"/>
      <c r="AG291" s="528"/>
      <c r="AH291" s="528"/>
      <c r="AI291" s="528"/>
      <c r="AJ291" s="528"/>
      <c r="AK291" s="528"/>
      <c r="AL291" s="528"/>
      <c r="AM291" s="528"/>
      <c r="AN291" s="528"/>
      <c r="AO291" s="528"/>
      <c r="AP291" s="528"/>
      <c r="AQ291" s="528"/>
      <c r="AR291" s="528"/>
    </row>
    <row r="292" spans="1:44" s="523" customFormat="1" ht="15.75" x14ac:dyDescent="0.25">
      <c r="A292" s="521"/>
      <c r="B292" s="526"/>
      <c r="C292" s="527"/>
      <c r="D292" s="528"/>
      <c r="E292" s="529"/>
      <c r="F292" s="530"/>
      <c r="G292" s="521"/>
      <c r="H292" s="522"/>
      <c r="I292" s="522"/>
      <c r="J292" s="921" t="s">
        <v>482</v>
      </c>
      <c r="K292" s="921"/>
      <c r="L292" s="423">
        <v>8500</v>
      </c>
      <c r="M292" s="431"/>
      <c r="N292" s="431"/>
      <c r="O292" s="431"/>
      <c r="P292" s="431"/>
      <c r="S292" s="528"/>
      <c r="U292" s="528"/>
      <c r="V292" s="528"/>
      <c r="W292" s="528"/>
      <c r="X292" s="528"/>
      <c r="Y292" s="528"/>
      <c r="Z292" s="528"/>
      <c r="AA292" s="528"/>
      <c r="AB292" s="528"/>
      <c r="AC292" s="528"/>
      <c r="AE292" s="528"/>
      <c r="AG292" s="528"/>
      <c r="AH292" s="528"/>
      <c r="AI292" s="528"/>
      <c r="AJ292" s="528"/>
      <c r="AK292" s="528"/>
      <c r="AL292" s="528"/>
      <c r="AM292" s="528"/>
      <c r="AN292" s="528"/>
      <c r="AO292" s="528"/>
      <c r="AP292" s="528"/>
      <c r="AQ292" s="528"/>
      <c r="AR292" s="528"/>
    </row>
    <row r="293" spans="1:44" s="523" customFormat="1" ht="15.75" x14ac:dyDescent="0.25">
      <c r="A293" s="521"/>
      <c r="B293" s="526"/>
      <c r="C293" s="527"/>
      <c r="D293" s="528"/>
      <c r="E293" s="529"/>
      <c r="F293" s="530"/>
      <c r="G293" s="521"/>
      <c r="H293" s="522"/>
      <c r="I293" s="522"/>
      <c r="J293" s="936" t="s">
        <v>483</v>
      </c>
      <c r="K293" s="936"/>
      <c r="L293" s="766" t="s">
        <v>189</v>
      </c>
      <c r="M293" s="767"/>
      <c r="N293" s="767"/>
      <c r="O293" s="767"/>
      <c r="P293" s="767"/>
      <c r="S293" s="528"/>
      <c r="U293" s="528"/>
      <c r="V293" s="528"/>
      <c r="W293" s="528"/>
      <c r="X293" s="528"/>
      <c r="Y293" s="528"/>
      <c r="Z293" s="528"/>
      <c r="AA293" s="528"/>
      <c r="AB293" s="528"/>
      <c r="AC293" s="528"/>
      <c r="AE293" s="528"/>
      <c r="AG293" s="528"/>
      <c r="AH293" s="528"/>
      <c r="AI293" s="528"/>
      <c r="AJ293" s="528"/>
      <c r="AK293" s="528"/>
      <c r="AL293" s="528"/>
      <c r="AM293" s="528"/>
      <c r="AN293" s="528"/>
      <c r="AO293" s="528"/>
      <c r="AP293" s="528"/>
      <c r="AQ293" s="528"/>
      <c r="AR293" s="528"/>
    </row>
    <row r="294" spans="1:44" s="523" customFormat="1" ht="15.75" x14ac:dyDescent="0.25">
      <c r="A294" s="521"/>
      <c r="B294" s="526"/>
      <c r="C294" s="527"/>
      <c r="D294" s="528"/>
      <c r="E294" s="529"/>
      <c r="F294" s="530"/>
      <c r="G294" s="521"/>
      <c r="H294" s="522"/>
      <c r="I294" s="522" t="s">
        <v>494</v>
      </c>
      <c r="J294" s="936" t="s">
        <v>484</v>
      </c>
      <c r="K294" s="936"/>
      <c r="L294" s="482"/>
      <c r="M294" s="767"/>
      <c r="N294" s="767"/>
      <c r="O294" s="767"/>
      <c r="P294" s="767"/>
      <c r="S294" s="528"/>
      <c r="U294" s="528"/>
      <c r="V294" s="528"/>
      <c r="W294" s="528"/>
      <c r="X294" s="528"/>
      <c r="Y294" s="528"/>
      <c r="Z294" s="528"/>
      <c r="AA294" s="528"/>
      <c r="AB294" s="528"/>
      <c r="AC294" s="528"/>
      <c r="AE294" s="528"/>
      <c r="AG294" s="528"/>
      <c r="AH294" s="528"/>
      <c r="AI294" s="528"/>
      <c r="AJ294" s="528"/>
      <c r="AK294" s="528"/>
      <c r="AL294" s="528"/>
      <c r="AM294" s="528"/>
      <c r="AN294" s="528"/>
      <c r="AO294" s="528"/>
      <c r="AP294" s="528"/>
      <c r="AQ294" s="528"/>
      <c r="AR294" s="528"/>
    </row>
    <row r="295" spans="1:44" s="1" customFormat="1" ht="15.75" x14ac:dyDescent="0.25">
      <c r="A295" s="19"/>
      <c r="B295" s="153"/>
      <c r="C295" s="294"/>
      <c r="D295" s="18"/>
      <c r="E295" s="60"/>
      <c r="F295" s="91"/>
      <c r="G295" s="19"/>
      <c r="H295" s="2"/>
      <c r="I295" s="2"/>
      <c r="J295" s="895" t="s">
        <v>485</v>
      </c>
      <c r="K295" s="895"/>
      <c r="L295" s="669" t="s">
        <v>189</v>
      </c>
      <c r="M295" s="434"/>
      <c r="N295" s="434"/>
      <c r="O295" s="434"/>
      <c r="P295" s="434"/>
      <c r="S295" s="18"/>
      <c r="U295" s="18"/>
      <c r="V295" s="18"/>
      <c r="W295" s="18"/>
      <c r="X295" s="18"/>
      <c r="Y295" s="18"/>
      <c r="Z295" s="18"/>
      <c r="AA295" s="18"/>
      <c r="AB295" s="18"/>
      <c r="AC295" s="18"/>
      <c r="AE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s="1" customFormat="1" ht="15.75" x14ac:dyDescent="0.25">
      <c r="A296" s="19"/>
      <c r="B296" s="153"/>
      <c r="C296" s="294"/>
      <c r="D296" s="18"/>
      <c r="E296" s="60"/>
      <c r="F296" s="91"/>
      <c r="G296" s="19"/>
      <c r="H296" s="2"/>
      <c r="I296" s="2"/>
      <c r="J296" s="895" t="s">
        <v>486</v>
      </c>
      <c r="K296" s="895"/>
      <c r="L296" s="669" t="s">
        <v>189</v>
      </c>
      <c r="M296" s="434"/>
      <c r="N296" s="434"/>
      <c r="O296" s="434"/>
      <c r="P296" s="434"/>
      <c r="S296" s="18"/>
      <c r="U296" s="18"/>
      <c r="V296" s="18"/>
      <c r="W296" s="18"/>
      <c r="X296" s="18"/>
      <c r="Y296" s="18"/>
      <c r="Z296" s="18"/>
      <c r="AA296" s="18"/>
      <c r="AB296" s="18"/>
      <c r="AC296" s="18"/>
      <c r="AE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s="1" customFormat="1" ht="15.75" x14ac:dyDescent="0.25">
      <c r="A297" s="19"/>
      <c r="B297" s="153"/>
      <c r="C297" s="294"/>
      <c r="D297" s="18"/>
      <c r="E297" s="60"/>
      <c r="F297" s="91"/>
      <c r="G297" s="19"/>
      <c r="H297" s="2"/>
      <c r="I297" s="2"/>
      <c r="J297" s="892" t="s">
        <v>222</v>
      </c>
      <c r="K297" s="892"/>
      <c r="L297" s="669">
        <v>7500</v>
      </c>
      <c r="M297" s="434"/>
      <c r="N297" s="434"/>
      <c r="O297" s="434"/>
      <c r="P297" s="434"/>
      <c r="S297" s="18"/>
      <c r="U297" s="18"/>
      <c r="V297" s="18"/>
      <c r="W297" s="18"/>
      <c r="X297" s="18"/>
      <c r="Y297" s="18"/>
      <c r="Z297" s="18"/>
      <c r="AA297" s="18"/>
      <c r="AB297" s="18"/>
      <c r="AC297" s="18"/>
      <c r="AE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2" t="s">
        <v>487</v>
      </c>
      <c r="K298" s="892"/>
      <c r="L298" s="669"/>
      <c r="M298" s="434"/>
      <c r="N298" s="434"/>
      <c r="O298" s="434"/>
      <c r="P298" s="434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E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2" t="s">
        <v>213</v>
      </c>
      <c r="K299" s="892"/>
      <c r="L299" s="669" t="s">
        <v>161</v>
      </c>
      <c r="M299" s="434"/>
      <c r="N299" s="434"/>
      <c r="O299" s="434"/>
      <c r="P299" s="434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E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 t="s">
        <v>494</v>
      </c>
      <c r="J300" s="892" t="s">
        <v>488</v>
      </c>
      <c r="K300" s="892"/>
      <c r="L300" s="485"/>
      <c r="M300" s="434"/>
      <c r="N300" s="434"/>
      <c r="O300" s="434"/>
      <c r="P300" s="434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E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2" t="s">
        <v>489</v>
      </c>
      <c r="K301" s="892"/>
      <c r="L301" s="669"/>
      <c r="M301" s="434"/>
      <c r="N301" s="434"/>
      <c r="O301" s="434"/>
      <c r="P301" s="434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E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</sheetData>
  <mergeCells count="159">
    <mergeCell ref="J299:K299"/>
    <mergeCell ref="J300:K300"/>
    <mergeCell ref="J301:K301"/>
    <mergeCell ref="J293:K293"/>
    <mergeCell ref="J294:K294"/>
    <mergeCell ref="J295:K295"/>
    <mergeCell ref="J296:K296"/>
    <mergeCell ref="J297:K297"/>
    <mergeCell ref="J298:K298"/>
    <mergeCell ref="J287:K287"/>
    <mergeCell ref="J288:K288"/>
    <mergeCell ref="J289:K289"/>
    <mergeCell ref="J290:K290"/>
    <mergeCell ref="J291:K291"/>
    <mergeCell ref="J292:K292"/>
    <mergeCell ref="J281:K281"/>
    <mergeCell ref="J282:K282"/>
    <mergeCell ref="J283:K283"/>
    <mergeCell ref="J284:K284"/>
    <mergeCell ref="J285:K285"/>
    <mergeCell ref="J286:K286"/>
    <mergeCell ref="J277:K277"/>
    <mergeCell ref="J278:K278"/>
    <mergeCell ref="J279:K279"/>
    <mergeCell ref="X279:Z279"/>
    <mergeCell ref="J280:K280"/>
    <mergeCell ref="X280:Z280"/>
    <mergeCell ref="J273:K273"/>
    <mergeCell ref="X273:Z273"/>
    <mergeCell ref="J274:K274"/>
    <mergeCell ref="X274:Z274"/>
    <mergeCell ref="J275:K275"/>
    <mergeCell ref="J276:K276"/>
    <mergeCell ref="J270:K270"/>
    <mergeCell ref="X270:Z270"/>
    <mergeCell ref="J271:K271"/>
    <mergeCell ref="X271:Z271"/>
    <mergeCell ref="J272:K272"/>
    <mergeCell ref="X272:Z272"/>
    <mergeCell ref="J266:K266"/>
    <mergeCell ref="J267:K267"/>
    <mergeCell ref="J268:K268"/>
    <mergeCell ref="X268:Z268"/>
    <mergeCell ref="J269:K269"/>
    <mergeCell ref="X269:Z269"/>
    <mergeCell ref="J260:K260"/>
    <mergeCell ref="J261:K261"/>
    <mergeCell ref="J262:K262"/>
    <mergeCell ref="J263:K263"/>
    <mergeCell ref="J264:K264"/>
    <mergeCell ref="J265:K265"/>
    <mergeCell ref="J254:K254"/>
    <mergeCell ref="J255:K255"/>
    <mergeCell ref="J256:K256"/>
    <mergeCell ref="J257:K257"/>
    <mergeCell ref="J258:K258"/>
    <mergeCell ref="J259:K259"/>
    <mergeCell ref="B235:D235"/>
    <mergeCell ref="M235:P235"/>
    <mergeCell ref="AA236:AC236"/>
    <mergeCell ref="AD236:AE236"/>
    <mergeCell ref="AA250:AC250"/>
    <mergeCell ref="AD250:AE250"/>
    <mergeCell ref="AA205:AC205"/>
    <mergeCell ref="AD205:AE205"/>
    <mergeCell ref="B207:D207"/>
    <mergeCell ref="AA220:AC220"/>
    <mergeCell ref="AD220:AE220"/>
    <mergeCell ref="B233:D233"/>
    <mergeCell ref="AL194:AM194"/>
    <mergeCell ref="AL195:AM195"/>
    <mergeCell ref="AL196:AM196"/>
    <mergeCell ref="AL197:AM197"/>
    <mergeCell ref="AL198:AM198"/>
    <mergeCell ref="AL199:AM199"/>
    <mergeCell ref="AL181:AM181"/>
    <mergeCell ref="AL184:AM184"/>
    <mergeCell ref="AL190:AM190"/>
    <mergeCell ref="AL191:AM191"/>
    <mergeCell ref="AL192:AM192"/>
    <mergeCell ref="AL193:AM193"/>
    <mergeCell ref="AL173:AN173"/>
    <mergeCell ref="AL174:AN174"/>
    <mergeCell ref="AL175:AN175"/>
    <mergeCell ref="AL176:AN176"/>
    <mergeCell ref="AL177:AN177"/>
    <mergeCell ref="AL180:AM180"/>
    <mergeCell ref="AL161:AN161"/>
    <mergeCell ref="AL165:AN165"/>
    <mergeCell ref="AL166:AN166"/>
    <mergeCell ref="AL167:AN167"/>
    <mergeCell ref="AL168:AN168"/>
    <mergeCell ref="AL169:AN169"/>
    <mergeCell ref="Y156:AA156"/>
    <mergeCell ref="Y157:AA157"/>
    <mergeCell ref="AL157:AN157"/>
    <mergeCell ref="AL158:AN158"/>
    <mergeCell ref="AL159:AN159"/>
    <mergeCell ref="AL160:AN160"/>
    <mergeCell ref="Y150:AA150"/>
    <mergeCell ref="Y151:AA151"/>
    <mergeCell ref="Y152:AA152"/>
    <mergeCell ref="Y153:AA153"/>
    <mergeCell ref="Y154:AA154"/>
    <mergeCell ref="Y155:AA155"/>
    <mergeCell ref="Y145:AA145"/>
    <mergeCell ref="B146:D146"/>
    <mergeCell ref="Y146:AA146"/>
    <mergeCell ref="Y147:AA147"/>
    <mergeCell ref="Y148:AA148"/>
    <mergeCell ref="V149:AA149"/>
    <mergeCell ref="W123:Y123"/>
    <mergeCell ref="W124:Y124"/>
    <mergeCell ref="W125:Y125"/>
    <mergeCell ref="W126:Y126"/>
    <mergeCell ref="Y142:AA142"/>
    <mergeCell ref="Y144:AA144"/>
    <mergeCell ref="W115:Y115"/>
    <mergeCell ref="W116:Y116"/>
    <mergeCell ref="W117:Y117"/>
    <mergeCell ref="W118:Y118"/>
    <mergeCell ref="W119:Y119"/>
    <mergeCell ref="W122:Y122"/>
    <mergeCell ref="W68:Y68"/>
    <mergeCell ref="W71:Y71"/>
    <mergeCell ref="W72:Y72"/>
    <mergeCell ref="W73:Y73"/>
    <mergeCell ref="W74:Y74"/>
    <mergeCell ref="W75:Y75"/>
    <mergeCell ref="W53:Y53"/>
    <mergeCell ref="W54:Y54"/>
    <mergeCell ref="W55:Y55"/>
    <mergeCell ref="W56:Y56"/>
    <mergeCell ref="W57:Y57"/>
    <mergeCell ref="W67:Y67"/>
    <mergeCell ref="W37:Y37"/>
    <mergeCell ref="W38:Y38"/>
    <mergeCell ref="W39:Y39"/>
    <mergeCell ref="W40:Y40"/>
    <mergeCell ref="W41:Y41"/>
    <mergeCell ref="W52:Y52"/>
    <mergeCell ref="W32:Y32"/>
    <mergeCell ref="W33:Y33"/>
    <mergeCell ref="W34:Y34"/>
    <mergeCell ref="I9:I10"/>
    <mergeCell ref="J9:J10"/>
    <mergeCell ref="K9:K10"/>
    <mergeCell ref="L9:L10"/>
    <mergeCell ref="M9:O9"/>
    <mergeCell ref="P9:P10"/>
    <mergeCell ref="A9:A10"/>
    <mergeCell ref="B9:D10"/>
    <mergeCell ref="E9:E10"/>
    <mergeCell ref="F9:F10"/>
    <mergeCell ref="G9:G10"/>
    <mergeCell ref="H9:H10"/>
    <mergeCell ref="B30:D30"/>
    <mergeCell ref="W30:Y30"/>
    <mergeCell ref="W31:Y31"/>
  </mergeCells>
  <printOptions horizontalCentered="1"/>
  <pageMargins left="0.25" right="0.25" top="0.75" bottom="0.5" header="0.3" footer="0.3"/>
  <pageSetup paperSize="197" scale="65" orientation="landscape" r:id="rId1"/>
  <headerFooter>
    <oddFooter>Page &amp;P of &amp;N</oddFooter>
  </headerFooter>
  <rowBreaks count="3" manualBreakCount="3">
    <brk id="47" max="15" man="1"/>
    <brk id="136" max="15" man="1"/>
    <brk id="184" max="1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U309"/>
  <sheetViews>
    <sheetView showGridLines="0" view="pageBreakPreview" topLeftCell="B6" zoomScale="80" zoomScaleNormal="85" zoomScaleSheetLayoutView="80" workbookViewId="0">
      <selection activeCell="H30" sqref="H30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3.42578125" style="1" customWidth="1"/>
    <col min="33" max="33" width="10.7109375" style="18" customWidth="1"/>
    <col min="34" max="34" width="13.140625" style="18" customWidth="1"/>
    <col min="35" max="41" width="9.140625" style="18"/>
    <col min="42" max="42" width="12" style="18" customWidth="1"/>
    <col min="43" max="43" width="9.140625" style="18"/>
    <col min="44" max="44" width="14.28515625" style="18" customWidth="1"/>
    <col min="45" max="45" width="11.7109375" style="18" customWidth="1"/>
    <col min="46" max="16384" width="9.140625" style="18"/>
  </cols>
  <sheetData>
    <row r="1" spans="1:44" hidden="1" x14ac:dyDescent="0.25"/>
    <row r="2" spans="1:44" hidden="1" x14ac:dyDescent="0.25"/>
    <row r="3" spans="1:44" hidden="1" x14ac:dyDescent="0.25"/>
    <row r="4" spans="1:44" hidden="1" x14ac:dyDescent="0.25"/>
    <row r="5" spans="1:44" hidden="1" x14ac:dyDescent="0.25"/>
    <row r="7" spans="1:44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44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44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44" s="28" customFormat="1" ht="15.75" x14ac:dyDescent="0.25">
      <c r="A10" s="236" t="s">
        <v>24</v>
      </c>
      <c r="B10" s="165" t="s">
        <v>1</v>
      </c>
      <c r="C10" s="299"/>
      <c r="D10" s="812">
        <v>41893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44" ht="15.75" x14ac:dyDescent="0.25">
      <c r="A11" s="235"/>
      <c r="D11" s="21"/>
      <c r="E11" s="181"/>
      <c r="AL11" s="288" t="s">
        <v>317</v>
      </c>
      <c r="AM11" s="227"/>
      <c r="AN11" s="228"/>
      <c r="AO11" s="228"/>
      <c r="AP11" s="232">
        <f>9200000*0.3</f>
        <v>2760000</v>
      </c>
      <c r="AQ11" s="228"/>
      <c r="AR11" s="227"/>
    </row>
    <row r="12" spans="1:44" hidden="1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27" t="s">
        <v>310</v>
      </c>
      <c r="AM12" s="227"/>
      <c r="AN12" s="228"/>
      <c r="AO12" s="228"/>
      <c r="AP12" s="228"/>
      <c r="AQ12" s="228"/>
      <c r="AR12" s="229">
        <f>AP11*0.006</f>
        <v>16560</v>
      </c>
    </row>
    <row r="13" spans="1:44" ht="15.75" thickBot="1" x14ac:dyDescent="0.3">
      <c r="T13" s="224"/>
      <c r="U13" s="273"/>
      <c r="V13" s="273"/>
      <c r="AK13" s="273"/>
      <c r="AL13" s="227" t="s">
        <v>312</v>
      </c>
      <c r="AM13" s="227"/>
      <c r="AN13" s="228"/>
      <c r="AO13" s="228"/>
      <c r="AP13" s="228"/>
      <c r="AQ13" s="228"/>
      <c r="AR13" s="229">
        <f>(AR12*0.125)+30</f>
        <v>2100</v>
      </c>
    </row>
    <row r="14" spans="1:44" s="274" customFormat="1" x14ac:dyDescent="0.25">
      <c r="A14" s="944" t="s">
        <v>4</v>
      </c>
      <c r="B14" s="946" t="s">
        <v>7</v>
      </c>
      <c r="C14" s="947"/>
      <c r="D14" s="948"/>
      <c r="E14" s="952" t="s">
        <v>81</v>
      </c>
      <c r="F14" s="954" t="s">
        <v>6</v>
      </c>
      <c r="G14" s="956" t="s">
        <v>5</v>
      </c>
      <c r="H14" s="937" t="s">
        <v>174</v>
      </c>
      <c r="I14" s="937" t="s">
        <v>175</v>
      </c>
      <c r="J14" s="937" t="s">
        <v>176</v>
      </c>
      <c r="K14" s="937" t="s">
        <v>177</v>
      </c>
      <c r="L14" s="937" t="s">
        <v>178</v>
      </c>
      <c r="M14" s="939" t="s">
        <v>8</v>
      </c>
      <c r="N14" s="940"/>
      <c r="O14" s="941"/>
      <c r="P14" s="942" t="s">
        <v>11</v>
      </c>
      <c r="Q14" s="441"/>
      <c r="R14" s="441"/>
      <c r="T14" s="441"/>
      <c r="AL14" s="285" t="s">
        <v>314</v>
      </c>
      <c r="AM14" s="285"/>
      <c r="AN14" s="286"/>
      <c r="AO14" s="286"/>
      <c r="AP14" s="286"/>
      <c r="AQ14" s="286"/>
      <c r="AR14" s="127">
        <f>AR12*0.12</f>
        <v>1987.1999999999998</v>
      </c>
    </row>
    <row r="15" spans="1:44" s="274" customFormat="1" ht="15.75" thickBot="1" x14ac:dyDescent="0.3">
      <c r="A15" s="945"/>
      <c r="B15" s="949"/>
      <c r="C15" s="950"/>
      <c r="D15" s="951"/>
      <c r="E15" s="953"/>
      <c r="F15" s="955"/>
      <c r="G15" s="957"/>
      <c r="H15" s="938"/>
      <c r="I15" s="938"/>
      <c r="J15" s="938"/>
      <c r="K15" s="938"/>
      <c r="L15" s="938"/>
      <c r="M15" s="808" t="s">
        <v>9</v>
      </c>
      <c r="N15" s="808" t="s">
        <v>10</v>
      </c>
      <c r="O15" s="808" t="s">
        <v>230</v>
      </c>
      <c r="P15" s="943"/>
      <c r="Q15" s="441"/>
      <c r="R15" s="441"/>
      <c r="T15" s="441"/>
      <c r="AL15" s="285" t="s">
        <v>299</v>
      </c>
      <c r="AM15" s="285"/>
      <c r="AN15" s="286"/>
      <c r="AO15" s="286"/>
      <c r="AP15" s="286"/>
      <c r="AQ15" s="286"/>
      <c r="AR15" s="127">
        <f>AR12*0.002</f>
        <v>33.119999999999997</v>
      </c>
    </row>
    <row r="16" spans="1:44" s="225" customFormat="1" ht="15.75" x14ac:dyDescent="0.25">
      <c r="A16" s="692" t="s">
        <v>80</v>
      </c>
      <c r="B16" s="693" t="s">
        <v>315</v>
      </c>
      <c r="C16" s="694"/>
      <c r="D16" s="516"/>
      <c r="E16" s="185"/>
      <c r="F16" s="302"/>
      <c r="G16" s="695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85" t="s">
        <v>302</v>
      </c>
      <c r="AM16" s="285"/>
      <c r="AN16" s="286"/>
      <c r="AO16" s="286"/>
      <c r="AP16" s="286"/>
      <c r="AQ16" s="286"/>
      <c r="AR16" s="127">
        <v>200</v>
      </c>
    </row>
    <row r="17" spans="1:44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72">
        <v>7500</v>
      </c>
      <c r="I17" s="72">
        <f>H17*F17</f>
        <v>7500</v>
      </c>
      <c r="J17" s="72">
        <v>7500</v>
      </c>
      <c r="K17" s="72">
        <f>J17*F17</f>
        <v>7500</v>
      </c>
      <c r="L17" s="72">
        <f>I17+K17</f>
        <v>15000</v>
      </c>
      <c r="M17" s="74">
        <f t="shared" ref="M17:M33" si="0">H17/$P$260*$P$268</f>
        <v>10455.776576558943</v>
      </c>
      <c r="N17" s="74">
        <f t="shared" ref="N17:N33" si="1">J17/$P$260*$P$268</f>
        <v>10455.776576558943</v>
      </c>
      <c r="O17" s="72">
        <f t="shared" ref="O17:O33" si="2">N17+M17</f>
        <v>20911.553153117886</v>
      </c>
      <c r="P17" s="205">
        <f t="shared" ref="P17:P33" si="3">O17*F17</f>
        <v>20911.553153117886</v>
      </c>
      <c r="Q17" s="272">
        <f t="shared" ref="Q17:Q33" si="4">L17/$P$260*$P$268</f>
        <v>20911.553153117886</v>
      </c>
      <c r="R17" s="439">
        <f t="shared" ref="R17:R36" si="5">P17-Q17</f>
        <v>0</v>
      </c>
      <c r="S17" s="230"/>
      <c r="T17" s="439"/>
      <c r="U17" s="275"/>
      <c r="V17" s="276"/>
      <c r="AK17" s="278"/>
      <c r="AL17" s="285" t="s">
        <v>304</v>
      </c>
      <c r="AM17" s="285"/>
      <c r="AN17" s="286"/>
      <c r="AO17" s="286"/>
      <c r="AP17" s="286"/>
      <c r="AQ17" s="286"/>
      <c r="AR17" s="690">
        <f>SUM(AR12:AR16)</f>
        <v>20880.32</v>
      </c>
    </row>
    <row r="18" spans="1:44" s="225" customFormat="1" x14ac:dyDescent="0.25">
      <c r="A18" s="263"/>
      <c r="B18" s="261"/>
      <c r="C18" s="318">
        <v>2</v>
      </c>
      <c r="D18" s="516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33" si="6">H18*F18</f>
        <v>10000</v>
      </c>
      <c r="J18" s="72">
        <v>8000</v>
      </c>
      <c r="K18" s="72">
        <f t="shared" ref="K18:K33" si="7">J18*F18</f>
        <v>8000</v>
      </c>
      <c r="L18" s="72">
        <f t="shared" ref="L18:L33" si="8">I18+K18</f>
        <v>18000</v>
      </c>
      <c r="M18" s="74">
        <f t="shared" si="0"/>
        <v>13941.035435411923</v>
      </c>
      <c r="N18" s="74">
        <f t="shared" si="1"/>
        <v>11152.828348329538</v>
      </c>
      <c r="O18" s="72">
        <f t="shared" si="2"/>
        <v>25093.863783741461</v>
      </c>
      <c r="P18" s="205">
        <f t="shared" si="3"/>
        <v>25093.863783741461</v>
      </c>
      <c r="Q18" s="272">
        <f t="shared" si="4"/>
        <v>25093.863783741461</v>
      </c>
      <c r="R18" s="439">
        <f t="shared" si="5"/>
        <v>0</v>
      </c>
      <c r="S18" s="230"/>
      <c r="T18" s="439"/>
      <c r="U18" s="275"/>
      <c r="V18" s="276"/>
      <c r="AK18" s="279"/>
      <c r="AL18" s="285" t="s">
        <v>306</v>
      </c>
      <c r="AM18" s="285"/>
      <c r="AN18" s="286"/>
      <c r="AO18" s="286"/>
      <c r="AP18" s="286"/>
      <c r="AQ18" s="286"/>
      <c r="AR18" s="127"/>
    </row>
    <row r="19" spans="1:44" s="225" customFormat="1" x14ac:dyDescent="0.25">
      <c r="A19" s="263"/>
      <c r="B19" s="261"/>
      <c r="C19" s="318">
        <v>3</v>
      </c>
      <c r="D19" s="516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6"/>
        <v>5000</v>
      </c>
      <c r="J19" s="72">
        <v>10000</v>
      </c>
      <c r="K19" s="72">
        <f t="shared" si="7"/>
        <v>10000</v>
      </c>
      <c r="L19" s="72">
        <f t="shared" si="8"/>
        <v>15000</v>
      </c>
      <c r="M19" s="74">
        <f t="shared" si="0"/>
        <v>6970.5177177059613</v>
      </c>
      <c r="N19" s="74">
        <f t="shared" si="1"/>
        <v>13941.035435411923</v>
      </c>
      <c r="O19" s="72">
        <f t="shared" si="2"/>
        <v>20911.553153117886</v>
      </c>
      <c r="P19" s="205">
        <f t="shared" si="3"/>
        <v>20911.553153117886</v>
      </c>
      <c r="Q19" s="272">
        <f t="shared" si="4"/>
        <v>20911.553153117886</v>
      </c>
      <c r="R19" s="439">
        <f t="shared" si="5"/>
        <v>0</v>
      </c>
      <c r="S19" s="230"/>
      <c r="T19" s="439"/>
      <c r="U19" s="275"/>
      <c r="V19" s="264"/>
      <c r="AK19" s="278"/>
      <c r="AL19" s="285"/>
      <c r="AM19" s="285"/>
      <c r="AN19" s="286"/>
      <c r="AO19" s="286"/>
      <c r="AP19" s="286"/>
      <c r="AQ19" s="286"/>
      <c r="AR19" s="127"/>
    </row>
    <row r="20" spans="1:44" s="225" customFormat="1" ht="15.75" x14ac:dyDescent="0.25">
      <c r="A20" s="263"/>
      <c r="B20" s="261"/>
      <c r="C20" s="318">
        <v>4</v>
      </c>
      <c r="D20" s="499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6"/>
        <v>0</v>
      </c>
      <c r="J20" s="74">
        <f>4*(24000+16000+16000)/1.05</f>
        <v>213333.33333333331</v>
      </c>
      <c r="K20" s="72">
        <f t="shared" si="7"/>
        <v>213333.33333333331</v>
      </c>
      <c r="L20" s="72">
        <f t="shared" si="8"/>
        <v>213333.33333333331</v>
      </c>
      <c r="M20" s="74">
        <f t="shared" si="0"/>
        <v>0</v>
      </c>
      <c r="N20" s="74">
        <f t="shared" si="1"/>
        <v>297408.75595545431</v>
      </c>
      <c r="O20" s="72">
        <f t="shared" si="2"/>
        <v>297408.75595545431</v>
      </c>
      <c r="P20" s="205">
        <f t="shared" si="3"/>
        <v>297408.75595545431</v>
      </c>
      <c r="Q20" s="272">
        <f t="shared" si="4"/>
        <v>297408.75595545431</v>
      </c>
      <c r="R20" s="439">
        <f t="shared" si="5"/>
        <v>0</v>
      </c>
      <c r="S20" s="230"/>
      <c r="T20" s="439"/>
      <c r="U20" s="275"/>
      <c r="V20" s="280"/>
      <c r="AK20" s="278"/>
      <c r="AL20" s="696" t="s">
        <v>308</v>
      </c>
      <c r="AM20" s="285"/>
      <c r="AN20" s="286"/>
      <c r="AO20" s="286"/>
      <c r="AP20" s="697">
        <f>9200000*0.3</f>
        <v>2760000</v>
      </c>
      <c r="AQ20" s="286"/>
      <c r="AR20" s="127"/>
    </row>
    <row r="21" spans="1:44" s="225" customFormat="1" x14ac:dyDescent="0.25">
      <c r="A21" s="263"/>
      <c r="B21" s="261"/>
      <c r="C21" s="318">
        <v>5</v>
      </c>
      <c r="D21" s="516" t="s">
        <v>307</v>
      </c>
      <c r="E21" s="71">
        <v>1</v>
      </c>
      <c r="F21" s="302">
        <v>1</v>
      </c>
      <c r="G21" s="262" t="s">
        <v>301</v>
      </c>
      <c r="H21" s="72">
        <f>(AR17+AR26+AR33)/1.07</f>
        <v>53503.15887850467</v>
      </c>
      <c r="I21" s="72">
        <f t="shared" si="6"/>
        <v>53503.15887850467</v>
      </c>
      <c r="J21" s="72">
        <v>2500</v>
      </c>
      <c r="K21" s="72">
        <f t="shared" si="7"/>
        <v>2500</v>
      </c>
      <c r="L21" s="72">
        <f t="shared" si="8"/>
        <v>56003.15887850467</v>
      </c>
      <c r="M21" s="74">
        <f t="shared" si="0"/>
        <v>74588.943383170772</v>
      </c>
      <c r="N21" s="74">
        <f t="shared" si="1"/>
        <v>3485.2588588529807</v>
      </c>
      <c r="O21" s="72">
        <f t="shared" si="2"/>
        <v>78074.202242023748</v>
      </c>
      <c r="P21" s="205">
        <f t="shared" si="3"/>
        <v>78074.202242023748</v>
      </c>
      <c r="Q21" s="272">
        <f t="shared" si="4"/>
        <v>78074.202242023748</v>
      </c>
      <c r="R21" s="439">
        <f t="shared" si="5"/>
        <v>0</v>
      </c>
      <c r="S21" s="230"/>
      <c r="T21" s="439"/>
      <c r="U21" s="275"/>
      <c r="V21" s="281"/>
      <c r="AK21" s="278"/>
      <c r="AL21" s="285" t="s">
        <v>310</v>
      </c>
      <c r="AM21" s="285"/>
      <c r="AN21" s="286"/>
      <c r="AO21" s="286"/>
      <c r="AP21" s="286"/>
      <c r="AQ21" s="286"/>
      <c r="AR21" s="127">
        <f>AP20*0.0055</f>
        <v>15180</v>
      </c>
    </row>
    <row r="22" spans="1:44" s="225" customFormat="1" x14ac:dyDescent="0.25">
      <c r="A22" s="263"/>
      <c r="B22" s="261"/>
      <c r="C22" s="318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6"/>
        <v>35000</v>
      </c>
      <c r="J22" s="72">
        <v>5000</v>
      </c>
      <c r="K22" s="72">
        <f t="shared" si="7"/>
        <v>5000</v>
      </c>
      <c r="L22" s="72">
        <f t="shared" si="8"/>
        <v>40000</v>
      </c>
      <c r="M22" s="74">
        <f t="shared" si="0"/>
        <v>48793.624023941731</v>
      </c>
      <c r="N22" s="74">
        <f t="shared" si="1"/>
        <v>6970.5177177059613</v>
      </c>
      <c r="O22" s="72">
        <f t="shared" si="2"/>
        <v>55764.141741647691</v>
      </c>
      <c r="P22" s="205">
        <f t="shared" si="3"/>
        <v>55764.141741647691</v>
      </c>
      <c r="Q22" s="272">
        <f t="shared" si="4"/>
        <v>55764.141741647691</v>
      </c>
      <c r="R22" s="439">
        <f t="shared" si="5"/>
        <v>0</v>
      </c>
      <c r="S22" s="230"/>
      <c r="T22" s="442"/>
      <c r="U22" s="275"/>
      <c r="V22" s="276"/>
      <c r="AK22" s="278"/>
      <c r="AL22" s="285" t="s">
        <v>312</v>
      </c>
      <c r="AM22" s="285"/>
      <c r="AN22" s="286"/>
      <c r="AO22" s="286"/>
      <c r="AP22" s="286"/>
      <c r="AQ22" s="286"/>
      <c r="AR22" s="127">
        <f>(AR21*0.125)+30</f>
        <v>1927.5</v>
      </c>
    </row>
    <row r="23" spans="1:44" s="225" customFormat="1" x14ac:dyDescent="0.25">
      <c r="A23" s="263"/>
      <c r="B23" s="261"/>
      <c r="C23" s="318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6"/>
        <v>108000</v>
      </c>
      <c r="J23" s="72"/>
      <c r="K23" s="72">
        <f t="shared" si="7"/>
        <v>0</v>
      </c>
      <c r="L23" s="72">
        <f t="shared" si="8"/>
        <v>108000</v>
      </c>
      <c r="M23" s="74">
        <f t="shared" si="0"/>
        <v>150563.18270244877</v>
      </c>
      <c r="N23" s="74">
        <f t="shared" si="1"/>
        <v>0</v>
      </c>
      <c r="O23" s="72">
        <f t="shared" si="2"/>
        <v>150563.18270244877</v>
      </c>
      <c r="P23" s="205">
        <f t="shared" si="3"/>
        <v>150563.18270244877</v>
      </c>
      <c r="Q23" s="272">
        <f t="shared" si="4"/>
        <v>150563.18270244877</v>
      </c>
      <c r="R23" s="439">
        <f t="shared" si="5"/>
        <v>0</v>
      </c>
      <c r="S23" s="230"/>
      <c r="T23" s="442"/>
      <c r="U23" s="275"/>
      <c r="V23" s="276"/>
      <c r="AK23" s="278"/>
      <c r="AL23" s="285" t="s">
        <v>314</v>
      </c>
      <c r="AM23" s="285"/>
      <c r="AN23" s="286"/>
      <c r="AO23" s="286"/>
      <c r="AP23" s="286"/>
      <c r="AQ23" s="286"/>
      <c r="AR23" s="127">
        <f>AR21*0.12</f>
        <v>1821.6</v>
      </c>
    </row>
    <row r="24" spans="1:44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6"/>
        <v>0</v>
      </c>
      <c r="J24" s="72"/>
      <c r="K24" s="72">
        <f t="shared" si="7"/>
        <v>0</v>
      </c>
      <c r="L24" s="72">
        <f t="shared" si="8"/>
        <v>0</v>
      </c>
      <c r="M24" s="74">
        <f t="shared" si="0"/>
        <v>0</v>
      </c>
      <c r="N24" s="74">
        <f t="shared" si="1"/>
        <v>0</v>
      </c>
      <c r="O24" s="72">
        <f t="shared" si="2"/>
        <v>0</v>
      </c>
      <c r="P24" s="205">
        <f t="shared" si="3"/>
        <v>0</v>
      </c>
      <c r="Q24" s="272">
        <f t="shared" si="4"/>
        <v>0</v>
      </c>
      <c r="R24" s="439">
        <f t="shared" si="5"/>
        <v>0</v>
      </c>
      <c r="S24" s="230"/>
      <c r="T24" s="442"/>
      <c r="U24" s="275"/>
      <c r="V24" s="276"/>
      <c r="AK24" s="278"/>
      <c r="AL24" s="285" t="s">
        <v>299</v>
      </c>
      <c r="AM24" s="285"/>
      <c r="AN24" s="286"/>
      <c r="AO24" s="286"/>
      <c r="AP24" s="286"/>
      <c r="AQ24" s="286"/>
      <c r="AR24" s="127">
        <f>AR21*0.002</f>
        <v>30.36</v>
      </c>
    </row>
    <row r="25" spans="1:44" s="225" customFormat="1" x14ac:dyDescent="0.25">
      <c r="A25" s="263"/>
      <c r="B25" s="261"/>
      <c r="C25" s="318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72">
        <f>155+47*5</f>
        <v>390</v>
      </c>
      <c r="I25" s="72">
        <f t="shared" si="6"/>
        <v>514800</v>
      </c>
      <c r="J25" s="72">
        <v>76</v>
      </c>
      <c r="K25" s="72">
        <f t="shared" si="7"/>
        <v>100320</v>
      </c>
      <c r="L25" s="72">
        <f t="shared" si="8"/>
        <v>615120</v>
      </c>
      <c r="M25" s="74">
        <f t="shared" si="0"/>
        <v>543.70038198106499</v>
      </c>
      <c r="N25" s="74">
        <f t="shared" si="1"/>
        <v>105.95186930913061</v>
      </c>
      <c r="O25" s="72">
        <f t="shared" si="2"/>
        <v>649.65225129019564</v>
      </c>
      <c r="P25" s="205">
        <f t="shared" si="3"/>
        <v>857540.97170305823</v>
      </c>
      <c r="Q25" s="272">
        <f t="shared" si="4"/>
        <v>857540.97170305823</v>
      </c>
      <c r="R25" s="439">
        <f t="shared" si="5"/>
        <v>0</v>
      </c>
      <c r="S25" s="230"/>
      <c r="T25" s="442"/>
      <c r="U25" s="275"/>
      <c r="V25" s="276"/>
      <c r="AK25" s="278"/>
      <c r="AL25" s="285" t="s">
        <v>302</v>
      </c>
      <c r="AM25" s="285"/>
      <c r="AN25" s="286"/>
      <c r="AO25" s="286"/>
      <c r="AP25" s="286"/>
      <c r="AQ25" s="286"/>
      <c r="AR25" s="127">
        <v>200</v>
      </c>
    </row>
    <row r="26" spans="1:44" s="225" customFormat="1" x14ac:dyDescent="0.25">
      <c r="A26" s="263"/>
      <c r="B26" s="261"/>
      <c r="C26" s="318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6"/>
        <v>46601.941747572811</v>
      </c>
      <c r="J26" s="72">
        <v>4000</v>
      </c>
      <c r="K26" s="72">
        <f t="shared" si="7"/>
        <v>4000</v>
      </c>
      <c r="L26" s="72">
        <f t="shared" si="8"/>
        <v>50601.941747572811</v>
      </c>
      <c r="M26" s="74">
        <f t="shared" si="0"/>
        <v>64967.932126191481</v>
      </c>
      <c r="N26" s="74">
        <f t="shared" si="1"/>
        <v>5576.4141741647691</v>
      </c>
      <c r="O26" s="72">
        <f t="shared" si="2"/>
        <v>70544.34630035625</v>
      </c>
      <c r="P26" s="205">
        <f t="shared" si="3"/>
        <v>70544.34630035625</v>
      </c>
      <c r="Q26" s="272">
        <f t="shared" si="4"/>
        <v>70544.34630035625</v>
      </c>
      <c r="R26" s="439">
        <f t="shared" si="5"/>
        <v>0</v>
      </c>
      <c r="S26" s="230"/>
      <c r="T26" s="442"/>
      <c r="U26" s="275"/>
      <c r="V26" s="276"/>
      <c r="AK26" s="278"/>
      <c r="AL26" s="285" t="s">
        <v>304</v>
      </c>
      <c r="AM26" s="285"/>
      <c r="AN26" s="286"/>
      <c r="AO26" s="286"/>
      <c r="AP26" s="286"/>
      <c r="AQ26" s="286"/>
      <c r="AR26" s="690">
        <f>SUM(AR20:AR25)</f>
        <v>19159.46</v>
      </c>
    </row>
    <row r="27" spans="1:44" s="225" customFormat="1" x14ac:dyDescent="0.25">
      <c r="A27" s="698"/>
      <c r="B27" s="699"/>
      <c r="C27" s="318">
        <v>11</v>
      </c>
      <c r="D27" s="516" t="s">
        <v>311</v>
      </c>
      <c r="E27" s="71">
        <v>1</v>
      </c>
      <c r="F27" s="302">
        <v>1</v>
      </c>
      <c r="G27" s="262" t="s">
        <v>301</v>
      </c>
      <c r="H27" s="72"/>
      <c r="I27" s="72">
        <f t="shared" si="6"/>
        <v>0</v>
      </c>
      <c r="J27" s="72"/>
      <c r="K27" s="72">
        <f t="shared" si="7"/>
        <v>0</v>
      </c>
      <c r="L27" s="72">
        <f t="shared" si="8"/>
        <v>0</v>
      </c>
      <c r="M27" s="74">
        <f t="shared" si="0"/>
        <v>0</v>
      </c>
      <c r="N27" s="74">
        <f t="shared" si="1"/>
        <v>0</v>
      </c>
      <c r="O27" s="72">
        <f t="shared" si="2"/>
        <v>0</v>
      </c>
      <c r="P27" s="205">
        <f t="shared" si="3"/>
        <v>0</v>
      </c>
      <c r="Q27" s="272">
        <f t="shared" si="4"/>
        <v>0</v>
      </c>
      <c r="R27" s="439">
        <f t="shared" si="5"/>
        <v>0</v>
      </c>
      <c r="T27" s="224"/>
      <c r="U27" s="275"/>
      <c r="V27" s="276"/>
      <c r="AK27" s="278"/>
      <c r="AL27" s="285"/>
      <c r="AM27" s="285"/>
      <c r="AN27" s="286"/>
      <c r="AO27" s="286"/>
      <c r="AP27" s="286"/>
      <c r="AQ27" s="286"/>
      <c r="AR27" s="127"/>
    </row>
    <row r="28" spans="1:44" s="225" customFormat="1" ht="15.75" x14ac:dyDescent="0.25">
      <c r="A28" s="698"/>
      <c r="B28" s="699"/>
      <c r="C28" s="318">
        <v>12</v>
      </c>
      <c r="D28" s="516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6"/>
        <v>10000</v>
      </c>
      <c r="J28" s="72">
        <v>15000</v>
      </c>
      <c r="K28" s="72">
        <f t="shared" si="7"/>
        <v>15000</v>
      </c>
      <c r="L28" s="72">
        <f t="shared" si="8"/>
        <v>25000</v>
      </c>
      <c r="M28" s="74">
        <f t="shared" si="0"/>
        <v>13941.035435411923</v>
      </c>
      <c r="N28" s="74">
        <f t="shared" si="1"/>
        <v>20911.553153117886</v>
      </c>
      <c r="O28" s="72">
        <f t="shared" si="2"/>
        <v>34852.588588529805</v>
      </c>
      <c r="P28" s="205">
        <f t="shared" si="3"/>
        <v>34852.588588529805</v>
      </c>
      <c r="Q28" s="272">
        <f t="shared" si="4"/>
        <v>34852.588588529812</v>
      </c>
      <c r="R28" s="439">
        <f t="shared" si="5"/>
        <v>0</v>
      </c>
      <c r="T28" s="224"/>
      <c r="U28" s="275"/>
      <c r="V28" s="276"/>
      <c r="AK28" s="278"/>
      <c r="AL28" s="700" t="s">
        <v>318</v>
      </c>
      <c r="AM28" s="285"/>
      <c r="AN28" s="286"/>
      <c r="AO28" s="286"/>
      <c r="AP28" s="697">
        <f>9200000</f>
        <v>9200000</v>
      </c>
      <c r="AQ28" s="286"/>
      <c r="AR28" s="127"/>
    </row>
    <row r="29" spans="1:44" s="225" customFormat="1" x14ac:dyDescent="0.25">
      <c r="A29" s="263"/>
      <c r="B29" s="261"/>
      <c r="C29" s="318">
        <v>13</v>
      </c>
      <c r="D29" s="499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6"/>
        <v>45000</v>
      </c>
      <c r="J29" s="72"/>
      <c r="K29" s="72">
        <f t="shared" si="7"/>
        <v>0</v>
      </c>
      <c r="L29" s="72">
        <f t="shared" si="8"/>
        <v>45000</v>
      </c>
      <c r="M29" s="74">
        <f t="shared" si="0"/>
        <v>62734.65945935365</v>
      </c>
      <c r="N29" s="74">
        <f t="shared" si="1"/>
        <v>0</v>
      </c>
      <c r="O29" s="72">
        <f t="shared" si="2"/>
        <v>62734.65945935365</v>
      </c>
      <c r="P29" s="205">
        <f t="shared" si="3"/>
        <v>62734.65945935365</v>
      </c>
      <c r="Q29" s="272">
        <f t="shared" si="4"/>
        <v>62734.65945935365</v>
      </c>
      <c r="R29" s="439">
        <f t="shared" si="5"/>
        <v>0</v>
      </c>
      <c r="S29" s="230"/>
      <c r="T29" s="439"/>
      <c r="U29" s="275"/>
      <c r="V29" s="281"/>
      <c r="AK29" s="278"/>
      <c r="AL29" s="285" t="s">
        <v>310</v>
      </c>
      <c r="AM29" s="285"/>
      <c r="AN29" s="286"/>
      <c r="AO29" s="286"/>
      <c r="AP29" s="286"/>
      <c r="AQ29" s="286"/>
      <c r="AR29" s="127">
        <f>AP28*0.0015</f>
        <v>13800</v>
      </c>
    </row>
    <row r="30" spans="1:44" s="225" customFormat="1" x14ac:dyDescent="0.25">
      <c r="A30" s="263"/>
      <c r="B30" s="261"/>
      <c r="C30" s="318">
        <v>14</v>
      </c>
      <c r="D30" s="499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6"/>
        <v>32380.952380952378</v>
      </c>
      <c r="J30" s="72">
        <v>2000</v>
      </c>
      <c r="K30" s="72">
        <f t="shared" si="7"/>
        <v>2000</v>
      </c>
      <c r="L30" s="72">
        <f t="shared" si="8"/>
        <v>34380.952380952382</v>
      </c>
      <c r="M30" s="74">
        <f t="shared" si="0"/>
        <v>45142.400457524316</v>
      </c>
      <c r="N30" s="74">
        <f t="shared" si="1"/>
        <v>2788.2070870823845</v>
      </c>
      <c r="O30" s="72">
        <f t="shared" si="2"/>
        <v>47930.607544606697</v>
      </c>
      <c r="P30" s="205">
        <f t="shared" si="3"/>
        <v>47930.607544606697</v>
      </c>
      <c r="Q30" s="272">
        <f t="shared" si="4"/>
        <v>47930.607544606712</v>
      </c>
      <c r="R30" s="439">
        <f t="shared" si="5"/>
        <v>0</v>
      </c>
      <c r="S30" s="230"/>
      <c r="T30" s="442"/>
      <c r="U30" s="275"/>
      <c r="V30" s="276"/>
      <c r="AK30" s="278"/>
      <c r="AL30" s="285" t="s">
        <v>312</v>
      </c>
      <c r="AM30" s="285"/>
      <c r="AN30" s="286"/>
      <c r="AO30" s="286"/>
      <c r="AP30" s="286"/>
      <c r="AQ30" s="286"/>
      <c r="AR30" s="127">
        <f>AR29*0.125</f>
        <v>1725</v>
      </c>
    </row>
    <row r="31" spans="1:44" s="225" customFormat="1" x14ac:dyDescent="0.25">
      <c r="A31" s="698"/>
      <c r="B31" s="699"/>
      <c r="C31" s="318">
        <v>15</v>
      </c>
      <c r="D31" s="499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6"/>
        <v>51650.485436893199</v>
      </c>
      <c r="J31" s="483">
        <f>(4*14000/1.03+20000/1.03)*0.3</f>
        <v>22135.922330097088</v>
      </c>
      <c r="K31" s="72">
        <f t="shared" si="7"/>
        <v>22135.922330097088</v>
      </c>
      <c r="L31" s="72">
        <f t="shared" si="8"/>
        <v>73786.407766990291</v>
      </c>
      <c r="M31" s="74">
        <f t="shared" si="0"/>
        <v>72006.124773195566</v>
      </c>
      <c r="N31" s="74">
        <f t="shared" si="1"/>
        <v>30859.767759940954</v>
      </c>
      <c r="O31" s="72">
        <f t="shared" si="2"/>
        <v>102865.89253313652</v>
      </c>
      <c r="P31" s="205">
        <f t="shared" si="3"/>
        <v>102865.89253313652</v>
      </c>
      <c r="Q31" s="272">
        <f t="shared" si="4"/>
        <v>102865.89253313652</v>
      </c>
      <c r="R31" s="439">
        <f t="shared" si="5"/>
        <v>0</v>
      </c>
      <c r="T31" s="224"/>
      <c r="U31" s="275"/>
      <c r="V31" s="276"/>
      <c r="AK31" s="278"/>
      <c r="AL31" s="285" t="s">
        <v>314</v>
      </c>
      <c r="AM31" s="285"/>
      <c r="AN31" s="286"/>
      <c r="AO31" s="286"/>
      <c r="AP31" s="286"/>
      <c r="AQ31" s="286"/>
      <c r="AR31" s="127">
        <f>AR29*0.12</f>
        <v>1656</v>
      </c>
    </row>
    <row r="32" spans="1:44" s="225" customFormat="1" x14ac:dyDescent="0.25">
      <c r="A32" s="698"/>
      <c r="B32" s="699"/>
      <c r="C32" s="318">
        <v>16</v>
      </c>
      <c r="D32" s="499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6"/>
        <v>15000</v>
      </c>
      <c r="J32" s="72">
        <f>1700*5</f>
        <v>8500</v>
      </c>
      <c r="K32" s="72">
        <f t="shared" si="7"/>
        <v>8500</v>
      </c>
      <c r="L32" s="72">
        <f t="shared" si="8"/>
        <v>23500</v>
      </c>
      <c r="M32" s="74">
        <f t="shared" si="0"/>
        <v>20911.553153117886</v>
      </c>
      <c r="N32" s="74">
        <f t="shared" si="1"/>
        <v>11849.880120100135</v>
      </c>
      <c r="O32" s="72">
        <f t="shared" si="2"/>
        <v>32761.433273218019</v>
      </c>
      <c r="P32" s="205">
        <f t="shared" si="3"/>
        <v>32761.433273218019</v>
      </c>
      <c r="Q32" s="272">
        <f t="shared" si="4"/>
        <v>32761.433273218016</v>
      </c>
      <c r="R32" s="439">
        <f t="shared" si="5"/>
        <v>0</v>
      </c>
      <c r="T32" s="224"/>
      <c r="U32" s="275"/>
      <c r="V32" s="276"/>
      <c r="AK32" s="278"/>
      <c r="AL32" s="285" t="s">
        <v>299</v>
      </c>
      <c r="AM32" s="285"/>
      <c r="AN32" s="286"/>
      <c r="AO32" s="286"/>
      <c r="AP32" s="286"/>
      <c r="AQ32" s="286"/>
      <c r="AR32" s="127">
        <f>AR29*0.002</f>
        <v>27.6</v>
      </c>
    </row>
    <row r="33" spans="1:44" s="225" customFormat="1" x14ac:dyDescent="0.25">
      <c r="A33" s="698"/>
      <c r="B33" s="699"/>
      <c r="C33" s="318">
        <v>17</v>
      </c>
      <c r="D33" s="499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6"/>
        <v>10000</v>
      </c>
      <c r="J33" s="72">
        <v>5000</v>
      </c>
      <c r="K33" s="72">
        <f t="shared" si="7"/>
        <v>5000</v>
      </c>
      <c r="L33" s="72">
        <f t="shared" si="8"/>
        <v>15000</v>
      </c>
      <c r="M33" s="74">
        <f t="shared" si="0"/>
        <v>13941.035435411923</v>
      </c>
      <c r="N33" s="74">
        <f t="shared" si="1"/>
        <v>6970.5177177059613</v>
      </c>
      <c r="O33" s="72">
        <f t="shared" si="2"/>
        <v>20911.553153117886</v>
      </c>
      <c r="P33" s="205">
        <f t="shared" si="3"/>
        <v>20911.553153117886</v>
      </c>
      <c r="Q33" s="272">
        <f t="shared" si="4"/>
        <v>20911.553153117886</v>
      </c>
      <c r="R33" s="439">
        <f t="shared" si="5"/>
        <v>0</v>
      </c>
      <c r="T33" s="224"/>
      <c r="U33" s="275"/>
      <c r="V33" s="276"/>
      <c r="AK33" s="278"/>
      <c r="AL33" s="285" t="s">
        <v>304</v>
      </c>
      <c r="AM33" s="285"/>
      <c r="AN33" s="286"/>
      <c r="AO33" s="286"/>
      <c r="AP33" s="286"/>
      <c r="AQ33" s="286"/>
      <c r="AR33" s="690">
        <f>SUM(AR28:AR32)</f>
        <v>17208.599999999999</v>
      </c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ref="Q34:Q45" si="9">L34/$P$260*$P$268</f>
        <v>0</v>
      </c>
      <c r="R34" s="439">
        <f t="shared" si="5"/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944436.53844392311</v>
      </c>
      <c r="J35" s="312"/>
      <c r="K35" s="313">
        <f>SUM(K16:K34)</f>
        <v>403289.25566343038</v>
      </c>
      <c r="L35" s="313">
        <f>SUM(L16:L34)</f>
        <v>1347725.7941073535</v>
      </c>
      <c r="M35" s="312"/>
      <c r="N35" s="312"/>
      <c r="O35" s="313"/>
      <c r="P35" s="314">
        <f>SUM(P16:P34)</f>
        <v>1878869.305286929</v>
      </c>
      <c r="Q35" s="272">
        <f t="shared" si="9"/>
        <v>1878869.3052869288</v>
      </c>
      <c r="R35" s="439">
        <f t="shared" si="5"/>
        <v>0</v>
      </c>
      <c r="T35" s="443"/>
      <c r="U35" s="275"/>
      <c r="V35" s="276"/>
      <c r="W35" s="925" t="s">
        <v>292</v>
      </c>
      <c r="X35" s="925"/>
      <c r="Y35" s="925"/>
      <c r="Z35" s="586" t="s">
        <v>243</v>
      </c>
      <c r="AA35" s="586" t="s">
        <v>244</v>
      </c>
      <c r="AB35" s="586" t="s">
        <v>245</v>
      </c>
      <c r="AC35" s="587" t="s">
        <v>246</v>
      </c>
      <c r="AD35" s="588" t="s">
        <v>247</v>
      </c>
      <c r="AE35" s="586" t="s">
        <v>248</v>
      </c>
      <c r="AF35" s="589" t="s">
        <v>249</v>
      </c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9"/>
        <v>0</v>
      </c>
      <c r="R36" s="439">
        <f t="shared" si="5"/>
        <v>0</v>
      </c>
      <c r="T36" s="224"/>
      <c r="U36" s="283"/>
      <c r="V36" s="284"/>
      <c r="W36" s="926" t="s">
        <v>260</v>
      </c>
      <c r="X36" s="926"/>
      <c r="Y36" s="926"/>
      <c r="Z36" s="593" t="s">
        <v>251</v>
      </c>
      <c r="AA36" s="783">
        <v>4.93</v>
      </c>
      <c r="AB36" s="783">
        <v>5.15</v>
      </c>
      <c r="AC36" s="587">
        <f>154/1.06</f>
        <v>145.28301886792451</v>
      </c>
      <c r="AD36" s="588">
        <f>AC36*AB36</f>
        <v>748.20754716981128</v>
      </c>
      <c r="AE36" s="783">
        <v>18</v>
      </c>
      <c r="AF36" s="595">
        <f>AE36*AB36</f>
        <v>92.7</v>
      </c>
      <c r="AK36" s="127"/>
    </row>
    <row r="37" spans="1:44" s="273" customFormat="1" x14ac:dyDescent="0.25">
      <c r="A37" s="411"/>
      <c r="B37" s="412" t="s">
        <v>319</v>
      </c>
      <c r="C37" s="413" t="s">
        <v>25</v>
      </c>
      <c r="D37" s="712"/>
      <c r="E37" s="242"/>
      <c r="F37" s="302"/>
      <c r="G37" s="75"/>
      <c r="H37" s="74"/>
      <c r="I37" s="74"/>
      <c r="J37" s="74"/>
      <c r="K37" s="74"/>
      <c r="L37" s="74"/>
      <c r="M37" s="76"/>
      <c r="N37" s="76"/>
      <c r="O37" s="76"/>
      <c r="P37" s="205"/>
      <c r="Q37" s="272">
        <f t="shared" si="9"/>
        <v>0</v>
      </c>
      <c r="R37" s="439"/>
      <c r="T37" s="224"/>
      <c r="W37" s="878" t="s">
        <v>261</v>
      </c>
      <c r="X37" s="878"/>
      <c r="Y37" s="878"/>
      <c r="Z37" s="124" t="s">
        <v>262</v>
      </c>
      <c r="AA37" s="772">
        <v>4.9299999999999997E-2</v>
      </c>
      <c r="AB37" s="772">
        <v>0.05</v>
      </c>
      <c r="AC37" s="123">
        <f>580/1.05</f>
        <v>552.38095238095241</v>
      </c>
      <c r="AD37" s="196">
        <f>AC37*AB37</f>
        <v>27.61904761904762</v>
      </c>
      <c r="AE37" s="772"/>
      <c r="AF37" s="219">
        <f>AE37*AB37</f>
        <v>0</v>
      </c>
    </row>
    <row r="38" spans="1:44" s="273" customFormat="1" x14ac:dyDescent="0.25">
      <c r="A38" s="411"/>
      <c r="B38" s="689"/>
      <c r="C38" s="318">
        <v>1</v>
      </c>
      <c r="D38" s="83" t="s">
        <v>289</v>
      </c>
      <c r="E38" s="242">
        <f>491+3.8</f>
        <v>494.8</v>
      </c>
      <c r="F38" s="302">
        <v>498</v>
      </c>
      <c r="G38" s="75" t="s">
        <v>16</v>
      </c>
      <c r="H38" s="74">
        <f>AD47</f>
        <v>845.47169811320759</v>
      </c>
      <c r="I38" s="74">
        <f>F38*H38</f>
        <v>421044.90566037741</v>
      </c>
      <c r="J38" s="74">
        <f>AF47</f>
        <v>214.6</v>
      </c>
      <c r="K38" s="74">
        <f>F38*J38</f>
        <v>106870.8</v>
      </c>
      <c r="L38" s="74">
        <f>K38+I38</f>
        <v>527915.7056603774</v>
      </c>
      <c r="M38" s="74">
        <f t="shared" ref="M38:M45" si="10">H38/$P$260*$P$268</f>
        <v>1178.6750903034119</v>
      </c>
      <c r="N38" s="74">
        <f t="shared" ref="N38:N45" si="11">J38/$P$260*$P$268</f>
        <v>299.17462044393983</v>
      </c>
      <c r="O38" s="72">
        <f t="shared" ref="O38:O49" si="12">N38+M38</f>
        <v>1477.8497107473518</v>
      </c>
      <c r="P38" s="205">
        <f t="shared" ref="P38:P49" si="13">O38*F38</f>
        <v>735969.1559521812</v>
      </c>
      <c r="Q38" s="272">
        <f t="shared" si="9"/>
        <v>735969.1559521812</v>
      </c>
      <c r="R38" s="439">
        <f t="shared" ref="R38:R49" si="14">P38-Q38</f>
        <v>0</v>
      </c>
      <c r="T38" s="224"/>
      <c r="W38" s="878" t="str">
        <f>W61</f>
        <v>mortar (topping) included @ other item</v>
      </c>
      <c r="X38" s="878"/>
      <c r="Y38" s="878"/>
      <c r="Z38" s="124" t="s">
        <v>257</v>
      </c>
      <c r="AA38" s="772">
        <v>1</v>
      </c>
      <c r="AB38" s="772">
        <v>1</v>
      </c>
      <c r="AC38" s="123">
        <f>AC62</f>
        <v>0</v>
      </c>
      <c r="AD38" s="196">
        <f>AC38*AB38</f>
        <v>0</v>
      </c>
      <c r="AE38" s="772">
        <f>AE46</f>
        <v>0</v>
      </c>
      <c r="AF38" s="219">
        <f>AE38*AB38</f>
        <v>0</v>
      </c>
    </row>
    <row r="39" spans="1:44" s="273" customFormat="1" x14ac:dyDescent="0.25">
      <c r="A39" s="350"/>
      <c r="B39" s="689"/>
      <c r="C39" s="318">
        <v>2</v>
      </c>
      <c r="D39" s="83" t="s">
        <v>270</v>
      </c>
      <c r="E39" s="242">
        <f>262</f>
        <v>262</v>
      </c>
      <c r="F39" s="302">
        <v>265</v>
      </c>
      <c r="G39" s="75" t="s">
        <v>16</v>
      </c>
      <c r="H39" s="74">
        <f>AD39</f>
        <v>775.82659478885887</v>
      </c>
      <c r="I39" s="74">
        <f>F39*H39</f>
        <v>205594.0476190476</v>
      </c>
      <c r="J39" s="74">
        <v>75</v>
      </c>
      <c r="K39" s="74">
        <f t="shared" ref="K39:K45" si="15">F39*J39</f>
        <v>19875</v>
      </c>
      <c r="L39" s="74">
        <f t="shared" ref="L39:L45" si="16">K39+I39</f>
        <v>225469.0476190476</v>
      </c>
      <c r="M39" s="74">
        <f t="shared" si="10"/>
        <v>1081.5826049686448</v>
      </c>
      <c r="N39" s="74">
        <f t="shared" si="11"/>
        <v>104.55776576558942</v>
      </c>
      <c r="O39" s="72">
        <f t="shared" si="12"/>
        <v>1186.1403707342342</v>
      </c>
      <c r="P39" s="205">
        <f t="shared" si="13"/>
        <v>314327.19824457209</v>
      </c>
      <c r="Q39" s="272">
        <f t="shared" si="9"/>
        <v>314327.19824457209</v>
      </c>
      <c r="R39" s="439">
        <f t="shared" si="14"/>
        <v>0</v>
      </c>
      <c r="T39" s="224"/>
      <c r="W39" s="878"/>
      <c r="X39" s="878"/>
      <c r="Y39" s="878"/>
      <c r="Z39" s="124"/>
      <c r="AA39" s="772"/>
      <c r="AB39" s="772"/>
      <c r="AC39" s="123"/>
      <c r="AD39" s="212">
        <f>SUM(AD36:AD38)</f>
        <v>775.82659478885887</v>
      </c>
      <c r="AE39" s="772"/>
      <c r="AF39" s="212">
        <f>SUM(AF36:AF38)</f>
        <v>92.7</v>
      </c>
    </row>
    <row r="40" spans="1:44" s="273" customFormat="1" x14ac:dyDescent="0.25">
      <c r="A40" s="350"/>
      <c r="B40" s="689"/>
      <c r="C40" s="318">
        <v>3</v>
      </c>
      <c r="D40" s="83" t="s">
        <v>290</v>
      </c>
      <c r="E40" s="242">
        <f>23.6</f>
        <v>23.6</v>
      </c>
      <c r="F40" s="302">
        <v>26</v>
      </c>
      <c r="G40" s="75" t="s">
        <v>16</v>
      </c>
      <c r="H40" s="74">
        <f>AD63</f>
        <v>799.43396226415098</v>
      </c>
      <c r="I40" s="74">
        <f t="shared" ref="I40:I45" si="17">F40*H40</f>
        <v>20785.283018867925</v>
      </c>
      <c r="J40" s="74">
        <f>AF63</f>
        <v>216</v>
      </c>
      <c r="K40" s="74">
        <f t="shared" si="15"/>
        <v>5616</v>
      </c>
      <c r="L40" s="74">
        <f t="shared" si="16"/>
        <v>26401.283018867925</v>
      </c>
      <c r="M40" s="74">
        <f t="shared" si="10"/>
        <v>1114.4937196196288</v>
      </c>
      <c r="N40" s="74">
        <f t="shared" si="11"/>
        <v>301.12636540489751</v>
      </c>
      <c r="O40" s="72">
        <f t="shared" si="12"/>
        <v>1415.6200850245264</v>
      </c>
      <c r="P40" s="205">
        <f t="shared" si="13"/>
        <v>36806.122210637688</v>
      </c>
      <c r="Q40" s="272">
        <f t="shared" si="9"/>
        <v>36806.122210637681</v>
      </c>
      <c r="R40" s="439">
        <f t="shared" si="14"/>
        <v>0</v>
      </c>
      <c r="T40" s="224"/>
      <c r="AD40" s="224"/>
      <c r="AF40" s="224"/>
    </row>
    <row r="41" spans="1:44" s="273" customFormat="1" x14ac:dyDescent="0.25">
      <c r="A41" s="350"/>
      <c r="B41" s="689"/>
      <c r="C41" s="318">
        <v>4</v>
      </c>
      <c r="D41" s="83" t="s">
        <v>241</v>
      </c>
      <c r="E41" s="242">
        <v>12</v>
      </c>
      <c r="F41" s="302">
        <v>14</v>
      </c>
      <c r="G41" s="75" t="s">
        <v>16</v>
      </c>
      <c r="H41" s="74">
        <f>AD125</f>
        <v>1281.3207547169811</v>
      </c>
      <c r="I41" s="74">
        <f>F41*H41</f>
        <v>17938.490566037737</v>
      </c>
      <c r="J41" s="74">
        <f>AF125</f>
        <v>214.5</v>
      </c>
      <c r="K41" s="74">
        <f t="shared" si="15"/>
        <v>3003</v>
      </c>
      <c r="L41" s="74">
        <f t="shared" si="16"/>
        <v>20941.490566037737</v>
      </c>
      <c r="M41" s="74">
        <f t="shared" si="10"/>
        <v>1786.2938045638182</v>
      </c>
      <c r="N41" s="74">
        <f t="shared" si="11"/>
        <v>299.03521008958575</v>
      </c>
      <c r="O41" s="72">
        <f t="shared" si="12"/>
        <v>2085.3290146534041</v>
      </c>
      <c r="P41" s="205">
        <f t="shared" si="13"/>
        <v>29194.606205147658</v>
      </c>
      <c r="Q41" s="272">
        <f t="shared" si="9"/>
        <v>29194.606205147658</v>
      </c>
      <c r="R41" s="439">
        <f t="shared" si="14"/>
        <v>0</v>
      </c>
      <c r="T41" s="224"/>
      <c r="AD41" s="224"/>
      <c r="AF41" s="224"/>
    </row>
    <row r="42" spans="1:44" s="273" customFormat="1" x14ac:dyDescent="0.25">
      <c r="A42" s="350"/>
      <c r="B42" s="689"/>
      <c r="C42" s="318">
        <v>5</v>
      </c>
      <c r="D42" s="83" t="s">
        <v>242</v>
      </c>
      <c r="E42" s="242">
        <v>28.5</v>
      </c>
      <c r="F42" s="302">
        <v>31</v>
      </c>
      <c r="G42" s="75" t="s">
        <v>16</v>
      </c>
      <c r="H42" s="74">
        <f>AD132</f>
        <v>1293.5849056603774</v>
      </c>
      <c r="I42" s="74">
        <f t="shared" si="17"/>
        <v>40101.132075471702</v>
      </c>
      <c r="J42" s="74">
        <f>AF132</f>
        <v>215.1</v>
      </c>
      <c r="K42" s="74">
        <f t="shared" si="15"/>
        <v>6668.0999999999995</v>
      </c>
      <c r="L42" s="74">
        <f t="shared" si="16"/>
        <v>46769.2320754717</v>
      </c>
      <c r="M42" s="74">
        <f t="shared" si="10"/>
        <v>1803.391300852531</v>
      </c>
      <c r="N42" s="74">
        <f t="shared" si="11"/>
        <v>299.87167221571048</v>
      </c>
      <c r="O42" s="72">
        <f t="shared" si="12"/>
        <v>2103.2629730682415</v>
      </c>
      <c r="P42" s="205">
        <f t="shared" si="13"/>
        <v>65201.152165115491</v>
      </c>
      <c r="Q42" s="272">
        <f t="shared" si="9"/>
        <v>65201.152165115491</v>
      </c>
      <c r="R42" s="439">
        <f t="shared" si="14"/>
        <v>0</v>
      </c>
      <c r="T42" s="224"/>
      <c r="W42" s="904" t="s">
        <v>291</v>
      </c>
      <c r="X42" s="904"/>
      <c r="Y42" s="904"/>
      <c r="Z42" s="771" t="s">
        <v>243</v>
      </c>
      <c r="AA42" s="771" t="s">
        <v>244</v>
      </c>
      <c r="AB42" s="771" t="s">
        <v>245</v>
      </c>
      <c r="AC42" s="123" t="s">
        <v>246</v>
      </c>
      <c r="AD42" s="196" t="s">
        <v>247</v>
      </c>
      <c r="AE42" s="771" t="s">
        <v>248</v>
      </c>
      <c r="AF42" s="212" t="s">
        <v>249</v>
      </c>
    </row>
    <row r="43" spans="1:44" s="273" customFormat="1" x14ac:dyDescent="0.25">
      <c r="A43" s="350"/>
      <c r="B43" s="689"/>
      <c r="C43" s="318">
        <v>6</v>
      </c>
      <c r="D43" s="83" t="s">
        <v>44</v>
      </c>
      <c r="E43" s="242">
        <v>45.86</v>
      </c>
      <c r="F43" s="302">
        <v>48</v>
      </c>
      <c r="G43" s="75" t="s">
        <v>16</v>
      </c>
      <c r="H43" s="74"/>
      <c r="I43" s="74">
        <f t="shared" si="17"/>
        <v>0</v>
      </c>
      <c r="J43" s="74"/>
      <c r="K43" s="74">
        <f t="shared" si="15"/>
        <v>0</v>
      </c>
      <c r="L43" s="74">
        <f t="shared" si="16"/>
        <v>0</v>
      </c>
      <c r="M43" s="74">
        <f t="shared" si="10"/>
        <v>0</v>
      </c>
      <c r="N43" s="74">
        <f t="shared" si="11"/>
        <v>0</v>
      </c>
      <c r="O43" s="72">
        <f t="shared" si="12"/>
        <v>0</v>
      </c>
      <c r="P43" s="205">
        <f t="shared" si="13"/>
        <v>0</v>
      </c>
      <c r="Q43" s="272">
        <f t="shared" si="9"/>
        <v>0</v>
      </c>
      <c r="R43" s="439">
        <f t="shared" si="14"/>
        <v>0</v>
      </c>
      <c r="T43" s="224"/>
      <c r="W43" s="878" t="s">
        <v>250</v>
      </c>
      <c r="X43" s="878"/>
      <c r="Y43" s="878"/>
      <c r="Z43" s="124" t="s">
        <v>251</v>
      </c>
      <c r="AA43" s="772">
        <v>2.77</v>
      </c>
      <c r="AB43" s="772">
        <v>2.9</v>
      </c>
      <c r="AC43" s="123">
        <f>280/1.06</f>
        <v>264.15094339622641</v>
      </c>
      <c r="AD43" s="196">
        <f>AC43*AB43</f>
        <v>766.03773584905662</v>
      </c>
      <c r="AE43" s="772">
        <v>74</v>
      </c>
      <c r="AF43" s="219">
        <f>AE43*AB43</f>
        <v>214.6</v>
      </c>
    </row>
    <row r="44" spans="1:44" s="273" customFormat="1" x14ac:dyDescent="0.25">
      <c r="A44" s="350"/>
      <c r="B44" s="689"/>
      <c r="C44" s="318">
        <v>7</v>
      </c>
      <c r="D44" s="83" t="s">
        <v>162</v>
      </c>
      <c r="E44" s="242">
        <v>238.71</v>
      </c>
      <c r="F44" s="302">
        <v>242</v>
      </c>
      <c r="G44" s="75" t="s">
        <v>16</v>
      </c>
      <c r="H44" s="74">
        <f>AS167</f>
        <v>1060.7423734791041</v>
      </c>
      <c r="I44" s="74">
        <f t="shared" si="17"/>
        <v>256699.6543819432</v>
      </c>
      <c r="J44" s="74">
        <f>AU167</f>
        <v>215.10000000000002</v>
      </c>
      <c r="K44" s="74">
        <f t="shared" si="15"/>
        <v>52054.200000000004</v>
      </c>
      <c r="L44" s="74">
        <f t="shared" si="16"/>
        <v>308753.85438194318</v>
      </c>
      <c r="M44" s="74">
        <f t="shared" si="10"/>
        <v>1478.7847016515141</v>
      </c>
      <c r="N44" s="74">
        <f t="shared" si="11"/>
        <v>299.87167221571048</v>
      </c>
      <c r="O44" s="72">
        <f t="shared" si="12"/>
        <v>1778.6563738672246</v>
      </c>
      <c r="P44" s="205">
        <f t="shared" si="13"/>
        <v>430434.84247586835</v>
      </c>
      <c r="Q44" s="272">
        <f t="shared" si="9"/>
        <v>430434.8424758683</v>
      </c>
      <c r="R44" s="439">
        <f t="shared" si="14"/>
        <v>0</v>
      </c>
      <c r="T44" s="224"/>
      <c r="W44" s="878" t="s">
        <v>252</v>
      </c>
      <c r="X44" s="878"/>
      <c r="Y44" s="878"/>
      <c r="Z44" s="124" t="s">
        <v>253</v>
      </c>
      <c r="AA44" s="772">
        <v>0.25</v>
      </c>
      <c r="AB44" s="772">
        <v>0.25</v>
      </c>
      <c r="AC44" s="123">
        <f>AC129</f>
        <v>268.8679245283019</v>
      </c>
      <c r="AD44" s="196">
        <f>AC44*AB44</f>
        <v>67.216981132075475</v>
      </c>
      <c r="AE44" s="772"/>
      <c r="AF44" s="219">
        <f>AE44*AB44</f>
        <v>0</v>
      </c>
    </row>
    <row r="45" spans="1:44" s="273" customFormat="1" x14ac:dyDescent="0.25">
      <c r="A45" s="350"/>
      <c r="B45" s="713"/>
      <c r="C45" s="318">
        <v>8</v>
      </c>
      <c r="D45" s="714" t="s">
        <v>287</v>
      </c>
      <c r="E45" s="715">
        <f>96.84+64.56+11.89</f>
        <v>173.29000000000002</v>
      </c>
      <c r="F45" s="716">
        <v>0</v>
      </c>
      <c r="G45" s="717" t="s">
        <v>16</v>
      </c>
      <c r="H45" s="192"/>
      <c r="I45" s="192">
        <f t="shared" si="17"/>
        <v>0</v>
      </c>
      <c r="J45" s="192"/>
      <c r="K45" s="192">
        <f t="shared" si="15"/>
        <v>0</v>
      </c>
      <c r="L45" s="192">
        <f t="shared" si="16"/>
        <v>0</v>
      </c>
      <c r="M45" s="74">
        <f t="shared" si="10"/>
        <v>0</v>
      </c>
      <c r="N45" s="74">
        <f t="shared" si="11"/>
        <v>0</v>
      </c>
      <c r="O45" s="72">
        <f t="shared" si="12"/>
        <v>0</v>
      </c>
      <c r="P45" s="205">
        <f t="shared" si="13"/>
        <v>0</v>
      </c>
      <c r="Q45" s="272">
        <f t="shared" si="9"/>
        <v>0</v>
      </c>
      <c r="R45" s="439">
        <f t="shared" si="14"/>
        <v>0</v>
      </c>
      <c r="T45" s="224"/>
      <c r="W45" s="878" t="s">
        <v>254</v>
      </c>
      <c r="X45" s="878"/>
      <c r="Y45" s="878"/>
      <c r="Z45" s="124" t="s">
        <v>255</v>
      </c>
      <c r="AA45" s="772">
        <v>0.25</v>
      </c>
      <c r="AB45" s="772">
        <v>0.35</v>
      </c>
      <c r="AC45" s="123">
        <f>37/1.06</f>
        <v>34.905660377358487</v>
      </c>
      <c r="AD45" s="196">
        <f>AC45*AB45</f>
        <v>12.216981132075469</v>
      </c>
      <c r="AE45" s="772"/>
      <c r="AF45" s="219">
        <f>AE45*AB45</f>
        <v>0</v>
      </c>
    </row>
    <row r="46" spans="1:44" s="273" customFormat="1" x14ac:dyDescent="0.25">
      <c r="A46" s="350"/>
      <c r="B46" s="689"/>
      <c r="C46" s="318"/>
      <c r="D46" s="83"/>
      <c r="E46" s="242"/>
      <c r="F46" s="302"/>
      <c r="G46" s="74"/>
      <c r="H46" s="74"/>
      <c r="I46" s="74"/>
      <c r="J46" s="74"/>
      <c r="K46" s="74"/>
      <c r="L46" s="74"/>
      <c r="M46" s="74"/>
      <c r="N46" s="74"/>
      <c r="O46" s="72"/>
      <c r="P46" s="205"/>
      <c r="Q46" s="272"/>
      <c r="R46" s="439"/>
      <c r="T46" s="224"/>
      <c r="W46" s="878" t="s">
        <v>256</v>
      </c>
      <c r="X46" s="878"/>
      <c r="Y46" s="878"/>
      <c r="Z46" s="124" t="s">
        <v>257</v>
      </c>
      <c r="AA46" s="772">
        <v>1</v>
      </c>
      <c r="AB46" s="772">
        <v>1</v>
      </c>
      <c r="AC46" s="123">
        <v>0</v>
      </c>
      <c r="AD46" s="196">
        <f>AC46*AB46</f>
        <v>0</v>
      </c>
      <c r="AE46" s="772">
        <v>0</v>
      </c>
      <c r="AF46" s="219">
        <f>AE46*AB46</f>
        <v>0</v>
      </c>
    </row>
    <row r="47" spans="1:44" s="273" customFormat="1" x14ac:dyDescent="0.25">
      <c r="A47" s="411"/>
      <c r="B47" s="412" t="s">
        <v>320</v>
      </c>
      <c r="C47" s="413" t="s">
        <v>83</v>
      </c>
      <c r="D47" s="712"/>
      <c r="E47" s="242"/>
      <c r="F47" s="302"/>
      <c r="G47" s="75"/>
      <c r="H47" s="74"/>
      <c r="I47" s="74"/>
      <c r="J47" s="74"/>
      <c r="K47" s="74"/>
      <c r="L47" s="74"/>
      <c r="M47" s="74"/>
      <c r="N47" s="74"/>
      <c r="O47" s="72"/>
      <c r="P47" s="205"/>
      <c r="Q47" s="272"/>
      <c r="R47" s="439"/>
      <c r="T47" s="224"/>
      <c r="W47" s="126"/>
      <c r="X47" s="126"/>
      <c r="Y47" s="126"/>
      <c r="Z47" s="126"/>
      <c r="AA47" s="772"/>
      <c r="AB47" s="772"/>
      <c r="AC47" s="123"/>
      <c r="AD47" s="212">
        <f>SUM(AD43:AD46)</f>
        <v>845.47169811320759</v>
      </c>
      <c r="AE47" s="771"/>
      <c r="AF47" s="212">
        <f>SUM(AF43:AF46)</f>
        <v>214.6</v>
      </c>
    </row>
    <row r="48" spans="1:44" s="273" customFormat="1" x14ac:dyDescent="0.25">
      <c r="A48" s="411"/>
      <c r="B48" s="689"/>
      <c r="C48" s="318">
        <v>1</v>
      </c>
      <c r="D48" s="83" t="s">
        <v>84</v>
      </c>
      <c r="E48" s="242">
        <v>16.22</v>
      </c>
      <c r="F48" s="302">
        <v>18</v>
      </c>
      <c r="G48" s="77" t="s">
        <v>101</v>
      </c>
      <c r="H48" s="74">
        <f>AS175</f>
        <v>1177.3113207547169</v>
      </c>
      <c r="I48" s="74">
        <f>F48*H48</f>
        <v>21191.603773584906</v>
      </c>
      <c r="J48" s="74">
        <f>AU175</f>
        <v>215.1</v>
      </c>
      <c r="K48" s="74">
        <f>F48*J48</f>
        <v>3871.7999999999997</v>
      </c>
      <c r="L48" s="74">
        <f>K48+I48</f>
        <v>25063.403773584905</v>
      </c>
      <c r="M48" s="74">
        <f>H48/$P$260*$P$268</f>
        <v>1641.293884115312</v>
      </c>
      <c r="N48" s="74">
        <f>J48/$P$260*$P$268</f>
        <v>299.87167221571048</v>
      </c>
      <c r="O48" s="72">
        <f t="shared" si="12"/>
        <v>1941.1655563310226</v>
      </c>
      <c r="P48" s="205">
        <f t="shared" si="13"/>
        <v>34940.980013958404</v>
      </c>
      <c r="Q48" s="272">
        <f>L48/$P$260*$P$268</f>
        <v>34940.980013958411</v>
      </c>
      <c r="R48" s="439">
        <f t="shared" si="14"/>
        <v>0</v>
      </c>
      <c r="T48" s="224"/>
      <c r="AD48" s="224"/>
      <c r="AF48" s="224"/>
    </row>
    <row r="49" spans="1:44" s="273" customFormat="1" x14ac:dyDescent="0.25">
      <c r="A49" s="411"/>
      <c r="B49" s="689"/>
      <c r="C49" s="318">
        <v>2</v>
      </c>
      <c r="D49" s="83" t="s">
        <v>85</v>
      </c>
      <c r="E49" s="242">
        <v>44.33</v>
      </c>
      <c r="F49" s="302">
        <v>46</v>
      </c>
      <c r="G49" s="77" t="s">
        <v>101</v>
      </c>
      <c r="H49" s="74">
        <f>AS183</f>
        <v>1287.6886792452831</v>
      </c>
      <c r="I49" s="74">
        <f t="shared" ref="I49" si="18">F49*H49</f>
        <v>59233.67924528302</v>
      </c>
      <c r="J49" s="74">
        <f>AU183</f>
        <v>215.1</v>
      </c>
      <c r="K49" s="74">
        <f t="shared" ref="K49" si="19">F49*J49</f>
        <v>9894.6</v>
      </c>
      <c r="L49" s="74">
        <f t="shared" ref="L49" si="20">K49+I49</f>
        <v>69128.279245283018</v>
      </c>
      <c r="M49" s="74">
        <f>H49/$P$260*$P$268</f>
        <v>1795.171350713727</v>
      </c>
      <c r="N49" s="74">
        <f>J49/$P$260*$P$268</f>
        <v>299.87167221571048</v>
      </c>
      <c r="O49" s="72">
        <f t="shared" si="12"/>
        <v>2095.0430229294375</v>
      </c>
      <c r="P49" s="205">
        <f t="shared" si="13"/>
        <v>96371.97905475412</v>
      </c>
      <c r="Q49" s="272">
        <f>L49/$P$260*$P$268</f>
        <v>96371.97905475412</v>
      </c>
      <c r="R49" s="439">
        <f t="shared" si="14"/>
        <v>0</v>
      </c>
      <c r="T49" s="224"/>
      <c r="AD49" s="224"/>
      <c r="AF49" s="224"/>
    </row>
    <row r="50" spans="1:44" s="273" customFormat="1" x14ac:dyDescent="0.25">
      <c r="A50" s="411"/>
      <c r="B50" s="689"/>
      <c r="C50" s="318">
        <v>3</v>
      </c>
      <c r="D50" s="83" t="s">
        <v>490</v>
      </c>
      <c r="E50" s="242">
        <f>1350+85</f>
        <v>1435</v>
      </c>
      <c r="F50" s="302">
        <v>1450</v>
      </c>
      <c r="G50" s="77" t="s">
        <v>101</v>
      </c>
      <c r="H50" s="74">
        <f>165-5</f>
        <v>160</v>
      </c>
      <c r="I50" s="74">
        <f>F50*H50</f>
        <v>232000</v>
      </c>
      <c r="J50" s="74">
        <f>165-5</f>
        <v>160</v>
      </c>
      <c r="K50" s="74">
        <f>F50*J50</f>
        <v>232000</v>
      </c>
      <c r="L50" s="74">
        <f>K50+I50</f>
        <v>464000</v>
      </c>
      <c r="M50" s="74">
        <f>H50/$P$260*$P$268</f>
        <v>223.05656696659076</v>
      </c>
      <c r="N50" s="74">
        <f>J50/$P$260*$P$268</f>
        <v>223.05656696659076</v>
      </c>
      <c r="O50" s="72">
        <f>N50+M50</f>
        <v>446.11313393318153</v>
      </c>
      <c r="P50" s="205">
        <f>O50*F50</f>
        <v>646864.04420311318</v>
      </c>
      <c r="Q50" s="272">
        <f>L50/$P$260*$P$268</f>
        <v>646864.04420311318</v>
      </c>
      <c r="R50" s="439">
        <f>P50-Q50</f>
        <v>0</v>
      </c>
    </row>
    <row r="51" spans="1:44" s="273" customFormat="1" x14ac:dyDescent="0.25">
      <c r="A51" s="411"/>
      <c r="B51" s="689"/>
      <c r="C51" s="318">
        <v>4</v>
      </c>
      <c r="D51" s="83" t="s">
        <v>491</v>
      </c>
      <c r="E51" s="242">
        <f>685+46</f>
        <v>731</v>
      </c>
      <c r="F51" s="302">
        <v>744</v>
      </c>
      <c r="G51" s="77" t="s">
        <v>101</v>
      </c>
      <c r="H51" s="74">
        <f>180-10</f>
        <v>170</v>
      </c>
      <c r="I51" s="74">
        <f>F51*H51</f>
        <v>126480</v>
      </c>
      <c r="J51" s="74">
        <f>190-5</f>
        <v>185</v>
      </c>
      <c r="K51" s="74">
        <f>F51*J51</f>
        <v>137640</v>
      </c>
      <c r="L51" s="74">
        <f>K51+I51</f>
        <v>264120</v>
      </c>
      <c r="M51" s="74">
        <f>H51/$P$260*$P$268</f>
        <v>236.99760240200268</v>
      </c>
      <c r="N51" s="74">
        <f>J51/$P$260*$P$268</f>
        <v>257.90915555512061</v>
      </c>
      <c r="O51" s="72">
        <f t="shared" ref="O51:O79" si="21">N51+M51</f>
        <v>494.90675795712332</v>
      </c>
      <c r="P51" s="205">
        <f t="shared" ref="P51:P79" si="22">O51*F51</f>
        <v>368210.62792009977</v>
      </c>
      <c r="Q51" s="272">
        <f>L51/$P$260*$P$268</f>
        <v>368210.62792009971</v>
      </c>
      <c r="R51" s="439">
        <f t="shared" ref="R51:R79" si="23">P51-Q51</f>
        <v>0</v>
      </c>
    </row>
    <row r="52" spans="1:44" s="273" customFormat="1" x14ac:dyDescent="0.25">
      <c r="A52" s="411"/>
      <c r="B52" s="689"/>
      <c r="C52" s="318">
        <v>5</v>
      </c>
      <c r="D52" s="83" t="s">
        <v>334</v>
      </c>
      <c r="E52" s="306" t="s">
        <v>39</v>
      </c>
      <c r="F52" s="302">
        <v>0</v>
      </c>
      <c r="G52" s="77"/>
      <c r="H52" s="74"/>
      <c r="I52" s="74"/>
      <c r="J52" s="74"/>
      <c r="K52" s="74"/>
      <c r="L52" s="74"/>
      <c r="M52" s="74">
        <f>H52/$P$260*$P$268</f>
        <v>0</v>
      </c>
      <c r="N52" s="74">
        <f>J52/$P$260*$P$268</f>
        <v>0</v>
      </c>
      <c r="O52" s="72">
        <f t="shared" si="21"/>
        <v>0</v>
      </c>
      <c r="P52" s="205">
        <f t="shared" si="22"/>
        <v>0</v>
      </c>
      <c r="Q52" s="272">
        <f>L52/$P$260*$P$268</f>
        <v>0</v>
      </c>
      <c r="R52" s="439">
        <f t="shared" si="23"/>
        <v>0</v>
      </c>
      <c r="T52" s="224"/>
      <c r="AD52" s="224"/>
      <c r="AF52" s="224"/>
    </row>
    <row r="53" spans="1:44" s="273" customFormat="1" x14ac:dyDescent="0.25">
      <c r="A53" s="411"/>
      <c r="B53" s="689"/>
      <c r="C53" s="318"/>
      <c r="D53" s="82"/>
      <c r="E53" s="242"/>
      <c r="F53" s="302"/>
      <c r="G53" s="75"/>
      <c r="H53" s="74"/>
      <c r="I53" s="74"/>
      <c r="J53" s="74"/>
      <c r="K53" s="74"/>
      <c r="L53" s="74"/>
      <c r="M53" s="74"/>
      <c r="N53" s="74"/>
      <c r="O53" s="72"/>
      <c r="P53" s="205"/>
      <c r="Q53" s="272"/>
      <c r="R53" s="439"/>
      <c r="T53" s="224"/>
      <c r="AD53" s="224"/>
      <c r="AF53" s="224"/>
    </row>
    <row r="54" spans="1:44" s="273" customFormat="1" x14ac:dyDescent="0.25">
      <c r="A54" s="411"/>
      <c r="B54" s="412" t="s">
        <v>321</v>
      </c>
      <c r="C54" s="413" t="s">
        <v>87</v>
      </c>
      <c r="D54" s="82"/>
      <c r="E54" s="242"/>
      <c r="F54" s="302"/>
      <c r="G54" s="75"/>
      <c r="H54" s="74"/>
      <c r="I54" s="74"/>
      <c r="J54" s="74"/>
      <c r="K54" s="74"/>
      <c r="L54" s="74"/>
      <c r="M54" s="74"/>
      <c r="N54" s="74"/>
      <c r="O54" s="72"/>
      <c r="P54" s="205"/>
      <c r="Q54" s="272"/>
      <c r="R54" s="439"/>
      <c r="T54" s="224"/>
      <c r="AD54" s="224"/>
      <c r="AF54" s="224"/>
    </row>
    <row r="55" spans="1:44" s="273" customFormat="1" x14ac:dyDescent="0.25">
      <c r="A55" s="411"/>
      <c r="B55" s="689"/>
      <c r="C55" s="318">
        <v>1</v>
      </c>
      <c r="D55" s="83" t="s">
        <v>322</v>
      </c>
      <c r="E55" s="242">
        <v>269</v>
      </c>
      <c r="F55" s="302">
        <v>273</v>
      </c>
      <c r="G55" s="77" t="s">
        <v>101</v>
      </c>
      <c r="H55" s="347">
        <f>430*0.98</f>
        <v>421.4</v>
      </c>
      <c r="I55" s="74">
        <f>F55*H55</f>
        <v>115042.2</v>
      </c>
      <c r="J55" s="74">
        <f>375*0.98</f>
        <v>367.5</v>
      </c>
      <c r="K55" s="74">
        <f t="shared" ref="K55:K56" si="24">F55*J55</f>
        <v>100327.5</v>
      </c>
      <c r="L55" s="72">
        <f t="shared" ref="L55:L56" si="25">I55+K55</f>
        <v>215369.7</v>
      </c>
      <c r="M55" s="74">
        <f>H55/$P$260*$P$268</f>
        <v>587.47523324825841</v>
      </c>
      <c r="N55" s="74">
        <f>J55/$P$260*$P$268</f>
        <v>512.33305225138815</v>
      </c>
      <c r="O55" s="72">
        <f t="shared" si="21"/>
        <v>1099.8082854996464</v>
      </c>
      <c r="P55" s="205">
        <f t="shared" si="22"/>
        <v>300247.66194140346</v>
      </c>
      <c r="Q55" s="272">
        <f>L55/$P$260*$P$268</f>
        <v>300247.66194140352</v>
      </c>
      <c r="R55" s="439">
        <f t="shared" si="23"/>
        <v>0</v>
      </c>
      <c r="T55" s="224"/>
    </row>
    <row r="56" spans="1:44" s="273" customFormat="1" ht="15" customHeight="1" x14ac:dyDescent="0.25">
      <c r="A56" s="411"/>
      <c r="B56" s="689"/>
      <c r="C56" s="318">
        <v>2</v>
      </c>
      <c r="D56" s="83" t="s">
        <v>90</v>
      </c>
      <c r="E56" s="242">
        <v>36.700000000000003</v>
      </c>
      <c r="F56" s="302">
        <v>39</v>
      </c>
      <c r="G56" s="77" t="s">
        <v>101</v>
      </c>
      <c r="H56" s="347">
        <f>(167+175)+150</f>
        <v>492</v>
      </c>
      <c r="I56" s="74">
        <f>F56*H56</f>
        <v>19188</v>
      </c>
      <c r="J56" s="74">
        <f>225+150</f>
        <v>375</v>
      </c>
      <c r="K56" s="74">
        <f t="shared" si="24"/>
        <v>14625</v>
      </c>
      <c r="L56" s="72">
        <f t="shared" si="25"/>
        <v>33813</v>
      </c>
      <c r="M56" s="74">
        <f>H56/$P$260*$P$268</f>
        <v>685.8989434222666</v>
      </c>
      <c r="N56" s="74">
        <f>J56/$P$260*$P$268</f>
        <v>522.7888288279471</v>
      </c>
      <c r="O56" s="72">
        <f t="shared" si="21"/>
        <v>1208.6877722502136</v>
      </c>
      <c r="P56" s="205">
        <f t="shared" si="22"/>
        <v>47138.823117758329</v>
      </c>
      <c r="Q56" s="272">
        <f>L56/$P$260*$P$268</f>
        <v>47138.823117758337</v>
      </c>
      <c r="R56" s="439">
        <f t="shared" si="23"/>
        <v>0</v>
      </c>
      <c r="T56" s="224"/>
      <c r="AD56" s="224"/>
      <c r="AF56" s="224"/>
      <c r="AL56" s="285"/>
      <c r="AM56" s="285"/>
      <c r="AN56" s="286"/>
      <c r="AO56" s="286"/>
      <c r="AP56" s="286"/>
      <c r="AQ56" s="286"/>
      <c r="AR56" s="127"/>
    </row>
    <row r="57" spans="1:44" s="273" customFormat="1" ht="15" customHeight="1" x14ac:dyDescent="0.25">
      <c r="A57" s="411"/>
      <c r="B57" s="689"/>
      <c r="C57" s="318"/>
      <c r="D57" s="83" t="s">
        <v>155</v>
      </c>
      <c r="E57" s="242"/>
      <c r="F57" s="302"/>
      <c r="G57" s="75"/>
      <c r="H57" s="347"/>
      <c r="I57" s="74"/>
      <c r="J57" s="74"/>
      <c r="K57" s="74"/>
      <c r="L57" s="74"/>
      <c r="M57" s="74"/>
      <c r="N57" s="74"/>
      <c r="O57" s="72"/>
      <c r="P57" s="205"/>
      <c r="Q57" s="272"/>
      <c r="R57" s="439"/>
      <c r="T57" s="224"/>
      <c r="W57" s="904" t="s">
        <v>293</v>
      </c>
      <c r="X57" s="904"/>
      <c r="Y57" s="904"/>
      <c r="Z57" s="771" t="s">
        <v>243</v>
      </c>
      <c r="AA57" s="771" t="s">
        <v>244</v>
      </c>
      <c r="AB57" s="771" t="s">
        <v>245</v>
      </c>
      <c r="AC57" s="123" t="s">
        <v>246</v>
      </c>
      <c r="AD57" s="196" t="s">
        <v>247</v>
      </c>
      <c r="AE57" s="771" t="s">
        <v>248</v>
      </c>
      <c r="AF57" s="212" t="s">
        <v>249</v>
      </c>
      <c r="AL57" s="285"/>
      <c r="AM57" s="285"/>
      <c r="AN57" s="286"/>
      <c r="AO57" s="286"/>
      <c r="AP57" s="286"/>
      <c r="AQ57" s="286"/>
      <c r="AR57" s="127"/>
    </row>
    <row r="58" spans="1:44" s="273" customFormat="1" x14ac:dyDescent="0.25">
      <c r="A58" s="411"/>
      <c r="B58" s="689"/>
      <c r="C58" s="318">
        <v>3</v>
      </c>
      <c r="D58" s="83" t="s">
        <v>92</v>
      </c>
      <c r="E58" s="242">
        <v>62</v>
      </c>
      <c r="F58" s="302">
        <v>64</v>
      </c>
      <c r="G58" s="77" t="s">
        <v>101</v>
      </c>
      <c r="H58" s="347">
        <f>((177+155)+150)*0.98</f>
        <v>472.36</v>
      </c>
      <c r="I58" s="74">
        <f>F58*H58</f>
        <v>30231.040000000001</v>
      </c>
      <c r="J58" s="74">
        <f>(225+150)*0.98</f>
        <v>367.5</v>
      </c>
      <c r="K58" s="74">
        <f t="shared" ref="K58" si="26">F58*J58</f>
        <v>23520</v>
      </c>
      <c r="L58" s="72">
        <f t="shared" ref="L58" si="27">I58+K58</f>
        <v>53751.040000000001</v>
      </c>
      <c r="M58" s="74">
        <f>H58/$P$260*$P$268</f>
        <v>658.51874982711763</v>
      </c>
      <c r="N58" s="74">
        <f>J58/$P$260*$P$268</f>
        <v>512.33305225138815</v>
      </c>
      <c r="O58" s="72">
        <f t="shared" si="21"/>
        <v>1170.8518020785059</v>
      </c>
      <c r="P58" s="205">
        <f t="shared" si="22"/>
        <v>74934.515333024377</v>
      </c>
      <c r="Q58" s="272">
        <f>L58/$P$260*$P$268</f>
        <v>74934.515333024377</v>
      </c>
      <c r="R58" s="439">
        <f t="shared" si="23"/>
        <v>0</v>
      </c>
      <c r="T58" s="224"/>
      <c r="W58" s="878" t="s">
        <v>258</v>
      </c>
      <c r="X58" s="878"/>
      <c r="Y58" s="878"/>
      <c r="Z58" s="124" t="s">
        <v>251</v>
      </c>
      <c r="AA58" s="772">
        <v>11.11</v>
      </c>
      <c r="AB58" s="772">
        <v>12</v>
      </c>
      <c r="AC58" s="123">
        <f>63/1.05</f>
        <v>60</v>
      </c>
      <c r="AD58" s="196">
        <f>AC58*AB58</f>
        <v>720</v>
      </c>
      <c r="AE58" s="772">
        <v>18</v>
      </c>
      <c r="AF58" s="219">
        <f>AE58*AB58</f>
        <v>216</v>
      </c>
      <c r="AL58" s="285"/>
      <c r="AM58" s="285"/>
      <c r="AN58" s="286"/>
      <c r="AO58" s="286"/>
      <c r="AP58" s="286"/>
      <c r="AQ58" s="286"/>
      <c r="AR58" s="690"/>
    </row>
    <row r="59" spans="1:44" s="273" customFormat="1" x14ac:dyDescent="0.25">
      <c r="A59" s="411"/>
      <c r="B59" s="718"/>
      <c r="C59" s="719"/>
      <c r="D59" s="83" t="s">
        <v>154</v>
      </c>
      <c r="E59" s="242"/>
      <c r="F59" s="302"/>
      <c r="G59" s="75"/>
      <c r="H59" s="74"/>
      <c r="I59" s="74"/>
      <c r="J59" s="74"/>
      <c r="K59" s="74"/>
      <c r="L59" s="74"/>
      <c r="M59" s="74"/>
      <c r="N59" s="74"/>
      <c r="O59" s="72"/>
      <c r="P59" s="205"/>
      <c r="Q59" s="272"/>
      <c r="R59" s="439"/>
      <c r="T59" s="224"/>
      <c r="W59" s="878" t="s">
        <v>252</v>
      </c>
      <c r="X59" s="878"/>
      <c r="Y59" s="878"/>
      <c r="Z59" s="124" t="s">
        <v>253</v>
      </c>
      <c r="AA59" s="772">
        <v>0.25</v>
      </c>
      <c r="AB59" s="772">
        <v>0.25</v>
      </c>
      <c r="AC59" s="123">
        <f>AC129</f>
        <v>268.8679245283019</v>
      </c>
      <c r="AD59" s="196">
        <f>AC59*AB59</f>
        <v>67.216981132075475</v>
      </c>
      <c r="AE59" s="772"/>
      <c r="AF59" s="219">
        <f t="shared" ref="AF59:AF61" si="28">AE59*AB59</f>
        <v>0</v>
      </c>
    </row>
    <row r="60" spans="1:44" s="273" customFormat="1" x14ac:dyDescent="0.25">
      <c r="A60" s="411"/>
      <c r="B60" s="689"/>
      <c r="C60" s="318">
        <v>4</v>
      </c>
      <c r="D60" s="83" t="s">
        <v>93</v>
      </c>
      <c r="E60" s="242">
        <v>252</v>
      </c>
      <c r="F60" s="302">
        <v>255</v>
      </c>
      <c r="G60" s="77" t="s">
        <v>101</v>
      </c>
      <c r="H60" s="74">
        <f>(230+185)/1.05</f>
        <v>395.23809523809524</v>
      </c>
      <c r="I60" s="74">
        <f>F60*H60</f>
        <v>100785.71428571429</v>
      </c>
      <c r="J60" s="74">
        <v>225</v>
      </c>
      <c r="K60" s="74">
        <f t="shared" ref="K60" si="29">F60*J60</f>
        <v>57375</v>
      </c>
      <c r="L60" s="72">
        <f t="shared" ref="L60" si="30">I60+K60</f>
        <v>158160.71428571429</v>
      </c>
      <c r="M60" s="74">
        <f>H60/$P$260*$P$268</f>
        <v>551.00282911389979</v>
      </c>
      <c r="N60" s="74">
        <f>J60/$P$260*$P$268</f>
        <v>313.67329729676828</v>
      </c>
      <c r="O60" s="72">
        <f t="shared" si="21"/>
        <v>864.67612641066808</v>
      </c>
      <c r="P60" s="205">
        <f t="shared" si="22"/>
        <v>220492.41223472037</v>
      </c>
      <c r="Q60" s="272">
        <f>L60/$P$260*$P$268</f>
        <v>220492.41223472037</v>
      </c>
      <c r="R60" s="439">
        <f t="shared" si="23"/>
        <v>0</v>
      </c>
      <c r="T60" s="224"/>
      <c r="W60" s="878" t="s">
        <v>254</v>
      </c>
      <c r="X60" s="878"/>
      <c r="Y60" s="878"/>
      <c r="Z60" s="124" t="s">
        <v>255</v>
      </c>
      <c r="AA60" s="772">
        <v>0.25</v>
      </c>
      <c r="AB60" s="772">
        <v>0.35</v>
      </c>
      <c r="AC60" s="123">
        <f>AC45</f>
        <v>34.905660377358487</v>
      </c>
      <c r="AD60" s="196">
        <f t="shared" ref="AD60:AD61" si="31">AC60*AB60</f>
        <v>12.216981132075469</v>
      </c>
      <c r="AE60" s="772"/>
      <c r="AF60" s="219">
        <f t="shared" si="28"/>
        <v>0</v>
      </c>
    </row>
    <row r="61" spans="1:44" s="273" customFormat="1" x14ac:dyDescent="0.25">
      <c r="A61" s="411"/>
      <c r="B61" s="718"/>
      <c r="C61" s="719"/>
      <c r="D61" s="83" t="s">
        <v>94</v>
      </c>
      <c r="E61" s="242"/>
      <c r="F61" s="302"/>
      <c r="G61" s="75"/>
      <c r="H61" s="74"/>
      <c r="I61" s="74"/>
      <c r="J61" s="74"/>
      <c r="K61" s="74"/>
      <c r="L61" s="74"/>
      <c r="M61" s="74"/>
      <c r="N61" s="74"/>
      <c r="O61" s="72"/>
      <c r="P61" s="205"/>
      <c r="Q61" s="272"/>
      <c r="R61" s="439"/>
      <c r="T61" s="224"/>
      <c r="W61" s="878" t="str">
        <f>W46</f>
        <v>mortar (topping) included @ other item</v>
      </c>
      <c r="X61" s="878"/>
      <c r="Y61" s="878"/>
      <c r="Z61" s="124" t="s">
        <v>257</v>
      </c>
      <c r="AA61" s="772">
        <v>1</v>
      </c>
      <c r="AB61" s="772">
        <v>1</v>
      </c>
      <c r="AC61" s="123">
        <f>AC46</f>
        <v>0</v>
      </c>
      <c r="AD61" s="196">
        <f t="shared" si="31"/>
        <v>0</v>
      </c>
      <c r="AE61" s="772">
        <f>AE46</f>
        <v>0</v>
      </c>
      <c r="AF61" s="219">
        <f t="shared" si="28"/>
        <v>0</v>
      </c>
    </row>
    <row r="62" spans="1:44" s="273" customFormat="1" x14ac:dyDescent="0.25">
      <c r="A62" s="411"/>
      <c r="B62" s="689"/>
      <c r="C62" s="318">
        <v>5</v>
      </c>
      <c r="D62" s="83" t="s">
        <v>160</v>
      </c>
      <c r="E62" s="720">
        <f>29.2+51.05</f>
        <v>80.25</v>
      </c>
      <c r="F62" s="721">
        <v>82</v>
      </c>
      <c r="G62" s="77" t="s">
        <v>101</v>
      </c>
      <c r="H62" s="74"/>
      <c r="I62" s="74">
        <f>F62*H62</f>
        <v>0</v>
      </c>
      <c r="J62" s="74"/>
      <c r="K62" s="74">
        <f t="shared" ref="K62:K65" si="32">F62*J62</f>
        <v>0</v>
      </c>
      <c r="L62" s="72">
        <f t="shared" ref="L62:L63" si="33">I62+K62</f>
        <v>0</v>
      </c>
      <c r="M62" s="74">
        <f>H62/$P$260*$P$268</f>
        <v>0</v>
      </c>
      <c r="N62" s="74">
        <f>J62/$P$260*$P$268</f>
        <v>0</v>
      </c>
      <c r="O62" s="72">
        <f t="shared" si="21"/>
        <v>0</v>
      </c>
      <c r="P62" s="205">
        <f t="shared" si="22"/>
        <v>0</v>
      </c>
      <c r="Q62" s="272">
        <f>L62/$P$260*$P$268</f>
        <v>0</v>
      </c>
      <c r="R62" s="439">
        <f t="shared" si="23"/>
        <v>0</v>
      </c>
      <c r="T62" s="224"/>
      <c r="W62" s="878" t="s">
        <v>259</v>
      </c>
      <c r="X62" s="878"/>
      <c r="Y62" s="878"/>
      <c r="Z62" s="124" t="s">
        <v>257</v>
      </c>
      <c r="AA62" s="772">
        <v>1</v>
      </c>
      <c r="AB62" s="772">
        <v>1</v>
      </c>
      <c r="AC62" s="123">
        <f>AC46</f>
        <v>0</v>
      </c>
      <c r="AD62" s="196">
        <f>AC62*AB62</f>
        <v>0</v>
      </c>
      <c r="AE62" s="772">
        <f>AE46</f>
        <v>0</v>
      </c>
      <c r="AF62" s="219">
        <f>AE62*AB62</f>
        <v>0</v>
      </c>
    </row>
    <row r="63" spans="1:44" s="273" customFormat="1" x14ac:dyDescent="0.25">
      <c r="A63" s="411"/>
      <c r="B63" s="689"/>
      <c r="C63" s="318">
        <v>6</v>
      </c>
      <c r="D63" s="83" t="s">
        <v>492</v>
      </c>
      <c r="E63" s="242">
        <v>61.7</v>
      </c>
      <c r="F63" s="302">
        <v>63</v>
      </c>
      <c r="G63" s="77" t="s">
        <v>100</v>
      </c>
      <c r="H63" s="74">
        <v>130</v>
      </c>
      <c r="I63" s="74">
        <f>F63*H63</f>
        <v>8190</v>
      </c>
      <c r="J63" s="74">
        <v>120</v>
      </c>
      <c r="K63" s="74">
        <f t="shared" si="32"/>
        <v>7560</v>
      </c>
      <c r="L63" s="72">
        <f t="shared" si="33"/>
        <v>15750</v>
      </c>
      <c r="M63" s="74">
        <f>H63/$P$260*$P$268</f>
        <v>181.23346066035498</v>
      </c>
      <c r="N63" s="74">
        <f>J63/$P$260*$P$268</f>
        <v>167.29242522494309</v>
      </c>
      <c r="O63" s="72">
        <f t="shared" si="21"/>
        <v>348.52588588529807</v>
      </c>
      <c r="P63" s="205">
        <f t="shared" si="22"/>
        <v>21957.130810773779</v>
      </c>
      <c r="Q63" s="272">
        <f>L63/$P$260*$P$268</f>
        <v>21957.130810773779</v>
      </c>
      <c r="R63" s="439">
        <f t="shared" si="23"/>
        <v>0</v>
      </c>
      <c r="T63" s="224"/>
      <c r="W63" s="126"/>
      <c r="X63" s="126"/>
      <c r="Y63" s="126"/>
      <c r="Z63" s="126"/>
      <c r="AA63" s="772"/>
      <c r="AB63" s="772"/>
      <c r="AC63" s="123"/>
      <c r="AD63" s="212">
        <f>SUM(AD58:AD62)</f>
        <v>799.43396226415098</v>
      </c>
      <c r="AE63" s="771"/>
      <c r="AF63" s="212">
        <f>SUM(AF58:AF62)</f>
        <v>216</v>
      </c>
    </row>
    <row r="64" spans="1:44" s="273" customFormat="1" hidden="1" x14ac:dyDescent="0.25">
      <c r="A64" s="411"/>
      <c r="B64" s="689"/>
      <c r="C64" s="318"/>
      <c r="D64" s="83"/>
      <c r="E64" s="242"/>
      <c r="F64" s="302"/>
      <c r="G64" s="75"/>
      <c r="H64" s="74"/>
      <c r="I64" s="74"/>
      <c r="J64" s="74"/>
      <c r="K64" s="74"/>
      <c r="L64" s="74"/>
      <c r="M64" s="74">
        <f>H64/$P$260*$P$268</f>
        <v>0</v>
      </c>
      <c r="N64" s="74">
        <f>J64/$P$260*$P$268</f>
        <v>0</v>
      </c>
      <c r="O64" s="72">
        <f t="shared" si="21"/>
        <v>0</v>
      </c>
      <c r="P64" s="205">
        <f t="shared" si="22"/>
        <v>0</v>
      </c>
      <c r="Q64" s="272">
        <f>L64/$P$260*$P$268</f>
        <v>0</v>
      </c>
      <c r="R64" s="439">
        <f t="shared" si="23"/>
        <v>0</v>
      </c>
      <c r="T64" s="224"/>
      <c r="AD64" s="224"/>
      <c r="AF64" s="224"/>
    </row>
    <row r="65" spans="1:32" s="273" customFormat="1" x14ac:dyDescent="0.25">
      <c r="A65" s="411"/>
      <c r="B65" s="689"/>
      <c r="C65" s="318">
        <v>7</v>
      </c>
      <c r="D65" s="83" t="s">
        <v>357</v>
      </c>
      <c r="E65" s="242">
        <v>152.9</v>
      </c>
      <c r="F65" s="302">
        <v>154</v>
      </c>
      <c r="G65" s="77" t="s">
        <v>101</v>
      </c>
      <c r="H65" s="74"/>
      <c r="I65" s="74">
        <f>F65*H65</f>
        <v>0</v>
      </c>
      <c r="J65" s="74"/>
      <c r="K65" s="74">
        <f t="shared" si="32"/>
        <v>0</v>
      </c>
      <c r="L65" s="72">
        <f t="shared" ref="L65" si="34">I65+K65</f>
        <v>0</v>
      </c>
      <c r="M65" s="74">
        <f>H65/$P$260*$P$268</f>
        <v>0</v>
      </c>
      <c r="N65" s="74">
        <f>J65/$P$260*$P$268</f>
        <v>0</v>
      </c>
      <c r="O65" s="72">
        <f t="shared" si="21"/>
        <v>0</v>
      </c>
      <c r="P65" s="205">
        <f t="shared" si="22"/>
        <v>0</v>
      </c>
      <c r="Q65" s="272">
        <f>L65/$P$260*$P$268</f>
        <v>0</v>
      </c>
      <c r="R65" s="439">
        <f t="shared" si="23"/>
        <v>0</v>
      </c>
      <c r="T65" s="224"/>
      <c r="AD65" s="224"/>
      <c r="AF65" s="224"/>
    </row>
    <row r="66" spans="1:32" s="273" customFormat="1" x14ac:dyDescent="0.25">
      <c r="A66" s="411"/>
      <c r="B66" s="718"/>
      <c r="C66" s="719"/>
      <c r="D66" s="83"/>
      <c r="E66" s="242"/>
      <c r="F66" s="302"/>
      <c r="G66" s="75"/>
      <c r="H66" s="74"/>
      <c r="I66" s="74"/>
      <c r="J66" s="74"/>
      <c r="K66" s="74"/>
      <c r="L66" s="74"/>
      <c r="M66" s="74"/>
      <c r="N66" s="74"/>
      <c r="O66" s="72"/>
      <c r="P66" s="205"/>
      <c r="Q66" s="272"/>
      <c r="R66" s="439"/>
      <c r="T66" s="224"/>
      <c r="AD66" s="224"/>
      <c r="AF66" s="224"/>
    </row>
    <row r="67" spans="1:32" s="273" customFormat="1" x14ac:dyDescent="0.25">
      <c r="A67" s="411"/>
      <c r="B67" s="412" t="s">
        <v>323</v>
      </c>
      <c r="C67" s="413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74"/>
      <c r="N67" s="74"/>
      <c r="O67" s="72"/>
      <c r="P67" s="205"/>
      <c r="Q67" s="272"/>
      <c r="R67" s="439"/>
      <c r="T67" s="224"/>
      <c r="AD67" s="224"/>
      <c r="AF67" s="224"/>
    </row>
    <row r="68" spans="1:32" s="273" customFormat="1" hidden="1" x14ac:dyDescent="0.25">
      <c r="A68" s="350"/>
      <c r="B68" s="317"/>
      <c r="C68" s="318">
        <v>1</v>
      </c>
      <c r="D68" s="83" t="s">
        <v>104</v>
      </c>
      <c r="E68" s="242">
        <v>3</v>
      </c>
      <c r="F68" s="302">
        <v>3</v>
      </c>
      <c r="G68" s="77" t="s">
        <v>28</v>
      </c>
      <c r="H68" s="74"/>
      <c r="I68" s="74">
        <f>F68*H68</f>
        <v>0</v>
      </c>
      <c r="J68" s="74"/>
      <c r="K68" s="74">
        <f t="shared" ref="K68" si="35">F68*J68</f>
        <v>0</v>
      </c>
      <c r="L68" s="72">
        <f t="shared" ref="L68" si="36">I68+K68</f>
        <v>0</v>
      </c>
      <c r="M68" s="74">
        <f t="shared" ref="M68:M77" si="37">H68/$P$260*$P$268</f>
        <v>0</v>
      </c>
      <c r="N68" s="74">
        <f t="shared" ref="N68:N77" si="38">J68/$P$260*$P$268</f>
        <v>0</v>
      </c>
      <c r="O68" s="72">
        <f t="shared" si="21"/>
        <v>0</v>
      </c>
      <c r="P68" s="205">
        <f t="shared" si="22"/>
        <v>0</v>
      </c>
      <c r="Q68" s="272">
        <f t="shared" ref="Q68:Q77" si="39">L68/$P$260*$P$268</f>
        <v>0</v>
      </c>
      <c r="R68" s="439">
        <f t="shared" si="23"/>
        <v>0</v>
      </c>
      <c r="T68" s="224"/>
      <c r="AD68" s="224"/>
      <c r="AF68" s="224"/>
    </row>
    <row r="69" spans="1:32" s="273" customFormat="1" hidden="1" x14ac:dyDescent="0.25">
      <c r="A69" s="350"/>
      <c r="B69" s="319"/>
      <c r="C69" s="318"/>
      <c r="D69" s="83" t="s">
        <v>324</v>
      </c>
      <c r="E69" s="242"/>
      <c r="F69" s="302"/>
      <c r="G69" s="75"/>
      <c r="H69" s="74"/>
      <c r="I69" s="74"/>
      <c r="J69" s="74"/>
      <c r="K69" s="74"/>
      <c r="L69" s="74"/>
      <c r="M69" s="74">
        <f t="shared" si="37"/>
        <v>0</v>
      </c>
      <c r="N69" s="74">
        <f t="shared" si="38"/>
        <v>0</v>
      </c>
      <c r="O69" s="72">
        <f t="shared" si="21"/>
        <v>0</v>
      </c>
      <c r="P69" s="205">
        <f t="shared" si="22"/>
        <v>0</v>
      </c>
      <c r="Q69" s="272">
        <f t="shared" si="39"/>
        <v>0</v>
      </c>
      <c r="R69" s="439">
        <f t="shared" si="23"/>
        <v>0</v>
      </c>
      <c r="T69" s="224"/>
    </row>
    <row r="70" spans="1:32" s="273" customFormat="1" hidden="1" x14ac:dyDescent="0.25">
      <c r="A70" s="350"/>
      <c r="B70" s="317"/>
      <c r="C70" s="318">
        <v>2</v>
      </c>
      <c r="D70" s="83" t="s">
        <v>105</v>
      </c>
      <c r="E70" s="242">
        <v>1</v>
      </c>
      <c r="F70" s="302">
        <v>1</v>
      </c>
      <c r="G70" s="77" t="s">
        <v>55</v>
      </c>
      <c r="H70" s="74"/>
      <c r="I70" s="74">
        <f>F70*H70</f>
        <v>0</v>
      </c>
      <c r="J70" s="74"/>
      <c r="K70" s="74">
        <f t="shared" ref="K70" si="40">F70*J70</f>
        <v>0</v>
      </c>
      <c r="L70" s="72">
        <f t="shared" ref="L70" si="41">I70+K70</f>
        <v>0</v>
      </c>
      <c r="M70" s="74">
        <f t="shared" si="37"/>
        <v>0</v>
      </c>
      <c r="N70" s="74">
        <f t="shared" si="38"/>
        <v>0</v>
      </c>
      <c r="O70" s="72">
        <f t="shared" si="21"/>
        <v>0</v>
      </c>
      <c r="P70" s="205">
        <f t="shared" si="22"/>
        <v>0</v>
      </c>
      <c r="Q70" s="272">
        <f t="shared" si="39"/>
        <v>0</v>
      </c>
      <c r="R70" s="439">
        <f t="shared" si="23"/>
        <v>0</v>
      </c>
      <c r="T70" s="224"/>
    </row>
    <row r="71" spans="1:32" s="273" customFormat="1" hidden="1" x14ac:dyDescent="0.25">
      <c r="A71" s="350"/>
      <c r="B71" s="319"/>
      <c r="C71" s="318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74">
        <f t="shared" si="37"/>
        <v>0</v>
      </c>
      <c r="N71" s="74">
        <f t="shared" si="38"/>
        <v>0</v>
      </c>
      <c r="O71" s="72">
        <f t="shared" si="21"/>
        <v>0</v>
      </c>
      <c r="P71" s="205">
        <f t="shared" si="22"/>
        <v>0</v>
      </c>
      <c r="Q71" s="272">
        <f t="shared" si="39"/>
        <v>0</v>
      </c>
      <c r="R71" s="439">
        <f t="shared" si="23"/>
        <v>0</v>
      </c>
      <c r="T71" s="224"/>
      <c r="AD71" s="224"/>
      <c r="AF71" s="224"/>
    </row>
    <row r="72" spans="1:32" s="273" customFormat="1" x14ac:dyDescent="0.25">
      <c r="A72" s="350"/>
      <c r="B72" s="317"/>
      <c r="C72" s="318">
        <v>1</v>
      </c>
      <c r="D72" s="8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42">F72*H72</f>
        <v>13106.796116504855</v>
      </c>
      <c r="J72" s="74">
        <v>700</v>
      </c>
      <c r="K72" s="74">
        <f t="shared" ref="K72:K77" si="43">F72*J72</f>
        <v>1400</v>
      </c>
      <c r="L72" s="72">
        <f t="shared" ref="L72:L77" si="44">I72+K72</f>
        <v>14506.796116504855</v>
      </c>
      <c r="M72" s="74">
        <f t="shared" si="37"/>
        <v>9136.1154552456774</v>
      </c>
      <c r="N72" s="74">
        <f t="shared" si="38"/>
        <v>975.87248047883463</v>
      </c>
      <c r="O72" s="72">
        <f t="shared" si="21"/>
        <v>10111.987935724512</v>
      </c>
      <c r="P72" s="205">
        <f t="shared" si="22"/>
        <v>20223.975871449024</v>
      </c>
      <c r="Q72" s="272">
        <f t="shared" si="39"/>
        <v>20223.975871449027</v>
      </c>
      <c r="R72" s="439">
        <f t="shared" si="23"/>
        <v>0</v>
      </c>
      <c r="T72" s="224"/>
      <c r="W72" s="878" t="s">
        <v>254</v>
      </c>
      <c r="X72" s="878"/>
      <c r="Y72" s="878"/>
      <c r="Z72" s="124" t="s">
        <v>255</v>
      </c>
      <c r="AA72" s="772">
        <v>0.25</v>
      </c>
      <c r="AB72" s="772">
        <v>0.35</v>
      </c>
      <c r="AC72" s="123">
        <f>37/1.06</f>
        <v>34.905660377358487</v>
      </c>
      <c r="AD72" s="196">
        <f>AC72*AB72</f>
        <v>12.216981132075469</v>
      </c>
      <c r="AE72" s="772"/>
      <c r="AF72" s="219">
        <f>AE72*AB72</f>
        <v>0</v>
      </c>
    </row>
    <row r="73" spans="1:32" s="273" customFormat="1" x14ac:dyDescent="0.25">
      <c r="A73" s="350"/>
      <c r="B73" s="317"/>
      <c r="C73" s="318">
        <v>2</v>
      </c>
      <c r="D73" s="8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42"/>
        <v>26213.592233009709</v>
      </c>
      <c r="J73" s="74">
        <f>J72</f>
        <v>700</v>
      </c>
      <c r="K73" s="74">
        <f t="shared" si="43"/>
        <v>2800</v>
      </c>
      <c r="L73" s="72">
        <f t="shared" si="44"/>
        <v>29013.592233009709</v>
      </c>
      <c r="M73" s="74">
        <f t="shared" si="37"/>
        <v>9136.1154552456774</v>
      </c>
      <c r="N73" s="74">
        <f t="shared" si="38"/>
        <v>975.87248047883463</v>
      </c>
      <c r="O73" s="72">
        <f t="shared" si="21"/>
        <v>10111.987935724512</v>
      </c>
      <c r="P73" s="205">
        <f t="shared" si="22"/>
        <v>40447.951742898047</v>
      </c>
      <c r="Q73" s="272">
        <f t="shared" si="39"/>
        <v>40447.951742898054</v>
      </c>
      <c r="R73" s="439">
        <f t="shared" si="23"/>
        <v>0</v>
      </c>
      <c r="T73" s="224"/>
      <c r="W73" s="878" t="s">
        <v>256</v>
      </c>
      <c r="X73" s="878"/>
      <c r="Y73" s="878"/>
      <c r="Z73" s="124" t="s">
        <v>257</v>
      </c>
      <c r="AA73" s="772">
        <v>1</v>
      </c>
      <c r="AB73" s="772">
        <v>1</v>
      </c>
      <c r="AC73" s="123">
        <f>AN64</f>
        <v>0</v>
      </c>
      <c r="AD73" s="196">
        <f>AC73*AB73</f>
        <v>0</v>
      </c>
      <c r="AE73" s="772"/>
      <c r="AF73" s="219">
        <f>AE73*AB73</f>
        <v>0</v>
      </c>
    </row>
    <row r="74" spans="1:32" s="273" customFormat="1" x14ac:dyDescent="0.25">
      <c r="A74" s="350"/>
      <c r="B74" s="317"/>
      <c r="C74" s="318">
        <v>3</v>
      </c>
      <c r="D74" s="8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42"/>
        <v>59466.01941747572</v>
      </c>
      <c r="J74" s="74">
        <f>J73</f>
        <v>700</v>
      </c>
      <c r="K74" s="74">
        <f t="shared" si="43"/>
        <v>4900</v>
      </c>
      <c r="L74" s="72">
        <f t="shared" si="44"/>
        <v>64366.01941747572</v>
      </c>
      <c r="M74" s="74">
        <f t="shared" si="37"/>
        <v>11843.112627170323</v>
      </c>
      <c r="N74" s="74">
        <f t="shared" si="38"/>
        <v>975.87248047883463</v>
      </c>
      <c r="O74" s="72">
        <f t="shared" si="21"/>
        <v>12818.985107649158</v>
      </c>
      <c r="P74" s="205">
        <f t="shared" si="22"/>
        <v>89732.8957535441</v>
      </c>
      <c r="Q74" s="272">
        <f t="shared" si="39"/>
        <v>89732.895753544086</v>
      </c>
      <c r="R74" s="439">
        <f t="shared" si="23"/>
        <v>0</v>
      </c>
      <c r="T74" s="224"/>
      <c r="W74" s="126"/>
      <c r="X74" s="126"/>
      <c r="Y74" s="126"/>
      <c r="Z74" s="126"/>
      <c r="AA74" s="772"/>
      <c r="AB74" s="772"/>
      <c r="AC74" s="123"/>
      <c r="AD74" s="212">
        <f>SUM(AD70:AD73)</f>
        <v>12.216981132075469</v>
      </c>
      <c r="AE74" s="771"/>
      <c r="AF74" s="212">
        <f>SUM(AF70:AF73)</f>
        <v>0</v>
      </c>
    </row>
    <row r="75" spans="1:32" s="273" customFormat="1" x14ac:dyDescent="0.25">
      <c r="A75" s="350"/>
      <c r="B75" s="317"/>
      <c r="C75" s="318">
        <v>4</v>
      </c>
      <c r="D75" s="8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42"/>
        <v>8495.1456310679605</v>
      </c>
      <c r="J75" s="74">
        <f>J74</f>
        <v>700</v>
      </c>
      <c r="K75" s="74">
        <f t="shared" si="43"/>
        <v>700</v>
      </c>
      <c r="L75" s="72">
        <f t="shared" si="44"/>
        <v>9195.1456310679605</v>
      </c>
      <c r="M75" s="74">
        <f t="shared" si="37"/>
        <v>11843.112627170323</v>
      </c>
      <c r="N75" s="74">
        <f t="shared" si="38"/>
        <v>975.87248047883463</v>
      </c>
      <c r="O75" s="72">
        <f t="shared" si="21"/>
        <v>12818.985107649158</v>
      </c>
      <c r="P75" s="205">
        <f t="shared" si="22"/>
        <v>12818.985107649158</v>
      </c>
      <c r="Q75" s="272">
        <f t="shared" si="39"/>
        <v>12818.985107649158</v>
      </c>
      <c r="R75" s="439">
        <f t="shared" si="23"/>
        <v>0</v>
      </c>
      <c r="T75" s="224"/>
      <c r="AD75" s="224"/>
      <c r="AF75" s="224"/>
    </row>
    <row r="76" spans="1:32" s="273" customFormat="1" x14ac:dyDescent="0.25">
      <c r="A76" s="350"/>
      <c r="B76" s="317"/>
      <c r="C76" s="318">
        <v>5</v>
      </c>
      <c r="D76" s="8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42"/>
        <v>14660.194174757282</v>
      </c>
      <c r="J76" s="74">
        <v>650</v>
      </c>
      <c r="K76" s="74">
        <f t="shared" si="43"/>
        <v>1300</v>
      </c>
      <c r="L76" s="72">
        <f t="shared" si="44"/>
        <v>15960.194174757282</v>
      </c>
      <c r="M76" s="74">
        <f t="shared" si="37"/>
        <v>10218.914324015535</v>
      </c>
      <c r="N76" s="74">
        <f t="shared" si="38"/>
        <v>906.16730330177495</v>
      </c>
      <c r="O76" s="72">
        <f t="shared" si="21"/>
        <v>11125.08162731731</v>
      </c>
      <c r="P76" s="205">
        <f t="shared" si="22"/>
        <v>22250.163254634619</v>
      </c>
      <c r="Q76" s="272">
        <f t="shared" si="39"/>
        <v>22250.163254634623</v>
      </c>
      <c r="R76" s="439">
        <f t="shared" si="23"/>
        <v>0</v>
      </c>
      <c r="T76" s="224"/>
      <c r="W76" s="904" t="s">
        <v>295</v>
      </c>
      <c r="X76" s="904"/>
      <c r="Y76" s="904"/>
      <c r="Z76" s="771" t="s">
        <v>243</v>
      </c>
      <c r="AA76" s="771" t="s">
        <v>244</v>
      </c>
      <c r="AB76" s="771" t="s">
        <v>245</v>
      </c>
      <c r="AC76" s="123" t="s">
        <v>246</v>
      </c>
      <c r="AD76" s="196" t="s">
        <v>247</v>
      </c>
      <c r="AE76" s="771" t="s">
        <v>248</v>
      </c>
      <c r="AF76" s="212" t="s">
        <v>249</v>
      </c>
    </row>
    <row r="77" spans="1:32" s="273" customFormat="1" x14ac:dyDescent="0.25">
      <c r="A77" s="350"/>
      <c r="B77" s="317"/>
      <c r="C77" s="318">
        <v>6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74">
        <f t="shared" si="42"/>
        <v>23632.07547169811</v>
      </c>
      <c r="J77" s="74">
        <v>700</v>
      </c>
      <c r="K77" s="74">
        <f t="shared" si="43"/>
        <v>2100</v>
      </c>
      <c r="L77" s="72">
        <f t="shared" si="44"/>
        <v>25732.07547169811</v>
      </c>
      <c r="M77" s="74">
        <f t="shared" si="37"/>
        <v>10981.853385442411</v>
      </c>
      <c r="N77" s="74">
        <f t="shared" si="38"/>
        <v>975.87248047883463</v>
      </c>
      <c r="O77" s="72">
        <f t="shared" si="21"/>
        <v>11957.725865921246</v>
      </c>
      <c r="P77" s="205">
        <f t="shared" si="22"/>
        <v>35873.177597763737</v>
      </c>
      <c r="Q77" s="272">
        <f t="shared" si="39"/>
        <v>35873.17759776373</v>
      </c>
      <c r="R77" s="439">
        <f t="shared" si="23"/>
        <v>0</v>
      </c>
      <c r="T77" s="224"/>
      <c r="W77" s="878" t="s">
        <v>271</v>
      </c>
      <c r="X77" s="878"/>
      <c r="Y77" s="878"/>
      <c r="Z77" s="124" t="s">
        <v>251</v>
      </c>
      <c r="AA77" s="772">
        <v>8.33</v>
      </c>
      <c r="AB77" s="772">
        <v>9</v>
      </c>
      <c r="AC77" s="123">
        <f>143/1.06</f>
        <v>134.90566037735849</v>
      </c>
      <c r="AD77" s="196">
        <f>AC77*AB77</f>
        <v>1214.1509433962265</v>
      </c>
      <c r="AE77" s="772">
        <v>23.9</v>
      </c>
      <c r="AF77" s="219">
        <f>AE77*AB77</f>
        <v>215.1</v>
      </c>
    </row>
    <row r="78" spans="1:32" s="273" customFormat="1" x14ac:dyDescent="0.25">
      <c r="A78" s="350"/>
      <c r="B78" s="319"/>
      <c r="C78" s="318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74"/>
      <c r="N78" s="74"/>
      <c r="O78" s="72"/>
      <c r="P78" s="205"/>
      <c r="Q78" s="272"/>
      <c r="R78" s="439"/>
      <c r="T78" s="224"/>
      <c r="W78" s="878" t="s">
        <v>252</v>
      </c>
      <c r="X78" s="878"/>
      <c r="Y78" s="878"/>
      <c r="Z78" s="124" t="s">
        <v>253</v>
      </c>
      <c r="AA78" s="772">
        <v>0.25</v>
      </c>
      <c r="AB78" s="772">
        <v>0.25</v>
      </c>
      <c r="AC78" s="123">
        <f>AC71</f>
        <v>0</v>
      </c>
      <c r="AD78" s="196">
        <f>AC78*AB78</f>
        <v>0</v>
      </c>
      <c r="AE78" s="772"/>
      <c r="AF78" s="219">
        <f>AE78*AB78</f>
        <v>0</v>
      </c>
    </row>
    <row r="79" spans="1:32" s="273" customFormat="1" x14ac:dyDescent="0.25">
      <c r="A79" s="350"/>
      <c r="B79" s="317"/>
      <c r="C79" s="318">
        <v>7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74">
        <f>F79*H79</f>
        <v>8584.9056603773588</v>
      </c>
      <c r="J79" s="74">
        <f>J77</f>
        <v>700</v>
      </c>
      <c r="K79" s="74">
        <f t="shared" ref="K79" si="45">F79*J79</f>
        <v>700</v>
      </c>
      <c r="L79" s="72">
        <f t="shared" ref="L79" si="46">I79+K79</f>
        <v>9284.9056603773588</v>
      </c>
      <c r="M79" s="74">
        <f>H79/$P$260*$P$268</f>
        <v>11968.247402098916</v>
      </c>
      <c r="N79" s="74">
        <f>J79/$P$260*$P$268</f>
        <v>975.87248047883463</v>
      </c>
      <c r="O79" s="72">
        <f t="shared" si="21"/>
        <v>12944.11988257775</v>
      </c>
      <c r="P79" s="205">
        <f t="shared" si="22"/>
        <v>12944.11988257775</v>
      </c>
      <c r="Q79" s="272">
        <f>L79/$P$260*$P$268</f>
        <v>12944.11988257775</v>
      </c>
      <c r="R79" s="439">
        <f t="shared" si="23"/>
        <v>0</v>
      </c>
      <c r="T79" s="224"/>
      <c r="W79" s="878" t="s">
        <v>254</v>
      </c>
      <c r="X79" s="878"/>
      <c r="Y79" s="878"/>
      <c r="Z79" s="124" t="s">
        <v>255</v>
      </c>
      <c r="AA79" s="772">
        <v>0.25</v>
      </c>
      <c r="AB79" s="772">
        <v>0.35</v>
      </c>
      <c r="AC79" s="123">
        <f>37/1.06</f>
        <v>34.905660377358487</v>
      </c>
      <c r="AD79" s="196">
        <f>AC79*AB79</f>
        <v>12.216981132075469</v>
      </c>
      <c r="AE79" s="772"/>
      <c r="AF79" s="219">
        <f>AE79*AB79</f>
        <v>0</v>
      </c>
    </row>
    <row r="80" spans="1:32" s="273" customFormat="1" x14ac:dyDescent="0.25">
      <c r="A80" s="350"/>
      <c r="B80" s="319"/>
      <c r="C80" s="318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74"/>
      <c r="N80" s="74"/>
      <c r="O80" s="72"/>
      <c r="P80" s="205"/>
      <c r="Q80" s="272"/>
      <c r="R80" s="439"/>
      <c r="T80" s="224"/>
      <c r="W80" s="878" t="s">
        <v>256</v>
      </c>
      <c r="X80" s="878"/>
      <c r="Y80" s="878"/>
      <c r="Z80" s="124" t="s">
        <v>257</v>
      </c>
      <c r="AA80" s="772">
        <v>1</v>
      </c>
      <c r="AB80" s="772">
        <v>1</v>
      </c>
      <c r="AC80" s="123">
        <v>0</v>
      </c>
      <c r="AD80" s="196">
        <f>AC80*AB80</f>
        <v>0</v>
      </c>
      <c r="AE80" s="772">
        <v>0</v>
      </c>
      <c r="AF80" s="219">
        <f>AE80*AB80</f>
        <v>0</v>
      </c>
    </row>
    <row r="81" spans="1:32" s="273" customFormat="1" x14ac:dyDescent="0.25">
      <c r="A81" s="350"/>
      <c r="B81" s="319"/>
      <c r="C81" s="318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74"/>
      <c r="N81" s="74"/>
      <c r="O81" s="72"/>
      <c r="P81" s="205"/>
      <c r="Q81" s="272"/>
      <c r="R81" s="439"/>
      <c r="T81" s="224"/>
      <c r="AD81" s="224"/>
      <c r="AF81" s="224"/>
    </row>
    <row r="82" spans="1:32" s="273" customFormat="1" hidden="1" x14ac:dyDescent="0.25">
      <c r="A82" s="411"/>
      <c r="B82" s="412" t="s">
        <v>329</v>
      </c>
      <c r="C82" s="413" t="s">
        <v>510</v>
      </c>
      <c r="D82" s="82"/>
      <c r="E82" s="242"/>
      <c r="F82" s="302"/>
      <c r="G82" s="75"/>
      <c r="H82" s="74"/>
      <c r="I82" s="74"/>
      <c r="J82" s="74"/>
      <c r="K82" s="74"/>
      <c r="L82" s="74"/>
      <c r="M82" s="74"/>
      <c r="N82" s="74"/>
      <c r="O82" s="72"/>
      <c r="P82" s="205"/>
      <c r="Q82" s="272"/>
      <c r="R82" s="439"/>
      <c r="T82" s="224"/>
      <c r="AD82" s="224"/>
      <c r="AF82" s="224"/>
    </row>
    <row r="83" spans="1:32" s="273" customFormat="1" ht="15" hidden="1" customHeight="1" x14ac:dyDescent="0.25">
      <c r="A83" s="350"/>
      <c r="B83" s="317"/>
      <c r="C83" s="318">
        <v>1</v>
      </c>
      <c r="D83" s="84" t="s">
        <v>113</v>
      </c>
      <c r="E83" s="243">
        <v>1</v>
      </c>
      <c r="F83" s="302">
        <v>1</v>
      </c>
      <c r="G83" s="77" t="s">
        <v>55</v>
      </c>
      <c r="H83" s="72"/>
      <c r="I83" s="74">
        <f>F83*H83</f>
        <v>0</v>
      </c>
      <c r="J83" s="72"/>
      <c r="K83" s="74">
        <f t="shared" ref="K83" si="47">F83*J83</f>
        <v>0</v>
      </c>
      <c r="L83" s="72">
        <f t="shared" ref="L83" si="48">I83+K83</f>
        <v>0</v>
      </c>
      <c r="M83" s="74"/>
      <c r="N83" s="74"/>
      <c r="O83" s="72"/>
      <c r="P83" s="205"/>
      <c r="Q83" s="272"/>
      <c r="R83" s="439"/>
      <c r="S83" s="72">
        <f>278766*0.85</f>
        <v>236951.1</v>
      </c>
      <c r="T83" s="72">
        <f>278766*0.15</f>
        <v>41814.9</v>
      </c>
    </row>
    <row r="84" spans="1:32" s="273" customFormat="1" ht="15" hidden="1" customHeight="1" x14ac:dyDescent="0.25">
      <c r="A84" s="350"/>
      <c r="B84" s="319"/>
      <c r="C84" s="318"/>
      <c r="D84" s="84" t="s">
        <v>54</v>
      </c>
      <c r="E84" s="243"/>
      <c r="F84" s="302"/>
      <c r="G84" s="77"/>
      <c r="H84" s="74"/>
      <c r="I84" s="74"/>
      <c r="J84" s="74"/>
      <c r="K84" s="74"/>
      <c r="L84" s="74"/>
      <c r="M84" s="74"/>
      <c r="N84" s="74"/>
      <c r="O84" s="72"/>
      <c r="P84" s="205"/>
      <c r="Q84" s="272"/>
      <c r="R84" s="439"/>
      <c r="S84" s="74"/>
      <c r="T84" s="74"/>
    </row>
    <row r="85" spans="1:32" s="273" customFormat="1" ht="15" hidden="1" customHeight="1" x14ac:dyDescent="0.25">
      <c r="A85" s="350"/>
      <c r="B85" s="317"/>
      <c r="C85" s="318">
        <v>2</v>
      </c>
      <c r="D85" s="84" t="s">
        <v>114</v>
      </c>
      <c r="E85" s="243">
        <v>1</v>
      </c>
      <c r="F85" s="302">
        <v>1</v>
      </c>
      <c r="G85" s="77" t="s">
        <v>55</v>
      </c>
      <c r="H85" s="72"/>
      <c r="I85" s="74">
        <f>F85*H85</f>
        <v>0</v>
      </c>
      <c r="J85" s="72"/>
      <c r="K85" s="74">
        <f t="shared" ref="K85" si="49">F85*J85</f>
        <v>0</v>
      </c>
      <c r="L85" s="72">
        <f t="shared" ref="L85" si="50">I85+K85</f>
        <v>0</v>
      </c>
      <c r="M85" s="74"/>
      <c r="N85" s="74"/>
      <c r="O85" s="72"/>
      <c r="P85" s="205"/>
      <c r="Q85" s="272"/>
      <c r="R85" s="439"/>
      <c r="S85" s="72">
        <f>120447*0.85</f>
        <v>102379.95</v>
      </c>
      <c r="T85" s="72">
        <f>120447*0.15</f>
        <v>18067.05</v>
      </c>
    </row>
    <row r="86" spans="1:32" s="273" customFormat="1" ht="15" hidden="1" customHeight="1" x14ac:dyDescent="0.25">
      <c r="A86" s="350"/>
      <c r="B86" s="319"/>
      <c r="C86" s="318"/>
      <c r="D86" s="84" t="s">
        <v>37</v>
      </c>
      <c r="E86" s="243"/>
      <c r="F86" s="302"/>
      <c r="G86" s="77"/>
      <c r="H86" s="74"/>
      <c r="I86" s="74"/>
      <c r="J86" s="74"/>
      <c r="K86" s="74"/>
      <c r="L86" s="74"/>
      <c r="M86" s="74"/>
      <c r="N86" s="74"/>
      <c r="O86" s="72"/>
      <c r="P86" s="205"/>
      <c r="Q86" s="272"/>
      <c r="R86" s="439"/>
      <c r="S86" s="74"/>
      <c r="T86" s="74"/>
    </row>
    <row r="87" spans="1:32" s="273" customFormat="1" ht="15" hidden="1" customHeight="1" x14ac:dyDescent="0.25">
      <c r="A87" s="350"/>
      <c r="B87" s="317"/>
      <c r="C87" s="318">
        <v>3</v>
      </c>
      <c r="D87" s="84" t="s">
        <v>115</v>
      </c>
      <c r="E87" s="243">
        <v>1</v>
      </c>
      <c r="F87" s="302">
        <v>1</v>
      </c>
      <c r="G87" s="77" t="s">
        <v>55</v>
      </c>
      <c r="H87" s="72"/>
      <c r="I87" s="74">
        <f>F87*H87</f>
        <v>0</v>
      </c>
      <c r="J87" s="72"/>
      <c r="K87" s="74">
        <f t="shared" ref="K87" si="51">F87*J87</f>
        <v>0</v>
      </c>
      <c r="L87" s="72">
        <f t="shared" ref="L87" si="52">I87+K87</f>
        <v>0</v>
      </c>
      <c r="M87" s="74"/>
      <c r="N87" s="74"/>
      <c r="O87" s="72"/>
      <c r="P87" s="205"/>
      <c r="Q87" s="272"/>
      <c r="R87" s="439"/>
      <c r="S87" s="72">
        <f>95427.5*0.85</f>
        <v>81113.375</v>
      </c>
      <c r="T87" s="72">
        <f>95427.5*0.15</f>
        <v>14314.125</v>
      </c>
    </row>
    <row r="88" spans="1:32" s="273" customFormat="1" ht="15" hidden="1" customHeight="1" x14ac:dyDescent="0.25">
      <c r="A88" s="350"/>
      <c r="B88" s="319"/>
      <c r="C88" s="318"/>
      <c r="D88" s="84" t="s">
        <v>37</v>
      </c>
      <c r="E88" s="243"/>
      <c r="F88" s="302"/>
      <c r="G88" s="77"/>
      <c r="H88" s="74"/>
      <c r="I88" s="74"/>
      <c r="J88" s="74"/>
      <c r="K88" s="74"/>
      <c r="L88" s="74"/>
      <c r="M88" s="74"/>
      <c r="N88" s="74"/>
      <c r="O88" s="72"/>
      <c r="P88" s="205"/>
      <c r="Q88" s="272"/>
      <c r="R88" s="439"/>
      <c r="S88" s="74"/>
      <c r="T88" s="74"/>
    </row>
    <row r="89" spans="1:32" s="273" customFormat="1" ht="15" hidden="1" customHeight="1" x14ac:dyDescent="0.25">
      <c r="A89" s="350"/>
      <c r="B89" s="317"/>
      <c r="C89" s="318">
        <v>4</v>
      </c>
      <c r="D89" s="84" t="s">
        <v>116</v>
      </c>
      <c r="E89" s="243">
        <v>1</v>
      </c>
      <c r="F89" s="302">
        <v>1</v>
      </c>
      <c r="G89" s="77" t="s">
        <v>55</v>
      </c>
      <c r="H89" s="72"/>
      <c r="I89" s="74">
        <f>F89*H89</f>
        <v>0</v>
      </c>
      <c r="J89" s="72"/>
      <c r="K89" s="74">
        <f t="shared" ref="K89" si="53">F89*J89</f>
        <v>0</v>
      </c>
      <c r="L89" s="72">
        <f t="shared" ref="L89" si="54">I89+K89</f>
        <v>0</v>
      </c>
      <c r="M89" s="74"/>
      <c r="N89" s="74"/>
      <c r="O89" s="72"/>
      <c r="P89" s="205"/>
      <c r="Q89" s="272"/>
      <c r="R89" s="439"/>
      <c r="S89" s="72">
        <f>45342*0.85</f>
        <v>38540.699999999997</v>
      </c>
      <c r="T89" s="72">
        <f>45342*0.15</f>
        <v>6801.3</v>
      </c>
    </row>
    <row r="90" spans="1:32" s="273" customFormat="1" ht="15" hidden="1" customHeight="1" x14ac:dyDescent="0.25">
      <c r="A90" s="350"/>
      <c r="B90" s="319"/>
      <c r="C90" s="318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4"/>
      <c r="N90" s="74"/>
      <c r="O90" s="72"/>
      <c r="P90" s="205"/>
      <c r="Q90" s="272"/>
      <c r="R90" s="439"/>
      <c r="S90" s="74"/>
      <c r="T90" s="74"/>
    </row>
    <row r="91" spans="1:32" s="273" customFormat="1" ht="15" hidden="1" customHeight="1" x14ac:dyDescent="0.25">
      <c r="A91" s="350"/>
      <c r="B91" s="317"/>
      <c r="C91" s="318">
        <v>5</v>
      </c>
      <c r="D91" s="84" t="s">
        <v>117</v>
      </c>
      <c r="E91" s="243">
        <v>2</v>
      </c>
      <c r="F91" s="302">
        <v>2</v>
      </c>
      <c r="G91" s="77" t="s">
        <v>28</v>
      </c>
      <c r="H91" s="72"/>
      <c r="I91" s="74">
        <f>F91*H91</f>
        <v>0</v>
      </c>
      <c r="J91" s="72"/>
      <c r="K91" s="74">
        <f t="shared" ref="K91" si="55">F91*J91</f>
        <v>0</v>
      </c>
      <c r="L91" s="72">
        <f t="shared" ref="L91" si="56">I91+K91</f>
        <v>0</v>
      </c>
      <c r="M91" s="74"/>
      <c r="N91" s="74"/>
      <c r="O91" s="72"/>
      <c r="P91" s="205"/>
      <c r="Q91" s="272"/>
      <c r="R91" s="439"/>
      <c r="S91" s="74">
        <f>14025*0.85*0.9</f>
        <v>10729.125</v>
      </c>
      <c r="T91" s="74">
        <f>14025*0.15*0.9</f>
        <v>1893.375</v>
      </c>
    </row>
    <row r="92" spans="1:32" s="273" customFormat="1" ht="15" hidden="1" customHeight="1" x14ac:dyDescent="0.25">
      <c r="A92" s="350"/>
      <c r="B92" s="319"/>
      <c r="C92" s="318"/>
      <c r="D92" s="84" t="s">
        <v>38</v>
      </c>
      <c r="E92" s="243"/>
      <c r="F92" s="302"/>
      <c r="G92" s="75"/>
      <c r="H92" s="74"/>
      <c r="I92" s="74"/>
      <c r="J92" s="74"/>
      <c r="K92" s="74"/>
      <c r="L92" s="74"/>
      <c r="M92" s="74"/>
      <c r="N92" s="74"/>
      <c r="O92" s="72"/>
      <c r="P92" s="205"/>
      <c r="Q92" s="272"/>
      <c r="R92" s="439"/>
      <c r="S92" s="74"/>
      <c r="T92" s="74"/>
    </row>
    <row r="93" spans="1:32" s="273" customFormat="1" ht="15" hidden="1" customHeight="1" x14ac:dyDescent="0.25">
      <c r="A93" s="350"/>
      <c r="B93" s="317"/>
      <c r="C93" s="318">
        <v>6</v>
      </c>
      <c r="D93" s="83" t="s">
        <v>118</v>
      </c>
      <c r="E93" s="242">
        <v>2</v>
      </c>
      <c r="F93" s="302">
        <v>2</v>
      </c>
      <c r="G93" s="77" t="s">
        <v>28</v>
      </c>
      <c r="H93" s="72"/>
      <c r="I93" s="74">
        <f>F93*H93</f>
        <v>0</v>
      </c>
      <c r="J93" s="72"/>
      <c r="K93" s="74">
        <f t="shared" ref="K93" si="57">F93*J93</f>
        <v>0</v>
      </c>
      <c r="L93" s="72">
        <f t="shared" ref="L93" si="58">I93+K93</f>
        <v>0</v>
      </c>
      <c r="M93" s="74"/>
      <c r="N93" s="74"/>
      <c r="O93" s="72"/>
      <c r="P93" s="205"/>
      <c r="Q93" s="272"/>
      <c r="R93" s="439"/>
      <c r="S93" s="74">
        <f>18105*0.85*0.9</f>
        <v>13850.325000000001</v>
      </c>
      <c r="T93" s="74">
        <f>18105*0.15*0.9</f>
        <v>2444.1750000000002</v>
      </c>
    </row>
    <row r="94" spans="1:32" s="273" customFormat="1" ht="15" hidden="1" customHeight="1" x14ac:dyDescent="0.25">
      <c r="A94" s="350"/>
      <c r="B94" s="319"/>
      <c r="C94" s="318"/>
      <c r="D94" s="83" t="s">
        <v>51</v>
      </c>
      <c r="E94" s="242"/>
      <c r="F94" s="302"/>
      <c r="G94" s="75"/>
      <c r="H94" s="74"/>
      <c r="I94" s="74"/>
      <c r="J94" s="74"/>
      <c r="K94" s="74"/>
      <c r="L94" s="74"/>
      <c r="M94" s="74"/>
      <c r="N94" s="74"/>
      <c r="O94" s="72"/>
      <c r="P94" s="205"/>
      <c r="Q94" s="272"/>
      <c r="R94" s="439"/>
      <c r="S94" s="74"/>
      <c r="T94" s="74"/>
    </row>
    <row r="95" spans="1:32" s="273" customFormat="1" ht="15" hidden="1" customHeight="1" x14ac:dyDescent="0.25">
      <c r="A95" s="350"/>
      <c r="B95" s="317"/>
      <c r="C95" s="318">
        <v>7</v>
      </c>
      <c r="D95" s="83" t="s">
        <v>119</v>
      </c>
      <c r="E95" s="242">
        <v>4</v>
      </c>
      <c r="F95" s="302">
        <v>4</v>
      </c>
      <c r="G95" s="77" t="s">
        <v>28</v>
      </c>
      <c r="H95" s="72"/>
      <c r="I95" s="74">
        <f>F95*H95</f>
        <v>0</v>
      </c>
      <c r="J95" s="72"/>
      <c r="K95" s="74">
        <f t="shared" ref="K95" si="59">F95*J95</f>
        <v>0</v>
      </c>
      <c r="L95" s="72">
        <f t="shared" ref="L95" si="60">I95+K95</f>
        <v>0</v>
      </c>
      <c r="M95" s="74"/>
      <c r="N95" s="74"/>
      <c r="O95" s="72"/>
      <c r="P95" s="205"/>
      <c r="Q95" s="272"/>
      <c r="R95" s="439"/>
      <c r="S95" s="74">
        <f>9180*0.85*0.9</f>
        <v>7022.7</v>
      </c>
      <c r="T95" s="74">
        <f>9180*0.15*0.9</f>
        <v>1239.3</v>
      </c>
    </row>
    <row r="96" spans="1:32" s="273" customFormat="1" ht="15" hidden="1" customHeight="1" x14ac:dyDescent="0.25">
      <c r="A96" s="350"/>
      <c r="B96" s="319"/>
      <c r="C96" s="318"/>
      <c r="D96" s="83" t="s">
        <v>38</v>
      </c>
      <c r="E96" s="242"/>
      <c r="F96" s="302"/>
      <c r="G96" s="75"/>
      <c r="H96" s="74"/>
      <c r="I96" s="74"/>
      <c r="J96" s="74"/>
      <c r="K96" s="74"/>
      <c r="L96" s="74"/>
      <c r="M96" s="74"/>
      <c r="N96" s="74"/>
      <c r="O96" s="72"/>
      <c r="P96" s="205"/>
      <c r="Q96" s="272"/>
      <c r="R96" s="439"/>
      <c r="S96" s="74"/>
      <c r="T96" s="74"/>
    </row>
    <row r="97" spans="1:20" s="273" customFormat="1" ht="15" hidden="1" customHeight="1" x14ac:dyDescent="0.25">
      <c r="A97" s="350"/>
      <c r="B97" s="317"/>
      <c r="C97" s="318">
        <v>8</v>
      </c>
      <c r="D97" s="83" t="s">
        <v>120</v>
      </c>
      <c r="E97" s="242">
        <v>1</v>
      </c>
      <c r="F97" s="302">
        <v>1</v>
      </c>
      <c r="G97" s="77" t="s">
        <v>55</v>
      </c>
      <c r="H97" s="72"/>
      <c r="I97" s="74">
        <f>F97*H97</f>
        <v>0</v>
      </c>
      <c r="J97" s="72"/>
      <c r="K97" s="74">
        <f t="shared" ref="K97" si="61">F97*J97</f>
        <v>0</v>
      </c>
      <c r="L97" s="72">
        <f t="shared" ref="L97" si="62">I97+K97</f>
        <v>0</v>
      </c>
      <c r="M97" s="74"/>
      <c r="N97" s="74"/>
      <c r="O97" s="72"/>
      <c r="P97" s="205"/>
      <c r="Q97" s="272"/>
      <c r="R97" s="439"/>
      <c r="S97" s="74">
        <f>4590*0.85*0.9</f>
        <v>3511.35</v>
      </c>
      <c r="T97" s="74">
        <f>4590*0.15*0.9</f>
        <v>619.65</v>
      </c>
    </row>
    <row r="98" spans="1:20" s="273" customFormat="1" ht="15" hidden="1" customHeight="1" x14ac:dyDescent="0.25">
      <c r="A98" s="350"/>
      <c r="B98" s="319"/>
      <c r="C98" s="318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4"/>
      <c r="N98" s="74"/>
      <c r="O98" s="72"/>
      <c r="P98" s="205"/>
      <c r="Q98" s="272"/>
      <c r="R98" s="439"/>
      <c r="S98" s="74"/>
      <c r="T98" s="74"/>
    </row>
    <row r="99" spans="1:20" s="273" customFormat="1" ht="15" hidden="1" customHeight="1" x14ac:dyDescent="0.25">
      <c r="A99" s="350"/>
      <c r="B99" s="317"/>
      <c r="C99" s="318">
        <v>9</v>
      </c>
      <c r="D99" s="83" t="s">
        <v>121</v>
      </c>
      <c r="E99" s="242">
        <v>1</v>
      </c>
      <c r="F99" s="302">
        <v>1</v>
      </c>
      <c r="G99" s="77" t="s">
        <v>55</v>
      </c>
      <c r="H99" s="72"/>
      <c r="I99" s="74">
        <f>F99*H99</f>
        <v>0</v>
      </c>
      <c r="J99" s="72"/>
      <c r="K99" s="74">
        <f t="shared" ref="K99" si="63">F99*J99</f>
        <v>0</v>
      </c>
      <c r="L99" s="72">
        <f t="shared" ref="L99" si="64">I99+K99</f>
        <v>0</v>
      </c>
      <c r="M99" s="74"/>
      <c r="N99" s="74"/>
      <c r="O99" s="72"/>
      <c r="P99" s="205"/>
      <c r="Q99" s="272"/>
      <c r="R99" s="439"/>
      <c r="S99" s="72">
        <f>183816*0.85</f>
        <v>156243.6</v>
      </c>
      <c r="T99" s="72">
        <f>183816*0.15</f>
        <v>27572.399999999998</v>
      </c>
    </row>
    <row r="100" spans="1:20" s="273" customFormat="1" ht="15" hidden="1" customHeight="1" x14ac:dyDescent="0.25">
      <c r="A100" s="350"/>
      <c r="B100" s="319"/>
      <c r="C100" s="318"/>
      <c r="D100" s="83" t="s">
        <v>54</v>
      </c>
      <c r="E100" s="242"/>
      <c r="F100" s="302"/>
      <c r="G100" s="77"/>
      <c r="H100" s="74"/>
      <c r="I100" s="74"/>
      <c r="J100" s="74"/>
      <c r="K100" s="74"/>
      <c r="L100" s="72"/>
      <c r="M100" s="74"/>
      <c r="N100" s="74"/>
      <c r="O100" s="72"/>
      <c r="P100" s="205"/>
      <c r="Q100" s="272"/>
      <c r="R100" s="439"/>
      <c r="S100" s="74"/>
      <c r="T100" s="74"/>
    </row>
    <row r="101" spans="1:20" s="273" customFormat="1" ht="15" hidden="1" customHeight="1" x14ac:dyDescent="0.25">
      <c r="A101" s="350"/>
      <c r="B101" s="317"/>
      <c r="C101" s="318">
        <v>10</v>
      </c>
      <c r="D101" s="83" t="s">
        <v>122</v>
      </c>
      <c r="E101" s="242">
        <v>1</v>
      </c>
      <c r="F101" s="302">
        <v>1</v>
      </c>
      <c r="G101" s="77" t="s">
        <v>55</v>
      </c>
      <c r="H101" s="72"/>
      <c r="I101" s="74">
        <f>F101*H101</f>
        <v>0</v>
      </c>
      <c r="J101" s="72"/>
      <c r="K101" s="74">
        <f t="shared" ref="K101" si="65">F101*J101</f>
        <v>0</v>
      </c>
      <c r="L101" s="72">
        <f t="shared" ref="L101" si="66">I101+K101</f>
        <v>0</v>
      </c>
      <c r="M101" s="74"/>
      <c r="N101" s="74"/>
      <c r="O101" s="72"/>
      <c r="P101" s="205"/>
      <c r="Q101" s="272"/>
      <c r="R101" s="439"/>
      <c r="S101" s="72">
        <f>200214*0.85</f>
        <v>170181.9</v>
      </c>
      <c r="T101" s="72">
        <f>200214*0.15</f>
        <v>30032.1</v>
      </c>
    </row>
    <row r="102" spans="1:20" s="273" customFormat="1" ht="15" hidden="1" customHeight="1" x14ac:dyDescent="0.25">
      <c r="A102" s="350"/>
      <c r="B102" s="319"/>
      <c r="C102" s="318"/>
      <c r="D102" s="83" t="s">
        <v>37</v>
      </c>
      <c r="E102" s="242"/>
      <c r="F102" s="302"/>
      <c r="G102" s="77"/>
      <c r="H102" s="74"/>
      <c r="I102" s="74"/>
      <c r="J102" s="74"/>
      <c r="K102" s="74"/>
      <c r="L102" s="72"/>
      <c r="M102" s="74"/>
      <c r="N102" s="74"/>
      <c r="O102" s="72"/>
      <c r="P102" s="205"/>
      <c r="Q102" s="272"/>
      <c r="R102" s="439"/>
      <c r="S102" s="74"/>
      <c r="T102" s="74"/>
    </row>
    <row r="103" spans="1:20" s="273" customFormat="1" ht="15" hidden="1" customHeight="1" x14ac:dyDescent="0.25">
      <c r="A103" s="350"/>
      <c r="B103" s="317"/>
      <c r="C103" s="318">
        <v>11</v>
      </c>
      <c r="D103" s="83" t="s">
        <v>123</v>
      </c>
      <c r="E103" s="242">
        <v>24</v>
      </c>
      <c r="F103" s="302">
        <v>24</v>
      </c>
      <c r="G103" s="77" t="s">
        <v>28</v>
      </c>
      <c r="H103" s="72"/>
      <c r="I103" s="74">
        <f>F103*H103</f>
        <v>0</v>
      </c>
      <c r="J103" s="72"/>
      <c r="K103" s="74">
        <f t="shared" ref="K103" si="67">F103*J103</f>
        <v>0</v>
      </c>
      <c r="L103" s="72">
        <f t="shared" ref="L103" si="68">I103+K103</f>
        <v>0</v>
      </c>
      <c r="M103" s="74"/>
      <c r="N103" s="74"/>
      <c r="O103" s="72"/>
      <c r="P103" s="205"/>
      <c r="Q103" s="272"/>
      <c r="R103" s="439"/>
      <c r="S103" s="72">
        <f>18360*0.85</f>
        <v>15606</v>
      </c>
      <c r="T103" s="72">
        <f>18360*0.15</f>
        <v>2754</v>
      </c>
    </row>
    <row r="104" spans="1:20" s="273" customFormat="1" ht="15" hidden="1" customHeight="1" x14ac:dyDescent="0.25">
      <c r="A104" s="350"/>
      <c r="B104" s="319"/>
      <c r="C104" s="318"/>
      <c r="D104" s="83" t="s">
        <v>52</v>
      </c>
      <c r="E104" s="242"/>
      <c r="F104" s="302"/>
      <c r="G104" s="75"/>
      <c r="H104" s="74"/>
      <c r="I104" s="74"/>
      <c r="J104" s="74"/>
      <c r="K104" s="74"/>
      <c r="L104" s="72"/>
      <c r="M104" s="74"/>
      <c r="N104" s="74"/>
      <c r="O104" s="72"/>
      <c r="P104" s="205"/>
      <c r="Q104" s="272"/>
      <c r="R104" s="439"/>
      <c r="S104" s="74"/>
      <c r="T104" s="74"/>
    </row>
    <row r="105" spans="1:20" s="273" customFormat="1" ht="15" hidden="1" customHeight="1" x14ac:dyDescent="0.25">
      <c r="A105" s="350"/>
      <c r="B105" s="319"/>
      <c r="C105" s="318"/>
      <c r="D105" s="83" t="s">
        <v>58</v>
      </c>
      <c r="E105" s="242"/>
      <c r="F105" s="302"/>
      <c r="G105" s="75"/>
      <c r="H105" s="74"/>
      <c r="I105" s="74"/>
      <c r="J105" s="74"/>
      <c r="K105" s="74"/>
      <c r="L105" s="72"/>
      <c r="M105" s="74"/>
      <c r="N105" s="74"/>
      <c r="O105" s="72"/>
      <c r="P105" s="205"/>
      <c r="Q105" s="272"/>
      <c r="R105" s="439"/>
      <c r="S105" s="74"/>
      <c r="T105" s="74"/>
    </row>
    <row r="106" spans="1:20" s="273" customFormat="1" ht="15" hidden="1" customHeight="1" x14ac:dyDescent="0.25">
      <c r="A106" s="350"/>
      <c r="B106" s="317"/>
      <c r="C106" s="318">
        <v>12</v>
      </c>
      <c r="D106" s="83" t="s">
        <v>124</v>
      </c>
      <c r="E106" s="242">
        <v>1</v>
      </c>
      <c r="F106" s="302">
        <v>1</v>
      </c>
      <c r="G106" s="77" t="s">
        <v>55</v>
      </c>
      <c r="H106" s="72"/>
      <c r="I106" s="74">
        <f>F106*H106</f>
        <v>0</v>
      </c>
      <c r="J106" s="72"/>
      <c r="K106" s="74">
        <f t="shared" ref="K106" si="69">F106*J106</f>
        <v>0</v>
      </c>
      <c r="L106" s="72">
        <f t="shared" ref="L106" si="70">I106+K106</f>
        <v>0</v>
      </c>
      <c r="M106" s="74"/>
      <c r="N106" s="74"/>
      <c r="O106" s="72"/>
      <c r="P106" s="205"/>
      <c r="Q106" s="272"/>
      <c r="R106" s="439"/>
      <c r="S106" s="72">
        <f>24480*0.85</f>
        <v>20808</v>
      </c>
      <c r="T106" s="72">
        <f>24480*0.15</f>
        <v>3672</v>
      </c>
    </row>
    <row r="107" spans="1:20" s="273" customFormat="1" ht="15" hidden="1" customHeight="1" x14ac:dyDescent="0.25">
      <c r="A107" s="350"/>
      <c r="B107" s="319"/>
      <c r="C107" s="318"/>
      <c r="D107" s="83" t="s">
        <v>53</v>
      </c>
      <c r="E107" s="242"/>
      <c r="F107" s="302"/>
      <c r="G107" s="75"/>
      <c r="H107" s="74"/>
      <c r="I107" s="74"/>
      <c r="J107" s="74"/>
      <c r="K107" s="74"/>
      <c r="L107" s="72"/>
      <c r="M107" s="74"/>
      <c r="N107" s="74"/>
      <c r="O107" s="72"/>
      <c r="P107" s="205"/>
      <c r="Q107" s="272"/>
      <c r="R107" s="439"/>
      <c r="S107" s="74"/>
      <c r="T107" s="74"/>
    </row>
    <row r="108" spans="1:20" s="273" customFormat="1" ht="15" hidden="1" customHeight="1" x14ac:dyDescent="0.25">
      <c r="A108" s="722"/>
      <c r="B108" s="319"/>
      <c r="C108" s="318"/>
      <c r="D108" s="83" t="s">
        <v>59</v>
      </c>
      <c r="E108" s="242"/>
      <c r="F108" s="302"/>
      <c r="G108" s="75"/>
      <c r="H108" s="74"/>
      <c r="I108" s="74"/>
      <c r="J108" s="74"/>
      <c r="K108" s="74"/>
      <c r="L108" s="72"/>
      <c r="M108" s="74"/>
      <c r="N108" s="74"/>
      <c r="O108" s="72"/>
      <c r="P108" s="205"/>
      <c r="Q108" s="272"/>
      <c r="R108" s="439"/>
      <c r="S108" s="74"/>
      <c r="T108" s="74"/>
    </row>
    <row r="109" spans="1:20" s="273" customFormat="1" ht="15" hidden="1" customHeight="1" x14ac:dyDescent="0.25">
      <c r="A109" s="723"/>
      <c r="B109" s="317"/>
      <c r="C109" s="318">
        <v>13</v>
      </c>
      <c r="D109" s="83" t="s">
        <v>125</v>
      </c>
      <c r="E109" s="242">
        <v>1</v>
      </c>
      <c r="F109" s="302">
        <v>1</v>
      </c>
      <c r="G109" s="77" t="s">
        <v>55</v>
      </c>
      <c r="H109" s="72"/>
      <c r="I109" s="74">
        <f>F109*H109</f>
        <v>0</v>
      </c>
      <c r="J109" s="72"/>
      <c r="K109" s="74">
        <f t="shared" ref="K109" si="71">F109*J109</f>
        <v>0</v>
      </c>
      <c r="L109" s="72">
        <f t="shared" ref="L109" si="72">I109+K109</f>
        <v>0</v>
      </c>
      <c r="M109" s="74"/>
      <c r="N109" s="74"/>
      <c r="O109" s="72"/>
      <c r="P109" s="205"/>
      <c r="Q109" s="272"/>
      <c r="R109" s="439"/>
      <c r="S109" s="72">
        <f>(65520+7560+5880)*0.85</f>
        <v>67116</v>
      </c>
      <c r="T109" s="72">
        <f>(65520+7560+5880)*0.15</f>
        <v>11844</v>
      </c>
    </row>
    <row r="110" spans="1:20" s="273" customFormat="1" ht="15" hidden="1" customHeight="1" x14ac:dyDescent="0.25">
      <c r="A110" s="350"/>
      <c r="B110" s="319"/>
      <c r="C110" s="318"/>
      <c r="D110" s="83" t="s">
        <v>164</v>
      </c>
      <c r="E110" s="242"/>
      <c r="F110" s="302"/>
      <c r="G110" s="75"/>
      <c r="H110" s="74"/>
      <c r="I110" s="74"/>
      <c r="J110" s="74"/>
      <c r="K110" s="74"/>
      <c r="L110" s="72"/>
      <c r="M110" s="74"/>
      <c r="N110" s="74"/>
      <c r="O110" s="72"/>
      <c r="P110" s="205"/>
      <c r="Q110" s="272"/>
      <c r="R110" s="439"/>
      <c r="S110" s="74"/>
      <c r="T110" s="74"/>
    </row>
    <row r="111" spans="1:20" s="273" customFormat="1" ht="15" hidden="1" customHeight="1" x14ac:dyDescent="0.25">
      <c r="A111" s="350"/>
      <c r="B111" s="317"/>
      <c r="C111" s="318">
        <v>14</v>
      </c>
      <c r="D111" s="83" t="s">
        <v>126</v>
      </c>
      <c r="E111" s="242">
        <v>1</v>
      </c>
      <c r="F111" s="302">
        <v>1</v>
      </c>
      <c r="G111" s="77" t="s">
        <v>55</v>
      </c>
      <c r="H111" s="72"/>
      <c r="I111" s="74">
        <f>F111*H111</f>
        <v>0</v>
      </c>
      <c r="J111" s="72"/>
      <c r="K111" s="74">
        <f t="shared" ref="K111" si="73">F111*J111</f>
        <v>0</v>
      </c>
      <c r="L111" s="72">
        <f t="shared" ref="L111" si="74">I111+K111</f>
        <v>0</v>
      </c>
      <c r="M111" s="74"/>
      <c r="N111" s="74"/>
      <c r="O111" s="72"/>
      <c r="P111" s="205"/>
      <c r="Q111" s="272"/>
      <c r="R111" s="439"/>
      <c r="S111" s="72">
        <f>151200*0.85</f>
        <v>128520</v>
      </c>
      <c r="T111" s="72">
        <f>151200*0.15</f>
        <v>22680</v>
      </c>
    </row>
    <row r="112" spans="1:20" s="273" customFormat="1" ht="15" hidden="1" customHeight="1" x14ac:dyDescent="0.25">
      <c r="A112" s="350"/>
      <c r="B112" s="319"/>
      <c r="C112" s="318"/>
      <c r="D112" s="83" t="s">
        <v>164</v>
      </c>
      <c r="E112" s="242"/>
      <c r="F112" s="302"/>
      <c r="G112" s="75"/>
      <c r="H112" s="74"/>
      <c r="I112" s="74"/>
      <c r="J112" s="74"/>
      <c r="K112" s="74"/>
      <c r="L112" s="72"/>
      <c r="M112" s="74"/>
      <c r="N112" s="74"/>
      <c r="O112" s="72"/>
      <c r="P112" s="205"/>
      <c r="Q112" s="272"/>
      <c r="R112" s="439"/>
      <c r="S112" s="74"/>
      <c r="T112" s="74"/>
    </row>
    <row r="113" spans="1:32" s="273" customFormat="1" ht="15" hidden="1" customHeight="1" x14ac:dyDescent="0.25">
      <c r="A113" s="350"/>
      <c r="B113" s="317"/>
      <c r="C113" s="318">
        <v>15</v>
      </c>
      <c r="D113" s="83" t="s">
        <v>127</v>
      </c>
      <c r="E113" s="242">
        <v>1</v>
      </c>
      <c r="F113" s="302">
        <v>1</v>
      </c>
      <c r="G113" s="77" t="s">
        <v>55</v>
      </c>
      <c r="H113" s="72"/>
      <c r="I113" s="74">
        <f>F113*H113</f>
        <v>0</v>
      </c>
      <c r="J113" s="72"/>
      <c r="K113" s="74">
        <f t="shared" ref="K113" si="75">F113*J113</f>
        <v>0</v>
      </c>
      <c r="L113" s="72">
        <f t="shared" ref="L113" si="76">I113+K113</f>
        <v>0</v>
      </c>
      <c r="M113" s="74"/>
      <c r="N113" s="74"/>
      <c r="O113" s="72"/>
      <c r="P113" s="205"/>
      <c r="Q113" s="272"/>
      <c r="R113" s="439"/>
      <c r="S113" s="72">
        <f>80640*0.85</f>
        <v>68544</v>
      </c>
      <c r="T113" s="72">
        <f>80640*0.15</f>
        <v>12096</v>
      </c>
    </row>
    <row r="114" spans="1:32" s="273" customFormat="1" ht="15" hidden="1" customHeight="1" x14ac:dyDescent="0.25">
      <c r="A114" s="350"/>
      <c r="B114" s="319"/>
      <c r="C114" s="318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4"/>
      <c r="N114" s="74"/>
      <c r="O114" s="72"/>
      <c r="P114" s="205"/>
      <c r="Q114" s="272"/>
      <c r="R114" s="439"/>
      <c r="S114" s="74"/>
      <c r="T114" s="74"/>
    </row>
    <row r="115" spans="1:32" s="273" customFormat="1" ht="15" hidden="1" customHeight="1" x14ac:dyDescent="0.25">
      <c r="A115" s="350"/>
      <c r="B115" s="317"/>
      <c r="C115" s="318">
        <v>16</v>
      </c>
      <c r="D115" s="83" t="s">
        <v>128</v>
      </c>
      <c r="E115" s="242">
        <v>1</v>
      </c>
      <c r="F115" s="302">
        <v>1</v>
      </c>
      <c r="G115" s="77" t="s">
        <v>55</v>
      </c>
      <c r="H115" s="72"/>
      <c r="I115" s="74">
        <f>F115*H115</f>
        <v>0</v>
      </c>
      <c r="J115" s="72"/>
      <c r="K115" s="74">
        <f t="shared" ref="K115" si="77">F115*J115</f>
        <v>0</v>
      </c>
      <c r="L115" s="72">
        <f t="shared" ref="L115" si="78">I115+K115</f>
        <v>0</v>
      </c>
      <c r="M115" s="74"/>
      <c r="N115" s="74"/>
      <c r="O115" s="72"/>
      <c r="P115" s="205"/>
      <c r="Q115" s="272"/>
      <c r="R115" s="439"/>
      <c r="S115" s="72">
        <f>(27888+33600)*0.85</f>
        <v>52264.799999999996</v>
      </c>
      <c r="T115" s="72">
        <f>(27888+33600)*0.15</f>
        <v>9223.1999999999989</v>
      </c>
    </row>
    <row r="116" spans="1:32" s="273" customFormat="1" ht="15" hidden="1" customHeight="1" x14ac:dyDescent="0.25">
      <c r="A116" s="350"/>
      <c r="B116" s="319"/>
      <c r="C116" s="318"/>
      <c r="D116" s="83" t="s">
        <v>164</v>
      </c>
      <c r="E116" s="242"/>
      <c r="F116" s="302"/>
      <c r="G116" s="75"/>
      <c r="H116" s="74"/>
      <c r="I116" s="74"/>
      <c r="J116" s="74"/>
      <c r="K116" s="74"/>
      <c r="L116" s="74"/>
      <c r="M116" s="74"/>
      <c r="N116" s="74"/>
      <c r="O116" s="72"/>
      <c r="P116" s="205"/>
      <c r="Q116" s="272"/>
      <c r="R116" s="439"/>
      <c r="S116" s="74"/>
      <c r="T116" s="224"/>
    </row>
    <row r="117" spans="1:32" s="273" customFormat="1" hidden="1" x14ac:dyDescent="0.25">
      <c r="A117" s="350"/>
      <c r="B117" s="319"/>
      <c r="C117" s="318"/>
      <c r="D117" s="83"/>
      <c r="E117" s="242"/>
      <c r="F117" s="302"/>
      <c r="G117" s="75"/>
      <c r="H117" s="74"/>
      <c r="I117" s="74"/>
      <c r="J117" s="74"/>
      <c r="K117" s="74"/>
      <c r="L117" s="74"/>
      <c r="M117" s="74"/>
      <c r="N117" s="74"/>
      <c r="O117" s="72"/>
      <c r="P117" s="205"/>
      <c r="Q117" s="272"/>
      <c r="R117" s="439"/>
      <c r="T117" s="224"/>
      <c r="AD117" s="224"/>
      <c r="AF117" s="224"/>
    </row>
    <row r="118" spans="1:32" s="273" customFormat="1" x14ac:dyDescent="0.25">
      <c r="A118" s="350"/>
      <c r="B118" s="724" t="s">
        <v>330</v>
      </c>
      <c r="C118" s="725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74"/>
      <c r="N118" s="74"/>
      <c r="O118" s="72"/>
      <c r="P118" s="205"/>
      <c r="Q118" s="272"/>
      <c r="R118" s="439"/>
      <c r="T118" s="224"/>
      <c r="AD118" s="224"/>
      <c r="AF118" s="224"/>
    </row>
    <row r="119" spans="1:32" s="273" customFormat="1" x14ac:dyDescent="0.25">
      <c r="A119" s="350"/>
      <c r="B119" s="317"/>
      <c r="C119" s="318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74">
        <f>2400/1.05</f>
        <v>2285.7142857142858</v>
      </c>
      <c r="I119" s="74">
        <f>F119*H119</f>
        <v>45714.285714285717</v>
      </c>
      <c r="J119" s="74">
        <v>350</v>
      </c>
      <c r="K119" s="74">
        <f t="shared" ref="K119:K120" si="79">F119*J119</f>
        <v>7000</v>
      </c>
      <c r="L119" s="72">
        <f t="shared" ref="L119:L120" si="80">I119+K119</f>
        <v>52714.285714285717</v>
      </c>
      <c r="M119" s="74">
        <f>H119/$P$260*$P$268</f>
        <v>3186.5223852370109</v>
      </c>
      <c r="N119" s="74">
        <f>J119/$P$260*$P$268</f>
        <v>487.93624023941732</v>
      </c>
      <c r="O119" s="72">
        <f t="shared" ref="O119:O149" si="81">N119+M119</f>
        <v>3674.4586254764281</v>
      </c>
      <c r="P119" s="205">
        <f t="shared" ref="P119:P144" si="82">O119*F119</f>
        <v>73489.172509528566</v>
      </c>
      <c r="Q119" s="272">
        <f>L119/$P$260*$P$268</f>
        <v>73489.172509528566</v>
      </c>
      <c r="R119" s="439">
        <f t="shared" ref="R119:R149" si="83">P119-Q119</f>
        <v>0</v>
      </c>
      <c r="T119" s="224"/>
      <c r="AD119" s="224"/>
      <c r="AF119" s="224"/>
    </row>
    <row r="120" spans="1:32" s="273" customFormat="1" x14ac:dyDescent="0.25">
      <c r="A120" s="350"/>
      <c r="B120" s="317"/>
      <c r="C120" s="318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74">
        <f>350/1.05</f>
        <v>333.33333333333331</v>
      </c>
      <c r="I120" s="74">
        <f>F120*H120</f>
        <v>16000</v>
      </c>
      <c r="J120" s="74">
        <v>75</v>
      </c>
      <c r="K120" s="74">
        <f t="shared" si="79"/>
        <v>3600</v>
      </c>
      <c r="L120" s="72">
        <f t="shared" si="80"/>
        <v>19600</v>
      </c>
      <c r="M120" s="74">
        <f>H120/$P$260*$P$268</f>
        <v>464.70118118039744</v>
      </c>
      <c r="N120" s="74">
        <f>J120/$P$260*$P$268</f>
        <v>104.55776576558942</v>
      </c>
      <c r="O120" s="72">
        <f t="shared" si="81"/>
        <v>569.25894694598685</v>
      </c>
      <c r="P120" s="205">
        <f t="shared" si="82"/>
        <v>27324.429453407371</v>
      </c>
      <c r="Q120" s="272">
        <f>L120/$P$260*$P$268</f>
        <v>27324.429453407367</v>
      </c>
      <c r="R120" s="439">
        <f t="shared" si="83"/>
        <v>0</v>
      </c>
      <c r="T120" s="224"/>
      <c r="W120" s="904" t="s">
        <v>294</v>
      </c>
      <c r="X120" s="904"/>
      <c r="Y120" s="904"/>
      <c r="Z120" s="771" t="s">
        <v>243</v>
      </c>
      <c r="AA120" s="771" t="s">
        <v>244</v>
      </c>
      <c r="AB120" s="771" t="s">
        <v>245</v>
      </c>
      <c r="AC120" s="123" t="s">
        <v>246</v>
      </c>
      <c r="AD120" s="196" t="s">
        <v>247</v>
      </c>
      <c r="AE120" s="771" t="s">
        <v>248</v>
      </c>
      <c r="AF120" s="212" t="s">
        <v>249</v>
      </c>
    </row>
    <row r="121" spans="1:32" s="273" customFormat="1" x14ac:dyDescent="0.25">
      <c r="A121" s="350"/>
      <c r="B121" s="319"/>
      <c r="C121" s="318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74"/>
      <c r="N121" s="74"/>
      <c r="O121" s="72"/>
      <c r="P121" s="205"/>
      <c r="Q121" s="272"/>
      <c r="R121" s="439"/>
      <c r="T121" s="224"/>
      <c r="W121" s="878" t="s">
        <v>272</v>
      </c>
      <c r="X121" s="878"/>
      <c r="Y121" s="878"/>
      <c r="Z121" s="124" t="s">
        <v>251</v>
      </c>
      <c r="AA121" s="772">
        <v>12.5</v>
      </c>
      <c r="AB121" s="772">
        <v>13</v>
      </c>
      <c r="AC121" s="123">
        <f>98/1.06</f>
        <v>92.452830188679243</v>
      </c>
      <c r="AD121" s="196">
        <f>AC121*AB121</f>
        <v>1201.8867924528302</v>
      </c>
      <c r="AE121" s="772">
        <v>16.5</v>
      </c>
      <c r="AF121" s="219">
        <f>AE121*AB121</f>
        <v>214.5</v>
      </c>
    </row>
    <row r="122" spans="1:32" s="273" customFormat="1" x14ac:dyDescent="0.25">
      <c r="A122" s="350"/>
      <c r="B122" s="317"/>
      <c r="C122" s="318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74">
        <f>F122*H122</f>
        <v>15238.095238095237</v>
      </c>
      <c r="J122" s="74">
        <v>400</v>
      </c>
      <c r="K122" s="74">
        <f t="shared" ref="K122:K123" si="84">F122*J122</f>
        <v>1600</v>
      </c>
      <c r="L122" s="72">
        <f t="shared" ref="L122:L123" si="85">I122+K122</f>
        <v>16838.095238095237</v>
      </c>
      <c r="M122" s="74">
        <f>H122/$P$260*$P$268</f>
        <v>5310.8706420616845</v>
      </c>
      <c r="N122" s="74">
        <f>J122/$P$260*$P$268</f>
        <v>557.64141741647688</v>
      </c>
      <c r="O122" s="72">
        <f t="shared" si="81"/>
        <v>5868.5120594781611</v>
      </c>
      <c r="P122" s="205">
        <f t="shared" si="82"/>
        <v>23474.048237912644</v>
      </c>
      <c r="Q122" s="272">
        <f>L122/$P$260*$P$268</f>
        <v>23474.048237912644</v>
      </c>
      <c r="R122" s="439">
        <f t="shared" si="83"/>
        <v>0</v>
      </c>
      <c r="T122" s="224"/>
      <c r="W122" s="878" t="s">
        <v>252</v>
      </c>
      <c r="X122" s="878"/>
      <c r="Y122" s="878"/>
      <c r="Z122" s="124" t="s">
        <v>253</v>
      </c>
      <c r="AA122" s="772">
        <v>0.25</v>
      </c>
      <c r="AB122" s="772">
        <v>0.25</v>
      </c>
      <c r="AC122" s="123">
        <f>285/1.06</f>
        <v>268.8679245283019</v>
      </c>
      <c r="AD122" s="196">
        <f>AC122*AB122</f>
        <v>67.216981132075475</v>
      </c>
      <c r="AE122" s="772"/>
      <c r="AF122" s="219">
        <f>AE122*AB122</f>
        <v>0</v>
      </c>
    </row>
    <row r="123" spans="1:32" s="273" customFormat="1" x14ac:dyDescent="0.25">
      <c r="A123" s="350"/>
      <c r="B123" s="317"/>
      <c r="C123" s="318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74">
        <f>750/1.05</f>
        <v>714.28571428571422</v>
      </c>
      <c r="I123" s="74">
        <f>F123*H123</f>
        <v>11428.571428571428</v>
      </c>
      <c r="J123" s="74">
        <v>75</v>
      </c>
      <c r="K123" s="74">
        <f t="shared" si="84"/>
        <v>1200</v>
      </c>
      <c r="L123" s="72">
        <f t="shared" si="85"/>
        <v>12628.571428571428</v>
      </c>
      <c r="M123" s="74">
        <f>H123/$P$260*$P$268</f>
        <v>995.78824538656579</v>
      </c>
      <c r="N123" s="74">
        <f>J123/$P$260*$P$268</f>
        <v>104.55776576558942</v>
      </c>
      <c r="O123" s="72">
        <f t="shared" si="81"/>
        <v>1100.3460111521551</v>
      </c>
      <c r="P123" s="205">
        <f t="shared" si="82"/>
        <v>17605.536178434482</v>
      </c>
      <c r="Q123" s="272">
        <f>L123/$P$260*$P$268</f>
        <v>17605.536178434482</v>
      </c>
      <c r="R123" s="439">
        <f t="shared" si="83"/>
        <v>0</v>
      </c>
      <c r="T123" s="224"/>
      <c r="W123" s="878" t="s">
        <v>254</v>
      </c>
      <c r="X123" s="878"/>
      <c r="Y123" s="878"/>
      <c r="Z123" s="124" t="s">
        <v>255</v>
      </c>
      <c r="AA123" s="772">
        <v>0.25</v>
      </c>
      <c r="AB123" s="772">
        <v>0.35</v>
      </c>
      <c r="AC123" s="123">
        <f>37/1.06</f>
        <v>34.905660377358487</v>
      </c>
      <c r="AD123" s="196">
        <f>AC123*AB123</f>
        <v>12.216981132075469</v>
      </c>
      <c r="AE123" s="772"/>
      <c r="AF123" s="219">
        <f>AE123*AB123</f>
        <v>0</v>
      </c>
    </row>
    <row r="124" spans="1:32" s="273" customFormat="1" x14ac:dyDescent="0.25">
      <c r="A124" s="350"/>
      <c r="B124" s="319"/>
      <c r="C124" s="318"/>
      <c r="D124" s="83"/>
      <c r="E124" s="242"/>
      <c r="F124" s="302"/>
      <c r="G124" s="75"/>
      <c r="H124" s="74"/>
      <c r="I124" s="74"/>
      <c r="J124" s="74"/>
      <c r="K124" s="74"/>
      <c r="L124" s="74"/>
      <c r="M124" s="74"/>
      <c r="N124" s="74"/>
      <c r="O124" s="72"/>
      <c r="P124" s="205"/>
      <c r="Q124" s="272"/>
      <c r="R124" s="439"/>
      <c r="T124" s="224"/>
      <c r="W124" s="878" t="s">
        <v>256</v>
      </c>
      <c r="X124" s="878"/>
      <c r="Y124" s="878"/>
      <c r="Z124" s="124" t="s">
        <v>257</v>
      </c>
      <c r="AA124" s="772">
        <v>1</v>
      </c>
      <c r="AB124" s="772">
        <v>1</v>
      </c>
      <c r="AC124" s="123">
        <f>AN64</f>
        <v>0</v>
      </c>
      <c r="AD124" s="196">
        <f>AC124*AB124</f>
        <v>0</v>
      </c>
      <c r="AE124" s="772"/>
      <c r="AF124" s="219">
        <f>AE124*AB124</f>
        <v>0</v>
      </c>
    </row>
    <row r="125" spans="1:32" s="273" customFormat="1" x14ac:dyDescent="0.25">
      <c r="A125" s="350"/>
      <c r="B125" s="724" t="s">
        <v>332</v>
      </c>
      <c r="C125" s="725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74"/>
      <c r="N125" s="74"/>
      <c r="O125" s="72"/>
      <c r="P125" s="205"/>
      <c r="Q125" s="272"/>
      <c r="R125" s="439"/>
      <c r="T125" s="224"/>
      <c r="W125" s="126"/>
      <c r="X125" s="126"/>
      <c r="Y125" s="126"/>
      <c r="Z125" s="126"/>
      <c r="AA125" s="772"/>
      <c r="AB125" s="772"/>
      <c r="AC125" s="123"/>
      <c r="AD125" s="212">
        <f>SUM(AD121:AD124)</f>
        <v>1281.3207547169811</v>
      </c>
      <c r="AE125" s="771"/>
      <c r="AF125" s="212">
        <f>SUM(AF121:AF124)</f>
        <v>214.5</v>
      </c>
    </row>
    <row r="126" spans="1:32" s="273" customFormat="1" x14ac:dyDescent="0.25">
      <c r="A126" s="350"/>
      <c r="B126" s="317"/>
      <c r="C126" s="318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74">
        <f t="shared" ref="I126:I132" si="86">F126*H126</f>
        <v>17160</v>
      </c>
      <c r="J126" s="74">
        <v>75</v>
      </c>
      <c r="K126" s="74">
        <f t="shared" ref="K126:K132" si="87">F126*J126</f>
        <v>5850</v>
      </c>
      <c r="L126" s="72">
        <f t="shared" ref="L126:L132" si="88">I126+K126</f>
        <v>23010</v>
      </c>
      <c r="M126" s="74">
        <f>H126/$P$260*$P$268</f>
        <v>306.70277957906228</v>
      </c>
      <c r="N126" s="74">
        <f>J126/$P$260*$P$268</f>
        <v>104.55776576558942</v>
      </c>
      <c r="O126" s="72">
        <f t="shared" si="81"/>
        <v>411.26054534465169</v>
      </c>
      <c r="P126" s="205">
        <f t="shared" si="82"/>
        <v>32078.322536882832</v>
      </c>
      <c r="Q126" s="272">
        <f>L126/$P$260*$P$268</f>
        <v>32078.322536882835</v>
      </c>
      <c r="R126" s="439">
        <f t="shared" si="83"/>
        <v>0</v>
      </c>
      <c r="T126" s="224"/>
      <c r="AD126" s="224"/>
      <c r="AF126" s="224"/>
    </row>
    <row r="127" spans="1:32" s="273" customFormat="1" x14ac:dyDescent="0.25">
      <c r="A127" s="350"/>
      <c r="B127" s="317"/>
      <c r="C127" s="318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74">
        <f t="shared" si="86"/>
        <v>7733.3333333333321</v>
      </c>
      <c r="J127" s="74">
        <v>75</v>
      </c>
      <c r="K127" s="74">
        <f t="shared" si="87"/>
        <v>4350</v>
      </c>
      <c r="L127" s="72">
        <f t="shared" si="88"/>
        <v>12083.333333333332</v>
      </c>
      <c r="M127" s="74">
        <f>H127/$P$260*$P$268</f>
        <v>185.88047247215894</v>
      </c>
      <c r="N127" s="74">
        <f>J127/$P$260*$P$268</f>
        <v>104.55776576558942</v>
      </c>
      <c r="O127" s="72">
        <f t="shared" si="81"/>
        <v>290.43823823774835</v>
      </c>
      <c r="P127" s="205">
        <f t="shared" si="82"/>
        <v>16845.417817789403</v>
      </c>
      <c r="Q127" s="272">
        <f>L127/$P$260*$P$268</f>
        <v>16845.417817789406</v>
      </c>
      <c r="R127" s="439">
        <f t="shared" si="83"/>
        <v>0</v>
      </c>
      <c r="T127" s="224"/>
      <c r="W127" s="904" t="s">
        <v>295</v>
      </c>
      <c r="X127" s="904"/>
      <c r="Y127" s="904"/>
      <c r="Z127" s="771" t="s">
        <v>243</v>
      </c>
      <c r="AA127" s="771" t="s">
        <v>244</v>
      </c>
      <c r="AB127" s="771" t="s">
        <v>245</v>
      </c>
      <c r="AC127" s="123" t="s">
        <v>246</v>
      </c>
      <c r="AD127" s="196" t="s">
        <v>247</v>
      </c>
      <c r="AE127" s="771" t="s">
        <v>248</v>
      </c>
      <c r="AF127" s="212" t="s">
        <v>249</v>
      </c>
    </row>
    <row r="128" spans="1:32" s="273" customFormat="1" x14ac:dyDescent="0.25">
      <c r="A128" s="350"/>
      <c r="B128" s="317"/>
      <c r="C128" s="318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74">
        <f t="shared" si="86"/>
        <v>15321.428571428571</v>
      </c>
      <c r="J128" s="74">
        <v>120</v>
      </c>
      <c r="K128" s="74">
        <f t="shared" si="87"/>
        <v>2340</v>
      </c>
      <c r="L128" s="72">
        <f t="shared" si="88"/>
        <v>17661.428571428572</v>
      </c>
      <c r="M128" s="74">
        <f>H128/$P$260*$P$268</f>
        <v>1095.3670699252225</v>
      </c>
      <c r="N128" s="74">
        <f>J128/$P$260*$P$268</f>
        <v>167.29242522494309</v>
      </c>
      <c r="O128" s="72">
        <f t="shared" si="81"/>
        <v>1262.6594951501656</v>
      </c>
      <c r="P128" s="205">
        <f t="shared" si="82"/>
        <v>24621.860155428229</v>
      </c>
      <c r="Q128" s="272">
        <f>L128/$P$260*$P$268</f>
        <v>24621.860155428229</v>
      </c>
      <c r="R128" s="439">
        <f t="shared" si="83"/>
        <v>0</v>
      </c>
      <c r="T128" s="224"/>
      <c r="W128" s="878" t="s">
        <v>271</v>
      </c>
      <c r="X128" s="878"/>
      <c r="Y128" s="878"/>
      <c r="Z128" s="124" t="s">
        <v>251</v>
      </c>
      <c r="AA128" s="772">
        <v>8.33</v>
      </c>
      <c r="AB128" s="772">
        <v>9</v>
      </c>
      <c r="AC128" s="123">
        <f>143/1.06</f>
        <v>134.90566037735849</v>
      </c>
      <c r="AD128" s="196">
        <f>AC128*AB128</f>
        <v>1214.1509433962265</v>
      </c>
      <c r="AE128" s="772">
        <v>23.9</v>
      </c>
      <c r="AF128" s="219">
        <f>AE128*AB128</f>
        <v>215.1</v>
      </c>
    </row>
    <row r="129" spans="1:32" s="273" customFormat="1" x14ac:dyDescent="0.25">
      <c r="A129" s="350"/>
      <c r="B129" s="317"/>
      <c r="C129" s="318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74">
        <f t="shared" si="86"/>
        <v>2285.7142857142858</v>
      </c>
      <c r="J129" s="74">
        <v>175</v>
      </c>
      <c r="K129" s="74">
        <f t="shared" si="87"/>
        <v>350</v>
      </c>
      <c r="L129" s="72">
        <f t="shared" si="88"/>
        <v>2635.7142857142858</v>
      </c>
      <c r="M129" s="74">
        <f>H129/$P$260*$P$268</f>
        <v>1593.2611926185054</v>
      </c>
      <c r="N129" s="74">
        <f>J129/$P$260*$P$268</f>
        <v>243.96812011970866</v>
      </c>
      <c r="O129" s="72">
        <f t="shared" si="81"/>
        <v>1837.229312738214</v>
      </c>
      <c r="P129" s="205">
        <f t="shared" si="82"/>
        <v>3674.4586254764281</v>
      </c>
      <c r="Q129" s="272">
        <f>L129/$P$260*$P$268</f>
        <v>3674.4586254764286</v>
      </c>
      <c r="R129" s="439">
        <f t="shared" si="83"/>
        <v>0</v>
      </c>
      <c r="T129" s="224"/>
      <c r="W129" s="878" t="s">
        <v>252</v>
      </c>
      <c r="X129" s="878"/>
      <c r="Y129" s="878"/>
      <c r="Z129" s="124" t="s">
        <v>253</v>
      </c>
      <c r="AA129" s="772">
        <v>0.25</v>
      </c>
      <c r="AB129" s="772">
        <v>0.25</v>
      </c>
      <c r="AC129" s="123">
        <f>AC122</f>
        <v>268.8679245283019</v>
      </c>
      <c r="AD129" s="196">
        <f>AC129*AB129</f>
        <v>67.216981132075475</v>
      </c>
      <c r="AE129" s="772"/>
      <c r="AF129" s="219">
        <f>AE129*AB129</f>
        <v>0</v>
      </c>
    </row>
    <row r="130" spans="1:32" s="273" customFormat="1" x14ac:dyDescent="0.25">
      <c r="A130" s="350"/>
      <c r="B130" s="317"/>
      <c r="C130" s="318">
        <v>5</v>
      </c>
      <c r="D130" s="83" t="s">
        <v>416</v>
      </c>
      <c r="E130" s="306" t="s">
        <v>39</v>
      </c>
      <c r="F130" s="302"/>
      <c r="G130" s="75"/>
      <c r="H130" s="74"/>
      <c r="I130" s="74">
        <f t="shared" si="86"/>
        <v>0</v>
      </c>
      <c r="J130" s="74"/>
      <c r="K130" s="74">
        <f t="shared" si="87"/>
        <v>0</v>
      </c>
      <c r="L130" s="72">
        <f t="shared" si="88"/>
        <v>0</v>
      </c>
      <c r="M130" s="74"/>
      <c r="N130" s="74"/>
      <c r="O130" s="72"/>
      <c r="P130" s="205"/>
      <c r="Q130" s="272"/>
      <c r="R130" s="439"/>
      <c r="T130" s="224"/>
      <c r="W130" s="878" t="s">
        <v>254</v>
      </c>
      <c r="X130" s="878"/>
      <c r="Y130" s="878"/>
      <c r="Z130" s="124" t="s">
        <v>255</v>
      </c>
      <c r="AA130" s="772">
        <v>0.25</v>
      </c>
      <c r="AB130" s="772">
        <v>0.35</v>
      </c>
      <c r="AC130" s="123">
        <f>37/1.06</f>
        <v>34.905660377358487</v>
      </c>
      <c r="AD130" s="196">
        <f>AC130*AB130</f>
        <v>12.216981132075469</v>
      </c>
      <c r="AE130" s="772"/>
      <c r="AF130" s="219">
        <f>AE130*AB130</f>
        <v>0</v>
      </c>
    </row>
    <row r="131" spans="1:32" s="224" customFormat="1" x14ac:dyDescent="0.25">
      <c r="A131" s="350"/>
      <c r="B131" s="726"/>
      <c r="C131" s="318">
        <v>6</v>
      </c>
      <c r="D131" s="83" t="s">
        <v>159</v>
      </c>
      <c r="E131" s="306" t="s">
        <v>39</v>
      </c>
      <c r="F131" s="302"/>
      <c r="G131" s="75"/>
      <c r="H131" s="74"/>
      <c r="I131" s="74">
        <f t="shared" si="86"/>
        <v>0</v>
      </c>
      <c r="J131" s="74"/>
      <c r="K131" s="74">
        <f t="shared" si="87"/>
        <v>0</v>
      </c>
      <c r="L131" s="72">
        <f t="shared" si="88"/>
        <v>0</v>
      </c>
      <c r="M131" s="74"/>
      <c r="N131" s="74"/>
      <c r="O131" s="72"/>
      <c r="P131" s="205"/>
      <c r="Q131" s="272"/>
      <c r="R131" s="439"/>
      <c r="S131" s="273"/>
      <c r="W131" s="878" t="s">
        <v>256</v>
      </c>
      <c r="X131" s="878"/>
      <c r="Y131" s="878"/>
      <c r="Z131" s="124" t="s">
        <v>257</v>
      </c>
      <c r="AA131" s="772">
        <v>1</v>
      </c>
      <c r="AB131" s="772">
        <v>1</v>
      </c>
      <c r="AC131" s="123">
        <v>0</v>
      </c>
      <c r="AD131" s="196">
        <f>AC131*AB131</f>
        <v>0</v>
      </c>
      <c r="AE131" s="772">
        <v>0</v>
      </c>
      <c r="AF131" s="219">
        <f>AE131*AB131</f>
        <v>0</v>
      </c>
    </row>
    <row r="132" spans="1:32" s="224" customFormat="1" x14ac:dyDescent="0.25">
      <c r="A132" s="350"/>
      <c r="B132" s="726"/>
      <c r="C132" s="318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74">
        <f t="shared" si="86"/>
        <v>38806.213592233013</v>
      </c>
      <c r="J132" s="74">
        <f>5878*0.15/1.03</f>
        <v>856.01941747572812</v>
      </c>
      <c r="K132" s="74">
        <f t="shared" si="87"/>
        <v>6848.155339805825</v>
      </c>
      <c r="L132" s="72">
        <f t="shared" si="88"/>
        <v>45654.368932038837</v>
      </c>
      <c r="M132" s="74">
        <f>H132/$P$260*$P$268</f>
        <v>6762.484985043553</v>
      </c>
      <c r="N132" s="74">
        <f>J132/$P$260*$P$268</f>
        <v>1193.37970324298</v>
      </c>
      <c r="O132" s="72">
        <f t="shared" si="81"/>
        <v>7955.8646882865332</v>
      </c>
      <c r="P132" s="205">
        <f t="shared" si="82"/>
        <v>63646.917506292266</v>
      </c>
      <c r="Q132" s="272">
        <f>L132/$P$260*$P$268</f>
        <v>63646.917506292259</v>
      </c>
      <c r="R132" s="439">
        <f t="shared" si="83"/>
        <v>0</v>
      </c>
      <c r="S132" s="273"/>
      <c r="W132" s="126"/>
      <c r="X132" s="126"/>
      <c r="Y132" s="126"/>
      <c r="Z132" s="126"/>
      <c r="AA132" s="772"/>
      <c r="AB132" s="772"/>
      <c r="AC132" s="123"/>
      <c r="AD132" s="212">
        <f>SUM(AD128:AD131)</f>
        <v>1293.5849056603774</v>
      </c>
      <c r="AE132" s="771"/>
      <c r="AF132" s="212">
        <f>SUM(AF128:AF131)</f>
        <v>215.1</v>
      </c>
    </row>
    <row r="133" spans="1:32" s="224" customFormat="1" ht="15" customHeight="1" x14ac:dyDescent="0.25">
      <c r="A133" s="350"/>
      <c r="B133" s="319"/>
      <c r="C133" s="318"/>
      <c r="D133" s="82"/>
      <c r="E133" s="242"/>
      <c r="F133" s="302"/>
      <c r="G133" s="75"/>
      <c r="H133" s="74"/>
      <c r="I133" s="74"/>
      <c r="J133" s="74"/>
      <c r="K133" s="74"/>
      <c r="L133" s="74"/>
      <c r="M133" s="74"/>
      <c r="N133" s="74"/>
      <c r="O133" s="72"/>
      <c r="P133" s="205"/>
      <c r="Q133" s="272"/>
      <c r="R133" s="439"/>
      <c r="S133" s="273"/>
    </row>
    <row r="134" spans="1:32" s="273" customFormat="1" x14ac:dyDescent="0.25">
      <c r="A134" s="350"/>
      <c r="B134" s="412" t="s">
        <v>335</v>
      </c>
      <c r="C134" s="413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74"/>
      <c r="N134" s="74"/>
      <c r="O134" s="72"/>
      <c r="P134" s="205"/>
      <c r="Q134" s="272"/>
      <c r="R134" s="439"/>
    </row>
    <row r="135" spans="1:32" s="273" customFormat="1" x14ac:dyDescent="0.25">
      <c r="A135" s="350"/>
      <c r="B135" s="317"/>
      <c r="C135" s="318">
        <v>1</v>
      </c>
      <c r="D135" s="83" t="s">
        <v>414</v>
      </c>
      <c r="E135" s="242">
        <v>15.7</v>
      </c>
      <c r="F135" s="302">
        <v>16.5</v>
      </c>
      <c r="G135" s="77" t="s">
        <v>100</v>
      </c>
      <c r="H135" s="74">
        <f>152640*0.85/F135/1.05</f>
        <v>7488.8311688311687</v>
      </c>
      <c r="I135" s="74">
        <f>F135*H135</f>
        <v>123565.71428571429</v>
      </c>
      <c r="J135" s="74">
        <f>152640*0.15/F135/1.05</f>
        <v>1321.5584415584417</v>
      </c>
      <c r="K135" s="74">
        <f t="shared" ref="K135:K138" si="89">F135*J135</f>
        <v>21805.71428571429</v>
      </c>
      <c r="L135" s="72">
        <f t="shared" ref="L135:L138" si="90">I135+K135</f>
        <v>145371.42857142858</v>
      </c>
      <c r="M135" s="74">
        <f>H135/$P$260*$P$268</f>
        <v>10440.206069449261</v>
      </c>
      <c r="N135" s="74">
        <f>J135/$P$260*$P$268</f>
        <v>1842.3893063733992</v>
      </c>
      <c r="O135" s="72">
        <f t="shared" si="81"/>
        <v>12282.595375822661</v>
      </c>
      <c r="P135" s="205">
        <f t="shared" si="82"/>
        <v>202662.82370107391</v>
      </c>
      <c r="Q135" s="272">
        <f>L135/$P$260*$P$268</f>
        <v>202662.82370107391</v>
      </c>
      <c r="R135" s="439">
        <f t="shared" si="83"/>
        <v>0</v>
      </c>
    </row>
    <row r="136" spans="1:32" s="273" customFormat="1" x14ac:dyDescent="0.25">
      <c r="A136" s="350"/>
      <c r="B136" s="317"/>
      <c r="C136" s="318">
        <v>2</v>
      </c>
      <c r="D136" s="83" t="s">
        <v>415</v>
      </c>
      <c r="E136" s="242">
        <v>8.5</v>
      </c>
      <c r="F136" s="302">
        <v>9</v>
      </c>
      <c r="G136" s="77" t="s">
        <v>100</v>
      </c>
      <c r="H136" s="74">
        <f>59360*0.8/F136/1.05</f>
        <v>5025.1851851851852</v>
      </c>
      <c r="I136" s="74">
        <f>F136*H136</f>
        <v>45226.666666666664</v>
      </c>
      <c r="J136" s="74">
        <f>59360*0.2/F136/1.05</f>
        <v>1256.2962962962963</v>
      </c>
      <c r="K136" s="74">
        <f t="shared" si="89"/>
        <v>11306.666666666666</v>
      </c>
      <c r="L136" s="72">
        <f t="shared" si="90"/>
        <v>56533.333333333328</v>
      </c>
      <c r="M136" s="74">
        <f>H136/$P$260*$P$268</f>
        <v>7005.6284736173693</v>
      </c>
      <c r="N136" s="74">
        <f>J136/$P$260*$P$268</f>
        <v>1751.4071184043423</v>
      </c>
      <c r="O136" s="72">
        <f t="shared" si="81"/>
        <v>8757.0355920217116</v>
      </c>
      <c r="P136" s="205">
        <f t="shared" si="82"/>
        <v>78813.320328195405</v>
      </c>
      <c r="Q136" s="272">
        <f>L136/$P$260*$P$268</f>
        <v>78813.320328195405</v>
      </c>
      <c r="R136" s="439">
        <f t="shared" si="83"/>
        <v>0</v>
      </c>
    </row>
    <row r="137" spans="1:32" s="273" customFormat="1" x14ac:dyDescent="0.25">
      <c r="A137" s="350"/>
      <c r="B137" s="317"/>
      <c r="C137" s="318">
        <v>3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AR206/F137</f>
        <v>6588.8095238095229</v>
      </c>
      <c r="I137" s="74">
        <f>F137*H137</f>
        <v>26355.238095238092</v>
      </c>
      <c r="J137" s="74">
        <f>AT206/F137</f>
        <v>3442.5</v>
      </c>
      <c r="K137" s="74">
        <f t="shared" si="89"/>
        <v>13770</v>
      </c>
      <c r="L137" s="72">
        <f t="shared" si="90"/>
        <v>40125.238095238092</v>
      </c>
      <c r="M137" s="74">
        <f>H137/$P$260*$P$268</f>
        <v>9185.4827048608113</v>
      </c>
      <c r="N137" s="74">
        <f>J137/$P$260*$P$268</f>
        <v>4799.2014486405542</v>
      </c>
      <c r="O137" s="72">
        <f t="shared" si="81"/>
        <v>13984.684153501366</v>
      </c>
      <c r="P137" s="205">
        <f t="shared" si="82"/>
        <v>55938.736614005466</v>
      </c>
      <c r="Q137" s="272">
        <f>L137/$P$260*$P$268</f>
        <v>55938.736614005466</v>
      </c>
      <c r="R137" s="439">
        <f t="shared" si="83"/>
        <v>0</v>
      </c>
      <c r="T137" s="224"/>
      <c r="AD137" s="224"/>
      <c r="AF137" s="224"/>
    </row>
    <row r="138" spans="1:32" s="273" customFormat="1" x14ac:dyDescent="0.25">
      <c r="A138" s="350"/>
      <c r="B138" s="317"/>
      <c r="C138" s="318">
        <v>4</v>
      </c>
      <c r="D138" s="83" t="s">
        <v>337</v>
      </c>
      <c r="E138" s="242">
        <v>56</v>
      </c>
      <c r="F138" s="302">
        <v>58</v>
      </c>
      <c r="G138" s="77" t="s">
        <v>101</v>
      </c>
      <c r="H138" s="74">
        <v>185</v>
      </c>
      <c r="I138" s="74">
        <f>F138*H138</f>
        <v>10730</v>
      </c>
      <c r="J138" s="74">
        <v>185</v>
      </c>
      <c r="K138" s="74">
        <f t="shared" si="89"/>
        <v>10730</v>
      </c>
      <c r="L138" s="72">
        <f t="shared" si="90"/>
        <v>21460</v>
      </c>
      <c r="M138" s="74">
        <f>H138/$P$260*$P$268</f>
        <v>257.90915555512061</v>
      </c>
      <c r="N138" s="74">
        <f>J138/$P$260*$P$268</f>
        <v>257.90915555512061</v>
      </c>
      <c r="O138" s="72">
        <f t="shared" si="81"/>
        <v>515.81831111024121</v>
      </c>
      <c r="P138" s="205">
        <f t="shared" si="82"/>
        <v>29917.462044393989</v>
      </c>
      <c r="Q138" s="272">
        <f>L138/$P$260*$P$268</f>
        <v>29917.462044393986</v>
      </c>
      <c r="R138" s="439">
        <f t="shared" si="83"/>
        <v>0</v>
      </c>
      <c r="T138" s="224"/>
      <c r="AD138" s="224"/>
      <c r="AF138" s="224"/>
    </row>
    <row r="139" spans="1:32" s="273" customFormat="1" x14ac:dyDescent="0.25">
      <c r="A139" s="350"/>
      <c r="B139" s="724"/>
      <c r="C139" s="725"/>
      <c r="D139" s="83"/>
      <c r="E139" s="242"/>
      <c r="F139" s="302"/>
      <c r="G139" s="75"/>
      <c r="H139" s="74"/>
      <c r="I139" s="74"/>
      <c r="J139" s="74"/>
      <c r="K139" s="74"/>
      <c r="L139" s="74"/>
      <c r="M139" s="74"/>
      <c r="N139" s="74"/>
      <c r="O139" s="72"/>
      <c r="P139" s="205"/>
      <c r="Q139" s="272"/>
      <c r="R139" s="439"/>
    </row>
    <row r="140" spans="1:32" s="273" customFormat="1" x14ac:dyDescent="0.25">
      <c r="A140" s="350"/>
      <c r="B140" s="317"/>
      <c r="C140" s="318"/>
      <c r="D140" s="83"/>
      <c r="E140" s="242"/>
      <c r="F140" s="302"/>
      <c r="G140" s="77"/>
      <c r="H140" s="74"/>
      <c r="I140" s="74"/>
      <c r="J140" s="74"/>
      <c r="K140" s="74"/>
      <c r="L140" s="72"/>
      <c r="M140" s="74"/>
      <c r="N140" s="74"/>
      <c r="O140" s="72"/>
      <c r="P140" s="205"/>
      <c r="Q140" s="272"/>
      <c r="R140" s="439"/>
    </row>
    <row r="141" spans="1:32" s="224" customFormat="1" x14ac:dyDescent="0.25">
      <c r="A141" s="411"/>
      <c r="B141" s="412" t="s">
        <v>338</v>
      </c>
      <c r="C141" s="413" t="s">
        <v>131</v>
      </c>
      <c r="D141" s="82"/>
      <c r="E141" s="242"/>
      <c r="F141" s="302"/>
      <c r="G141" s="77"/>
      <c r="H141" s="74"/>
      <c r="I141" s="74"/>
      <c r="J141" s="74"/>
      <c r="K141" s="74"/>
      <c r="L141" s="72"/>
      <c r="M141" s="74"/>
      <c r="N141" s="74"/>
      <c r="O141" s="72"/>
      <c r="P141" s="205"/>
      <c r="Q141" s="272"/>
      <c r="R141" s="439"/>
      <c r="S141" s="273"/>
    </row>
    <row r="142" spans="1:32" s="224" customFormat="1" x14ac:dyDescent="0.25">
      <c r="A142" s="411"/>
      <c r="B142" s="412"/>
      <c r="C142" s="413">
        <v>1</v>
      </c>
      <c r="D142" s="83" t="s">
        <v>456</v>
      </c>
      <c r="E142" s="242">
        <v>1</v>
      </c>
      <c r="F142" s="302">
        <v>1</v>
      </c>
      <c r="G142" s="77" t="s">
        <v>55</v>
      </c>
      <c r="H142" s="74">
        <f>(23600+74200)*0.85/1.3889/1.07</f>
        <v>55937.496425262238</v>
      </c>
      <c r="I142" s="74">
        <f t="shared" ref="I142:I144" si="91">F142*H142</f>
        <v>55937.496425262238</v>
      </c>
      <c r="J142" s="74">
        <f>(23600+74200)*0.15/1.3889/1.07</f>
        <v>9871.3228985756905</v>
      </c>
      <c r="K142" s="74">
        <f t="shared" ref="K142:K144" si="92">F142*J142</f>
        <v>9871.3228985756905</v>
      </c>
      <c r="L142" s="72">
        <f t="shared" ref="L142:L144" si="93">I142+K142</f>
        <v>65808.819323837932</v>
      </c>
      <c r="M142" s="74">
        <f>H142/$P$260*$P$268</f>
        <v>77982.661983280865</v>
      </c>
      <c r="N142" s="74">
        <f>J142/$P$260*$P$268</f>
        <v>13761.646232343684</v>
      </c>
      <c r="O142" s="72">
        <f t="shared" si="81"/>
        <v>91744.308215624551</v>
      </c>
      <c r="P142" s="205">
        <f t="shared" si="82"/>
        <v>91744.308215624551</v>
      </c>
      <c r="Q142" s="272">
        <f>L142/$P$260*$P$268</f>
        <v>91744.308215624551</v>
      </c>
      <c r="R142" s="439">
        <f t="shared" si="83"/>
        <v>0</v>
      </c>
      <c r="S142" s="273"/>
    </row>
    <row r="143" spans="1:32" s="224" customFormat="1" x14ac:dyDescent="0.25">
      <c r="A143" s="350"/>
      <c r="B143" s="412"/>
      <c r="C143" s="413">
        <v>2</v>
      </c>
      <c r="D143" s="83" t="s">
        <v>457</v>
      </c>
      <c r="E143" s="242">
        <v>1</v>
      </c>
      <c r="F143" s="302">
        <v>1</v>
      </c>
      <c r="G143" s="77" t="s">
        <v>55</v>
      </c>
      <c r="H143" s="74">
        <f>(58600+74200)*0.85/1.3889/1.07</f>
        <v>75956.027865795753</v>
      </c>
      <c r="I143" s="74">
        <f t="shared" si="91"/>
        <v>75956.027865795753</v>
      </c>
      <c r="J143" s="74">
        <f>(58600+74200)*0.15/1.3889/1.07</f>
        <v>13404.00491749337</v>
      </c>
      <c r="K143" s="74">
        <f t="shared" si="92"/>
        <v>13404.00491749337</v>
      </c>
      <c r="L143" s="72">
        <f t="shared" si="93"/>
        <v>89360.03278328912</v>
      </c>
      <c r="M143" s="74">
        <f>H143/$P$260*$P$268</f>
        <v>105890.5676010194</v>
      </c>
      <c r="N143" s="74">
        <f>J143/$P$260*$P$268</f>
        <v>18686.570753121076</v>
      </c>
      <c r="O143" s="72">
        <f t="shared" si="81"/>
        <v>124577.13835414048</v>
      </c>
      <c r="P143" s="205">
        <f t="shared" si="82"/>
        <v>124577.13835414048</v>
      </c>
      <c r="Q143" s="272">
        <f>L143/$P$260*$P$268</f>
        <v>124577.13835414046</v>
      </c>
      <c r="R143" s="439">
        <f t="shared" si="83"/>
        <v>0</v>
      </c>
      <c r="S143" s="273"/>
      <c r="U143" s="225"/>
      <c r="V143" s="225"/>
    </row>
    <row r="144" spans="1:32" s="224" customFormat="1" x14ac:dyDescent="0.25">
      <c r="A144" s="411"/>
      <c r="B144" s="412"/>
      <c r="C144" s="413">
        <v>3</v>
      </c>
      <c r="D144" s="83" t="s">
        <v>418</v>
      </c>
      <c r="E144" s="242">
        <v>1</v>
      </c>
      <c r="F144" s="302">
        <v>1</v>
      </c>
      <c r="G144" s="77" t="s">
        <v>55</v>
      </c>
      <c r="H144" s="74">
        <f>5900*0.85/1.3889/1.03</f>
        <v>3505.6030231369796</v>
      </c>
      <c r="I144" s="74">
        <f t="shared" si="91"/>
        <v>3505.6030231369796</v>
      </c>
      <c r="J144" s="74">
        <f>5900*0.15/1.3889/1.03</f>
        <v>618.63582761240821</v>
      </c>
      <c r="K144" s="74">
        <f t="shared" si="92"/>
        <v>618.63582761240821</v>
      </c>
      <c r="L144" s="72">
        <f t="shared" si="93"/>
        <v>4124.2388507493879</v>
      </c>
      <c r="M144" s="74">
        <f>H144/$P$260*$P$268</f>
        <v>4887.1735968039793</v>
      </c>
      <c r="N144" s="74">
        <f>J144/$P$260*$P$268</f>
        <v>862.44239943599644</v>
      </c>
      <c r="O144" s="72">
        <f t="shared" si="81"/>
        <v>5749.6159962399761</v>
      </c>
      <c r="P144" s="205">
        <f t="shared" si="82"/>
        <v>5749.6159962399761</v>
      </c>
      <c r="Q144" s="272">
        <f>L144/$P$260*$P$268</f>
        <v>5749.6159962399761</v>
      </c>
      <c r="R144" s="439">
        <f t="shared" si="83"/>
        <v>0</v>
      </c>
      <c r="S144" s="273"/>
      <c r="U144" s="225"/>
      <c r="V144" s="225"/>
    </row>
    <row r="145" spans="1:39" s="224" customFormat="1" x14ac:dyDescent="0.25">
      <c r="A145" s="350"/>
      <c r="B145" s="718"/>
      <c r="C145" s="719"/>
      <c r="D145" s="82"/>
      <c r="E145" s="242"/>
      <c r="F145" s="302"/>
      <c r="G145" s="75"/>
      <c r="H145" s="74"/>
      <c r="I145" s="74"/>
      <c r="J145" s="74"/>
      <c r="K145" s="74"/>
      <c r="L145" s="74"/>
      <c r="M145" s="74"/>
      <c r="N145" s="74"/>
      <c r="O145" s="72"/>
      <c r="P145" s="205"/>
      <c r="Q145" s="272"/>
      <c r="R145" s="439"/>
      <c r="S145" s="273"/>
      <c r="U145" s="225"/>
      <c r="V145" s="225"/>
    </row>
    <row r="146" spans="1:39" s="273" customFormat="1" x14ac:dyDescent="0.25">
      <c r="A146" s="350"/>
      <c r="B146" s="412" t="s">
        <v>339</v>
      </c>
      <c r="C146" s="413" t="s">
        <v>340</v>
      </c>
      <c r="D146" s="83"/>
      <c r="E146" s="242"/>
      <c r="F146" s="302"/>
      <c r="G146" s="75"/>
      <c r="H146" s="74"/>
      <c r="I146" s="74"/>
      <c r="J146" s="74"/>
      <c r="K146" s="74"/>
      <c r="L146" s="74"/>
      <c r="M146" s="74"/>
      <c r="N146" s="74"/>
      <c r="O146" s="72"/>
      <c r="P146" s="205"/>
      <c r="Q146" s="272"/>
      <c r="R146" s="439"/>
      <c r="T146" s="224"/>
      <c r="AD146" s="224"/>
      <c r="AF146" s="224"/>
    </row>
    <row r="147" spans="1:39" s="273" customFormat="1" x14ac:dyDescent="0.25">
      <c r="A147" s="350"/>
      <c r="B147" s="317"/>
      <c r="C147" s="318">
        <v>1</v>
      </c>
      <c r="D147" s="83" t="s">
        <v>341</v>
      </c>
      <c r="E147" s="242">
        <v>1</v>
      </c>
      <c r="F147" s="302">
        <v>1</v>
      </c>
      <c r="G147" s="77" t="s">
        <v>55</v>
      </c>
      <c r="H147" s="74">
        <f>79415.5*0.7/1.085</f>
        <v>51235.806451612902</v>
      </c>
      <c r="I147" s="74">
        <f>F147*H147</f>
        <v>51235.806451612902</v>
      </c>
      <c r="J147" s="74">
        <f>79415.5*0.3/1.085</f>
        <v>21958.202764976959</v>
      </c>
      <c r="K147" s="74">
        <f t="shared" ref="K147:K149" si="94">F147*J147</f>
        <v>21958.202764976959</v>
      </c>
      <c r="L147" s="72">
        <f t="shared" ref="L147:L149" si="95">I147+K147</f>
        <v>73194.009216589853</v>
      </c>
      <c r="M147" s="74">
        <v>71351.765447542959</v>
      </c>
      <c r="N147" s="74">
        <v>30579.32804894698</v>
      </c>
      <c r="O147" s="72">
        <f t="shared" si="81"/>
        <v>101931.09349648994</v>
      </c>
      <c r="P147" s="205">
        <v>101931.09349648994</v>
      </c>
      <c r="Q147" s="272">
        <f>L147/$P$260*$P$268</f>
        <v>102040.0276148346</v>
      </c>
      <c r="R147" s="439">
        <f t="shared" si="83"/>
        <v>-108.93411834466679</v>
      </c>
      <c r="T147" s="224"/>
      <c r="V147" s="224"/>
      <c r="W147" s="225"/>
      <c r="X147" s="225"/>
      <c r="Y147" s="932" t="s">
        <v>366</v>
      </c>
      <c r="Z147" s="932"/>
      <c r="AA147" s="932"/>
      <c r="AB147" s="785"/>
      <c r="AC147" s="785"/>
      <c r="AD147" s="785"/>
      <c r="AE147" s="785"/>
      <c r="AF147" s="785"/>
      <c r="AG147" s="728"/>
      <c r="AH147" s="728"/>
    </row>
    <row r="148" spans="1:39" s="273" customFormat="1" x14ac:dyDescent="0.25">
      <c r="A148" s="350"/>
      <c r="B148" s="317"/>
      <c r="C148" s="318">
        <v>2</v>
      </c>
      <c r="D148" s="83" t="s">
        <v>342</v>
      </c>
      <c r="E148" s="242">
        <v>1</v>
      </c>
      <c r="F148" s="302">
        <v>1</v>
      </c>
      <c r="G148" s="77" t="s">
        <v>55</v>
      </c>
      <c r="H148" s="74">
        <f>120317.5*0.7/1.085</f>
        <v>77624.193548387106</v>
      </c>
      <c r="I148" s="74">
        <f>F148*H148</f>
        <v>77624.193548387106</v>
      </c>
      <c r="J148" s="74">
        <f>120317.5*0.3/1.085</f>
        <v>33267.511520737331</v>
      </c>
      <c r="K148" s="74">
        <f t="shared" si="94"/>
        <v>33267.511520737331</v>
      </c>
      <c r="L148" s="72">
        <f t="shared" si="95"/>
        <v>110891.70506912444</v>
      </c>
      <c r="M148" s="74">
        <v>108100.63576045922</v>
      </c>
      <c r="N148" s="74">
        <v>46328.843897339677</v>
      </c>
      <c r="O148" s="72">
        <f t="shared" si="81"/>
        <v>154429.47965779889</v>
      </c>
      <c r="P148" s="205">
        <v>154429.47965779889</v>
      </c>
      <c r="Q148" s="272">
        <f>L148/$P$260*$P$268</f>
        <v>154594.51898619116</v>
      </c>
      <c r="R148" s="439">
        <f t="shared" si="83"/>
        <v>-165.03932839227491</v>
      </c>
      <c r="T148" s="224"/>
      <c r="V148" s="224"/>
      <c r="W148" s="225"/>
      <c r="X148" s="225"/>
      <c r="Y148" s="354"/>
      <c r="Z148" s="354"/>
      <c r="AA148" s="354"/>
      <c r="AB148" s="785" t="s">
        <v>81</v>
      </c>
      <c r="AC148" s="785" t="s">
        <v>6</v>
      </c>
      <c r="AD148" s="785" t="s">
        <v>5</v>
      </c>
      <c r="AE148" s="785" t="s">
        <v>174</v>
      </c>
      <c r="AF148" s="785" t="s">
        <v>175</v>
      </c>
      <c r="AG148" s="728" t="s">
        <v>176</v>
      </c>
      <c r="AH148" s="728" t="s">
        <v>177</v>
      </c>
    </row>
    <row r="149" spans="1:39" s="273" customFormat="1" x14ac:dyDescent="0.25">
      <c r="A149" s="350"/>
      <c r="B149" s="317"/>
      <c r="C149" s="318">
        <v>3</v>
      </c>
      <c r="D149" s="83" t="s">
        <v>359</v>
      </c>
      <c r="E149" s="242">
        <v>6.3</v>
      </c>
      <c r="F149" s="302">
        <v>6.5</v>
      </c>
      <c r="G149" s="77" t="s">
        <v>100</v>
      </c>
      <c r="H149" s="74">
        <f>(AE214*2+AE232*3)/F149/1.085</f>
        <v>2993.8319744771361</v>
      </c>
      <c r="I149" s="74">
        <f>F149*H149</f>
        <v>19459.907834101385</v>
      </c>
      <c r="J149" s="74">
        <f>(AE221*2+AE239*3)/F149/1.085</f>
        <v>2819.5675292449487</v>
      </c>
      <c r="K149" s="74">
        <f t="shared" si="94"/>
        <v>18327.188940092165</v>
      </c>
      <c r="L149" s="72">
        <f t="shared" si="95"/>
        <v>37787.096774193546</v>
      </c>
      <c r="M149" s="74">
        <v>4248.6704670076906</v>
      </c>
      <c r="N149" s="74">
        <v>4001.3646034123294</v>
      </c>
      <c r="O149" s="72">
        <f t="shared" si="81"/>
        <v>8250.0350704200209</v>
      </c>
      <c r="P149" s="205">
        <v>53625.227957730138</v>
      </c>
      <c r="Q149" s="272">
        <f>L149/$P$260*$P$268</f>
        <v>52679.125513037179</v>
      </c>
      <c r="R149" s="439">
        <f t="shared" si="83"/>
        <v>946.10244469295867</v>
      </c>
      <c r="T149" s="224"/>
      <c r="V149" s="224"/>
      <c r="W149" s="225"/>
      <c r="X149" s="225"/>
      <c r="Y149" s="931" t="s">
        <v>367</v>
      </c>
      <c r="Z149" s="931"/>
      <c r="AA149" s="931"/>
      <c r="AB149" s="729">
        <f>5.925*5.9</f>
        <v>34.957500000000003</v>
      </c>
      <c r="AC149" s="784">
        <v>35</v>
      </c>
      <c r="AD149" s="784" t="s">
        <v>101</v>
      </c>
      <c r="AE149" s="730">
        <f>4500/1.12</f>
        <v>4017.8571428571427</v>
      </c>
      <c r="AF149" s="730">
        <f>AE149*AC149</f>
        <v>140625</v>
      </c>
      <c r="AG149" s="731">
        <v>375</v>
      </c>
      <c r="AH149" s="731">
        <f>AG149*AC149</f>
        <v>13125</v>
      </c>
    </row>
    <row r="150" spans="1:39" s="273" customFormat="1" ht="15.75" thickBot="1" x14ac:dyDescent="0.3">
      <c r="A150" s="350"/>
      <c r="B150" s="724"/>
      <c r="C150" s="725"/>
      <c r="D150" s="83"/>
      <c r="E150" s="242"/>
      <c r="F150" s="302"/>
      <c r="G150" s="75"/>
      <c r="H150" s="74"/>
      <c r="I150" s="74"/>
      <c r="J150" s="74"/>
      <c r="K150" s="74"/>
      <c r="L150" s="74"/>
      <c r="M150" s="72"/>
      <c r="N150" s="72"/>
      <c r="O150" s="72"/>
      <c r="P150" s="205"/>
      <c r="Q150" s="272">
        <f>L150/$P$260*$P$268</f>
        <v>0</v>
      </c>
      <c r="R150" s="439"/>
      <c r="T150" s="224"/>
      <c r="V150" s="224"/>
      <c r="W150" s="225"/>
      <c r="X150" s="225"/>
      <c r="Y150" s="931" t="s">
        <v>368</v>
      </c>
      <c r="Z150" s="931"/>
      <c r="AA150" s="931"/>
      <c r="AB150" s="784">
        <f>2*3.5</f>
        <v>7</v>
      </c>
      <c r="AC150" s="784">
        <v>12</v>
      </c>
      <c r="AD150" s="784" t="s">
        <v>100</v>
      </c>
      <c r="AE150" s="730">
        <f>7.4*50</f>
        <v>370</v>
      </c>
      <c r="AF150" s="730">
        <f>AE150*AC150</f>
        <v>4440</v>
      </c>
      <c r="AG150" s="731">
        <v>85</v>
      </c>
      <c r="AH150" s="731">
        <f>AG150*AC150</f>
        <v>1020</v>
      </c>
    </row>
    <row r="151" spans="1:39" s="234" customFormat="1" ht="15.75" thickBot="1" x14ac:dyDescent="0.3">
      <c r="A151" s="308"/>
      <c r="B151" s="910" t="s">
        <v>343</v>
      </c>
      <c r="C151" s="911"/>
      <c r="D151" s="912"/>
      <c r="E151" s="309"/>
      <c r="F151" s="310"/>
      <c r="G151" s="311"/>
      <c r="H151" s="312"/>
      <c r="I151" s="313">
        <f>SUM(I36:I150)</f>
        <v>2487948.7756907949</v>
      </c>
      <c r="J151" s="312"/>
      <c r="K151" s="313">
        <f>SUM(K36:K150)</f>
        <v>982998.40316167474</v>
      </c>
      <c r="L151" s="313">
        <f>SUM(L36:L150)</f>
        <v>3470947.1788524701</v>
      </c>
      <c r="M151" s="312"/>
      <c r="N151" s="312"/>
      <c r="O151" s="313"/>
      <c r="P151" s="315">
        <f>SUM(P36:P150)</f>
        <v>4839531.8904804904</v>
      </c>
      <c r="Q151" s="272">
        <f>L151/$P$260*$P$268</f>
        <v>4838859.7614825331</v>
      </c>
      <c r="R151" s="439">
        <f t="shared" ref="R151" si="96">P151-Q151</f>
        <v>672.12899795733392</v>
      </c>
      <c r="T151" s="211"/>
      <c r="V151" s="224"/>
      <c r="W151" s="225"/>
      <c r="X151" s="225"/>
      <c r="Y151" s="899" t="s">
        <v>369</v>
      </c>
      <c r="Z151" s="899"/>
      <c r="AA151" s="899"/>
      <c r="AB151" s="778">
        <v>11.8</v>
      </c>
      <c r="AC151" s="778">
        <v>12</v>
      </c>
      <c r="AD151" s="778" t="s">
        <v>100</v>
      </c>
      <c r="AE151" s="360">
        <f>47.1*36/1.12</f>
        <v>1513.9285714285713</v>
      </c>
      <c r="AF151" s="360">
        <f>AE151*AC151</f>
        <v>18167.142857142855</v>
      </c>
      <c r="AG151" s="362">
        <v>200</v>
      </c>
      <c r="AH151" s="362">
        <f>AG151*AC151</f>
        <v>2400</v>
      </c>
      <c r="AI151" s="277"/>
      <c r="AJ151" s="277"/>
      <c r="AK151" s="278"/>
      <c r="AL151" s="225"/>
      <c r="AM151" s="282"/>
    </row>
    <row r="152" spans="1:39" s="225" customFormat="1" ht="15.75" x14ac:dyDescent="0.25">
      <c r="A152" s="517" t="s">
        <v>86</v>
      </c>
      <c r="B152" s="513" t="s">
        <v>344</v>
      </c>
      <c r="C152" s="514"/>
      <c r="D152" s="515"/>
      <c r="E152" s="709"/>
      <c r="F152" s="710"/>
      <c r="G152" s="711"/>
      <c r="H152" s="256"/>
      <c r="I152" s="256"/>
      <c r="J152" s="256"/>
      <c r="K152" s="256"/>
      <c r="L152" s="256"/>
      <c r="M152" s="256"/>
      <c r="N152" s="256"/>
      <c r="O152" s="256"/>
      <c r="P152" s="257"/>
      <c r="Q152" s="272"/>
      <c r="R152" s="439"/>
      <c r="T152" s="224"/>
      <c r="V152" s="224"/>
      <c r="Y152" s="931" t="s">
        <v>370</v>
      </c>
      <c r="Z152" s="931"/>
      <c r="AA152" s="931"/>
      <c r="AB152" s="363">
        <f>(5.825*7)+(5.9*2)</f>
        <v>52.575000000000003</v>
      </c>
      <c r="AC152" s="784">
        <v>54</v>
      </c>
      <c r="AD152" s="784" t="s">
        <v>100</v>
      </c>
      <c r="AE152" s="730">
        <f>33*36/1.12</f>
        <v>1060.7142857142856</v>
      </c>
      <c r="AF152" s="730">
        <f>AE152*AC152</f>
        <v>57278.57142857142</v>
      </c>
      <c r="AG152" s="731">
        <v>130</v>
      </c>
      <c r="AH152" s="731">
        <f>AG152*AC152</f>
        <v>7020</v>
      </c>
      <c r="AI152" s="286"/>
      <c r="AJ152" s="286"/>
      <c r="AK152" s="127"/>
      <c r="AL152" s="285"/>
    </row>
    <row r="153" spans="1:39" s="224" customFormat="1" x14ac:dyDescent="0.25">
      <c r="A153" s="350"/>
      <c r="B153" s="412" t="s">
        <v>319</v>
      </c>
      <c r="C153" s="413" t="s">
        <v>132</v>
      </c>
      <c r="D153" s="316"/>
      <c r="E153" s="244"/>
      <c r="F153" s="302"/>
      <c r="G153" s="75"/>
      <c r="H153" s="74"/>
      <c r="I153" s="74"/>
      <c r="J153" s="74"/>
      <c r="K153" s="74"/>
      <c r="L153" s="74"/>
      <c r="M153" s="72"/>
      <c r="N153" s="72"/>
      <c r="O153" s="72"/>
      <c r="P153" s="205"/>
      <c r="Q153" s="272"/>
      <c r="R153" s="439"/>
      <c r="S153" s="273"/>
      <c r="W153" s="225"/>
      <c r="X153" s="225"/>
      <c r="Y153" s="931" t="s">
        <v>371</v>
      </c>
      <c r="Z153" s="931"/>
      <c r="AA153" s="931"/>
      <c r="AB153" s="363">
        <f>(5.825*1)</f>
        <v>5.8250000000000002</v>
      </c>
      <c r="AC153" s="784">
        <v>6</v>
      </c>
      <c r="AD153" s="784" t="s">
        <v>100</v>
      </c>
      <c r="AE153" s="730">
        <f>9.42*36/1.075</f>
        <v>315.46046511627907</v>
      </c>
      <c r="AF153" s="730">
        <f>AE153*AC153</f>
        <v>1892.7627906976745</v>
      </c>
      <c r="AG153" s="731">
        <v>35</v>
      </c>
      <c r="AH153" s="731">
        <f>AG153*AC153</f>
        <v>210</v>
      </c>
    </row>
    <row r="154" spans="1:39" s="224" customFormat="1" x14ac:dyDescent="0.25">
      <c r="A154" s="350"/>
      <c r="B154" s="317"/>
      <c r="C154" s="318">
        <v>1</v>
      </c>
      <c r="D154" s="83" t="s">
        <v>419</v>
      </c>
      <c r="E154" s="242">
        <f>61+1+5</f>
        <v>67</v>
      </c>
      <c r="F154" s="242">
        <f>61+1+5</f>
        <v>67</v>
      </c>
      <c r="G154" s="77" t="s">
        <v>283</v>
      </c>
      <c r="H154" s="74">
        <f>360/1.05</f>
        <v>342.85714285714283</v>
      </c>
      <c r="I154" s="74">
        <f>F154*H154</f>
        <v>22971.428571428569</v>
      </c>
      <c r="J154" s="74">
        <v>130</v>
      </c>
      <c r="K154" s="74">
        <f t="shared" ref="K154:K157" si="97">F154*J154</f>
        <v>8710</v>
      </c>
      <c r="L154" s="72">
        <f t="shared" ref="L154:L157" si="98">I154+K154</f>
        <v>31681.428571428569</v>
      </c>
      <c r="M154" s="74">
        <f>H154/$P$260*$P$268</f>
        <v>477.97835778555162</v>
      </c>
      <c r="N154" s="74">
        <f>J154/$P$260*$P$268</f>
        <v>181.23346066035498</v>
      </c>
      <c r="O154" s="72">
        <f t="shared" ref="O154:O211" si="99">N154+M154</f>
        <v>659.2118184459066</v>
      </c>
      <c r="P154" s="205">
        <f t="shared" ref="P154:P211" si="100">O154*F154</f>
        <v>44167.191835875739</v>
      </c>
      <c r="Q154" s="272">
        <f>L154/$P$260*$P$268</f>
        <v>44167.191835875739</v>
      </c>
      <c r="R154" s="439">
        <f t="shared" ref="R154:R211" si="101">P154-Q154</f>
        <v>0</v>
      </c>
      <c r="S154" s="273"/>
      <c r="T154" s="74">
        <f>360/1.05</f>
        <v>342.85714285714283</v>
      </c>
      <c r="V154" s="931" t="s">
        <v>372</v>
      </c>
      <c r="W154" s="931"/>
      <c r="X154" s="931"/>
      <c r="Y154" s="931"/>
      <c r="Z154" s="931"/>
      <c r="AA154" s="931"/>
      <c r="AB154" s="729">
        <f>7*5.925</f>
        <v>41.475000000000001</v>
      </c>
      <c r="AC154" s="784">
        <v>42</v>
      </c>
      <c r="AD154" s="732" t="s">
        <v>100</v>
      </c>
      <c r="AE154" s="730">
        <f>4.7*70/1.12</f>
        <v>293.75</v>
      </c>
      <c r="AF154" s="730">
        <f t="shared" ref="AF154:AF157" si="102">AE154*AC154</f>
        <v>12337.5</v>
      </c>
      <c r="AG154" s="731">
        <v>60</v>
      </c>
      <c r="AH154" s="731">
        <f t="shared" ref="AH154:AH157" si="103">AG154*AC154</f>
        <v>2520</v>
      </c>
    </row>
    <row r="155" spans="1:39" s="224" customFormat="1" x14ac:dyDescent="0.25">
      <c r="A155" s="350"/>
      <c r="B155" s="317"/>
      <c r="C155" s="318">
        <v>2</v>
      </c>
      <c r="D155" s="83" t="s">
        <v>134</v>
      </c>
      <c r="E155" s="242">
        <v>88</v>
      </c>
      <c r="F155" s="242">
        <v>88</v>
      </c>
      <c r="G155" s="77" t="s">
        <v>283</v>
      </c>
      <c r="H155" s="74">
        <f>837/1.05</f>
        <v>797.14285714285711</v>
      </c>
      <c r="I155" s="74">
        <f>F155*H155</f>
        <v>70148.57142857142</v>
      </c>
      <c r="J155" s="74">
        <f>J154</f>
        <v>130</v>
      </c>
      <c r="K155" s="74">
        <f t="shared" si="97"/>
        <v>11440</v>
      </c>
      <c r="L155" s="72">
        <f t="shared" si="98"/>
        <v>81588.57142857142</v>
      </c>
      <c r="M155" s="74">
        <f>H155/$P$260*$P$268</f>
        <v>1111.2996818514075</v>
      </c>
      <c r="N155" s="74">
        <f>J155/$P$260*$P$268</f>
        <v>181.23346066035498</v>
      </c>
      <c r="O155" s="72">
        <f t="shared" si="99"/>
        <v>1292.5331425117624</v>
      </c>
      <c r="P155" s="205">
        <f t="shared" si="100"/>
        <v>113742.9165410351</v>
      </c>
      <c r="Q155" s="272">
        <f>L155/$P$260*$P$268</f>
        <v>113742.91654103508</v>
      </c>
      <c r="R155" s="439">
        <f t="shared" si="101"/>
        <v>0</v>
      </c>
      <c r="S155" s="273"/>
      <c r="T155" s="74">
        <f>837/1.05</f>
        <v>797.14285714285711</v>
      </c>
      <c r="W155" s="225"/>
      <c r="X155" s="225"/>
      <c r="Y155" s="931" t="s">
        <v>373</v>
      </c>
      <c r="Z155" s="931"/>
      <c r="AA155" s="931"/>
      <c r="AB155" s="729">
        <v>5.83</v>
      </c>
      <c r="AC155" s="784">
        <v>6</v>
      </c>
      <c r="AD155" s="732" t="s">
        <v>100</v>
      </c>
      <c r="AE155" s="730">
        <f>600/1.05</f>
        <v>571.42857142857144</v>
      </c>
      <c r="AF155" s="730">
        <f t="shared" si="102"/>
        <v>3428.5714285714284</v>
      </c>
      <c r="AG155" s="731">
        <v>150</v>
      </c>
      <c r="AH155" s="731">
        <f t="shared" si="103"/>
        <v>900</v>
      </c>
    </row>
    <row r="156" spans="1:39" s="224" customFormat="1" x14ac:dyDescent="0.25">
      <c r="A156" s="350"/>
      <c r="B156" s="317"/>
      <c r="C156" s="318">
        <v>3</v>
      </c>
      <c r="D156" s="83" t="s">
        <v>135</v>
      </c>
      <c r="E156" s="242">
        <f>3+1</f>
        <v>4</v>
      </c>
      <c r="F156" s="242">
        <f>3+1</f>
        <v>4</v>
      </c>
      <c r="G156" s="77" t="s">
        <v>283</v>
      </c>
      <c r="H156" s="74">
        <f>260/1.05</f>
        <v>247.61904761904762</v>
      </c>
      <c r="I156" s="74">
        <f>F156*H156</f>
        <v>990.47619047619048</v>
      </c>
      <c r="J156" s="74">
        <f>J154</f>
        <v>130</v>
      </c>
      <c r="K156" s="74">
        <f t="shared" si="97"/>
        <v>520</v>
      </c>
      <c r="L156" s="72">
        <f t="shared" si="98"/>
        <v>1510.4761904761904</v>
      </c>
      <c r="M156" s="74">
        <f>H156/$P$260*$P$268</f>
        <v>345.20659173400952</v>
      </c>
      <c r="N156" s="74">
        <f>J156/$P$260*$P$268</f>
        <v>181.23346066035498</v>
      </c>
      <c r="O156" s="72">
        <f t="shared" si="99"/>
        <v>526.44005239436456</v>
      </c>
      <c r="P156" s="205">
        <f t="shared" si="100"/>
        <v>2105.7602095774582</v>
      </c>
      <c r="Q156" s="272">
        <f>L156/$P$260*$P$268</f>
        <v>2105.7602095774578</v>
      </c>
      <c r="R156" s="439">
        <f t="shared" si="101"/>
        <v>0</v>
      </c>
      <c r="S156" s="273"/>
      <c r="T156" s="74">
        <f>260/1.05</f>
        <v>247.61904761904762</v>
      </c>
      <c r="U156" s="273"/>
      <c r="W156" s="225"/>
      <c r="X156" s="225"/>
      <c r="Y156" s="931" t="s">
        <v>374</v>
      </c>
      <c r="Z156" s="931"/>
      <c r="AA156" s="931"/>
      <c r="AB156" s="729">
        <v>2</v>
      </c>
      <c r="AC156" s="784">
        <v>2</v>
      </c>
      <c r="AD156" s="732" t="s">
        <v>283</v>
      </c>
      <c r="AE156" s="730">
        <f>14.13*60</f>
        <v>847.80000000000007</v>
      </c>
      <c r="AF156" s="730">
        <f t="shared" si="102"/>
        <v>1695.6000000000001</v>
      </c>
      <c r="AG156" s="731">
        <v>151</v>
      </c>
      <c r="AH156" s="731">
        <f t="shared" si="103"/>
        <v>302</v>
      </c>
    </row>
    <row r="157" spans="1:39" s="224" customFormat="1" x14ac:dyDescent="0.25">
      <c r="A157" s="350"/>
      <c r="B157" s="317"/>
      <c r="C157" s="318">
        <v>4</v>
      </c>
      <c r="D157" s="83" t="s">
        <v>136</v>
      </c>
      <c r="E157" s="242">
        <v>18</v>
      </c>
      <c r="F157" s="242">
        <v>18</v>
      </c>
      <c r="G157" s="77" t="s">
        <v>283</v>
      </c>
      <c r="H157" s="74">
        <f>1980/1.05</f>
        <v>1885.7142857142856</v>
      </c>
      <c r="I157" s="74">
        <f>F157*H157</f>
        <v>33942.857142857138</v>
      </c>
      <c r="J157" s="74">
        <v>210</v>
      </c>
      <c r="K157" s="74">
        <f t="shared" si="97"/>
        <v>3780</v>
      </c>
      <c r="L157" s="72">
        <f t="shared" si="98"/>
        <v>37722.857142857138</v>
      </c>
      <c r="M157" s="74">
        <f>H157/$P$260*$P$268</f>
        <v>2628.8809678205339</v>
      </c>
      <c r="N157" s="74">
        <f>J157/$P$260*$P$268</f>
        <v>292.76174414365039</v>
      </c>
      <c r="O157" s="72">
        <f t="shared" si="99"/>
        <v>2921.6427119641844</v>
      </c>
      <c r="P157" s="205">
        <f t="shared" si="100"/>
        <v>52589.56881535532</v>
      </c>
      <c r="Q157" s="272">
        <f>L157/$P$260*$P$268</f>
        <v>52589.568815355313</v>
      </c>
      <c r="R157" s="439">
        <f t="shared" si="101"/>
        <v>0</v>
      </c>
      <c r="S157" s="273"/>
      <c r="T157" s="74">
        <f>1980/1.05</f>
        <v>1885.7142857142856</v>
      </c>
      <c r="U157" s="273"/>
      <c r="W157" s="225"/>
      <c r="X157" s="225"/>
      <c r="Y157" s="931" t="s">
        <v>375</v>
      </c>
      <c r="Z157" s="931"/>
      <c r="AA157" s="931"/>
      <c r="AB157" s="729">
        <v>2</v>
      </c>
      <c r="AC157" s="784">
        <v>2</v>
      </c>
      <c r="AD157" s="732" t="s">
        <v>283</v>
      </c>
      <c r="AE157" s="730">
        <f>24.72*60</f>
        <v>1483.1999999999998</v>
      </c>
      <c r="AF157" s="730">
        <f t="shared" si="102"/>
        <v>2966.3999999999996</v>
      </c>
      <c r="AG157" s="731">
        <v>152</v>
      </c>
      <c r="AH157" s="731">
        <f t="shared" si="103"/>
        <v>304</v>
      </c>
    </row>
    <row r="158" spans="1:39" s="224" customFormat="1" x14ac:dyDescent="0.25">
      <c r="A158" s="350"/>
      <c r="B158" s="319"/>
      <c r="C158" s="318"/>
      <c r="D158" s="83" t="s">
        <v>137</v>
      </c>
      <c r="E158" s="242"/>
      <c r="F158" s="242"/>
      <c r="G158" s="75"/>
      <c r="H158" s="74"/>
      <c r="I158" s="74"/>
      <c r="J158" s="74"/>
      <c r="K158" s="74"/>
      <c r="L158" s="74"/>
      <c r="M158" s="74"/>
      <c r="N158" s="74"/>
      <c r="O158" s="72"/>
      <c r="P158" s="205"/>
      <c r="Q158" s="272"/>
      <c r="R158" s="439"/>
      <c r="S158" s="273"/>
      <c r="T158" s="74"/>
      <c r="U158" s="273"/>
      <c r="W158" s="225"/>
      <c r="X158" s="225"/>
      <c r="Y158" s="931" t="s">
        <v>370</v>
      </c>
      <c r="Z158" s="931"/>
      <c r="AA158" s="931"/>
      <c r="AB158" s="363">
        <f>(5.825*7)+(5.9*2)</f>
        <v>52.575000000000003</v>
      </c>
      <c r="AC158" s="784">
        <v>54</v>
      </c>
      <c r="AD158" s="784" t="s">
        <v>100</v>
      </c>
      <c r="AE158" s="730">
        <f>33*36/1.12</f>
        <v>1060.7142857142856</v>
      </c>
      <c r="AF158" s="730">
        <f>AE158*AC158</f>
        <v>57278.57142857142</v>
      </c>
      <c r="AG158" s="731">
        <v>130</v>
      </c>
      <c r="AH158" s="731">
        <f>AG158*AC158</f>
        <v>7020</v>
      </c>
    </row>
    <row r="159" spans="1:39" s="224" customFormat="1" x14ac:dyDescent="0.25">
      <c r="A159" s="350"/>
      <c r="B159" s="317"/>
      <c r="C159" s="318">
        <v>5</v>
      </c>
      <c r="D159" s="83" t="s">
        <v>138</v>
      </c>
      <c r="E159" s="242">
        <v>3</v>
      </c>
      <c r="F159" s="242">
        <v>3</v>
      </c>
      <c r="G159" s="77" t="s">
        <v>283</v>
      </c>
      <c r="H159" s="74">
        <f>1620/1.05</f>
        <v>1542.8571428571429</v>
      </c>
      <c r="I159" s="74">
        <f>F159*H159</f>
        <v>4628.5714285714284</v>
      </c>
      <c r="J159" s="74">
        <v>210</v>
      </c>
      <c r="K159" s="74">
        <f t="shared" ref="K159:K160" si="104">F159*J159</f>
        <v>630</v>
      </c>
      <c r="L159" s="72">
        <f t="shared" ref="L159:L160" si="105">I159+K159</f>
        <v>5258.5714285714284</v>
      </c>
      <c r="M159" s="74">
        <f>H159/$P$260*$P$268</f>
        <v>2150.9026100349824</v>
      </c>
      <c r="N159" s="74">
        <f>J159/$P$260*$P$268</f>
        <v>292.76174414365039</v>
      </c>
      <c r="O159" s="72">
        <f t="shared" si="99"/>
        <v>2443.6643541786329</v>
      </c>
      <c r="P159" s="205">
        <f t="shared" si="100"/>
        <v>7330.9930625358993</v>
      </c>
      <c r="Q159" s="272">
        <f>L159/$P$260*$P$268</f>
        <v>7330.9930625358975</v>
      </c>
      <c r="R159" s="439">
        <f t="shared" si="101"/>
        <v>0</v>
      </c>
      <c r="S159" s="273"/>
      <c r="T159" s="74">
        <f>1620/1.05</f>
        <v>1542.8571428571429</v>
      </c>
      <c r="U159" s="273"/>
      <c r="W159" s="273"/>
      <c r="X159" s="273"/>
      <c r="Y159" s="931" t="s">
        <v>376</v>
      </c>
      <c r="Z159" s="931"/>
      <c r="AA159" s="931"/>
      <c r="AB159" s="729">
        <f>4*4</f>
        <v>16</v>
      </c>
      <c r="AC159" s="784">
        <v>16</v>
      </c>
      <c r="AD159" s="732" t="s">
        <v>283</v>
      </c>
      <c r="AE159" s="730">
        <v>160</v>
      </c>
      <c r="AF159" s="730">
        <f>AE159*AC159</f>
        <v>2560</v>
      </c>
      <c r="AG159" s="731">
        <v>35</v>
      </c>
      <c r="AH159" s="731">
        <f>AG159*AC159</f>
        <v>560</v>
      </c>
    </row>
    <row r="160" spans="1:39" s="224" customFormat="1" x14ac:dyDescent="0.25">
      <c r="A160" s="350"/>
      <c r="B160" s="412"/>
      <c r="C160" s="318">
        <v>6</v>
      </c>
      <c r="D160" s="83" t="s">
        <v>139</v>
      </c>
      <c r="E160" s="242">
        <v>44</v>
      </c>
      <c r="F160" s="242">
        <v>44</v>
      </c>
      <c r="G160" s="77" t="s">
        <v>283</v>
      </c>
      <c r="H160" s="74">
        <f>3500/1.05</f>
        <v>3333.333333333333</v>
      </c>
      <c r="I160" s="74">
        <f>F160*H160</f>
        <v>146666.66666666666</v>
      </c>
      <c r="J160" s="74">
        <v>210</v>
      </c>
      <c r="K160" s="74">
        <f t="shared" si="104"/>
        <v>9240</v>
      </c>
      <c r="L160" s="72">
        <f t="shared" si="105"/>
        <v>155906.66666666666</v>
      </c>
      <c r="M160" s="74">
        <f>H160/$P$260*$P$268</f>
        <v>4647.0118118039736</v>
      </c>
      <c r="N160" s="74">
        <f>J160/$P$260*$P$268</f>
        <v>292.76174414365039</v>
      </c>
      <c r="O160" s="72">
        <f t="shared" si="99"/>
        <v>4939.7735559476241</v>
      </c>
      <c r="P160" s="205">
        <f t="shared" si="100"/>
        <v>217350.03646169545</v>
      </c>
      <c r="Q160" s="272">
        <f>L160/$P$260*$P$268</f>
        <v>217350.03646169548</v>
      </c>
      <c r="R160" s="439">
        <f t="shared" si="101"/>
        <v>0</v>
      </c>
      <c r="S160" s="273"/>
      <c r="T160" s="74">
        <f>3500/1.05</f>
        <v>3333.333333333333</v>
      </c>
      <c r="W160" s="273"/>
      <c r="X160" s="273"/>
      <c r="Y160" s="931" t="s">
        <v>377</v>
      </c>
      <c r="Z160" s="931"/>
      <c r="AA160" s="931"/>
      <c r="AB160" s="729">
        <v>58</v>
      </c>
      <c r="AC160" s="784">
        <v>60</v>
      </c>
      <c r="AD160" s="732" t="s">
        <v>101</v>
      </c>
      <c r="AE160" s="730">
        <v>65</v>
      </c>
      <c r="AF160" s="730">
        <f>AE160*AC160</f>
        <v>3900</v>
      </c>
      <c r="AG160" s="731">
        <v>65</v>
      </c>
      <c r="AH160" s="731">
        <f>AG160*AC160</f>
        <v>3900</v>
      </c>
    </row>
    <row r="161" spans="1:47" s="224" customFormat="1" x14ac:dyDescent="0.25">
      <c r="A161" s="350"/>
      <c r="B161" s="317"/>
      <c r="C161" s="318"/>
      <c r="D161" s="83" t="s">
        <v>140</v>
      </c>
      <c r="E161" s="242"/>
      <c r="F161" s="242"/>
      <c r="G161" s="75"/>
      <c r="H161" s="74"/>
      <c r="I161" s="74"/>
      <c r="J161" s="74"/>
      <c r="K161" s="74"/>
      <c r="L161" s="72"/>
      <c r="M161" s="74"/>
      <c r="N161" s="74"/>
      <c r="O161" s="72"/>
      <c r="P161" s="205"/>
      <c r="Q161" s="272"/>
      <c r="R161" s="439"/>
      <c r="S161" s="273"/>
      <c r="T161" s="74"/>
      <c r="V161" s="784"/>
      <c r="W161" s="784"/>
      <c r="X161" s="784"/>
      <c r="Y161" s="931" t="s">
        <v>378</v>
      </c>
      <c r="Z161" s="931"/>
      <c r="AA161" s="931"/>
      <c r="AB161" s="784">
        <v>1</v>
      </c>
      <c r="AC161" s="784">
        <v>1</v>
      </c>
      <c r="AD161" s="784" t="s">
        <v>301</v>
      </c>
      <c r="AE161" s="730">
        <v>2000</v>
      </c>
      <c r="AF161" s="730">
        <f>AE161*AC161</f>
        <v>2000</v>
      </c>
      <c r="AG161" s="731">
        <v>500</v>
      </c>
      <c r="AH161" s="731">
        <f>AG161*AC161</f>
        <v>500</v>
      </c>
    </row>
    <row r="162" spans="1:47" s="224" customFormat="1" x14ac:dyDescent="0.25">
      <c r="A162" s="350"/>
      <c r="B162" s="317"/>
      <c r="C162" s="318">
        <v>7</v>
      </c>
      <c r="D162" s="83" t="s">
        <v>412</v>
      </c>
      <c r="E162" s="242">
        <v>25</v>
      </c>
      <c r="F162" s="302">
        <v>25</v>
      </c>
      <c r="G162" s="77" t="s">
        <v>283</v>
      </c>
      <c r="H162" s="74">
        <f>3100/1.05</f>
        <v>2952.3809523809523</v>
      </c>
      <c r="I162" s="74">
        <f>F162*H162</f>
        <v>73809.523809523802</v>
      </c>
      <c r="J162" s="74">
        <v>210</v>
      </c>
      <c r="K162" s="74">
        <f t="shared" ref="K162:K175" si="106">F162*J162</f>
        <v>5250</v>
      </c>
      <c r="L162" s="72">
        <f t="shared" ref="L162:L175" si="107">I162+K162</f>
        <v>79059.523809523802</v>
      </c>
      <c r="M162" s="74">
        <f>H162/$P$260*$P$268</f>
        <v>4115.9247475978054</v>
      </c>
      <c r="N162" s="74">
        <f>J162/$P$260*$P$268</f>
        <v>292.76174414365039</v>
      </c>
      <c r="O162" s="72">
        <f t="shared" si="99"/>
        <v>4408.6864917414559</v>
      </c>
      <c r="P162" s="205">
        <f t="shared" si="100"/>
        <v>110217.1622935364</v>
      </c>
      <c r="Q162" s="272">
        <f>L162/$P$260*$P$268</f>
        <v>110217.1622935364</v>
      </c>
      <c r="R162" s="439">
        <f t="shared" si="101"/>
        <v>0</v>
      </c>
      <c r="S162" s="273"/>
      <c r="T162" s="74">
        <f>3100/1.05</f>
        <v>2952.3809523809523</v>
      </c>
      <c r="W162" s="225"/>
      <c r="X162" s="225"/>
      <c r="Y162" s="931" t="s">
        <v>379</v>
      </c>
      <c r="Z162" s="931"/>
      <c r="AA162" s="931"/>
      <c r="AB162" s="784">
        <v>1</v>
      </c>
      <c r="AC162" s="784">
        <v>1</v>
      </c>
      <c r="AD162" s="784" t="s">
        <v>301</v>
      </c>
      <c r="AE162" s="730">
        <v>2000</v>
      </c>
      <c r="AF162" s="730">
        <f>AE162*AC162</f>
        <v>2000</v>
      </c>
      <c r="AG162" s="731">
        <v>1000</v>
      </c>
      <c r="AH162" s="731">
        <f>AG162*AC162</f>
        <v>1000</v>
      </c>
      <c r="AL162" s="904" t="s">
        <v>350</v>
      </c>
      <c r="AM162" s="904"/>
      <c r="AN162" s="904"/>
      <c r="AO162" s="771" t="s">
        <v>243</v>
      </c>
      <c r="AP162" s="771" t="s">
        <v>244</v>
      </c>
      <c r="AQ162" s="771" t="s">
        <v>245</v>
      </c>
      <c r="AR162" s="123" t="s">
        <v>246</v>
      </c>
      <c r="AS162" s="196" t="s">
        <v>247</v>
      </c>
      <c r="AT162" s="771" t="s">
        <v>248</v>
      </c>
      <c r="AU162" s="212" t="s">
        <v>249</v>
      </c>
    </row>
    <row r="163" spans="1:47" s="224" customFormat="1" x14ac:dyDescent="0.25">
      <c r="A163" s="350"/>
      <c r="B163" s="317"/>
      <c r="C163" s="318">
        <v>8</v>
      </c>
      <c r="D163" s="83" t="s">
        <v>286</v>
      </c>
      <c r="E163" s="242">
        <v>4</v>
      </c>
      <c r="F163" s="302">
        <v>4</v>
      </c>
      <c r="G163" s="77" t="s">
        <v>283</v>
      </c>
      <c r="H163" s="74">
        <f>2400/1.05</f>
        <v>2285.7142857142858</v>
      </c>
      <c r="I163" s="74">
        <f>F163*H163</f>
        <v>9142.8571428571431</v>
      </c>
      <c r="J163" s="74">
        <v>210</v>
      </c>
      <c r="K163" s="74">
        <f t="shared" si="106"/>
        <v>840</v>
      </c>
      <c r="L163" s="72">
        <f t="shared" si="107"/>
        <v>9982.8571428571431</v>
      </c>
      <c r="M163" s="74">
        <f>H163/$P$260*$P$268</f>
        <v>3186.5223852370109</v>
      </c>
      <c r="N163" s="74">
        <f>J163/$P$260*$P$268</f>
        <v>292.76174414365039</v>
      </c>
      <c r="O163" s="72">
        <f t="shared" si="99"/>
        <v>3479.2841293806614</v>
      </c>
      <c r="P163" s="205">
        <f t="shared" si="100"/>
        <v>13917.136517522646</v>
      </c>
      <c r="Q163" s="272">
        <f>L163/$P$260*$P$268</f>
        <v>13917.136517522646</v>
      </c>
      <c r="R163" s="439">
        <f t="shared" si="101"/>
        <v>0</v>
      </c>
      <c r="S163" s="273"/>
      <c r="T163" s="74">
        <f>2400/1.05</f>
        <v>2285.7142857142858</v>
      </c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733">
        <f>SUM(AF149:AF162)</f>
        <v>310570.11993355479</v>
      </c>
      <c r="AG163" s="734"/>
      <c r="AH163" s="735">
        <f>SUM(AH149:AH162)</f>
        <v>40781</v>
      </c>
      <c r="AL163" s="878" t="s">
        <v>250</v>
      </c>
      <c r="AM163" s="878"/>
      <c r="AN163" s="878"/>
      <c r="AO163" s="124" t="s">
        <v>251</v>
      </c>
      <c r="AP163" s="772">
        <v>2.77</v>
      </c>
      <c r="AQ163" s="772">
        <v>3</v>
      </c>
      <c r="AR163" s="123">
        <f>350/1.07</f>
        <v>327.10280373831773</v>
      </c>
      <c r="AS163" s="196">
        <f>AR163*AQ163</f>
        <v>981.30841121495314</v>
      </c>
      <c r="AT163" s="772">
        <v>71.7</v>
      </c>
      <c r="AU163" s="219">
        <f>AT163*AQ163</f>
        <v>215.10000000000002</v>
      </c>
    </row>
    <row r="164" spans="1:47" s="224" customFormat="1" x14ac:dyDescent="0.25">
      <c r="A164" s="350"/>
      <c r="B164" s="317"/>
      <c r="C164" s="318"/>
      <c r="D164" s="83"/>
      <c r="E164" s="242"/>
      <c r="F164" s="302"/>
      <c r="G164" s="77"/>
      <c r="H164" s="74"/>
      <c r="I164" s="74"/>
      <c r="J164" s="74"/>
      <c r="K164" s="74"/>
      <c r="L164" s="72"/>
      <c r="M164" s="74"/>
      <c r="N164" s="74"/>
      <c r="O164" s="72"/>
      <c r="P164" s="205"/>
      <c r="Q164" s="272"/>
      <c r="R164" s="439"/>
      <c r="S164" s="273"/>
      <c r="AL164" s="878" t="s">
        <v>252</v>
      </c>
      <c r="AM164" s="878"/>
      <c r="AN164" s="878"/>
      <c r="AO164" s="124" t="s">
        <v>253</v>
      </c>
      <c r="AP164" s="772">
        <v>0.25</v>
      </c>
      <c r="AQ164" s="772">
        <v>0.25</v>
      </c>
      <c r="AR164" s="123">
        <f>AC44</f>
        <v>268.8679245283019</v>
      </c>
      <c r="AS164" s="196">
        <f>AR164*AQ164</f>
        <v>67.216981132075475</v>
      </c>
      <c r="AT164" s="772"/>
      <c r="AU164" s="219">
        <f>AT164*AQ164</f>
        <v>0</v>
      </c>
    </row>
    <row r="165" spans="1:47" s="224" customFormat="1" x14ac:dyDescent="0.25">
      <c r="A165" s="350"/>
      <c r="B165" s="412" t="s">
        <v>320</v>
      </c>
      <c r="C165" s="413" t="s">
        <v>420</v>
      </c>
      <c r="D165" s="316"/>
      <c r="E165" s="244"/>
      <c r="F165" s="302"/>
      <c r="G165" s="75"/>
      <c r="H165" s="440">
        <v>0.87</v>
      </c>
      <c r="I165" s="74"/>
      <c r="J165" s="440">
        <v>0.85</v>
      </c>
      <c r="K165" s="74"/>
      <c r="L165" s="74"/>
      <c r="M165" s="74"/>
      <c r="N165" s="74"/>
      <c r="O165" s="72"/>
      <c r="P165" s="205"/>
      <c r="Q165" s="272"/>
      <c r="R165" s="439"/>
      <c r="S165" s="273"/>
      <c r="AL165" s="878" t="s">
        <v>254</v>
      </c>
      <c r="AM165" s="878"/>
      <c r="AN165" s="878"/>
      <c r="AO165" s="124" t="s">
        <v>255</v>
      </c>
      <c r="AP165" s="772">
        <v>0.25</v>
      </c>
      <c r="AQ165" s="772">
        <v>0.35</v>
      </c>
      <c r="AR165" s="123">
        <f>AC45</f>
        <v>34.905660377358487</v>
      </c>
      <c r="AS165" s="196">
        <f>AR165*AQ165</f>
        <v>12.216981132075469</v>
      </c>
      <c r="AT165" s="772"/>
      <c r="AU165" s="219">
        <f>AT165*AQ165</f>
        <v>0</v>
      </c>
    </row>
    <row r="166" spans="1:47" s="224" customFormat="1" x14ac:dyDescent="0.25">
      <c r="A166" s="350"/>
      <c r="B166" s="317"/>
      <c r="C166" s="318">
        <v>1</v>
      </c>
      <c r="D166" s="83" t="s">
        <v>421</v>
      </c>
      <c r="E166" s="242">
        <v>2284</v>
      </c>
      <c r="F166" s="242">
        <v>2450</v>
      </c>
      <c r="G166" s="77" t="s">
        <v>100</v>
      </c>
      <c r="H166" s="74">
        <f>T166/$H$165</f>
        <v>17.241379310344829</v>
      </c>
      <c r="I166" s="74">
        <f>F166*H166</f>
        <v>42241.379310344833</v>
      </c>
      <c r="J166" s="74">
        <f>W166/$J$165</f>
        <v>5.882352941176471</v>
      </c>
      <c r="K166" s="74">
        <f t="shared" si="106"/>
        <v>14411.764705882353</v>
      </c>
      <c r="L166" s="72">
        <f t="shared" si="107"/>
        <v>56653.14401622719</v>
      </c>
      <c r="M166" s="74">
        <f t="shared" ref="M166:M175" si="108">H166/$P$260*$P$268</f>
        <v>24.036267992089524</v>
      </c>
      <c r="N166" s="74">
        <f t="shared" ref="N166:N175" si="109">J166/$P$260*$P$268</f>
        <v>8.2006090796540736</v>
      </c>
      <c r="O166" s="72">
        <f t="shared" si="99"/>
        <v>32.236877071743599</v>
      </c>
      <c r="P166" s="205">
        <f t="shared" si="100"/>
        <v>78980.348825771813</v>
      </c>
      <c r="Q166" s="272">
        <f t="shared" ref="Q166:Q175" si="110">L166/$P$260*$P$268</f>
        <v>78980.348825771827</v>
      </c>
      <c r="R166" s="439">
        <f t="shared" si="101"/>
        <v>0</v>
      </c>
      <c r="S166" s="273"/>
      <c r="T166" s="74">
        <v>15</v>
      </c>
      <c r="U166" s="273"/>
      <c r="V166" s="273"/>
      <c r="W166" s="74">
        <v>5</v>
      </c>
      <c r="AL166" s="878" t="s">
        <v>256</v>
      </c>
      <c r="AM166" s="878"/>
      <c r="AN166" s="878"/>
      <c r="AO166" s="124" t="s">
        <v>257</v>
      </c>
      <c r="AP166" s="772">
        <v>1</v>
      </c>
      <c r="AQ166" s="772">
        <v>1</v>
      </c>
      <c r="AR166" s="123">
        <v>0</v>
      </c>
      <c r="AS166" s="196">
        <f>AR166*AQ166</f>
        <v>0</v>
      </c>
      <c r="AT166" s="772">
        <v>0</v>
      </c>
      <c r="AU166" s="219">
        <f>AT166*AQ166</f>
        <v>0</v>
      </c>
    </row>
    <row r="167" spans="1:47" s="224" customFormat="1" x14ac:dyDescent="0.25">
      <c r="A167" s="350"/>
      <c r="B167" s="317"/>
      <c r="C167" s="318">
        <v>2</v>
      </c>
      <c r="D167" s="83" t="s">
        <v>422</v>
      </c>
      <c r="E167" s="242">
        <v>6464</v>
      </c>
      <c r="F167" s="242">
        <v>6880</v>
      </c>
      <c r="G167" s="77" t="s">
        <v>100</v>
      </c>
      <c r="H167" s="74">
        <f>T167/$H$165</f>
        <v>25.287356321839081</v>
      </c>
      <c r="I167" s="74">
        <f t="shared" ref="I167:I175" si="111">F167*H167</f>
        <v>173977.01149425289</v>
      </c>
      <c r="J167" s="74">
        <f t="shared" ref="J167:J175" si="112">W167/$J$165</f>
        <v>8.2352941176470598</v>
      </c>
      <c r="K167" s="74">
        <f t="shared" si="106"/>
        <v>56658.823529411769</v>
      </c>
      <c r="L167" s="72">
        <f t="shared" si="107"/>
        <v>230635.83502366467</v>
      </c>
      <c r="M167" s="74">
        <f t="shared" si="108"/>
        <v>35.253193055064635</v>
      </c>
      <c r="N167" s="74">
        <f t="shared" si="109"/>
        <v>11.480852711515702</v>
      </c>
      <c r="O167" s="72">
        <f t="shared" si="99"/>
        <v>46.734045766580337</v>
      </c>
      <c r="P167" s="205">
        <f t="shared" si="100"/>
        <v>321530.23487407272</v>
      </c>
      <c r="Q167" s="272">
        <f t="shared" si="110"/>
        <v>321530.23487407272</v>
      </c>
      <c r="R167" s="439">
        <f t="shared" si="101"/>
        <v>0</v>
      </c>
      <c r="S167" s="273"/>
      <c r="T167" s="74">
        <v>22</v>
      </c>
      <c r="U167" s="273"/>
      <c r="V167" s="273"/>
      <c r="W167" s="74">
        <v>7</v>
      </c>
      <c r="AL167" s="126"/>
      <c r="AM167" s="126"/>
      <c r="AN167" s="126"/>
      <c r="AO167" s="126"/>
      <c r="AP167" s="772"/>
      <c r="AQ167" s="772"/>
      <c r="AR167" s="123"/>
      <c r="AS167" s="212">
        <f>SUM(AS163:AS166)</f>
        <v>1060.7423734791041</v>
      </c>
      <c r="AT167" s="771"/>
      <c r="AU167" s="212">
        <f>SUM(AU163:AU166)</f>
        <v>215.10000000000002</v>
      </c>
    </row>
    <row r="168" spans="1:47" s="224" customFormat="1" x14ac:dyDescent="0.25">
      <c r="A168" s="350"/>
      <c r="B168" s="317"/>
      <c r="C168" s="318">
        <v>3</v>
      </c>
      <c r="D168" s="83" t="s">
        <v>423</v>
      </c>
      <c r="E168" s="242">
        <v>1087</v>
      </c>
      <c r="F168" s="242">
        <v>1215</v>
      </c>
      <c r="G168" s="77" t="s">
        <v>100</v>
      </c>
      <c r="H168" s="74">
        <f t="shared" ref="H168:H175" si="113">T168/$H$165</f>
        <v>37.931034482758619</v>
      </c>
      <c r="I168" s="74">
        <f t="shared" si="111"/>
        <v>46086.206896551725</v>
      </c>
      <c r="J168" s="74">
        <f t="shared" si="112"/>
        <v>18.823529411764707</v>
      </c>
      <c r="K168" s="74">
        <f t="shared" si="106"/>
        <v>22870.588235294119</v>
      </c>
      <c r="L168" s="72">
        <f t="shared" si="107"/>
        <v>68956.795131845836</v>
      </c>
      <c r="M168" s="74">
        <f t="shared" si="108"/>
        <v>52.879789582596942</v>
      </c>
      <c r="N168" s="74">
        <f t="shared" si="109"/>
        <v>26.241949054893031</v>
      </c>
      <c r="O168" s="72">
        <f t="shared" si="99"/>
        <v>79.121738637489969</v>
      </c>
      <c r="P168" s="205">
        <f t="shared" si="100"/>
        <v>96132.912444550311</v>
      </c>
      <c r="Q168" s="272">
        <f t="shared" si="110"/>
        <v>96132.912444550326</v>
      </c>
      <c r="R168" s="439">
        <f t="shared" si="101"/>
        <v>0</v>
      </c>
      <c r="S168" s="273"/>
      <c r="T168" s="74">
        <v>33</v>
      </c>
      <c r="U168" s="273"/>
      <c r="V168" s="273"/>
      <c r="W168" s="74">
        <v>16</v>
      </c>
      <c r="AL168" s="273"/>
      <c r="AM168" s="273"/>
      <c r="AN168" s="273"/>
      <c r="AO168" s="273"/>
      <c r="AP168" s="273"/>
      <c r="AQ168" s="273"/>
      <c r="AR168" s="273"/>
      <c r="AT168" s="273"/>
    </row>
    <row r="169" spans="1:47" s="224" customFormat="1" x14ac:dyDescent="0.25">
      <c r="A169" s="350"/>
      <c r="B169" s="317"/>
      <c r="C169" s="318">
        <v>4</v>
      </c>
      <c r="D169" s="83" t="s">
        <v>430</v>
      </c>
      <c r="E169" s="242">
        <v>1771</v>
      </c>
      <c r="F169" s="242">
        <v>1880</v>
      </c>
      <c r="G169" s="77" t="s">
        <v>100</v>
      </c>
      <c r="H169" s="74">
        <f t="shared" si="113"/>
        <v>60.919540229885058</v>
      </c>
      <c r="I169" s="74">
        <f t="shared" si="111"/>
        <v>114528.7356321839</v>
      </c>
      <c r="J169" s="74">
        <f t="shared" si="112"/>
        <v>18.823529411764707</v>
      </c>
      <c r="K169" s="74">
        <f t="shared" si="106"/>
        <v>35388.23529411765</v>
      </c>
      <c r="L169" s="72">
        <f t="shared" si="107"/>
        <v>149916.97092630155</v>
      </c>
      <c r="M169" s="74">
        <f t="shared" si="108"/>
        <v>84.928146905382988</v>
      </c>
      <c r="N169" s="74">
        <f t="shared" si="109"/>
        <v>26.241949054893031</v>
      </c>
      <c r="O169" s="72">
        <f t="shared" si="99"/>
        <v>111.17009596027602</v>
      </c>
      <c r="P169" s="205">
        <f t="shared" si="100"/>
        <v>208999.78040531892</v>
      </c>
      <c r="Q169" s="272">
        <f t="shared" si="110"/>
        <v>208999.78040531892</v>
      </c>
      <c r="R169" s="439">
        <f t="shared" si="101"/>
        <v>0</v>
      </c>
      <c r="S169" s="273"/>
      <c r="T169" s="74">
        <v>53</v>
      </c>
      <c r="U169" s="273"/>
      <c r="V169" s="273"/>
      <c r="W169" s="74">
        <v>16</v>
      </c>
      <c r="AL169" s="273"/>
      <c r="AM169" s="273"/>
      <c r="AN169" s="273"/>
      <c r="AO169" s="273"/>
      <c r="AP169" s="273"/>
      <c r="AQ169" s="273"/>
      <c r="AR169" s="273"/>
      <c r="AT169" s="273"/>
    </row>
    <row r="170" spans="1:47" s="224" customFormat="1" x14ac:dyDescent="0.25">
      <c r="A170" s="350"/>
      <c r="B170" s="317"/>
      <c r="C170" s="318">
        <v>5</v>
      </c>
      <c r="D170" s="83" t="s">
        <v>424</v>
      </c>
      <c r="E170" s="242">
        <v>21</v>
      </c>
      <c r="F170" s="242">
        <v>23</v>
      </c>
      <c r="G170" s="77" t="s">
        <v>100</v>
      </c>
      <c r="H170" s="74">
        <f t="shared" si="113"/>
        <v>95.402298850574709</v>
      </c>
      <c r="I170" s="74">
        <f t="shared" si="111"/>
        <v>2194.2528735632181</v>
      </c>
      <c r="J170" s="74">
        <f t="shared" si="112"/>
        <v>29.411764705882355</v>
      </c>
      <c r="K170" s="74">
        <f t="shared" si="106"/>
        <v>676.47058823529414</v>
      </c>
      <c r="L170" s="72">
        <f t="shared" si="107"/>
        <v>2870.7234617985123</v>
      </c>
      <c r="M170" s="74">
        <f t="shared" si="108"/>
        <v>133.000682889562</v>
      </c>
      <c r="N170" s="74">
        <f t="shared" si="109"/>
        <v>41.003045398270366</v>
      </c>
      <c r="O170" s="72">
        <f t="shared" si="99"/>
        <v>174.00372828783236</v>
      </c>
      <c r="P170" s="205">
        <f t="shared" si="100"/>
        <v>4002.0857506201442</v>
      </c>
      <c r="Q170" s="272">
        <f t="shared" si="110"/>
        <v>4002.0857506201442</v>
      </c>
      <c r="R170" s="439">
        <f t="shared" si="101"/>
        <v>0</v>
      </c>
      <c r="S170" s="273"/>
      <c r="T170" s="74">
        <v>83</v>
      </c>
      <c r="U170" s="273"/>
      <c r="V170" s="273"/>
      <c r="W170" s="74">
        <v>25</v>
      </c>
      <c r="AL170" s="900" t="s">
        <v>351</v>
      </c>
      <c r="AM170" s="900"/>
      <c r="AN170" s="900"/>
      <c r="AO170" s="771" t="s">
        <v>243</v>
      </c>
      <c r="AP170" s="771" t="s">
        <v>244</v>
      </c>
      <c r="AQ170" s="771" t="s">
        <v>245</v>
      </c>
      <c r="AR170" s="123" t="s">
        <v>246</v>
      </c>
      <c r="AS170" s="196" t="s">
        <v>247</v>
      </c>
      <c r="AT170" s="771" t="s">
        <v>248</v>
      </c>
      <c r="AU170" s="212" t="s">
        <v>249</v>
      </c>
    </row>
    <row r="171" spans="1:47" s="224" customFormat="1" x14ac:dyDescent="0.25">
      <c r="A171" s="350"/>
      <c r="B171" s="319"/>
      <c r="C171" s="318">
        <v>6</v>
      </c>
      <c r="D171" s="83" t="s">
        <v>425</v>
      </c>
      <c r="E171" s="242">
        <v>24</v>
      </c>
      <c r="F171" s="242">
        <v>27</v>
      </c>
      <c r="G171" s="77" t="s">
        <v>100</v>
      </c>
      <c r="H171" s="74">
        <f t="shared" si="113"/>
        <v>149.42528735632183</v>
      </c>
      <c r="I171" s="74">
        <f t="shared" si="111"/>
        <v>4034.4827586206893</v>
      </c>
      <c r="J171" s="74">
        <f t="shared" si="112"/>
        <v>45.882352941176471</v>
      </c>
      <c r="K171" s="74">
        <f t="shared" si="106"/>
        <v>1238.8235294117646</v>
      </c>
      <c r="L171" s="72">
        <f t="shared" si="107"/>
        <v>5273.3062880324542</v>
      </c>
      <c r="M171" s="74">
        <f t="shared" si="108"/>
        <v>208.31432259810919</v>
      </c>
      <c r="N171" s="74">
        <f t="shared" si="109"/>
        <v>63.96475082130177</v>
      </c>
      <c r="O171" s="72">
        <f t="shared" si="99"/>
        <v>272.27907341941096</v>
      </c>
      <c r="P171" s="205">
        <f t="shared" si="100"/>
        <v>7351.5349823240958</v>
      </c>
      <c r="Q171" s="272">
        <f t="shared" si="110"/>
        <v>7351.5349823240958</v>
      </c>
      <c r="R171" s="439">
        <f t="shared" si="101"/>
        <v>0</v>
      </c>
      <c r="S171" s="273"/>
      <c r="T171" s="74">
        <v>130</v>
      </c>
      <c r="U171" s="273"/>
      <c r="V171" s="273"/>
      <c r="W171" s="74">
        <v>39</v>
      </c>
      <c r="AL171" s="878" t="s">
        <v>352</v>
      </c>
      <c r="AM171" s="878"/>
      <c r="AN171" s="878"/>
      <c r="AO171" s="124" t="s">
        <v>251</v>
      </c>
      <c r="AP171" s="772">
        <v>8.33</v>
      </c>
      <c r="AQ171" s="772">
        <v>9</v>
      </c>
      <c r="AR171" s="123">
        <f>130/1.06</f>
        <v>122.64150943396226</v>
      </c>
      <c r="AS171" s="196">
        <f>AR171*AQ171</f>
        <v>1103.7735849056603</v>
      </c>
      <c r="AT171" s="772">
        <f>AE128</f>
        <v>23.9</v>
      </c>
      <c r="AU171" s="219">
        <f>AT171*AQ171</f>
        <v>215.1</v>
      </c>
    </row>
    <row r="172" spans="1:47" s="224" customFormat="1" x14ac:dyDescent="0.25">
      <c r="A172" s="350"/>
      <c r="B172" s="317"/>
      <c r="C172" s="318">
        <v>7</v>
      </c>
      <c r="D172" s="83" t="s">
        <v>426</v>
      </c>
      <c r="E172" s="242">
        <v>9</v>
      </c>
      <c r="F172" s="242">
        <v>11</v>
      </c>
      <c r="G172" s="77" t="s">
        <v>100</v>
      </c>
      <c r="H172" s="74">
        <f t="shared" si="113"/>
        <v>218.39080459770116</v>
      </c>
      <c r="I172" s="74">
        <f t="shared" si="111"/>
        <v>2402.2988505747126</v>
      </c>
      <c r="J172" s="74">
        <f t="shared" si="112"/>
        <v>67.058823529411768</v>
      </c>
      <c r="K172" s="74">
        <f t="shared" si="106"/>
        <v>737.64705882352951</v>
      </c>
      <c r="L172" s="72">
        <f t="shared" si="107"/>
        <v>3139.9459093982423</v>
      </c>
      <c r="M172" s="74">
        <f t="shared" si="108"/>
        <v>304.45939456646732</v>
      </c>
      <c r="N172" s="74">
        <f t="shared" si="109"/>
        <v>93.486943508056427</v>
      </c>
      <c r="O172" s="72">
        <f t="shared" si="99"/>
        <v>397.94633807452374</v>
      </c>
      <c r="P172" s="205">
        <f t="shared" si="100"/>
        <v>4377.4097188197611</v>
      </c>
      <c r="Q172" s="272">
        <f t="shared" si="110"/>
        <v>4377.4097188197611</v>
      </c>
      <c r="R172" s="439">
        <f t="shared" si="101"/>
        <v>0</v>
      </c>
      <c r="S172" s="273"/>
      <c r="T172" s="74">
        <v>190</v>
      </c>
      <c r="U172" s="273"/>
      <c r="V172" s="273"/>
      <c r="W172" s="74">
        <v>57</v>
      </c>
      <c r="AL172" s="878" t="s">
        <v>252</v>
      </c>
      <c r="AM172" s="878"/>
      <c r="AN172" s="878"/>
      <c r="AO172" s="124" t="s">
        <v>253</v>
      </c>
      <c r="AP172" s="772">
        <v>0.25</v>
      </c>
      <c r="AQ172" s="772">
        <v>0.25</v>
      </c>
      <c r="AR172" s="123">
        <f>260/1.06</f>
        <v>245.28301886792451</v>
      </c>
      <c r="AS172" s="196">
        <f>AR172*AQ172</f>
        <v>61.320754716981128</v>
      </c>
      <c r="AT172" s="772"/>
      <c r="AU172" s="219">
        <f>AT172*AQ172</f>
        <v>0</v>
      </c>
    </row>
    <row r="173" spans="1:47" s="224" customFormat="1" x14ac:dyDescent="0.25">
      <c r="A173" s="350"/>
      <c r="B173" s="317"/>
      <c r="C173" s="318">
        <v>8</v>
      </c>
      <c r="D173" s="83" t="s">
        <v>427</v>
      </c>
      <c r="E173" s="242">
        <v>34</v>
      </c>
      <c r="F173" s="242">
        <v>47</v>
      </c>
      <c r="G173" s="77" t="s">
        <v>100</v>
      </c>
      <c r="H173" s="74">
        <f t="shared" si="113"/>
        <v>356.32183908045977</v>
      </c>
      <c r="I173" s="74">
        <f t="shared" si="111"/>
        <v>16747.126436781607</v>
      </c>
      <c r="J173" s="74">
        <f t="shared" si="112"/>
        <v>109.41176470588236</v>
      </c>
      <c r="K173" s="74">
        <f t="shared" si="106"/>
        <v>5142.3529411764712</v>
      </c>
      <c r="L173" s="72">
        <f t="shared" si="107"/>
        <v>21889.47937795808</v>
      </c>
      <c r="M173" s="74">
        <f t="shared" si="108"/>
        <v>496.74953850318343</v>
      </c>
      <c r="N173" s="74">
        <f t="shared" si="109"/>
        <v>152.53132888156574</v>
      </c>
      <c r="O173" s="72">
        <f t="shared" si="99"/>
        <v>649.28086738474917</v>
      </c>
      <c r="P173" s="205">
        <f t="shared" si="100"/>
        <v>30516.20076708321</v>
      </c>
      <c r="Q173" s="272">
        <f t="shared" si="110"/>
        <v>30516.200767083214</v>
      </c>
      <c r="R173" s="439">
        <f t="shared" si="101"/>
        <v>0</v>
      </c>
      <c r="S173" s="273"/>
      <c r="T173" s="74">
        <v>310</v>
      </c>
      <c r="U173" s="273"/>
      <c r="V173" s="273"/>
      <c r="W173" s="74">
        <v>93</v>
      </c>
      <c r="AL173" s="878" t="s">
        <v>254</v>
      </c>
      <c r="AM173" s="878"/>
      <c r="AN173" s="878"/>
      <c r="AO173" s="124" t="s">
        <v>255</v>
      </c>
      <c r="AP173" s="772">
        <v>0.25</v>
      </c>
      <c r="AQ173" s="772">
        <v>0.35</v>
      </c>
      <c r="AR173" s="123">
        <f>37/1.06</f>
        <v>34.905660377358487</v>
      </c>
      <c r="AS173" s="196">
        <f>AR173*AQ173</f>
        <v>12.216981132075469</v>
      </c>
      <c r="AT173" s="772"/>
      <c r="AU173" s="219">
        <f>AT173*AQ173</f>
        <v>0</v>
      </c>
    </row>
    <row r="174" spans="1:47" s="224" customFormat="1" x14ac:dyDescent="0.25">
      <c r="A174" s="350"/>
      <c r="B174" s="317"/>
      <c r="C174" s="318">
        <v>9</v>
      </c>
      <c r="D174" s="83" t="s">
        <v>428</v>
      </c>
      <c r="E174" s="242">
        <v>27</v>
      </c>
      <c r="F174" s="242">
        <v>37</v>
      </c>
      <c r="G174" s="77" t="s">
        <v>100</v>
      </c>
      <c r="H174" s="74">
        <f t="shared" si="113"/>
        <v>1018.3908045977012</v>
      </c>
      <c r="I174" s="74">
        <f t="shared" si="111"/>
        <v>37680.45977011494</v>
      </c>
      <c r="J174" s="74">
        <f t="shared" si="112"/>
        <v>311.76470588235293</v>
      </c>
      <c r="K174" s="74">
        <f t="shared" si="106"/>
        <v>11535.294117647058</v>
      </c>
      <c r="L174" s="72">
        <f t="shared" si="107"/>
        <v>49215.753887761995</v>
      </c>
      <c r="M174" s="74">
        <f t="shared" si="108"/>
        <v>1419.7422293994209</v>
      </c>
      <c r="N174" s="74">
        <f t="shared" si="109"/>
        <v>434.63228122166583</v>
      </c>
      <c r="O174" s="72">
        <f t="shared" si="99"/>
        <v>1854.3745106210868</v>
      </c>
      <c r="P174" s="205">
        <f t="shared" si="100"/>
        <v>68611.856892980213</v>
      </c>
      <c r="Q174" s="272">
        <f t="shared" si="110"/>
        <v>68611.856892980213</v>
      </c>
      <c r="R174" s="439">
        <f t="shared" si="101"/>
        <v>0</v>
      </c>
      <c r="S174" s="273"/>
      <c r="T174" s="74">
        <v>886</v>
      </c>
      <c r="U174" s="273"/>
      <c r="V174" s="273"/>
      <c r="W174" s="74">
        <v>265</v>
      </c>
      <c r="AL174" s="878" t="s">
        <v>256</v>
      </c>
      <c r="AM174" s="878"/>
      <c r="AN174" s="878"/>
      <c r="AO174" s="124" t="s">
        <v>257</v>
      </c>
      <c r="AP174" s="772">
        <v>1</v>
      </c>
      <c r="AQ174" s="772">
        <v>1</v>
      </c>
      <c r="AR174" s="123">
        <v>0</v>
      </c>
      <c r="AS174" s="196">
        <f>AR174*AQ174</f>
        <v>0</v>
      </c>
      <c r="AT174" s="772">
        <v>0</v>
      </c>
      <c r="AU174" s="219">
        <f>AT174*AQ174</f>
        <v>0</v>
      </c>
    </row>
    <row r="175" spans="1:47" s="224" customFormat="1" x14ac:dyDescent="0.25">
      <c r="A175" s="350"/>
      <c r="B175" s="317"/>
      <c r="C175" s="318">
        <v>10</v>
      </c>
      <c r="D175" s="83" t="s">
        <v>429</v>
      </c>
      <c r="E175" s="242">
        <v>102</v>
      </c>
      <c r="F175" s="242">
        <v>125</v>
      </c>
      <c r="G175" s="77" t="s">
        <v>100</v>
      </c>
      <c r="H175" s="74">
        <f t="shared" si="113"/>
        <v>1650.5747126436781</v>
      </c>
      <c r="I175" s="74">
        <f t="shared" si="111"/>
        <v>206321.83908045976</v>
      </c>
      <c r="J175" s="74">
        <f t="shared" si="112"/>
        <v>505.88235294117646</v>
      </c>
      <c r="K175" s="74">
        <f t="shared" si="106"/>
        <v>63235.294117647056</v>
      </c>
      <c r="L175" s="72">
        <f t="shared" si="107"/>
        <v>269557.13319810684</v>
      </c>
      <c r="M175" s="74">
        <f t="shared" si="108"/>
        <v>2301.0720557760369</v>
      </c>
      <c r="N175" s="74">
        <f t="shared" si="109"/>
        <v>705.25238085025012</v>
      </c>
      <c r="O175" s="72">
        <f t="shared" si="99"/>
        <v>3006.324436626287</v>
      </c>
      <c r="P175" s="205">
        <f t="shared" si="100"/>
        <v>375790.5545782859</v>
      </c>
      <c r="Q175" s="272">
        <f t="shared" si="110"/>
        <v>375790.5545782859</v>
      </c>
      <c r="R175" s="439">
        <f t="shared" si="101"/>
        <v>0</v>
      </c>
      <c r="S175" s="273"/>
      <c r="T175" s="74">
        <v>1436</v>
      </c>
      <c r="U175" s="273"/>
      <c r="V175" s="273"/>
      <c r="W175" s="74">
        <v>430</v>
      </c>
      <c r="AL175" s="126"/>
      <c r="AM175" s="126"/>
      <c r="AN175" s="126"/>
      <c r="AO175" s="126"/>
      <c r="AP175" s="772"/>
      <c r="AQ175" s="772"/>
      <c r="AR175" s="123"/>
      <c r="AS175" s="212">
        <f>SUM(AS171:AS174)</f>
        <v>1177.3113207547169</v>
      </c>
      <c r="AT175" s="771"/>
      <c r="AU175" s="212">
        <f>SUM(AU171:AU174)</f>
        <v>215.1</v>
      </c>
    </row>
    <row r="176" spans="1:47" s="224" customFormat="1" x14ac:dyDescent="0.25">
      <c r="A176" s="350"/>
      <c r="B176" s="317"/>
      <c r="C176" s="318"/>
      <c r="D176" s="83"/>
      <c r="E176" s="242"/>
      <c r="F176" s="242"/>
      <c r="G176" s="77"/>
      <c r="H176" s="74"/>
      <c r="I176" s="74"/>
      <c r="J176" s="74"/>
      <c r="K176" s="74"/>
      <c r="L176" s="72"/>
      <c r="M176" s="74"/>
      <c r="N176" s="74"/>
      <c r="O176" s="72"/>
      <c r="P176" s="205"/>
      <c r="Q176" s="272"/>
      <c r="R176" s="439"/>
      <c r="S176" s="273"/>
      <c r="T176" s="74"/>
      <c r="U176" s="273"/>
      <c r="V176" s="273"/>
      <c r="W176" s="74"/>
      <c r="X176" s="786"/>
      <c r="Y176" s="786"/>
      <c r="Z176" s="786"/>
      <c r="AA176" s="786"/>
      <c r="AB176" s="786"/>
      <c r="AC176" s="786"/>
      <c r="AD176" s="786"/>
      <c r="AE176" s="786"/>
      <c r="AF176" s="737"/>
      <c r="AG176" s="687"/>
      <c r="AH176" s="687"/>
      <c r="AI176" s="687"/>
      <c r="AJ176" s="687"/>
      <c r="AK176" s="687"/>
      <c r="AL176" s="273"/>
      <c r="AM176" s="273"/>
      <c r="AN176" s="273"/>
      <c r="AO176" s="273"/>
      <c r="AP176" s="273"/>
      <c r="AQ176" s="273"/>
      <c r="AR176" s="273"/>
      <c r="AT176" s="273"/>
    </row>
    <row r="177" spans="1:47" s="224" customFormat="1" x14ac:dyDescent="0.25">
      <c r="A177" s="350"/>
      <c r="B177" s="412" t="s">
        <v>321</v>
      </c>
      <c r="C177" s="413" t="s">
        <v>431</v>
      </c>
      <c r="D177" s="316"/>
      <c r="E177" s="244"/>
      <c r="F177" s="302"/>
      <c r="G177" s="75"/>
      <c r="H177" s="74"/>
      <c r="I177" s="74"/>
      <c r="J177" s="74"/>
      <c r="K177" s="74"/>
      <c r="L177" s="74"/>
      <c r="M177" s="74"/>
      <c r="N177" s="74"/>
      <c r="O177" s="72"/>
      <c r="P177" s="205"/>
      <c r="Q177" s="272"/>
      <c r="R177" s="439"/>
      <c r="S177" s="273"/>
      <c r="T177" s="74"/>
      <c r="W177" s="74"/>
      <c r="AL177" s="273"/>
      <c r="AM177" s="273"/>
      <c r="AN177" s="273"/>
      <c r="AO177" s="273"/>
      <c r="AP177" s="273"/>
      <c r="AQ177" s="273"/>
      <c r="AR177" s="273"/>
      <c r="AT177" s="273"/>
    </row>
    <row r="178" spans="1:47" s="224" customFormat="1" x14ac:dyDescent="0.25">
      <c r="A178" s="350"/>
      <c r="B178" s="317"/>
      <c r="C178" s="318">
        <v>1</v>
      </c>
      <c r="D178" s="83" t="s">
        <v>432</v>
      </c>
      <c r="E178" s="242">
        <v>24</v>
      </c>
      <c r="F178" s="242">
        <v>24</v>
      </c>
      <c r="G178" s="77" t="s">
        <v>28</v>
      </c>
      <c r="H178" s="74">
        <f t="shared" ref="H178:H184" si="114">T178/$H$165</f>
        <v>108.04597701149426</v>
      </c>
      <c r="I178" s="74">
        <f>F178*H178</f>
        <v>2593.1034482758623</v>
      </c>
      <c r="J178" s="74">
        <f t="shared" ref="J178:J184" si="115">W178/$J$165</f>
        <v>44.705882352941181</v>
      </c>
      <c r="K178" s="74">
        <f t="shared" ref="K178:K184" si="116">F178*J178</f>
        <v>1072.9411764705883</v>
      </c>
      <c r="L178" s="72">
        <f t="shared" ref="L178:L184" si="117">I178+K178</f>
        <v>3666.0446247464506</v>
      </c>
      <c r="M178" s="74">
        <f t="shared" ref="M178:M184" si="118">H178/$P$260*$P$268</f>
        <v>150.62727941709434</v>
      </c>
      <c r="N178" s="74">
        <f t="shared" ref="N178:N184" si="119">J178/$P$260*$P$268</f>
        <v>62.324629005370959</v>
      </c>
      <c r="O178" s="72">
        <f t="shared" si="99"/>
        <v>212.95190842246529</v>
      </c>
      <c r="P178" s="205">
        <f t="shared" si="100"/>
        <v>5110.8458021391671</v>
      </c>
      <c r="Q178" s="272">
        <f t="shared" ref="Q178:Q184" si="120">L178/$P$260*$P$268</f>
        <v>5110.8458021391671</v>
      </c>
      <c r="R178" s="439">
        <f t="shared" si="101"/>
        <v>0</v>
      </c>
      <c r="S178" s="273"/>
      <c r="T178" s="74">
        <v>94</v>
      </c>
      <c r="U178" s="273"/>
      <c r="V178" s="273"/>
      <c r="W178" s="74">
        <v>38</v>
      </c>
      <c r="AL178" s="900" t="s">
        <v>351</v>
      </c>
      <c r="AM178" s="900"/>
      <c r="AN178" s="900"/>
      <c r="AO178" s="771" t="s">
        <v>243</v>
      </c>
      <c r="AP178" s="771" t="s">
        <v>244</v>
      </c>
      <c r="AQ178" s="771" t="s">
        <v>245</v>
      </c>
      <c r="AR178" s="123" t="s">
        <v>246</v>
      </c>
      <c r="AS178" s="123" t="s">
        <v>247</v>
      </c>
      <c r="AT178" s="771" t="s">
        <v>248</v>
      </c>
      <c r="AU178" s="771" t="s">
        <v>249</v>
      </c>
    </row>
    <row r="179" spans="1:47" s="224" customFormat="1" x14ac:dyDescent="0.25">
      <c r="A179" s="350"/>
      <c r="B179" s="317"/>
      <c r="C179" s="318">
        <v>2</v>
      </c>
      <c r="D179" s="83" t="s">
        <v>433</v>
      </c>
      <c r="E179" s="242">
        <v>6</v>
      </c>
      <c r="F179" s="242">
        <v>6</v>
      </c>
      <c r="G179" s="77" t="s">
        <v>28</v>
      </c>
      <c r="H179" s="74">
        <f t="shared" si="114"/>
        <v>163.2183908045977</v>
      </c>
      <c r="I179" s="74">
        <f t="shared" ref="I179:I181" si="121">F179*H179</f>
        <v>979.31034482758628</v>
      </c>
      <c r="J179" s="74">
        <f t="shared" si="115"/>
        <v>52.941176470588239</v>
      </c>
      <c r="K179" s="74">
        <f t="shared" si="116"/>
        <v>317.64705882352945</v>
      </c>
      <c r="L179" s="72">
        <f t="shared" si="117"/>
        <v>1296.9574036511158</v>
      </c>
      <c r="M179" s="74">
        <f t="shared" si="118"/>
        <v>227.54333699178082</v>
      </c>
      <c r="N179" s="74">
        <f t="shared" si="119"/>
        <v>73.805481716886661</v>
      </c>
      <c r="O179" s="72">
        <f t="shared" si="99"/>
        <v>301.34881870866747</v>
      </c>
      <c r="P179" s="205">
        <f t="shared" si="100"/>
        <v>1808.0929122520047</v>
      </c>
      <c r="Q179" s="272">
        <f t="shared" si="120"/>
        <v>1808.0929122520051</v>
      </c>
      <c r="R179" s="439">
        <f t="shared" si="101"/>
        <v>0</v>
      </c>
      <c r="S179" s="273"/>
      <c r="T179" s="74">
        <v>142</v>
      </c>
      <c r="U179" s="273"/>
      <c r="V179" s="273"/>
      <c r="W179" s="74">
        <v>45</v>
      </c>
      <c r="AL179" s="878" t="s">
        <v>353</v>
      </c>
      <c r="AM179" s="878"/>
      <c r="AN179" s="878"/>
      <c r="AO179" s="124" t="s">
        <v>251</v>
      </c>
      <c r="AP179" s="772">
        <v>8.33</v>
      </c>
      <c r="AQ179" s="772">
        <v>9</v>
      </c>
      <c r="AR179" s="123">
        <f>143/1.06</f>
        <v>134.90566037735849</v>
      </c>
      <c r="AS179" s="123">
        <f>AR179*AQ179</f>
        <v>1214.1509433962265</v>
      </c>
      <c r="AT179" s="772">
        <f>AT171</f>
        <v>23.9</v>
      </c>
      <c r="AU179" s="219">
        <f>AT179*AQ179</f>
        <v>215.1</v>
      </c>
    </row>
    <row r="180" spans="1:47" s="224" customFormat="1" x14ac:dyDescent="0.25">
      <c r="A180" s="350"/>
      <c r="B180" s="317"/>
      <c r="C180" s="318">
        <v>3</v>
      </c>
      <c r="D180" s="83" t="s">
        <v>434</v>
      </c>
      <c r="E180" s="242">
        <v>3</v>
      </c>
      <c r="F180" s="242">
        <v>3</v>
      </c>
      <c r="G180" s="77" t="s">
        <v>28</v>
      </c>
      <c r="H180" s="74">
        <f t="shared" si="114"/>
        <v>235.63218390804599</v>
      </c>
      <c r="I180" s="74">
        <f t="shared" si="121"/>
        <v>706.89655172413791</v>
      </c>
      <c r="J180" s="74">
        <f t="shared" si="115"/>
        <v>72.941176470588232</v>
      </c>
      <c r="K180" s="74">
        <f t="shared" si="116"/>
        <v>218.8235294117647</v>
      </c>
      <c r="L180" s="72">
        <f t="shared" si="117"/>
        <v>925.72008113590255</v>
      </c>
      <c r="M180" s="74">
        <f t="shared" si="118"/>
        <v>328.49566255855683</v>
      </c>
      <c r="N180" s="74">
        <f t="shared" si="119"/>
        <v>101.68755258771048</v>
      </c>
      <c r="O180" s="72">
        <f t="shared" si="99"/>
        <v>430.18321514626734</v>
      </c>
      <c r="P180" s="205">
        <f t="shared" si="100"/>
        <v>1290.5496454388021</v>
      </c>
      <c r="Q180" s="272">
        <f t="shared" si="120"/>
        <v>1290.5496454388019</v>
      </c>
      <c r="R180" s="439">
        <f t="shared" si="101"/>
        <v>0</v>
      </c>
      <c r="S180" s="273"/>
      <c r="T180" s="74">
        <v>205</v>
      </c>
      <c r="U180" s="273"/>
      <c r="V180" s="273"/>
      <c r="W180" s="74">
        <v>62</v>
      </c>
      <c r="X180" s="273"/>
      <c r="Y180" s="273"/>
      <c r="Z180" s="273"/>
      <c r="AA180" s="273"/>
      <c r="AB180" s="273"/>
      <c r="AC180" s="273"/>
      <c r="AE180" s="273"/>
      <c r="AG180" s="738"/>
      <c r="AL180" s="878" t="s">
        <v>252</v>
      </c>
      <c r="AM180" s="878"/>
      <c r="AN180" s="878"/>
      <c r="AO180" s="124" t="s">
        <v>253</v>
      </c>
      <c r="AP180" s="772">
        <v>0.25</v>
      </c>
      <c r="AQ180" s="772">
        <v>0.25</v>
      </c>
      <c r="AR180" s="123">
        <f>260/1.06</f>
        <v>245.28301886792451</v>
      </c>
      <c r="AS180" s="123">
        <f>AR180*AQ180</f>
        <v>61.320754716981128</v>
      </c>
      <c r="AT180" s="772"/>
      <c r="AU180" s="219">
        <f>AT180*AQ180</f>
        <v>0</v>
      </c>
    </row>
    <row r="181" spans="1:47" s="224" customFormat="1" x14ac:dyDescent="0.25">
      <c r="A181" s="350"/>
      <c r="B181" s="317"/>
      <c r="C181" s="318">
        <v>4</v>
      </c>
      <c r="D181" s="83" t="s">
        <v>435</v>
      </c>
      <c r="E181" s="242">
        <v>4</v>
      </c>
      <c r="F181" s="242">
        <v>4</v>
      </c>
      <c r="G181" s="77" t="s">
        <v>28</v>
      </c>
      <c r="H181" s="74">
        <f t="shared" si="114"/>
        <v>168.9655172413793</v>
      </c>
      <c r="I181" s="74">
        <f t="shared" si="121"/>
        <v>675.86206896551721</v>
      </c>
      <c r="J181" s="74">
        <f t="shared" si="115"/>
        <v>51.764705882352942</v>
      </c>
      <c r="K181" s="74">
        <f t="shared" si="116"/>
        <v>207.05882352941177</v>
      </c>
      <c r="L181" s="72">
        <f t="shared" si="117"/>
        <v>882.92089249492892</v>
      </c>
      <c r="M181" s="74">
        <f t="shared" si="118"/>
        <v>235.5554263224773</v>
      </c>
      <c r="N181" s="74">
        <f t="shared" si="119"/>
        <v>72.165359900955835</v>
      </c>
      <c r="O181" s="72">
        <f t="shared" si="99"/>
        <v>307.72078622343315</v>
      </c>
      <c r="P181" s="205">
        <f t="shared" si="100"/>
        <v>1230.8831448937326</v>
      </c>
      <c r="Q181" s="272">
        <f t="shared" si="120"/>
        <v>1230.8831448937326</v>
      </c>
      <c r="R181" s="439">
        <f t="shared" si="101"/>
        <v>0</v>
      </c>
      <c r="S181" s="273"/>
      <c r="T181" s="74">
        <v>147</v>
      </c>
      <c r="U181" s="273"/>
      <c r="V181" s="273"/>
      <c r="W181" s="74">
        <v>44</v>
      </c>
      <c r="X181" s="273"/>
      <c r="Y181" s="273"/>
      <c r="Z181" s="273"/>
      <c r="AA181" s="273"/>
      <c r="AB181" s="273"/>
      <c r="AC181" s="273"/>
      <c r="AE181" s="273"/>
      <c r="AL181" s="878" t="s">
        <v>254</v>
      </c>
      <c r="AM181" s="878"/>
      <c r="AN181" s="878"/>
      <c r="AO181" s="124" t="s">
        <v>255</v>
      </c>
      <c r="AP181" s="772">
        <v>0.25</v>
      </c>
      <c r="AQ181" s="772">
        <v>0.35</v>
      </c>
      <c r="AR181" s="123">
        <f>37/1.06</f>
        <v>34.905660377358487</v>
      </c>
      <c r="AS181" s="123">
        <f>AR181*AQ181</f>
        <v>12.216981132075469</v>
      </c>
      <c r="AT181" s="772"/>
      <c r="AU181" s="219">
        <f>AT181*AQ181</f>
        <v>0</v>
      </c>
    </row>
    <row r="182" spans="1:47" s="224" customFormat="1" x14ac:dyDescent="0.25">
      <c r="A182" s="350"/>
      <c r="B182" s="317"/>
      <c r="C182" s="318">
        <v>5</v>
      </c>
      <c r="D182" s="83" t="s">
        <v>436</v>
      </c>
      <c r="E182" s="242">
        <v>104</v>
      </c>
      <c r="F182" s="242">
        <v>104</v>
      </c>
      <c r="G182" s="77" t="s">
        <v>28</v>
      </c>
      <c r="H182" s="74">
        <f t="shared" si="114"/>
        <v>275.86206896551727</v>
      </c>
      <c r="I182" s="74">
        <f>F182*H182</f>
        <v>28689.655172413797</v>
      </c>
      <c r="J182" s="74">
        <f t="shared" si="115"/>
        <v>84.705882352941174</v>
      </c>
      <c r="K182" s="74">
        <f t="shared" si="116"/>
        <v>8809.4117647058829</v>
      </c>
      <c r="L182" s="72">
        <f t="shared" si="117"/>
        <v>37499.066937119678</v>
      </c>
      <c r="M182" s="74">
        <f t="shared" si="118"/>
        <v>384.58028787343238</v>
      </c>
      <c r="N182" s="74">
        <f t="shared" si="119"/>
        <v>118.08877074701863</v>
      </c>
      <c r="O182" s="72">
        <f t="shared" si="99"/>
        <v>502.66905862045098</v>
      </c>
      <c r="P182" s="205">
        <f t="shared" si="100"/>
        <v>52277.582096526901</v>
      </c>
      <c r="Q182" s="272">
        <f t="shared" si="120"/>
        <v>52277.582096526909</v>
      </c>
      <c r="R182" s="439">
        <f t="shared" si="101"/>
        <v>0</v>
      </c>
      <c r="S182" s="273"/>
      <c r="T182" s="74">
        <v>240</v>
      </c>
      <c r="U182" s="273"/>
      <c r="V182" s="273"/>
      <c r="W182" s="74">
        <v>72</v>
      </c>
      <c r="AL182" s="878" t="s">
        <v>256</v>
      </c>
      <c r="AM182" s="878"/>
      <c r="AN182" s="878"/>
      <c r="AO182" s="124" t="s">
        <v>257</v>
      </c>
      <c r="AP182" s="772">
        <v>1</v>
      </c>
      <c r="AQ182" s="772">
        <v>1</v>
      </c>
      <c r="AR182" s="123">
        <f>AX104</f>
        <v>0</v>
      </c>
      <c r="AS182" s="123">
        <f>AR182*AQ182</f>
        <v>0</v>
      </c>
      <c r="AT182" s="772"/>
      <c r="AU182" s="219">
        <f>AT182*AQ182</f>
        <v>0</v>
      </c>
    </row>
    <row r="183" spans="1:47" s="224" customFormat="1" x14ac:dyDescent="0.25">
      <c r="A183" s="350"/>
      <c r="B183" s="317"/>
      <c r="C183" s="318">
        <v>6</v>
      </c>
      <c r="D183" s="83" t="s">
        <v>437</v>
      </c>
      <c r="E183" s="242">
        <v>5</v>
      </c>
      <c r="F183" s="242">
        <v>5</v>
      </c>
      <c r="G183" s="77" t="s">
        <v>28</v>
      </c>
      <c r="H183" s="74">
        <f t="shared" si="114"/>
        <v>180.45977011494253</v>
      </c>
      <c r="I183" s="74">
        <f t="shared" ref="I183:I184" si="122">F183*H183</f>
        <v>902.29885057471267</v>
      </c>
      <c r="J183" s="74">
        <f t="shared" si="115"/>
        <v>55.294117647058826</v>
      </c>
      <c r="K183" s="74">
        <f t="shared" si="116"/>
        <v>276.47058823529414</v>
      </c>
      <c r="L183" s="72">
        <f t="shared" si="117"/>
        <v>1178.7694388100067</v>
      </c>
      <c r="M183" s="74">
        <f t="shared" si="118"/>
        <v>251.57960498387035</v>
      </c>
      <c r="N183" s="74">
        <f t="shared" si="119"/>
        <v>77.085725348748284</v>
      </c>
      <c r="O183" s="72">
        <f t="shared" si="99"/>
        <v>328.66533033261862</v>
      </c>
      <c r="P183" s="205">
        <f t="shared" si="100"/>
        <v>1643.3266516630931</v>
      </c>
      <c r="Q183" s="272">
        <f t="shared" si="120"/>
        <v>1643.3266516630929</v>
      </c>
      <c r="R183" s="439">
        <f t="shared" si="101"/>
        <v>0</v>
      </c>
      <c r="S183" s="273"/>
      <c r="T183" s="74">
        <v>157</v>
      </c>
      <c r="U183" s="273"/>
      <c r="V183" s="273"/>
      <c r="W183" s="74">
        <v>47</v>
      </c>
      <c r="AL183" s="126"/>
      <c r="AM183" s="126"/>
      <c r="AN183" s="126"/>
      <c r="AO183" s="126"/>
      <c r="AP183" s="772"/>
      <c r="AQ183" s="772"/>
      <c r="AR183" s="123"/>
      <c r="AS183" s="212">
        <f>SUM(AS179:AS182)</f>
        <v>1287.6886792452831</v>
      </c>
      <c r="AT183" s="771"/>
      <c r="AU183" s="212">
        <f>SUM(AU179:AU182)</f>
        <v>215.1</v>
      </c>
    </row>
    <row r="184" spans="1:47" s="224" customFormat="1" x14ac:dyDescent="0.25">
      <c r="A184" s="350"/>
      <c r="B184" s="317"/>
      <c r="C184" s="318">
        <v>7</v>
      </c>
      <c r="D184" s="83" t="s">
        <v>438</v>
      </c>
      <c r="E184" s="242">
        <v>10</v>
      </c>
      <c r="F184" s="242">
        <v>10</v>
      </c>
      <c r="G184" s="77" t="s">
        <v>28</v>
      </c>
      <c r="H184" s="74">
        <f t="shared" si="114"/>
        <v>758.62068965517244</v>
      </c>
      <c r="I184" s="74">
        <f t="shared" si="122"/>
        <v>7586.2068965517246</v>
      </c>
      <c r="J184" s="74">
        <f t="shared" si="115"/>
        <v>155.29411764705884</v>
      </c>
      <c r="K184" s="74">
        <f t="shared" si="116"/>
        <v>1552.9411764705883</v>
      </c>
      <c r="L184" s="72">
        <f t="shared" si="117"/>
        <v>9139.148073022312</v>
      </c>
      <c r="M184" s="74">
        <f t="shared" si="118"/>
        <v>1057.595791651939</v>
      </c>
      <c r="N184" s="74">
        <f t="shared" si="119"/>
        <v>216.49607970286752</v>
      </c>
      <c r="O184" s="72">
        <f t="shared" si="99"/>
        <v>1274.0918713548065</v>
      </c>
      <c r="P184" s="205">
        <f t="shared" si="100"/>
        <v>12740.918713548064</v>
      </c>
      <c r="Q184" s="272">
        <f t="shared" si="120"/>
        <v>12740.918713548064</v>
      </c>
      <c r="R184" s="439">
        <f t="shared" si="101"/>
        <v>0</v>
      </c>
      <c r="S184" s="273"/>
      <c r="T184" s="74">
        <v>660</v>
      </c>
      <c r="U184" s="273"/>
      <c r="V184" s="273"/>
      <c r="W184" s="74">
        <v>132</v>
      </c>
      <c r="X184" s="273"/>
      <c r="Y184" s="273"/>
      <c r="Z184" s="273"/>
      <c r="AA184" s="273"/>
      <c r="AB184" s="273"/>
      <c r="AC184" s="273"/>
      <c r="AE184" s="273"/>
      <c r="AG184" s="738"/>
      <c r="AL184" s="338"/>
      <c r="AM184" s="338"/>
      <c r="AN184" s="339"/>
      <c r="AO184" s="340"/>
      <c r="AP184" s="340"/>
      <c r="AQ184" s="340"/>
      <c r="AR184" s="341"/>
      <c r="AS184" s="773"/>
      <c r="AT184" s="342"/>
      <c r="AU184" s="212"/>
    </row>
    <row r="185" spans="1:47" s="224" customFormat="1" x14ac:dyDescent="0.25">
      <c r="A185" s="350"/>
      <c r="B185" s="317"/>
      <c r="C185" s="318"/>
      <c r="D185" s="83"/>
      <c r="E185" s="242"/>
      <c r="F185" s="242"/>
      <c r="G185" s="77"/>
      <c r="H185" s="74"/>
      <c r="I185" s="74"/>
      <c r="J185" s="74"/>
      <c r="K185" s="74"/>
      <c r="L185" s="72"/>
      <c r="M185" s="74"/>
      <c r="N185" s="74"/>
      <c r="O185" s="72"/>
      <c r="P185" s="205"/>
      <c r="Q185" s="272"/>
      <c r="R185" s="439"/>
      <c r="S185" s="273"/>
      <c r="U185" s="273"/>
      <c r="V185" s="273"/>
      <c r="W185" s="74"/>
      <c r="X185" s="273"/>
      <c r="Y185" s="273"/>
      <c r="Z185" s="273"/>
      <c r="AA185" s="273"/>
      <c r="AB185" s="273"/>
      <c r="AC185" s="273"/>
      <c r="AE185" s="273"/>
      <c r="AG185" s="738"/>
      <c r="AL185" s="905"/>
      <c r="AM185" s="905"/>
      <c r="AN185" s="779"/>
      <c r="AO185" s="336"/>
      <c r="AP185" s="336"/>
      <c r="AQ185" s="344"/>
      <c r="AR185" s="345"/>
      <c r="AS185" s="337"/>
      <c r="AT185" s="342"/>
      <c r="AU185" s="220"/>
    </row>
    <row r="186" spans="1:47" s="224" customFormat="1" x14ac:dyDescent="0.25">
      <c r="A186" s="350"/>
      <c r="B186" s="412" t="s">
        <v>439</v>
      </c>
      <c r="C186" s="413" t="s">
        <v>454</v>
      </c>
      <c r="D186" s="316"/>
      <c r="E186" s="244"/>
      <c r="F186" s="244"/>
      <c r="G186" s="75"/>
      <c r="H186" s="440">
        <v>0.87</v>
      </c>
      <c r="I186" s="74"/>
      <c r="J186" s="74"/>
      <c r="K186" s="74"/>
      <c r="L186" s="74"/>
      <c r="M186" s="74"/>
      <c r="N186" s="74"/>
      <c r="O186" s="72"/>
      <c r="P186" s="205"/>
      <c r="Q186" s="272"/>
      <c r="R186" s="439"/>
      <c r="S186" s="273"/>
      <c r="W186" s="74"/>
      <c r="AL186" s="905"/>
      <c r="AM186" s="905"/>
      <c r="AN186" s="779"/>
      <c r="AO186" s="336"/>
      <c r="AP186" s="336"/>
      <c r="AQ186" s="344"/>
      <c r="AR186" s="345"/>
      <c r="AS186" s="337"/>
      <c r="AT186" s="342"/>
      <c r="AU186" s="220"/>
    </row>
    <row r="187" spans="1:47" s="224" customFormat="1" x14ac:dyDescent="0.25">
      <c r="A187" s="350"/>
      <c r="B187" s="317"/>
      <c r="C187" s="318">
        <v>1</v>
      </c>
      <c r="D187" s="83" t="s">
        <v>440</v>
      </c>
      <c r="E187" s="242">
        <v>1</v>
      </c>
      <c r="F187" s="242">
        <v>1</v>
      </c>
      <c r="G187" s="77" t="s">
        <v>55</v>
      </c>
      <c r="H187" s="74">
        <f>T187/$H$186</f>
        <v>20235.632183908045</v>
      </c>
      <c r="I187" s="74">
        <f>F187*H187</f>
        <v>20235.632183908045</v>
      </c>
      <c r="J187" s="74">
        <f t="shared" ref="J187:J191" si="123">W187/$J$165</f>
        <v>4117.6470588235297</v>
      </c>
      <c r="K187" s="74">
        <f t="shared" ref="K187:K200" si="124">F187*J187</f>
        <v>4117.6470588235297</v>
      </c>
      <c r="L187" s="72">
        <f t="shared" ref="L187:L200" si="125">I187+K187</f>
        <v>24353.279242731573</v>
      </c>
      <c r="M187" s="74">
        <f>H187/$P$260*$P$268</f>
        <v>28210.5665333824</v>
      </c>
      <c r="N187" s="74">
        <f>J187/$P$260*$P$268</f>
        <v>5740.4263557578515</v>
      </c>
      <c r="O187" s="72">
        <f t="shared" si="99"/>
        <v>33950.992889140252</v>
      </c>
      <c r="P187" s="205">
        <f t="shared" si="100"/>
        <v>33950.992889140252</v>
      </c>
      <c r="Q187" s="272">
        <f>L187/$P$260*$P$268</f>
        <v>33950.992889140252</v>
      </c>
      <c r="R187" s="439">
        <f t="shared" si="101"/>
        <v>0</v>
      </c>
      <c r="S187" s="273"/>
      <c r="T187" s="74">
        <f>17605</f>
        <v>17605</v>
      </c>
      <c r="U187" s="273"/>
      <c r="V187" s="273"/>
      <c r="W187" s="74">
        <v>3500</v>
      </c>
      <c r="AL187" s="126"/>
      <c r="AM187" s="126"/>
      <c r="AN187" s="126"/>
      <c r="AO187" s="126"/>
      <c r="AP187" s="126"/>
      <c r="AQ187" s="126"/>
      <c r="AR187" s="346"/>
      <c r="AS187" s="337"/>
      <c r="AT187" s="342"/>
      <c r="AU187" s="212"/>
    </row>
    <row r="188" spans="1:47" s="224" customFormat="1" x14ac:dyDescent="0.25">
      <c r="A188" s="350"/>
      <c r="B188" s="317"/>
      <c r="C188" s="318">
        <v>2</v>
      </c>
      <c r="D188" s="83" t="s">
        <v>441</v>
      </c>
      <c r="E188" s="242">
        <v>1</v>
      </c>
      <c r="F188" s="242">
        <v>1</v>
      </c>
      <c r="G188" s="77" t="s">
        <v>55</v>
      </c>
      <c r="H188" s="74">
        <f t="shared" ref="H188:H199" si="126">T188/$H$186</f>
        <v>24827.586206896551</v>
      </c>
      <c r="I188" s="74">
        <f t="shared" ref="I188:I190" si="127">F188*H188</f>
        <v>24827.586206896551</v>
      </c>
      <c r="J188" s="74">
        <f t="shared" si="123"/>
        <v>5882.3529411764712</v>
      </c>
      <c r="K188" s="74">
        <f t="shared" si="124"/>
        <v>5882.3529411764712</v>
      </c>
      <c r="L188" s="72">
        <f t="shared" si="125"/>
        <v>30709.939148073023</v>
      </c>
      <c r="M188" s="74">
        <f>H188/$P$260*$P$268</f>
        <v>34612.225908608911</v>
      </c>
      <c r="N188" s="74">
        <f>J188/$P$260*$P$268</f>
        <v>8200.6090796540739</v>
      </c>
      <c r="O188" s="72">
        <f t="shared" si="99"/>
        <v>42812.834988262985</v>
      </c>
      <c r="P188" s="205">
        <f t="shared" si="100"/>
        <v>42812.834988262985</v>
      </c>
      <c r="Q188" s="272">
        <f>L188/$P$260*$P$268</f>
        <v>42812.834988262985</v>
      </c>
      <c r="R188" s="439">
        <f t="shared" si="101"/>
        <v>0</v>
      </c>
      <c r="S188" s="273"/>
      <c r="T188" s="74">
        <f>21600</f>
        <v>21600</v>
      </c>
      <c r="U188" s="273"/>
      <c r="V188" s="273"/>
      <c r="W188" s="74">
        <v>5000</v>
      </c>
      <c r="AL188" s="126"/>
      <c r="AM188" s="126"/>
      <c r="AN188" s="126"/>
      <c r="AO188" s="126"/>
      <c r="AP188" s="126"/>
      <c r="AQ188" s="126"/>
      <c r="AR188" s="127"/>
      <c r="AS188" s="213"/>
      <c r="AT188" s="126"/>
      <c r="AU188" s="219"/>
    </row>
    <row r="189" spans="1:47" s="224" customFormat="1" x14ac:dyDescent="0.25">
      <c r="A189" s="350"/>
      <c r="B189" s="317"/>
      <c r="C189" s="318">
        <v>3</v>
      </c>
      <c r="D189" s="83" t="s">
        <v>442</v>
      </c>
      <c r="E189" s="242">
        <v>1</v>
      </c>
      <c r="F189" s="242">
        <v>1</v>
      </c>
      <c r="G189" s="77" t="s">
        <v>55</v>
      </c>
      <c r="H189" s="74">
        <f t="shared" si="126"/>
        <v>24827.586206896551</v>
      </c>
      <c r="I189" s="74">
        <f t="shared" si="127"/>
        <v>24827.586206896551</v>
      </c>
      <c r="J189" s="74">
        <f t="shared" si="123"/>
        <v>5882.3529411764712</v>
      </c>
      <c r="K189" s="74">
        <f t="shared" si="124"/>
        <v>5882.3529411764712</v>
      </c>
      <c r="L189" s="72">
        <f t="shared" si="125"/>
        <v>30709.939148073023</v>
      </c>
      <c r="M189" s="74">
        <f>H189/$P$260*$P$268</f>
        <v>34612.225908608911</v>
      </c>
      <c r="N189" s="74">
        <f>J189/$P$260*$P$268</f>
        <v>8200.6090796540739</v>
      </c>
      <c r="O189" s="72">
        <f t="shared" si="99"/>
        <v>42812.834988262985</v>
      </c>
      <c r="P189" s="205">
        <f t="shared" si="100"/>
        <v>42812.834988262985</v>
      </c>
      <c r="Q189" s="272">
        <f>L189/$P$260*$P$268</f>
        <v>42812.834988262985</v>
      </c>
      <c r="R189" s="439">
        <f t="shared" si="101"/>
        <v>0</v>
      </c>
      <c r="S189" s="273"/>
      <c r="T189" s="74">
        <f>21600</f>
        <v>21600</v>
      </c>
      <c r="U189" s="273"/>
      <c r="V189" s="273"/>
      <c r="W189" s="74">
        <v>5000</v>
      </c>
      <c r="X189" s="273"/>
      <c r="Y189" s="273"/>
      <c r="Z189" s="273"/>
      <c r="AA189" s="273"/>
      <c r="AB189" s="273"/>
      <c r="AC189" s="273"/>
      <c r="AE189" s="273"/>
      <c r="AG189" s="738"/>
      <c r="AL189" s="880" t="s">
        <v>267</v>
      </c>
      <c r="AM189" s="880"/>
      <c r="AN189" s="141" t="s">
        <v>243</v>
      </c>
      <c r="AO189" s="141" t="s">
        <v>244</v>
      </c>
      <c r="AP189" s="141" t="s">
        <v>245</v>
      </c>
      <c r="AQ189" s="141" t="s">
        <v>246</v>
      </c>
      <c r="AR189" s="141" t="s">
        <v>247</v>
      </c>
      <c r="AS189" s="216" t="s">
        <v>248</v>
      </c>
      <c r="AT189" s="141" t="s">
        <v>249</v>
      </c>
      <c r="AU189" s="219"/>
    </row>
    <row r="190" spans="1:47" s="224" customFormat="1" x14ac:dyDescent="0.25">
      <c r="A190" s="350"/>
      <c r="B190" s="317"/>
      <c r="C190" s="318">
        <v>4</v>
      </c>
      <c r="D190" s="83" t="s">
        <v>443</v>
      </c>
      <c r="E190" s="242">
        <v>1</v>
      </c>
      <c r="F190" s="242">
        <v>1</v>
      </c>
      <c r="G190" s="77" t="s">
        <v>55</v>
      </c>
      <c r="H190" s="74">
        <f t="shared" si="126"/>
        <v>25280.459770114943</v>
      </c>
      <c r="I190" s="74">
        <f t="shared" si="127"/>
        <v>25280.459770114943</v>
      </c>
      <c r="J190" s="74">
        <f t="shared" si="123"/>
        <v>4117.6470588235297</v>
      </c>
      <c r="K190" s="74">
        <f t="shared" si="124"/>
        <v>4117.6470588235297</v>
      </c>
      <c r="L190" s="72">
        <f t="shared" si="125"/>
        <v>29398.106828938471</v>
      </c>
      <c r="M190" s="74">
        <f>H190/$P$260*$P$268</f>
        <v>35243.578547867801</v>
      </c>
      <c r="N190" s="74">
        <f>J190/$P$260*$P$268</f>
        <v>5740.4263557578515</v>
      </c>
      <c r="O190" s="72">
        <f t="shared" si="99"/>
        <v>40984.004903625653</v>
      </c>
      <c r="P190" s="205">
        <f t="shared" si="100"/>
        <v>40984.004903625653</v>
      </c>
      <c r="Q190" s="272">
        <f>L190/$P$260*$P$268</f>
        <v>40984.004903625646</v>
      </c>
      <c r="R190" s="439">
        <f t="shared" si="101"/>
        <v>0</v>
      </c>
      <c r="S190" s="273"/>
      <c r="T190" s="74">
        <f>21994</f>
        <v>21994</v>
      </c>
      <c r="U190" s="273"/>
      <c r="V190" s="273"/>
      <c r="W190" s="74">
        <v>3500</v>
      </c>
      <c r="X190" s="273"/>
      <c r="Y190" s="273"/>
      <c r="Z190" s="273"/>
      <c r="AA190" s="273"/>
      <c r="AB190" s="273"/>
      <c r="AC190" s="273"/>
      <c r="AE190" s="273"/>
      <c r="AL190" s="739"/>
      <c r="AM190" s="774" t="s">
        <v>265</v>
      </c>
      <c r="AN190" s="774" t="s">
        <v>268</v>
      </c>
      <c r="AO190" s="774">
        <v>8.0000000000000002E-3</v>
      </c>
      <c r="AP190" s="774">
        <v>0.01</v>
      </c>
      <c r="AQ190" s="774">
        <v>1000</v>
      </c>
      <c r="AR190" s="774">
        <f>AQ190*AP190</f>
        <v>10</v>
      </c>
      <c r="AS190" s="144">
        <v>600</v>
      </c>
      <c r="AT190" s="774">
        <f>AS190*AP190</f>
        <v>6</v>
      </c>
      <c r="AU190" s="219"/>
    </row>
    <row r="191" spans="1:47" s="224" customFormat="1" x14ac:dyDescent="0.25">
      <c r="A191" s="350"/>
      <c r="B191" s="317"/>
      <c r="C191" s="318">
        <v>5</v>
      </c>
      <c r="D191" s="83" t="s">
        <v>444</v>
      </c>
      <c r="E191" s="242">
        <v>1</v>
      </c>
      <c r="F191" s="242">
        <v>1</v>
      </c>
      <c r="G191" s="77" t="s">
        <v>55</v>
      </c>
      <c r="H191" s="74">
        <f t="shared" si="126"/>
        <v>49827.586206896551</v>
      </c>
      <c r="I191" s="74">
        <f>F191*H191</f>
        <v>49827.586206896551</v>
      </c>
      <c r="J191" s="74">
        <f t="shared" si="123"/>
        <v>5882.3529411764712</v>
      </c>
      <c r="K191" s="74">
        <f t="shared" si="124"/>
        <v>5882.3529411764712</v>
      </c>
      <c r="L191" s="72">
        <f t="shared" si="125"/>
        <v>55709.939148073019</v>
      </c>
      <c r="M191" s="74">
        <f>H191/$P$260*$P$268</f>
        <v>69464.814497138723</v>
      </c>
      <c r="N191" s="74">
        <f>J191/$P$260*$P$268</f>
        <v>8200.6090796540739</v>
      </c>
      <c r="O191" s="72">
        <f t="shared" si="99"/>
        <v>77665.423576792789</v>
      </c>
      <c r="P191" s="205">
        <f t="shared" si="100"/>
        <v>77665.423576792789</v>
      </c>
      <c r="Q191" s="272">
        <f>L191/$P$260*$P$268</f>
        <v>77665.423576792775</v>
      </c>
      <c r="R191" s="439">
        <f t="shared" si="101"/>
        <v>0</v>
      </c>
      <c r="S191" s="273"/>
      <c r="T191" s="74">
        <f>43350</f>
        <v>43350</v>
      </c>
      <c r="U191" s="273"/>
      <c r="V191" s="273"/>
      <c r="W191" s="74">
        <v>5000</v>
      </c>
      <c r="AL191" s="739"/>
      <c r="AM191" s="774" t="s">
        <v>264</v>
      </c>
      <c r="AN191" s="774" t="s">
        <v>253</v>
      </c>
      <c r="AO191" s="774">
        <v>0.14399999999999999</v>
      </c>
      <c r="AP191" s="774">
        <v>0.17</v>
      </c>
      <c r="AQ191" s="144">
        <f>230/1.075</f>
        <v>213.95348837209303</v>
      </c>
      <c r="AR191" s="144">
        <f>AQ191*AP191</f>
        <v>36.372093023255822</v>
      </c>
      <c r="AS191" s="144">
        <v>150</v>
      </c>
      <c r="AT191" s="774">
        <f>AS191*AP191</f>
        <v>25.500000000000004</v>
      </c>
      <c r="AU191" s="212"/>
    </row>
    <row r="192" spans="1:47" s="224" customFormat="1" x14ac:dyDescent="0.25">
      <c r="A192" s="350"/>
      <c r="B192" s="317"/>
      <c r="C192" s="318"/>
      <c r="D192" s="83" t="s">
        <v>445</v>
      </c>
      <c r="E192" s="242"/>
      <c r="F192" s="242"/>
      <c r="G192" s="77"/>
      <c r="H192" s="74"/>
      <c r="I192" s="74"/>
      <c r="J192" s="74"/>
      <c r="K192" s="74"/>
      <c r="L192" s="72"/>
      <c r="M192" s="74"/>
      <c r="N192" s="74"/>
      <c r="O192" s="72"/>
      <c r="P192" s="205"/>
      <c r="Q192" s="272"/>
      <c r="R192" s="439"/>
      <c r="S192" s="273"/>
      <c r="T192" s="74"/>
      <c r="U192" s="273"/>
      <c r="V192" s="273"/>
      <c r="W192" s="74"/>
      <c r="AL192" s="739"/>
      <c r="AM192" s="774" t="s">
        <v>269</v>
      </c>
      <c r="AN192" s="774" t="s">
        <v>253</v>
      </c>
      <c r="AO192" s="774">
        <v>5</v>
      </c>
      <c r="AP192" s="774">
        <v>5</v>
      </c>
      <c r="AQ192" s="437">
        <f>50/1.05</f>
        <v>47.61904761904762</v>
      </c>
      <c r="AR192" s="437">
        <f>AQ192*AP192</f>
        <v>238.0952380952381</v>
      </c>
      <c r="AS192" s="144">
        <v>20</v>
      </c>
      <c r="AT192" s="774">
        <f>AS192*AP192</f>
        <v>100</v>
      </c>
      <c r="AU192" s="220"/>
    </row>
    <row r="193" spans="1:47" s="224" customFormat="1" x14ac:dyDescent="0.25">
      <c r="A193" s="350"/>
      <c r="B193" s="317"/>
      <c r="C193" s="318">
        <v>6</v>
      </c>
      <c r="D193" s="83" t="s">
        <v>446</v>
      </c>
      <c r="E193" s="242">
        <v>2</v>
      </c>
      <c r="F193" s="242">
        <v>2</v>
      </c>
      <c r="G193" s="77" t="s">
        <v>28</v>
      </c>
      <c r="H193" s="74">
        <f t="shared" si="126"/>
        <v>1206.8965517241379</v>
      </c>
      <c r="I193" s="74">
        <f t="shared" ref="I193:I194" si="128">F193*H193</f>
        <v>2413.7931034482758</v>
      </c>
      <c r="J193" s="74">
        <f t="shared" ref="J193:J200" si="129">W193/$J$165</f>
        <v>305.88235294117646</v>
      </c>
      <c r="K193" s="74">
        <f t="shared" si="124"/>
        <v>611.76470588235293</v>
      </c>
      <c r="L193" s="72">
        <f t="shared" si="125"/>
        <v>3025.5578093306285</v>
      </c>
      <c r="M193" s="74">
        <f t="shared" ref="M193:M200" si="130">H193/$P$260*$P$268</f>
        <v>1682.5387594462663</v>
      </c>
      <c r="N193" s="74">
        <f t="shared" ref="N193:N200" si="131">J193/$P$260*$P$268</f>
        <v>426.43167214201173</v>
      </c>
      <c r="O193" s="72">
        <f t="shared" si="99"/>
        <v>2108.9704315882782</v>
      </c>
      <c r="P193" s="205">
        <f t="shared" si="100"/>
        <v>4217.9408631765564</v>
      </c>
      <c r="Q193" s="272">
        <f t="shared" ref="Q193:Q200" si="132">L193/$P$260*$P$268</f>
        <v>4217.9408631765564</v>
      </c>
      <c r="R193" s="439">
        <f t="shared" si="101"/>
        <v>0</v>
      </c>
      <c r="S193" s="273"/>
      <c r="T193" s="74">
        <v>1050</v>
      </c>
      <c r="U193" s="273"/>
      <c r="V193" s="273"/>
      <c r="W193" s="74">
        <v>260</v>
      </c>
      <c r="X193" s="273"/>
      <c r="Y193" s="273"/>
      <c r="Z193" s="273"/>
      <c r="AA193" s="273"/>
      <c r="AB193" s="273"/>
      <c r="AC193" s="273"/>
      <c r="AE193" s="273"/>
      <c r="AG193" s="738"/>
      <c r="AL193" s="739"/>
      <c r="AM193" s="145"/>
      <c r="AN193" s="145"/>
      <c r="AO193" s="145"/>
      <c r="AP193" s="145"/>
      <c r="AQ193" s="145"/>
      <c r="AR193" s="216">
        <f>SUM(AR190:AR192)</f>
        <v>284.46733111849392</v>
      </c>
      <c r="AS193" s="217"/>
      <c r="AT193" s="740">
        <f>SUM(AT190:AT192)</f>
        <v>131.5</v>
      </c>
      <c r="AU193" s="220"/>
    </row>
    <row r="194" spans="1:47" s="224" customFormat="1" x14ac:dyDescent="0.25">
      <c r="A194" s="350"/>
      <c r="B194" s="317"/>
      <c r="C194" s="318">
        <v>7</v>
      </c>
      <c r="D194" s="83" t="s">
        <v>447</v>
      </c>
      <c r="E194" s="242">
        <v>2</v>
      </c>
      <c r="F194" s="242">
        <v>2</v>
      </c>
      <c r="G194" s="77" t="s">
        <v>28</v>
      </c>
      <c r="H194" s="74">
        <f t="shared" si="126"/>
        <v>1206.8965517241379</v>
      </c>
      <c r="I194" s="74">
        <f t="shared" si="128"/>
        <v>2413.7931034482758</v>
      </c>
      <c r="J194" s="74">
        <f t="shared" si="129"/>
        <v>305.88235294117646</v>
      </c>
      <c r="K194" s="74">
        <f t="shared" si="124"/>
        <v>611.76470588235293</v>
      </c>
      <c r="L194" s="72">
        <f t="shared" si="125"/>
        <v>3025.5578093306285</v>
      </c>
      <c r="M194" s="74">
        <f t="shared" si="130"/>
        <v>1682.5387594462663</v>
      </c>
      <c r="N194" s="74">
        <f t="shared" si="131"/>
        <v>426.43167214201173</v>
      </c>
      <c r="O194" s="72">
        <f t="shared" si="99"/>
        <v>2108.9704315882782</v>
      </c>
      <c r="P194" s="205">
        <f t="shared" si="100"/>
        <v>4217.9408631765564</v>
      </c>
      <c r="Q194" s="272">
        <f t="shared" si="132"/>
        <v>4217.9408631765564</v>
      </c>
      <c r="R194" s="439">
        <f t="shared" si="101"/>
        <v>0</v>
      </c>
      <c r="S194" s="273"/>
      <c r="T194" s="74">
        <v>1050</v>
      </c>
      <c r="U194" s="273"/>
      <c r="V194" s="273"/>
      <c r="W194" s="74">
        <v>260</v>
      </c>
      <c r="X194" s="273"/>
      <c r="Y194" s="273"/>
      <c r="Z194" s="273"/>
      <c r="AA194" s="273"/>
      <c r="AB194" s="273"/>
      <c r="AC194" s="273"/>
      <c r="AE194" s="273"/>
      <c r="AL194" s="126"/>
      <c r="AM194" s="126"/>
      <c r="AN194" s="126"/>
      <c r="AO194" s="126"/>
      <c r="AP194" s="126"/>
      <c r="AQ194" s="126"/>
      <c r="AR194" s="127"/>
      <c r="AS194" s="213"/>
      <c r="AT194" s="126"/>
      <c r="AU194" s="220"/>
    </row>
    <row r="195" spans="1:47" s="224" customFormat="1" x14ac:dyDescent="0.25">
      <c r="A195" s="350"/>
      <c r="B195" s="317"/>
      <c r="C195" s="318">
        <v>8</v>
      </c>
      <c r="D195" s="83" t="s">
        <v>448</v>
      </c>
      <c r="E195" s="242">
        <v>9</v>
      </c>
      <c r="F195" s="242">
        <v>9</v>
      </c>
      <c r="G195" s="77" t="s">
        <v>28</v>
      </c>
      <c r="H195" s="74">
        <f t="shared" si="126"/>
        <v>1206.8965517241379</v>
      </c>
      <c r="I195" s="74">
        <f>F195*H195</f>
        <v>10862.068965517241</v>
      </c>
      <c r="J195" s="74">
        <f t="shared" si="129"/>
        <v>305.88235294117646</v>
      </c>
      <c r="K195" s="74">
        <f t="shared" si="124"/>
        <v>2752.9411764705883</v>
      </c>
      <c r="L195" s="72">
        <f t="shared" si="125"/>
        <v>13615.01014198783</v>
      </c>
      <c r="M195" s="74">
        <f t="shared" si="130"/>
        <v>1682.5387594462663</v>
      </c>
      <c r="N195" s="74">
        <f t="shared" si="131"/>
        <v>426.43167214201173</v>
      </c>
      <c r="O195" s="72">
        <f t="shared" si="99"/>
        <v>2108.9704315882782</v>
      </c>
      <c r="P195" s="205">
        <f t="shared" si="100"/>
        <v>18980.733884294503</v>
      </c>
      <c r="Q195" s="272">
        <f t="shared" si="132"/>
        <v>18980.733884294506</v>
      </c>
      <c r="R195" s="439">
        <f t="shared" si="101"/>
        <v>0</v>
      </c>
      <c r="S195" s="273"/>
      <c r="T195" s="74">
        <v>1050</v>
      </c>
      <c r="U195" s="273"/>
      <c r="V195" s="273"/>
      <c r="W195" s="74">
        <v>260</v>
      </c>
      <c r="AL195" s="880" t="s">
        <v>275</v>
      </c>
      <c r="AM195" s="880"/>
      <c r="AN195" s="141" t="s">
        <v>243</v>
      </c>
      <c r="AO195" s="141" t="s">
        <v>244</v>
      </c>
      <c r="AP195" s="141" t="s">
        <v>245</v>
      </c>
      <c r="AQ195" s="141" t="s">
        <v>246</v>
      </c>
      <c r="AR195" s="141" t="s">
        <v>247</v>
      </c>
      <c r="AS195" s="216" t="s">
        <v>248</v>
      </c>
      <c r="AT195" s="141" t="s">
        <v>249</v>
      </c>
      <c r="AU195" s="220"/>
    </row>
    <row r="196" spans="1:47" s="224" customFormat="1" x14ac:dyDescent="0.25">
      <c r="A196" s="350"/>
      <c r="B196" s="317"/>
      <c r="C196" s="318">
        <v>9</v>
      </c>
      <c r="D196" s="83" t="s">
        <v>449</v>
      </c>
      <c r="E196" s="242">
        <v>5</v>
      </c>
      <c r="F196" s="242">
        <v>5</v>
      </c>
      <c r="G196" s="77" t="s">
        <v>28</v>
      </c>
      <c r="H196" s="74">
        <f t="shared" si="126"/>
        <v>3333.3333333333335</v>
      </c>
      <c r="I196" s="74">
        <f t="shared" ref="I196:I200" si="133">F196*H196</f>
        <v>16666.666666666668</v>
      </c>
      <c r="J196" s="74">
        <f t="shared" si="129"/>
        <v>470.58823529411768</v>
      </c>
      <c r="K196" s="74">
        <f t="shared" si="124"/>
        <v>2352.9411764705883</v>
      </c>
      <c r="L196" s="72">
        <f t="shared" si="125"/>
        <v>19019.607843137255</v>
      </c>
      <c r="M196" s="74">
        <f t="shared" si="130"/>
        <v>4647.0118118039745</v>
      </c>
      <c r="N196" s="74">
        <f t="shared" si="131"/>
        <v>656.04872637232586</v>
      </c>
      <c r="O196" s="72">
        <f t="shared" si="99"/>
        <v>5303.0605381763007</v>
      </c>
      <c r="P196" s="205">
        <f t="shared" si="100"/>
        <v>26515.302690881505</v>
      </c>
      <c r="Q196" s="272">
        <f t="shared" si="132"/>
        <v>26515.302690881501</v>
      </c>
      <c r="R196" s="439">
        <f t="shared" si="101"/>
        <v>0</v>
      </c>
      <c r="S196" s="273"/>
      <c r="T196" s="74">
        <v>2900</v>
      </c>
      <c r="U196" s="273"/>
      <c r="V196" s="273"/>
      <c r="W196" s="74">
        <v>400</v>
      </c>
      <c r="AL196" s="891" t="s">
        <v>276</v>
      </c>
      <c r="AM196" s="891"/>
      <c r="AN196" s="774" t="s">
        <v>100</v>
      </c>
      <c r="AO196" s="774">
        <v>26</v>
      </c>
      <c r="AP196" s="774">
        <f>5*6</f>
        <v>30</v>
      </c>
      <c r="AQ196" s="144">
        <f>270/1.05</f>
        <v>257.14285714285711</v>
      </c>
      <c r="AR196" s="144">
        <f t="shared" ref="AR196:AR205" si="134">AQ196*AP196</f>
        <v>7714.2857142857138</v>
      </c>
      <c r="AS196" s="144">
        <v>150</v>
      </c>
      <c r="AT196" s="144">
        <f t="shared" ref="AT196:AT205" si="135">AS196*AP196</f>
        <v>4500</v>
      </c>
      <c r="AU196" s="220"/>
    </row>
    <row r="197" spans="1:47" s="224" customFormat="1" x14ac:dyDescent="0.25">
      <c r="A197" s="350"/>
      <c r="B197" s="317"/>
      <c r="C197" s="318">
        <v>10</v>
      </c>
      <c r="D197" s="83" t="s">
        <v>451</v>
      </c>
      <c r="E197" s="242">
        <v>240</v>
      </c>
      <c r="F197" s="242">
        <v>247</v>
      </c>
      <c r="G197" s="77" t="s">
        <v>453</v>
      </c>
      <c r="H197" s="74">
        <f t="shared" si="126"/>
        <v>31.781344350866043</v>
      </c>
      <c r="I197" s="74">
        <f t="shared" si="133"/>
        <v>7849.9920546639123</v>
      </c>
      <c r="J197" s="74">
        <f t="shared" si="129"/>
        <v>12.941176470588236</v>
      </c>
      <c r="K197" s="74">
        <f t="shared" si="124"/>
        <v>3196.4705882352941</v>
      </c>
      <c r="L197" s="72">
        <f t="shared" si="125"/>
        <v>11046.462642899207</v>
      </c>
      <c r="M197" s="74">
        <f t="shared" si="130"/>
        <v>44.30648477804521</v>
      </c>
      <c r="N197" s="74">
        <f t="shared" si="131"/>
        <v>18.041339975238959</v>
      </c>
      <c r="O197" s="72">
        <f t="shared" si="99"/>
        <v>62.347824753284172</v>
      </c>
      <c r="P197" s="205">
        <f t="shared" si="100"/>
        <v>15399.912714061191</v>
      </c>
      <c r="Q197" s="272">
        <f t="shared" si="132"/>
        <v>15399.912714061187</v>
      </c>
      <c r="R197" s="439">
        <f t="shared" si="101"/>
        <v>0</v>
      </c>
      <c r="S197" s="273"/>
      <c r="T197" s="74">
        <f>30/1.085</f>
        <v>27.649769585253456</v>
      </c>
      <c r="U197" s="273"/>
      <c r="V197" s="273"/>
      <c r="W197" s="74">
        <v>11</v>
      </c>
      <c r="AL197" s="891" t="s">
        <v>277</v>
      </c>
      <c r="AM197" s="891"/>
      <c r="AN197" s="774" t="s">
        <v>283</v>
      </c>
      <c r="AO197" s="774">
        <v>10</v>
      </c>
      <c r="AP197" s="774">
        <v>10</v>
      </c>
      <c r="AQ197" s="144">
        <v>250</v>
      </c>
      <c r="AR197" s="144">
        <f t="shared" si="134"/>
        <v>2500</v>
      </c>
      <c r="AS197" s="144">
        <v>65</v>
      </c>
      <c r="AT197" s="144">
        <f t="shared" si="135"/>
        <v>650</v>
      </c>
      <c r="AU197" s="220"/>
    </row>
    <row r="198" spans="1:47" s="224" customFormat="1" x14ac:dyDescent="0.25">
      <c r="A198" s="350"/>
      <c r="B198" s="317"/>
      <c r="C198" s="318">
        <v>11</v>
      </c>
      <c r="D198" s="83" t="s">
        <v>450</v>
      </c>
      <c r="E198" s="242">
        <v>240</v>
      </c>
      <c r="F198" s="242">
        <v>247</v>
      </c>
      <c r="G198" s="77" t="s">
        <v>283</v>
      </c>
      <c r="H198" s="74">
        <f t="shared" si="126"/>
        <v>18.390804597701148</v>
      </c>
      <c r="I198" s="74">
        <f t="shared" si="133"/>
        <v>4542.5287356321833</v>
      </c>
      <c r="J198" s="74">
        <f t="shared" si="129"/>
        <v>7.0588235294117645</v>
      </c>
      <c r="K198" s="74">
        <f t="shared" si="124"/>
        <v>1743.5294117647059</v>
      </c>
      <c r="L198" s="72">
        <f t="shared" si="125"/>
        <v>6286.0581473968887</v>
      </c>
      <c r="M198" s="74">
        <f t="shared" si="130"/>
        <v>25.638685858228826</v>
      </c>
      <c r="N198" s="74">
        <f t="shared" si="131"/>
        <v>9.8407308955848869</v>
      </c>
      <c r="O198" s="72">
        <f t="shared" si="99"/>
        <v>35.479416753813709</v>
      </c>
      <c r="P198" s="205">
        <f t="shared" si="100"/>
        <v>8763.4159381919853</v>
      </c>
      <c r="Q198" s="272">
        <f t="shared" si="132"/>
        <v>8763.4159381919853</v>
      </c>
      <c r="R198" s="439">
        <f t="shared" si="101"/>
        <v>0</v>
      </c>
      <c r="S198" s="273"/>
      <c r="T198" s="74">
        <v>16</v>
      </c>
      <c r="U198" s="273"/>
      <c r="V198" s="273"/>
      <c r="W198" s="74">
        <v>6</v>
      </c>
      <c r="AL198" s="891" t="s">
        <v>278</v>
      </c>
      <c r="AM198" s="891"/>
      <c r="AN198" s="774" t="s">
        <v>283</v>
      </c>
      <c r="AO198" s="774">
        <v>10</v>
      </c>
      <c r="AP198" s="774">
        <v>10</v>
      </c>
      <c r="AQ198" s="144">
        <v>280</v>
      </c>
      <c r="AR198" s="144">
        <f t="shared" si="134"/>
        <v>2800</v>
      </c>
      <c r="AS198" s="144">
        <v>70</v>
      </c>
      <c r="AT198" s="144">
        <f t="shared" si="135"/>
        <v>700</v>
      </c>
      <c r="AU198" s="220"/>
    </row>
    <row r="199" spans="1:47" s="224" customFormat="1" x14ac:dyDescent="0.25">
      <c r="A199" s="350"/>
      <c r="B199" s="317"/>
      <c r="C199" s="318">
        <v>12</v>
      </c>
      <c r="D199" s="83" t="s">
        <v>452</v>
      </c>
      <c r="E199" s="242">
        <v>95</v>
      </c>
      <c r="F199" s="242">
        <v>100</v>
      </c>
      <c r="G199" s="77" t="s">
        <v>283</v>
      </c>
      <c r="H199" s="74">
        <f t="shared" si="126"/>
        <v>28.735632183908045</v>
      </c>
      <c r="I199" s="74">
        <f t="shared" si="133"/>
        <v>2873.5632183908046</v>
      </c>
      <c r="J199" s="74">
        <f t="shared" si="129"/>
        <v>10.588235294117647</v>
      </c>
      <c r="K199" s="74">
        <f t="shared" si="124"/>
        <v>1058.8235294117646</v>
      </c>
      <c r="L199" s="72">
        <f t="shared" si="125"/>
        <v>3932.3867478025695</v>
      </c>
      <c r="M199" s="74">
        <f t="shared" si="130"/>
        <v>40.060446653482536</v>
      </c>
      <c r="N199" s="74">
        <f t="shared" si="131"/>
        <v>14.761096343377329</v>
      </c>
      <c r="O199" s="72">
        <f t="shared" si="99"/>
        <v>54.821542996859861</v>
      </c>
      <c r="P199" s="205">
        <f t="shared" si="100"/>
        <v>5482.1542996859862</v>
      </c>
      <c r="Q199" s="272">
        <f t="shared" si="132"/>
        <v>5482.1542996859871</v>
      </c>
      <c r="R199" s="439">
        <f t="shared" si="101"/>
        <v>0</v>
      </c>
      <c r="S199" s="273"/>
      <c r="T199" s="74">
        <v>25</v>
      </c>
      <c r="U199" s="273"/>
      <c r="V199" s="273"/>
      <c r="W199" s="74">
        <v>9</v>
      </c>
      <c r="AL199" s="933" t="s">
        <v>280</v>
      </c>
      <c r="AM199" s="933"/>
      <c r="AN199" s="774" t="s">
        <v>101</v>
      </c>
      <c r="AO199" s="774">
        <f>4.5*1.2</f>
        <v>5.3999999999999995</v>
      </c>
      <c r="AP199" s="774">
        <v>6</v>
      </c>
      <c r="AQ199" s="144">
        <v>160</v>
      </c>
      <c r="AR199" s="144">
        <f t="shared" si="134"/>
        <v>960</v>
      </c>
      <c r="AS199" s="144">
        <v>145</v>
      </c>
      <c r="AT199" s="144">
        <f t="shared" si="135"/>
        <v>870</v>
      </c>
      <c r="AU199" s="220"/>
    </row>
    <row r="200" spans="1:47" s="224" customFormat="1" x14ac:dyDescent="0.25">
      <c r="A200" s="350"/>
      <c r="B200" s="317"/>
      <c r="C200" s="318">
        <v>13</v>
      </c>
      <c r="D200" s="83" t="s">
        <v>524</v>
      </c>
      <c r="E200" s="242">
        <v>2</v>
      </c>
      <c r="F200" s="242">
        <v>2</v>
      </c>
      <c r="G200" s="77" t="s">
        <v>525</v>
      </c>
      <c r="H200" s="74">
        <f>16000/1.05</f>
        <v>15238.095238095237</v>
      </c>
      <c r="I200" s="74">
        <f t="shared" si="133"/>
        <v>30476.190476190473</v>
      </c>
      <c r="J200" s="74">
        <f t="shared" si="129"/>
        <v>7058.8235294117649</v>
      </c>
      <c r="K200" s="74">
        <f t="shared" si="124"/>
        <v>14117.64705882353</v>
      </c>
      <c r="L200" s="72">
        <f t="shared" si="125"/>
        <v>44593.837535014005</v>
      </c>
      <c r="M200" s="74">
        <f t="shared" si="130"/>
        <v>21243.482568246738</v>
      </c>
      <c r="N200" s="74">
        <f t="shared" si="131"/>
        <v>9840.7308955848875</v>
      </c>
      <c r="O200" s="72">
        <f t="shared" si="99"/>
        <v>31084.213463831627</v>
      </c>
      <c r="P200" s="205">
        <f t="shared" si="100"/>
        <v>62168.426927663255</v>
      </c>
      <c r="Q200" s="272">
        <f t="shared" si="132"/>
        <v>62168.426927663248</v>
      </c>
      <c r="R200" s="439">
        <f t="shared" si="101"/>
        <v>0</v>
      </c>
      <c r="S200" s="273"/>
      <c r="T200" s="74">
        <v>25</v>
      </c>
      <c r="U200" s="273"/>
      <c r="V200" s="273"/>
      <c r="W200" s="74">
        <f>6000</f>
        <v>6000</v>
      </c>
      <c r="AL200" s="933" t="s">
        <v>280</v>
      </c>
      <c r="AM200" s="933"/>
      <c r="AN200" s="774" t="s">
        <v>101</v>
      </c>
      <c r="AO200" s="774">
        <f>4.5*1.2</f>
        <v>5.3999999999999995</v>
      </c>
      <c r="AP200" s="774">
        <v>6</v>
      </c>
      <c r="AQ200" s="144">
        <v>160</v>
      </c>
      <c r="AR200" s="144">
        <f t="shared" si="134"/>
        <v>960</v>
      </c>
      <c r="AS200" s="144">
        <v>145</v>
      </c>
      <c r="AT200" s="144">
        <f t="shared" si="135"/>
        <v>870</v>
      </c>
      <c r="AU200" s="220"/>
    </row>
    <row r="201" spans="1:47" s="224" customFormat="1" x14ac:dyDescent="0.25">
      <c r="A201" s="350"/>
      <c r="B201" s="317"/>
      <c r="C201" s="318"/>
      <c r="D201" s="83"/>
      <c r="E201" s="242"/>
      <c r="F201" s="242"/>
      <c r="G201" s="77"/>
      <c r="H201" s="74"/>
      <c r="I201" s="74"/>
      <c r="J201" s="74"/>
      <c r="K201" s="74"/>
      <c r="L201" s="72"/>
      <c r="M201" s="74"/>
      <c r="N201" s="74"/>
      <c r="O201" s="72"/>
      <c r="P201" s="205"/>
      <c r="Q201" s="272"/>
      <c r="R201" s="439"/>
      <c r="S201" s="273"/>
      <c r="U201" s="273"/>
      <c r="V201" s="273"/>
      <c r="W201" s="74"/>
      <c r="X201" s="273"/>
      <c r="Y201" s="273"/>
      <c r="Z201" s="273"/>
      <c r="AA201" s="273"/>
      <c r="AB201" s="273"/>
      <c r="AC201" s="273"/>
      <c r="AE201" s="273"/>
      <c r="AG201" s="738"/>
      <c r="AL201" s="933" t="s">
        <v>285</v>
      </c>
      <c r="AM201" s="933"/>
      <c r="AN201" s="774" t="s">
        <v>100</v>
      </c>
      <c r="AO201" s="774">
        <v>26</v>
      </c>
      <c r="AP201" s="774">
        <v>32</v>
      </c>
      <c r="AQ201" s="441">
        <v>90</v>
      </c>
      <c r="AR201" s="144">
        <f t="shared" si="134"/>
        <v>2880</v>
      </c>
      <c r="AS201" s="441">
        <v>90</v>
      </c>
      <c r="AT201" s="144">
        <f t="shared" si="135"/>
        <v>2880</v>
      </c>
      <c r="AU201" s="220"/>
    </row>
    <row r="202" spans="1:47" s="224" customFormat="1" x14ac:dyDescent="0.25">
      <c r="A202" s="350"/>
      <c r="B202" s="412" t="s">
        <v>329</v>
      </c>
      <c r="C202" s="413" t="s">
        <v>458</v>
      </c>
      <c r="D202" s="316"/>
      <c r="E202" s="244"/>
      <c r="F202" s="244"/>
      <c r="G202" s="75"/>
      <c r="H202" s="74"/>
      <c r="I202" s="74"/>
      <c r="J202" s="74"/>
      <c r="K202" s="74"/>
      <c r="L202" s="74"/>
      <c r="M202" s="74"/>
      <c r="N202" s="74"/>
      <c r="O202" s="72"/>
      <c r="P202" s="205"/>
      <c r="Q202" s="272"/>
      <c r="R202" s="439"/>
      <c r="S202" s="273"/>
      <c r="W202" s="74"/>
      <c r="AL202" s="933" t="s">
        <v>279</v>
      </c>
      <c r="AM202" s="933"/>
      <c r="AN202" s="774" t="s">
        <v>266</v>
      </c>
      <c r="AO202" s="774">
        <f>4.5*1.2*0.15+(4.5*0.3*0.1)*2</f>
        <v>1.0799999999999998</v>
      </c>
      <c r="AP202" s="774">
        <v>1.25</v>
      </c>
      <c r="AQ202" s="441">
        <f>3800/1.05</f>
        <v>3619.0476190476188</v>
      </c>
      <c r="AR202" s="144">
        <f t="shared" si="134"/>
        <v>4523.8095238095239</v>
      </c>
      <c r="AS202" s="441">
        <v>800</v>
      </c>
      <c r="AT202" s="144">
        <f t="shared" si="135"/>
        <v>1000</v>
      </c>
      <c r="AU202" s="220"/>
    </row>
    <row r="203" spans="1:47" s="224" customFormat="1" x14ac:dyDescent="0.25">
      <c r="A203" s="350"/>
      <c r="B203" s="317"/>
      <c r="C203" s="318">
        <v>1</v>
      </c>
      <c r="D203" s="83" t="s">
        <v>459</v>
      </c>
      <c r="E203" s="242">
        <v>1337</v>
      </c>
      <c r="F203" s="242">
        <v>1446</v>
      </c>
      <c r="G203" s="77" t="s">
        <v>100</v>
      </c>
      <c r="H203" s="74">
        <f>10</f>
        <v>10</v>
      </c>
      <c r="I203" s="74">
        <f>F203*H203</f>
        <v>14460</v>
      </c>
      <c r="J203" s="74">
        <f t="shared" ref="J203:J211" si="136">W203/$J$165</f>
        <v>4.7058823529411766</v>
      </c>
      <c r="K203" s="74">
        <f t="shared" ref="K203:K211" si="137">F203*J203</f>
        <v>6804.7058823529414</v>
      </c>
      <c r="L203" s="72">
        <f t="shared" ref="L203:L211" si="138">I203+K203</f>
        <v>21264.705882352941</v>
      </c>
      <c r="M203" s="74">
        <f t="shared" ref="M203:M211" si="139">H203/$P$260*$P$268</f>
        <v>13.941035435411923</v>
      </c>
      <c r="N203" s="74">
        <f t="shared" ref="N203:N211" si="140">J203/$P$260*$P$268</f>
        <v>6.5604872637232576</v>
      </c>
      <c r="O203" s="72">
        <f t="shared" si="99"/>
        <v>20.50152269913518</v>
      </c>
      <c r="P203" s="205">
        <f t="shared" si="100"/>
        <v>29645.201822949468</v>
      </c>
      <c r="Q203" s="272">
        <f t="shared" ref="Q203:Q238" si="141">L203/$P$260*$P$268</f>
        <v>29645.201822949468</v>
      </c>
      <c r="R203" s="439">
        <f t="shared" si="101"/>
        <v>0</v>
      </c>
      <c r="S203" s="273"/>
      <c r="U203" s="273"/>
      <c r="V203" s="273"/>
      <c r="W203" s="74">
        <v>4</v>
      </c>
      <c r="AL203" s="933" t="s">
        <v>282</v>
      </c>
      <c r="AM203" s="933"/>
      <c r="AN203" s="774" t="s">
        <v>284</v>
      </c>
      <c r="AO203" s="173">
        <f>(5*12+23*1.2+16)*0.616</f>
        <v>63.817599999999999</v>
      </c>
      <c r="AP203" s="774">
        <v>75</v>
      </c>
      <c r="AQ203" s="441">
        <f>33/1.05</f>
        <v>31.428571428571427</v>
      </c>
      <c r="AR203" s="144">
        <f t="shared" si="134"/>
        <v>2357.1428571428569</v>
      </c>
      <c r="AS203" s="441">
        <v>12</v>
      </c>
      <c r="AT203" s="144">
        <f t="shared" si="135"/>
        <v>900</v>
      </c>
      <c r="AU203" s="220"/>
    </row>
    <row r="204" spans="1:47" s="224" customFormat="1" x14ac:dyDescent="0.25">
      <c r="A204" s="350"/>
      <c r="B204" s="317"/>
      <c r="C204" s="318">
        <v>2</v>
      </c>
      <c r="D204" s="83" t="s">
        <v>460</v>
      </c>
      <c r="E204" s="242">
        <v>1113</v>
      </c>
      <c r="F204" s="242">
        <v>1320</v>
      </c>
      <c r="G204" s="77" t="s">
        <v>100</v>
      </c>
      <c r="H204" s="74">
        <f>25</f>
        <v>25</v>
      </c>
      <c r="I204" s="74">
        <f t="shared" ref="I204:I206" si="142">F204*H204</f>
        <v>33000</v>
      </c>
      <c r="J204" s="74">
        <f t="shared" si="136"/>
        <v>10.588235294117647</v>
      </c>
      <c r="K204" s="74">
        <f t="shared" si="137"/>
        <v>13976.470588235294</v>
      </c>
      <c r="L204" s="72">
        <f t="shared" si="138"/>
        <v>46976.470588235294</v>
      </c>
      <c r="M204" s="74">
        <f t="shared" si="139"/>
        <v>34.852588588529805</v>
      </c>
      <c r="N204" s="74">
        <f t="shared" si="140"/>
        <v>14.761096343377329</v>
      </c>
      <c r="O204" s="72">
        <f t="shared" si="99"/>
        <v>49.61368493190713</v>
      </c>
      <c r="P204" s="205">
        <f t="shared" si="100"/>
        <v>65490.064110117411</v>
      </c>
      <c r="Q204" s="272">
        <f t="shared" si="141"/>
        <v>65490.064110117419</v>
      </c>
      <c r="R204" s="439">
        <f t="shared" si="101"/>
        <v>0</v>
      </c>
      <c r="S204" s="273"/>
      <c r="U204" s="273"/>
      <c r="V204" s="273"/>
      <c r="W204" s="74">
        <v>9</v>
      </c>
      <c r="AL204" s="933" t="s">
        <v>281</v>
      </c>
      <c r="AM204" s="933"/>
      <c r="AN204" s="774" t="s">
        <v>101</v>
      </c>
      <c r="AO204" s="774">
        <f>0.3*4.5*2</f>
        <v>2.6999999999999997</v>
      </c>
      <c r="AP204" s="774">
        <v>3</v>
      </c>
      <c r="AQ204" s="441">
        <v>220</v>
      </c>
      <c r="AR204" s="144">
        <f t="shared" si="134"/>
        <v>660</v>
      </c>
      <c r="AS204" s="441">
        <v>200</v>
      </c>
      <c r="AT204" s="144">
        <f t="shared" si="135"/>
        <v>600</v>
      </c>
      <c r="AU204" s="220"/>
    </row>
    <row r="205" spans="1:47" s="224" customFormat="1" x14ac:dyDescent="0.25">
      <c r="A205" s="350"/>
      <c r="B205" s="317"/>
      <c r="C205" s="318">
        <v>3</v>
      </c>
      <c r="D205" s="83" t="s">
        <v>461</v>
      </c>
      <c r="E205" s="242">
        <v>33</v>
      </c>
      <c r="F205" s="242">
        <v>33</v>
      </c>
      <c r="G205" s="77" t="s">
        <v>28</v>
      </c>
      <c r="H205" s="74">
        <f>258</f>
        <v>258</v>
      </c>
      <c r="I205" s="74">
        <f t="shared" si="142"/>
        <v>8514</v>
      </c>
      <c r="J205" s="74">
        <f t="shared" si="136"/>
        <v>117.64705882352942</v>
      </c>
      <c r="K205" s="74">
        <f t="shared" si="137"/>
        <v>3882.3529411764707</v>
      </c>
      <c r="L205" s="72">
        <f t="shared" si="138"/>
        <v>12396.35294117647</v>
      </c>
      <c r="M205" s="74">
        <f t="shared" si="139"/>
        <v>359.6787142336276</v>
      </c>
      <c r="N205" s="74">
        <f t="shared" si="140"/>
        <v>164.01218159308146</v>
      </c>
      <c r="O205" s="72">
        <f t="shared" si="99"/>
        <v>523.69089582670904</v>
      </c>
      <c r="P205" s="205">
        <f t="shared" si="100"/>
        <v>17281.799562281398</v>
      </c>
      <c r="Q205" s="272">
        <f t="shared" si="141"/>
        <v>17281.799562281398</v>
      </c>
      <c r="R205" s="439">
        <f t="shared" si="101"/>
        <v>0</v>
      </c>
      <c r="S205" s="273"/>
      <c r="U205" s="273"/>
      <c r="V205" s="273"/>
      <c r="W205" s="74">
        <v>100</v>
      </c>
      <c r="X205" s="273"/>
      <c r="Y205" s="273"/>
      <c r="Z205" s="273"/>
      <c r="AA205" s="273"/>
      <c r="AB205" s="273"/>
      <c r="AC205" s="273"/>
      <c r="AE205" s="273"/>
      <c r="AG205" s="738"/>
      <c r="AL205" s="933" t="s">
        <v>379</v>
      </c>
      <c r="AM205" s="933"/>
      <c r="AN205" s="774" t="s">
        <v>301</v>
      </c>
      <c r="AO205" s="774">
        <v>1</v>
      </c>
      <c r="AP205" s="774">
        <v>1</v>
      </c>
      <c r="AQ205" s="441">
        <v>1000</v>
      </c>
      <c r="AR205" s="144">
        <f t="shared" si="134"/>
        <v>1000</v>
      </c>
      <c r="AS205" s="441">
        <v>800</v>
      </c>
      <c r="AT205" s="144">
        <f t="shared" si="135"/>
        <v>800</v>
      </c>
    </row>
    <row r="206" spans="1:47" s="224" customFormat="1" x14ac:dyDescent="0.25">
      <c r="A206" s="350"/>
      <c r="B206" s="317"/>
      <c r="C206" s="318">
        <v>4</v>
      </c>
      <c r="D206" s="83" t="s">
        <v>462</v>
      </c>
      <c r="E206" s="242">
        <v>33</v>
      </c>
      <c r="F206" s="242">
        <v>33</v>
      </c>
      <c r="G206" s="77" t="s">
        <v>28</v>
      </c>
      <c r="H206" s="74">
        <f>456</f>
        <v>456</v>
      </c>
      <c r="I206" s="74">
        <f t="shared" si="142"/>
        <v>15048</v>
      </c>
      <c r="J206" s="74">
        <f t="shared" si="136"/>
        <v>117.64705882352942</v>
      </c>
      <c r="K206" s="74">
        <f t="shared" si="137"/>
        <v>3882.3529411764707</v>
      </c>
      <c r="L206" s="72">
        <f t="shared" si="138"/>
        <v>18930.352941176472</v>
      </c>
      <c r="M206" s="74">
        <f t="shared" si="139"/>
        <v>635.71121585478363</v>
      </c>
      <c r="N206" s="74">
        <f t="shared" si="140"/>
        <v>164.01218159308146</v>
      </c>
      <c r="O206" s="72">
        <f t="shared" si="99"/>
        <v>799.72339744786507</v>
      </c>
      <c r="P206" s="205">
        <f t="shared" si="100"/>
        <v>26390.872115779548</v>
      </c>
      <c r="Q206" s="272">
        <f t="shared" si="141"/>
        <v>26390.872115779552</v>
      </c>
      <c r="R206" s="439">
        <f t="shared" si="101"/>
        <v>0</v>
      </c>
      <c r="S206" s="273"/>
      <c r="U206" s="273"/>
      <c r="V206" s="273"/>
      <c r="W206" s="74">
        <v>100</v>
      </c>
      <c r="X206" s="273"/>
      <c r="Y206" s="273"/>
      <c r="Z206" s="273"/>
      <c r="AA206" s="273"/>
      <c r="AB206" s="273"/>
      <c r="AC206" s="273"/>
      <c r="AE206" s="273"/>
      <c r="AL206" s="273"/>
      <c r="AM206" s="273"/>
      <c r="AN206" s="273"/>
      <c r="AO206" s="273"/>
      <c r="AP206" s="273"/>
      <c r="AQ206" s="273"/>
      <c r="AR206" s="216">
        <f>SUM(AR196:AR205)</f>
        <v>26355.238095238092</v>
      </c>
      <c r="AS206" s="273"/>
      <c r="AT206" s="216">
        <f>SUM(AT196:AT205)</f>
        <v>13770</v>
      </c>
    </row>
    <row r="207" spans="1:47" s="224" customFormat="1" x14ac:dyDescent="0.25">
      <c r="A207" s="350"/>
      <c r="B207" s="317"/>
      <c r="C207" s="318">
        <v>1</v>
      </c>
      <c r="D207" s="83" t="s">
        <v>463</v>
      </c>
      <c r="E207" s="242">
        <v>1</v>
      </c>
      <c r="F207" s="242">
        <v>1</v>
      </c>
      <c r="G207" s="77" t="s">
        <v>251</v>
      </c>
      <c r="H207" s="74">
        <f>4500</f>
        <v>4500</v>
      </c>
      <c r="I207" s="74">
        <f>F207*H207</f>
        <v>4500</v>
      </c>
      <c r="J207" s="74">
        <f t="shared" si="136"/>
        <v>1058.8235294117646</v>
      </c>
      <c r="K207" s="74">
        <f t="shared" si="137"/>
        <v>1058.8235294117646</v>
      </c>
      <c r="L207" s="72">
        <f t="shared" si="138"/>
        <v>5558.8235294117649</v>
      </c>
      <c r="M207" s="74">
        <f t="shared" si="139"/>
        <v>6273.4659459353652</v>
      </c>
      <c r="N207" s="74">
        <f t="shared" si="140"/>
        <v>1476.1096343377328</v>
      </c>
      <c r="O207" s="72">
        <f t="shared" si="99"/>
        <v>7749.5755802730982</v>
      </c>
      <c r="P207" s="205">
        <f t="shared" si="100"/>
        <v>7749.5755802730982</v>
      </c>
      <c r="Q207" s="272">
        <f t="shared" si="141"/>
        <v>7749.5755802730982</v>
      </c>
      <c r="R207" s="439">
        <f t="shared" si="101"/>
        <v>0</v>
      </c>
      <c r="S207" s="273"/>
      <c r="U207" s="273"/>
      <c r="V207" s="273"/>
      <c r="W207" s="74">
        <v>900</v>
      </c>
    </row>
    <row r="208" spans="1:47" s="224" customFormat="1" x14ac:dyDescent="0.25">
      <c r="A208" s="350"/>
      <c r="B208" s="317"/>
      <c r="C208" s="318">
        <v>2</v>
      </c>
      <c r="D208" s="83" t="s">
        <v>464</v>
      </c>
      <c r="E208" s="242">
        <v>1</v>
      </c>
      <c r="F208" s="242">
        <v>1</v>
      </c>
      <c r="G208" s="77" t="s">
        <v>251</v>
      </c>
      <c r="H208" s="74">
        <f>15000</f>
        <v>15000</v>
      </c>
      <c r="I208" s="74">
        <f t="shared" ref="I208:I210" si="143">F208*H208</f>
        <v>15000</v>
      </c>
      <c r="J208" s="74">
        <f t="shared" si="136"/>
        <v>3529.4117647058824</v>
      </c>
      <c r="K208" s="74">
        <f t="shared" si="137"/>
        <v>3529.4117647058824</v>
      </c>
      <c r="L208" s="72">
        <f t="shared" si="138"/>
        <v>18529.411764705881</v>
      </c>
      <c r="M208" s="74">
        <f t="shared" si="139"/>
        <v>20911.553153117886</v>
      </c>
      <c r="N208" s="74">
        <f t="shared" si="140"/>
        <v>4920.3654477924438</v>
      </c>
      <c r="O208" s="72">
        <f t="shared" si="99"/>
        <v>25831.918600910329</v>
      </c>
      <c r="P208" s="205">
        <f t="shared" si="100"/>
        <v>25831.918600910329</v>
      </c>
      <c r="Q208" s="272">
        <f t="shared" si="141"/>
        <v>25831.918600910325</v>
      </c>
      <c r="R208" s="439">
        <f t="shared" si="101"/>
        <v>0</v>
      </c>
      <c r="S208" s="273"/>
      <c r="U208" s="273"/>
      <c r="V208" s="273"/>
      <c r="W208" s="74">
        <v>3000</v>
      </c>
    </row>
    <row r="209" spans="1:39" s="224" customFormat="1" x14ac:dyDescent="0.25">
      <c r="A209" s="350"/>
      <c r="B209" s="317"/>
      <c r="C209" s="318">
        <v>3</v>
      </c>
      <c r="D209" s="83" t="s">
        <v>465</v>
      </c>
      <c r="E209" s="242">
        <v>1</v>
      </c>
      <c r="F209" s="242">
        <v>1</v>
      </c>
      <c r="G209" s="77" t="s">
        <v>243</v>
      </c>
      <c r="H209" s="74">
        <f>12000</f>
        <v>12000</v>
      </c>
      <c r="I209" s="74">
        <f t="shared" si="143"/>
        <v>12000</v>
      </c>
      <c r="J209" s="74">
        <f t="shared" si="136"/>
        <v>529.41176470588232</v>
      </c>
      <c r="K209" s="74">
        <f t="shared" si="137"/>
        <v>529.41176470588232</v>
      </c>
      <c r="L209" s="72">
        <f t="shared" si="138"/>
        <v>12529.411764705883</v>
      </c>
      <c r="M209" s="74">
        <f t="shared" si="139"/>
        <v>16729.242522494307</v>
      </c>
      <c r="N209" s="74">
        <f t="shared" si="140"/>
        <v>738.05481716886641</v>
      </c>
      <c r="O209" s="72">
        <f t="shared" si="99"/>
        <v>17467.297339663175</v>
      </c>
      <c r="P209" s="205">
        <f t="shared" si="100"/>
        <v>17467.297339663175</v>
      </c>
      <c r="Q209" s="272">
        <f t="shared" si="141"/>
        <v>17467.297339663175</v>
      </c>
      <c r="R209" s="439">
        <f t="shared" si="101"/>
        <v>0</v>
      </c>
      <c r="S209" s="273"/>
      <c r="U209" s="273"/>
      <c r="V209" s="273"/>
      <c r="W209" s="74">
        <v>450</v>
      </c>
      <c r="X209" s="273"/>
      <c r="Y209" s="273"/>
      <c r="Z209" s="273"/>
      <c r="AA209" s="273"/>
      <c r="AB209" s="273"/>
      <c r="AC209" s="273"/>
      <c r="AE209" s="273"/>
      <c r="AG209" s="738">
        <f>AE222*2+AE240*3</f>
        <v>40999</v>
      </c>
    </row>
    <row r="210" spans="1:39" s="224" customFormat="1" x14ac:dyDescent="0.25">
      <c r="A210" s="350"/>
      <c r="B210" s="317"/>
      <c r="C210" s="318">
        <v>4</v>
      </c>
      <c r="D210" s="83" t="s">
        <v>466</v>
      </c>
      <c r="E210" s="242">
        <v>2</v>
      </c>
      <c r="F210" s="242">
        <v>2</v>
      </c>
      <c r="G210" s="77" t="s">
        <v>283</v>
      </c>
      <c r="H210" s="74">
        <f>5612</f>
        <v>5612</v>
      </c>
      <c r="I210" s="74">
        <f t="shared" si="143"/>
        <v>11224</v>
      </c>
      <c r="J210" s="74">
        <f t="shared" si="136"/>
        <v>2352.9411764705883</v>
      </c>
      <c r="K210" s="74">
        <f t="shared" si="137"/>
        <v>4705.8823529411766</v>
      </c>
      <c r="L210" s="72">
        <f t="shared" si="138"/>
        <v>15929.882352941177</v>
      </c>
      <c r="M210" s="74">
        <f t="shared" si="139"/>
        <v>7823.7090863531712</v>
      </c>
      <c r="N210" s="74">
        <f t="shared" si="140"/>
        <v>3280.2436318616287</v>
      </c>
      <c r="O210" s="72">
        <f t="shared" si="99"/>
        <v>11103.952718214799</v>
      </c>
      <c r="P210" s="205">
        <f t="shared" si="100"/>
        <v>22207.905436429599</v>
      </c>
      <c r="Q210" s="272">
        <f t="shared" si="141"/>
        <v>22207.905436429603</v>
      </c>
      <c r="R210" s="439">
        <f t="shared" si="101"/>
        <v>0</v>
      </c>
      <c r="S210" s="273"/>
      <c r="U210" s="273"/>
      <c r="V210" s="273"/>
      <c r="W210" s="74">
        <v>2000</v>
      </c>
      <c r="X210" s="273"/>
      <c r="Y210" s="273"/>
      <c r="Z210" s="273"/>
      <c r="AA210" s="273"/>
      <c r="AB210" s="273"/>
      <c r="AC210" s="273"/>
      <c r="AE210" s="273"/>
    </row>
    <row r="211" spans="1:39" s="224" customFormat="1" x14ac:dyDescent="0.25">
      <c r="A211" s="350"/>
      <c r="B211" s="317"/>
      <c r="C211" s="318">
        <v>5</v>
      </c>
      <c r="D211" s="83" t="s">
        <v>467</v>
      </c>
      <c r="E211" s="242">
        <v>1</v>
      </c>
      <c r="F211" s="242">
        <v>1</v>
      </c>
      <c r="G211" s="77" t="s">
        <v>301</v>
      </c>
      <c r="H211" s="74">
        <f>(7500+7000)/1.075</f>
        <v>13488.372093023256</v>
      </c>
      <c r="I211" s="74">
        <f>F211*H211</f>
        <v>13488.372093023256</v>
      </c>
      <c r="J211" s="74">
        <f t="shared" si="136"/>
        <v>8823.5294117647063</v>
      </c>
      <c r="K211" s="74">
        <f t="shared" si="137"/>
        <v>8823.5294117647063</v>
      </c>
      <c r="L211" s="72">
        <f t="shared" si="138"/>
        <v>22311.901504787962</v>
      </c>
      <c r="M211" s="74">
        <f t="shared" si="139"/>
        <v>18804.187331485849</v>
      </c>
      <c r="N211" s="74">
        <f t="shared" si="140"/>
        <v>12300.913619481109</v>
      </c>
      <c r="O211" s="72">
        <f t="shared" si="99"/>
        <v>31105.10095096696</v>
      </c>
      <c r="P211" s="205">
        <f t="shared" si="100"/>
        <v>31105.10095096696</v>
      </c>
      <c r="Q211" s="272">
        <f t="shared" si="141"/>
        <v>31105.100950966957</v>
      </c>
      <c r="R211" s="439">
        <f t="shared" si="101"/>
        <v>0</v>
      </c>
      <c r="S211" s="273"/>
      <c r="U211" s="273"/>
      <c r="V211" s="273"/>
      <c r="W211" s="74">
        <f>2500+5000</f>
        <v>7500</v>
      </c>
      <c r="X211" s="786" t="s">
        <v>7</v>
      </c>
      <c r="Y211" s="786" t="s">
        <v>6</v>
      </c>
      <c r="Z211" s="786" t="s">
        <v>5</v>
      </c>
      <c r="AA211" s="934" t="s">
        <v>380</v>
      </c>
      <c r="AB211" s="934"/>
      <c r="AC211" s="934"/>
      <c r="AD211" s="934" t="s">
        <v>381</v>
      </c>
      <c r="AE211" s="934"/>
      <c r="AF211" s="737"/>
      <c r="AG211" s="687"/>
      <c r="AH211" s="687"/>
      <c r="AI211" s="687"/>
      <c r="AJ211" s="687"/>
      <c r="AK211" s="687" t="s">
        <v>397</v>
      </c>
      <c r="AL211" s="687" t="s">
        <v>398</v>
      </c>
    </row>
    <row r="212" spans="1:39" s="273" customFormat="1" ht="15.75" thickBot="1" x14ac:dyDescent="0.3">
      <c r="A212" s="350"/>
      <c r="B212" s="317"/>
      <c r="C212" s="318"/>
      <c r="D212" s="83"/>
      <c r="E212" s="242"/>
      <c r="F212" s="302"/>
      <c r="G212" s="75"/>
      <c r="H212" s="74"/>
      <c r="I212" s="74"/>
      <c r="J212" s="74"/>
      <c r="K212" s="74"/>
      <c r="L212" s="74"/>
      <c r="M212" s="72"/>
      <c r="N212" s="72"/>
      <c r="O212" s="72"/>
      <c r="P212" s="205"/>
      <c r="Q212" s="272">
        <f t="shared" si="141"/>
        <v>0</v>
      </c>
      <c r="R212" s="439"/>
      <c r="T212" s="224"/>
      <c r="W212" s="760" t="s">
        <v>400</v>
      </c>
      <c r="X212" s="786"/>
      <c r="Y212" s="786"/>
      <c r="Z212" s="786"/>
      <c r="AA212" s="786"/>
      <c r="AB212" s="786"/>
      <c r="AC212" s="786"/>
      <c r="AD212" s="786"/>
      <c r="AE212" s="786"/>
      <c r="AF212" s="686"/>
      <c r="AG212" s="686">
        <v>0.6</v>
      </c>
      <c r="AH212" s="688">
        <v>1.8</v>
      </c>
      <c r="AI212" s="687">
        <f>AG212*AH212</f>
        <v>1.08</v>
      </c>
      <c r="AJ212" s="688">
        <f>AG212+AH212</f>
        <v>2.4</v>
      </c>
      <c r="AK212" s="687">
        <v>0.6</v>
      </c>
      <c r="AL212" s="687">
        <v>0.15</v>
      </c>
    </row>
    <row r="213" spans="1:39" s="234" customFormat="1" ht="15.75" thickBot="1" x14ac:dyDescent="0.3">
      <c r="A213" s="308"/>
      <c r="B213" s="910" t="s">
        <v>345</v>
      </c>
      <c r="C213" s="911"/>
      <c r="D213" s="912"/>
      <c r="E213" s="309"/>
      <c r="F213" s="310"/>
      <c r="G213" s="311"/>
      <c r="H213" s="312"/>
      <c r="I213" s="313">
        <f>SUM(I152:I212)</f>
        <v>1400979.8978094275</v>
      </c>
      <c r="J213" s="312"/>
      <c r="K213" s="313">
        <f>SUM(K152:K212)</f>
        <v>364281.76470588241</v>
      </c>
      <c r="L213" s="313">
        <f>SUM(L152:L212)</f>
        <v>1765261.6625153099</v>
      </c>
      <c r="M213" s="312"/>
      <c r="N213" s="312"/>
      <c r="O213" s="313"/>
      <c r="P213" s="315">
        <f>SUM(P152:P212)</f>
        <v>2460957.5389900105</v>
      </c>
      <c r="Q213" s="272">
        <f t="shared" si="141"/>
        <v>2460957.5389900096</v>
      </c>
      <c r="R213" s="439">
        <f t="shared" ref="R213" si="144">P213-Q213</f>
        <v>0</v>
      </c>
      <c r="T213" s="443"/>
      <c r="U213" s="275"/>
      <c r="V213" s="276"/>
      <c r="W213" s="777" t="s">
        <v>9</v>
      </c>
      <c r="X213" s="777" t="s">
        <v>382</v>
      </c>
      <c r="Y213" s="369">
        <f>+Y216*1.2</f>
        <v>2.2680000000000002</v>
      </c>
      <c r="Z213" s="370" t="s">
        <v>383</v>
      </c>
      <c r="AA213" s="371" t="s">
        <v>384</v>
      </c>
      <c r="AB213" s="372">
        <v>2300</v>
      </c>
      <c r="AC213" s="370" t="s">
        <v>385</v>
      </c>
      <c r="AD213" s="373" t="s">
        <v>384</v>
      </c>
      <c r="AE213" s="374">
        <f>Y213*AB213</f>
        <v>5216.4000000000005</v>
      </c>
      <c r="AF213" s="386"/>
      <c r="AG213" s="385">
        <v>0.15</v>
      </c>
      <c r="AH213" s="385">
        <v>1.8</v>
      </c>
      <c r="AI213" s="385">
        <f>AG213*AH213</f>
        <v>0.27</v>
      </c>
      <c r="AJ213" s="387">
        <f t="shared" ref="AJ213" si="145">AG213+AH213</f>
        <v>1.95</v>
      </c>
      <c r="AK213" s="385">
        <v>1.8</v>
      </c>
      <c r="AL213" s="385">
        <v>0.6</v>
      </c>
      <c r="AM213" s="282"/>
    </row>
    <row r="214" spans="1:39" s="273" customFormat="1" ht="15.75" x14ac:dyDescent="0.25">
      <c r="A214" s="809" t="s">
        <v>346</v>
      </c>
      <c r="B214" s="810" t="s">
        <v>356</v>
      </c>
      <c r="C214" s="811"/>
      <c r="D214" s="83"/>
      <c r="E214" s="242"/>
      <c r="F214" s="302"/>
      <c r="G214" s="75"/>
      <c r="H214" s="74"/>
      <c r="I214" s="74"/>
      <c r="J214" s="74"/>
      <c r="K214" s="74"/>
      <c r="L214" s="74"/>
      <c r="M214" s="72"/>
      <c r="N214" s="72"/>
      <c r="O214" s="72"/>
      <c r="P214" s="205"/>
      <c r="Q214" s="272">
        <f t="shared" si="141"/>
        <v>0</v>
      </c>
      <c r="R214" s="439"/>
      <c r="T214" s="224"/>
      <c r="W214" s="681"/>
      <c r="X214" s="682"/>
      <c r="Y214" s="683"/>
      <c r="Z214" s="683"/>
      <c r="AA214" s="741"/>
      <c r="AB214" s="683"/>
      <c r="AC214" s="684" t="s">
        <v>386</v>
      </c>
      <c r="AD214" s="684" t="s">
        <v>384</v>
      </c>
      <c r="AE214" s="750">
        <f>SUM(AE213:AE213)</f>
        <v>5216.4000000000005</v>
      </c>
      <c r="AF214" s="686"/>
      <c r="AG214" s="687">
        <v>0.15</v>
      </c>
      <c r="AH214" s="687">
        <v>0.6</v>
      </c>
      <c r="AI214" s="687">
        <f>AG214*AH214</f>
        <v>0.09</v>
      </c>
      <c r="AJ214" s="688">
        <f>AG214+AH214</f>
        <v>0.75</v>
      </c>
      <c r="AK214" s="687">
        <v>0.15</v>
      </c>
      <c r="AL214" s="687">
        <v>1.8</v>
      </c>
    </row>
    <row r="215" spans="1:39" s="273" customFormat="1" x14ac:dyDescent="0.25">
      <c r="A215" s="350"/>
      <c r="B215" s="412" t="s">
        <v>319</v>
      </c>
      <c r="C215" s="413" t="s">
        <v>403</v>
      </c>
      <c r="D215" s="83"/>
      <c r="E215" s="242"/>
      <c r="F215" s="242"/>
      <c r="G215" s="77"/>
      <c r="H215" s="74"/>
      <c r="I215" s="74"/>
      <c r="J215" s="74"/>
      <c r="K215" s="74"/>
      <c r="L215" s="72"/>
      <c r="M215" s="74"/>
      <c r="N215" s="74"/>
      <c r="O215" s="72"/>
      <c r="P215" s="205"/>
      <c r="Q215" s="272">
        <f t="shared" si="141"/>
        <v>0</v>
      </c>
      <c r="R215" s="439"/>
      <c r="T215" s="224"/>
      <c r="W215" s="681"/>
      <c r="X215" s="682"/>
      <c r="Y215" s="683"/>
      <c r="Z215" s="683"/>
      <c r="AA215" s="741"/>
      <c r="AB215" s="683"/>
      <c r="AC215" s="684"/>
      <c r="AD215" s="684"/>
      <c r="AE215" s="742"/>
      <c r="AF215" s="686"/>
      <c r="AG215" s="687">
        <v>0.15</v>
      </c>
      <c r="AH215" s="687">
        <v>0.6</v>
      </c>
      <c r="AI215" s="687">
        <f>AG215*AH215</f>
        <v>0.09</v>
      </c>
      <c r="AJ215" s="688">
        <f>AG215+AH215</f>
        <v>0.75</v>
      </c>
      <c r="AK215" s="687"/>
      <c r="AL215" s="687">
        <v>0.6</v>
      </c>
    </row>
    <row r="216" spans="1:39" s="273" customFormat="1" x14ac:dyDescent="0.25">
      <c r="A216" s="350"/>
      <c r="B216" s="317"/>
      <c r="C216" s="318">
        <v>1</v>
      </c>
      <c r="D216" s="83" t="s">
        <v>404</v>
      </c>
      <c r="E216" s="242">
        <v>10</v>
      </c>
      <c r="F216" s="242">
        <v>10</v>
      </c>
      <c r="G216" s="77" t="s">
        <v>28</v>
      </c>
      <c r="H216" s="74"/>
      <c r="I216" s="74">
        <f t="shared" ref="I216:I228" si="146">F216*H216</f>
        <v>0</v>
      </c>
      <c r="J216" s="74">
        <f>750+100</f>
        <v>850</v>
      </c>
      <c r="K216" s="74">
        <f t="shared" ref="K216:K228" si="147">F216*J216</f>
        <v>8500</v>
      </c>
      <c r="L216" s="72">
        <f t="shared" ref="L216:L228" si="148">I216+K216</f>
        <v>8500</v>
      </c>
      <c r="M216" s="74">
        <f t="shared" ref="M216:M238" si="149">H216/$P$260*$P$268</f>
        <v>0</v>
      </c>
      <c r="N216" s="74">
        <f t="shared" ref="N216:N238" si="150">J216/$P$260*$P$268</f>
        <v>1184.9880120100133</v>
      </c>
      <c r="O216" s="72">
        <f t="shared" ref="O216:O238" si="151">N216+M216</f>
        <v>1184.9880120100133</v>
      </c>
      <c r="P216" s="205">
        <f t="shared" ref="P216:P238" si="152">O216*F216</f>
        <v>11849.880120100133</v>
      </c>
      <c r="Q216" s="272">
        <f t="shared" si="141"/>
        <v>11849.880120100135</v>
      </c>
      <c r="R216" s="439">
        <f t="shared" ref="R216:R238" si="153">P216-Q216</f>
        <v>0</v>
      </c>
      <c r="T216" s="224"/>
      <c r="W216" s="786" t="s">
        <v>10</v>
      </c>
      <c r="X216" s="743" t="s">
        <v>387</v>
      </c>
      <c r="Y216" s="744">
        <f>AI220</f>
        <v>1.8900000000000003</v>
      </c>
      <c r="Z216" s="683" t="s">
        <v>383</v>
      </c>
      <c r="AA216" s="741" t="s">
        <v>384</v>
      </c>
      <c r="AB216" s="745">
        <v>400</v>
      </c>
      <c r="AC216" s="683" t="s">
        <v>385</v>
      </c>
      <c r="AD216" s="684" t="s">
        <v>384</v>
      </c>
      <c r="AE216" s="742">
        <f t="shared" ref="AE216:AE220" si="154">Y216*AB216</f>
        <v>756.00000000000011</v>
      </c>
      <c r="AF216" s="686"/>
      <c r="AG216" s="687">
        <v>0.2</v>
      </c>
      <c r="AH216" s="687">
        <v>1.8</v>
      </c>
      <c r="AI216" s="687">
        <f>AG216*AH216</f>
        <v>0.36000000000000004</v>
      </c>
      <c r="AJ216" s="688">
        <f>AG216+AH216</f>
        <v>2</v>
      </c>
      <c r="AK216" s="687"/>
      <c r="AL216" s="687">
        <v>0.2</v>
      </c>
    </row>
    <row r="217" spans="1:39" s="273" customFormat="1" x14ac:dyDescent="0.25">
      <c r="A217" s="350"/>
      <c r="B217" s="317"/>
      <c r="C217" s="318">
        <v>2</v>
      </c>
      <c r="D217" s="83" t="s">
        <v>405</v>
      </c>
      <c r="E217" s="242">
        <v>3</v>
      </c>
      <c r="F217" s="242">
        <v>3</v>
      </c>
      <c r="G217" s="77" t="s">
        <v>28</v>
      </c>
      <c r="H217" s="74"/>
      <c r="I217" s="74">
        <f>F217*H217</f>
        <v>0</v>
      </c>
      <c r="J217" s="74">
        <f>750+100</f>
        <v>850</v>
      </c>
      <c r="K217" s="74">
        <f>F217*J217</f>
        <v>2550</v>
      </c>
      <c r="L217" s="72">
        <f>I217+K217</f>
        <v>2550</v>
      </c>
      <c r="M217" s="74">
        <f t="shared" si="149"/>
        <v>0</v>
      </c>
      <c r="N217" s="74">
        <f t="shared" si="150"/>
        <v>1184.9880120100133</v>
      </c>
      <c r="O217" s="72">
        <f t="shared" si="151"/>
        <v>1184.9880120100133</v>
      </c>
      <c r="P217" s="205">
        <f t="shared" si="152"/>
        <v>3554.96403603004</v>
      </c>
      <c r="Q217" s="272">
        <f t="shared" si="141"/>
        <v>3554.9640360300405</v>
      </c>
      <c r="R217" s="439">
        <f t="shared" si="153"/>
        <v>0</v>
      </c>
      <c r="T217" s="224"/>
      <c r="W217" s="786"/>
      <c r="X217" s="743" t="s">
        <v>388</v>
      </c>
      <c r="Y217" s="744">
        <f>AJ220</f>
        <v>7.85</v>
      </c>
      <c r="Z217" s="683" t="s">
        <v>383</v>
      </c>
      <c r="AA217" s="741"/>
      <c r="AB217" s="745">
        <v>100</v>
      </c>
      <c r="AC217" s="683" t="s">
        <v>385</v>
      </c>
      <c r="AD217" s="684"/>
      <c r="AE217" s="742">
        <f t="shared" si="154"/>
        <v>785</v>
      </c>
      <c r="AF217" s="686"/>
      <c r="AG217" s="687"/>
      <c r="AH217" s="687"/>
      <c r="AI217" s="687"/>
      <c r="AJ217" s="688"/>
      <c r="AK217" s="687"/>
      <c r="AL217" s="687"/>
    </row>
    <row r="218" spans="1:39" s="273" customFormat="1" x14ac:dyDescent="0.25">
      <c r="A218" s="350"/>
      <c r="B218" s="317"/>
      <c r="C218" s="318">
        <v>3</v>
      </c>
      <c r="D218" s="83" t="s">
        <v>406</v>
      </c>
      <c r="E218" s="242">
        <v>7</v>
      </c>
      <c r="F218" s="242">
        <v>7</v>
      </c>
      <c r="G218" s="77" t="s">
        <v>28</v>
      </c>
      <c r="H218" s="74"/>
      <c r="I218" s="74">
        <f t="shared" si="146"/>
        <v>0</v>
      </c>
      <c r="J218" s="74">
        <f>600+100</f>
        <v>700</v>
      </c>
      <c r="K218" s="74">
        <f t="shared" si="147"/>
        <v>4900</v>
      </c>
      <c r="L218" s="72">
        <f t="shared" si="148"/>
        <v>4900</v>
      </c>
      <c r="M218" s="74">
        <f t="shared" si="149"/>
        <v>0</v>
      </c>
      <c r="N218" s="74">
        <f t="shared" si="150"/>
        <v>975.87248047883463</v>
      </c>
      <c r="O218" s="72">
        <f t="shared" si="151"/>
        <v>975.87248047883463</v>
      </c>
      <c r="P218" s="205">
        <f t="shared" si="152"/>
        <v>6831.1073633518427</v>
      </c>
      <c r="Q218" s="272">
        <f t="shared" si="141"/>
        <v>6831.1073633518417</v>
      </c>
      <c r="R218" s="439">
        <f t="shared" si="153"/>
        <v>0</v>
      </c>
      <c r="T218" s="224"/>
      <c r="W218" s="786"/>
      <c r="X218" s="743" t="s">
        <v>389</v>
      </c>
      <c r="Y218" s="744">
        <f>AK220</f>
        <v>2.5499999999999998</v>
      </c>
      <c r="Z218" s="683" t="s">
        <v>100</v>
      </c>
      <c r="AA218" s="741"/>
      <c r="AB218" s="745">
        <v>400</v>
      </c>
      <c r="AC218" s="746" t="s">
        <v>390</v>
      </c>
      <c r="AD218" s="684"/>
      <c r="AE218" s="742">
        <f t="shared" si="154"/>
        <v>1019.9999999999999</v>
      </c>
      <c r="AF218" s="686"/>
      <c r="AG218" s="687"/>
      <c r="AH218" s="687"/>
      <c r="AI218" s="687"/>
      <c r="AJ218" s="688"/>
      <c r="AK218" s="687"/>
      <c r="AL218" s="687"/>
    </row>
    <row r="219" spans="1:39" s="273" customFormat="1" x14ac:dyDescent="0.25">
      <c r="A219" s="350"/>
      <c r="B219" s="317"/>
      <c r="C219" s="318">
        <v>4</v>
      </c>
      <c r="D219" s="83" t="s">
        <v>407</v>
      </c>
      <c r="E219" s="242">
        <v>7</v>
      </c>
      <c r="F219" s="242">
        <v>7</v>
      </c>
      <c r="G219" s="77" t="s">
        <v>28</v>
      </c>
      <c r="H219" s="74"/>
      <c r="I219" s="74">
        <f t="shared" si="146"/>
        <v>0</v>
      </c>
      <c r="J219" s="74">
        <f>300+100</f>
        <v>400</v>
      </c>
      <c r="K219" s="74">
        <f t="shared" si="147"/>
        <v>2800</v>
      </c>
      <c r="L219" s="72">
        <f t="shared" si="148"/>
        <v>2800</v>
      </c>
      <c r="M219" s="74">
        <f t="shared" si="149"/>
        <v>0</v>
      </c>
      <c r="N219" s="74">
        <f t="shared" si="150"/>
        <v>557.64141741647688</v>
      </c>
      <c r="O219" s="72">
        <f t="shared" si="151"/>
        <v>557.64141741647688</v>
      </c>
      <c r="P219" s="205">
        <f t="shared" si="152"/>
        <v>3903.4899219153381</v>
      </c>
      <c r="Q219" s="272">
        <f t="shared" si="141"/>
        <v>3903.4899219153385</v>
      </c>
      <c r="R219" s="439">
        <f t="shared" si="153"/>
        <v>0</v>
      </c>
      <c r="T219" s="224"/>
      <c r="W219" s="786"/>
      <c r="X219" s="743" t="s">
        <v>391</v>
      </c>
      <c r="Y219" s="744">
        <f>AL220</f>
        <v>3.35</v>
      </c>
      <c r="Z219" s="683" t="s">
        <v>100</v>
      </c>
      <c r="AA219" s="741"/>
      <c r="AB219" s="745">
        <v>400</v>
      </c>
      <c r="AC219" s="746" t="s">
        <v>390</v>
      </c>
      <c r="AD219" s="684"/>
      <c r="AE219" s="742">
        <f t="shared" si="154"/>
        <v>1340</v>
      </c>
      <c r="AF219" s="686"/>
      <c r="AG219" s="687"/>
      <c r="AH219" s="687"/>
      <c r="AI219" s="687"/>
      <c r="AJ219" s="688"/>
      <c r="AK219" s="687"/>
      <c r="AL219" s="687"/>
    </row>
    <row r="220" spans="1:39" s="273" customFormat="1" x14ac:dyDescent="0.25">
      <c r="A220" s="350"/>
      <c r="B220" s="317"/>
      <c r="C220" s="318">
        <v>5</v>
      </c>
      <c r="D220" s="83" t="s">
        <v>523</v>
      </c>
      <c r="E220" s="242">
        <v>2</v>
      </c>
      <c r="F220" s="242">
        <v>2</v>
      </c>
      <c r="G220" s="77" t="s">
        <v>28</v>
      </c>
      <c r="H220" s="74">
        <f>4000/1.07</f>
        <v>3738.3177570093458</v>
      </c>
      <c r="I220" s="74">
        <f t="shared" si="146"/>
        <v>7476.6355140186915</v>
      </c>
      <c r="J220" s="74">
        <f>400+100</f>
        <v>500</v>
      </c>
      <c r="K220" s="74">
        <f t="shared" si="147"/>
        <v>1000</v>
      </c>
      <c r="L220" s="72">
        <f t="shared" si="148"/>
        <v>8476.6355140186915</v>
      </c>
      <c r="M220" s="74">
        <f t="shared" si="149"/>
        <v>5211.6020319296904</v>
      </c>
      <c r="N220" s="74">
        <f t="shared" si="150"/>
        <v>697.05177177059613</v>
      </c>
      <c r="O220" s="72">
        <f t="shared" si="151"/>
        <v>5908.6538037002865</v>
      </c>
      <c r="P220" s="205">
        <f t="shared" si="152"/>
        <v>11817.307607400573</v>
      </c>
      <c r="Q220" s="272">
        <f t="shared" si="141"/>
        <v>11817.307607400575</v>
      </c>
      <c r="R220" s="439">
        <f t="shared" si="153"/>
        <v>0</v>
      </c>
      <c r="T220" s="224"/>
      <c r="W220" s="786"/>
      <c r="X220" s="743" t="s">
        <v>392</v>
      </c>
      <c r="Y220" s="747">
        <v>2</v>
      </c>
      <c r="Z220" s="683" t="s">
        <v>393</v>
      </c>
      <c r="AA220" s="684"/>
      <c r="AB220" s="745">
        <v>500</v>
      </c>
      <c r="AC220" s="746" t="s">
        <v>394</v>
      </c>
      <c r="AD220" s="684"/>
      <c r="AE220" s="748">
        <f t="shared" si="154"/>
        <v>1000</v>
      </c>
      <c r="AF220" s="686"/>
      <c r="AG220" s="687"/>
      <c r="AH220" s="687"/>
      <c r="AI220" s="749">
        <f>SUM(AI212:AI216)</f>
        <v>1.8900000000000003</v>
      </c>
      <c r="AJ220" s="749">
        <f>SUM(AJ212:AJ216)</f>
        <v>7.85</v>
      </c>
      <c r="AK220" s="749">
        <f>SUM(AK212:AK215)</f>
        <v>2.5499999999999998</v>
      </c>
      <c r="AL220" s="749">
        <f>SUM(AL212:AL216)</f>
        <v>3.35</v>
      </c>
    </row>
    <row r="221" spans="1:39" s="273" customFormat="1" x14ac:dyDescent="0.25">
      <c r="A221" s="350"/>
      <c r="B221" s="317"/>
      <c r="C221" s="318">
        <v>6</v>
      </c>
      <c r="D221" s="83" t="s">
        <v>507</v>
      </c>
      <c r="E221" s="242">
        <v>2</v>
      </c>
      <c r="F221" s="242">
        <v>2</v>
      </c>
      <c r="G221" s="77" t="s">
        <v>28</v>
      </c>
      <c r="H221" s="74">
        <f>1800</f>
        <v>1800</v>
      </c>
      <c r="I221" s="74">
        <f t="shared" si="146"/>
        <v>3600</v>
      </c>
      <c r="J221" s="74">
        <f>400+100</f>
        <v>500</v>
      </c>
      <c r="K221" s="74">
        <f t="shared" si="147"/>
        <v>1000</v>
      </c>
      <c r="L221" s="72">
        <f t="shared" si="148"/>
        <v>4600</v>
      </c>
      <c r="M221" s="74">
        <f t="shared" si="149"/>
        <v>2509.3863783741463</v>
      </c>
      <c r="N221" s="74">
        <f t="shared" si="150"/>
        <v>697.05177177059613</v>
      </c>
      <c r="O221" s="72">
        <f t="shared" si="151"/>
        <v>3206.4381501447424</v>
      </c>
      <c r="P221" s="205">
        <f t="shared" si="152"/>
        <v>6412.8763002894848</v>
      </c>
      <c r="Q221" s="272">
        <f t="shared" si="141"/>
        <v>6412.8763002894848</v>
      </c>
      <c r="R221" s="439">
        <f t="shared" si="153"/>
        <v>0</v>
      </c>
      <c r="T221" s="224"/>
      <c r="W221" s="681"/>
      <c r="X221" s="682"/>
      <c r="Y221" s="683"/>
      <c r="Z221" s="683"/>
      <c r="AA221" s="684"/>
      <c r="AB221" s="683"/>
      <c r="AC221" s="684" t="s">
        <v>395</v>
      </c>
      <c r="AD221" s="684" t="s">
        <v>384</v>
      </c>
      <c r="AE221" s="750">
        <f>SUM(AE216:AE220)</f>
        <v>4901</v>
      </c>
      <c r="AF221" s="686"/>
      <c r="AG221" s="687"/>
      <c r="AH221" s="687"/>
      <c r="AI221" s="687"/>
      <c r="AJ221" s="688"/>
      <c r="AK221" s="687"/>
      <c r="AL221" s="687"/>
    </row>
    <row r="222" spans="1:39" s="273" customFormat="1" ht="15.75" thickBot="1" x14ac:dyDescent="0.3">
      <c r="A222" s="350"/>
      <c r="B222" s="317"/>
      <c r="C222" s="318">
        <v>7</v>
      </c>
      <c r="D222" s="83" t="s">
        <v>410</v>
      </c>
      <c r="E222" s="242">
        <v>2</v>
      </c>
      <c r="F222" s="242">
        <v>2</v>
      </c>
      <c r="G222" s="77" t="s">
        <v>28</v>
      </c>
      <c r="H222" s="74"/>
      <c r="I222" s="74">
        <f t="shared" si="146"/>
        <v>0</v>
      </c>
      <c r="J222" s="74">
        <f>200+100</f>
        <v>300</v>
      </c>
      <c r="K222" s="74">
        <f t="shared" si="147"/>
        <v>600</v>
      </c>
      <c r="L222" s="72">
        <f t="shared" si="148"/>
        <v>600</v>
      </c>
      <c r="M222" s="74">
        <f t="shared" si="149"/>
        <v>0</v>
      </c>
      <c r="N222" s="74">
        <f t="shared" si="150"/>
        <v>418.23106306235769</v>
      </c>
      <c r="O222" s="72">
        <f t="shared" si="151"/>
        <v>418.23106306235769</v>
      </c>
      <c r="P222" s="205">
        <f t="shared" si="152"/>
        <v>836.46212612471538</v>
      </c>
      <c r="Q222" s="272">
        <f t="shared" si="141"/>
        <v>836.46212612471538</v>
      </c>
      <c r="R222" s="439">
        <f t="shared" si="153"/>
        <v>0</v>
      </c>
      <c r="T222" s="224"/>
      <c r="W222" s="681"/>
      <c r="X222" s="682"/>
      <c r="Y222" s="683"/>
      <c r="Z222" s="683"/>
      <c r="AA222" s="684"/>
      <c r="AB222" s="683"/>
      <c r="AC222" s="684" t="s">
        <v>396</v>
      </c>
      <c r="AD222" s="684" t="s">
        <v>384</v>
      </c>
      <c r="AE222" s="685">
        <f>AE214+AE221</f>
        <v>10117.400000000001</v>
      </c>
      <c r="AF222" s="686"/>
      <c r="AG222" s="687"/>
      <c r="AH222" s="687"/>
      <c r="AI222" s="687"/>
      <c r="AJ222" s="688"/>
      <c r="AK222" s="687"/>
      <c r="AL222" s="687"/>
    </row>
    <row r="223" spans="1:39" s="273" customFormat="1" ht="15.75" thickTop="1" x14ac:dyDescent="0.25">
      <c r="A223" s="350"/>
      <c r="B223" s="317"/>
      <c r="C223" s="318">
        <v>8</v>
      </c>
      <c r="D223" s="83" t="s">
        <v>358</v>
      </c>
      <c r="E223" s="242">
        <v>10</v>
      </c>
      <c r="F223" s="242">
        <v>10</v>
      </c>
      <c r="G223" s="77" t="s">
        <v>28</v>
      </c>
      <c r="H223" s="74"/>
      <c r="I223" s="74">
        <f t="shared" si="146"/>
        <v>0</v>
      </c>
      <c r="J223" s="74">
        <f>250+100</f>
        <v>350</v>
      </c>
      <c r="K223" s="74">
        <f t="shared" si="147"/>
        <v>3500</v>
      </c>
      <c r="L223" s="72">
        <f t="shared" si="148"/>
        <v>3500</v>
      </c>
      <c r="M223" s="74">
        <f t="shared" si="149"/>
        <v>0</v>
      </c>
      <c r="N223" s="74">
        <f t="shared" si="150"/>
        <v>487.93624023941732</v>
      </c>
      <c r="O223" s="72">
        <f t="shared" si="151"/>
        <v>487.93624023941732</v>
      </c>
      <c r="P223" s="205">
        <f t="shared" si="152"/>
        <v>4879.3624023941729</v>
      </c>
      <c r="Q223" s="272">
        <f t="shared" si="141"/>
        <v>4879.3624023941729</v>
      </c>
      <c r="R223" s="439">
        <f t="shared" si="153"/>
        <v>0</v>
      </c>
      <c r="T223" s="224"/>
      <c r="W223" s="751"/>
      <c r="X223" s="752"/>
      <c r="Y223" s="753"/>
      <c r="Z223" s="753"/>
      <c r="AA223" s="754"/>
      <c r="AB223" s="753"/>
      <c r="AC223" s="754"/>
      <c r="AD223" s="754"/>
      <c r="AE223" s="742"/>
      <c r="AF223" s="755"/>
      <c r="AG223" s="756"/>
      <c r="AH223" s="756"/>
      <c r="AI223" s="756"/>
      <c r="AJ223" s="757"/>
      <c r="AK223" s="756"/>
      <c r="AL223" s="756"/>
    </row>
    <row r="224" spans="1:39" s="273" customFormat="1" x14ac:dyDescent="0.25">
      <c r="A224" s="350"/>
      <c r="B224" s="317"/>
      <c r="C224" s="318">
        <v>9</v>
      </c>
      <c r="D224" s="83" t="s">
        <v>468</v>
      </c>
      <c r="E224" s="242">
        <v>12</v>
      </c>
      <c r="F224" s="242">
        <v>12</v>
      </c>
      <c r="G224" s="77" t="s">
        <v>28</v>
      </c>
      <c r="H224" s="74">
        <f>550/1.05</f>
        <v>523.80952380952374</v>
      </c>
      <c r="I224" s="74">
        <f t="shared" si="146"/>
        <v>6285.7142857142844</v>
      </c>
      <c r="J224" s="74">
        <f>150+100</f>
        <v>250</v>
      </c>
      <c r="K224" s="74">
        <f t="shared" si="147"/>
        <v>3000</v>
      </c>
      <c r="L224" s="72">
        <f t="shared" si="148"/>
        <v>9285.7142857142844</v>
      </c>
      <c r="M224" s="74">
        <f t="shared" si="149"/>
        <v>730.24471328348159</v>
      </c>
      <c r="N224" s="74">
        <f t="shared" si="150"/>
        <v>348.52588588529807</v>
      </c>
      <c r="O224" s="72">
        <f t="shared" si="151"/>
        <v>1078.7705991687797</v>
      </c>
      <c r="P224" s="205">
        <f t="shared" si="152"/>
        <v>12945.247190025355</v>
      </c>
      <c r="Q224" s="272">
        <f t="shared" si="141"/>
        <v>12945.247190025355</v>
      </c>
      <c r="R224" s="439">
        <f t="shared" si="153"/>
        <v>0</v>
      </c>
      <c r="T224" s="224"/>
      <c r="W224" s="758"/>
      <c r="X224" s="759"/>
      <c r="Y224" s="759"/>
      <c r="Z224" s="759"/>
      <c r="AA224" s="759"/>
      <c r="AB224" s="759"/>
      <c r="AC224" s="759"/>
      <c r="AD224" s="759"/>
      <c r="AE224" s="759"/>
      <c r="AF224" s="755"/>
      <c r="AG224" s="755"/>
      <c r="AH224" s="757"/>
      <c r="AI224" s="756"/>
      <c r="AJ224" s="757"/>
      <c r="AK224" s="756"/>
      <c r="AL224" s="756"/>
    </row>
    <row r="225" spans="1:38" s="273" customFormat="1" x14ac:dyDescent="0.25">
      <c r="A225" s="350"/>
      <c r="B225" s="317"/>
      <c r="C225" s="318">
        <v>10</v>
      </c>
      <c r="D225" s="83" t="s">
        <v>470</v>
      </c>
      <c r="E225" s="242">
        <v>2</v>
      </c>
      <c r="F225" s="242">
        <v>2</v>
      </c>
      <c r="G225" s="77" t="s">
        <v>28</v>
      </c>
      <c r="H225" s="74">
        <f>6000/1.05</f>
        <v>5714.2857142857138</v>
      </c>
      <c r="I225" s="74">
        <f t="shared" si="146"/>
        <v>11428.571428571428</v>
      </c>
      <c r="J225" s="74">
        <v>1500</v>
      </c>
      <c r="K225" s="74">
        <f t="shared" si="147"/>
        <v>3000</v>
      </c>
      <c r="L225" s="72">
        <f t="shared" si="148"/>
        <v>14428.571428571428</v>
      </c>
      <c r="M225" s="74">
        <f t="shared" si="149"/>
        <v>7966.3059630925263</v>
      </c>
      <c r="N225" s="74">
        <f t="shared" si="150"/>
        <v>2091.1553153117884</v>
      </c>
      <c r="O225" s="72">
        <f t="shared" si="151"/>
        <v>10057.461278404315</v>
      </c>
      <c r="P225" s="205">
        <f t="shared" si="152"/>
        <v>20114.922556808629</v>
      </c>
      <c r="Q225" s="272">
        <f t="shared" si="141"/>
        <v>20114.922556808629</v>
      </c>
      <c r="R225" s="439">
        <f t="shared" si="153"/>
        <v>0</v>
      </c>
      <c r="T225" s="224"/>
      <c r="AF225" s="737"/>
      <c r="AG225" s="687"/>
      <c r="AH225" s="687"/>
      <c r="AI225" s="687"/>
      <c r="AJ225" s="687"/>
      <c r="AK225" s="687" t="s">
        <v>397</v>
      </c>
      <c r="AL225" s="687" t="s">
        <v>398</v>
      </c>
    </row>
    <row r="226" spans="1:38" s="273" customFormat="1" x14ac:dyDescent="0.25">
      <c r="A226" s="350"/>
      <c r="B226" s="317"/>
      <c r="C226" s="318">
        <v>11</v>
      </c>
      <c r="D226" s="83" t="s">
        <v>467</v>
      </c>
      <c r="E226" s="242">
        <v>1</v>
      </c>
      <c r="F226" s="242">
        <v>1</v>
      </c>
      <c r="G226" s="77" t="s">
        <v>301</v>
      </c>
      <c r="H226" s="74">
        <v>10000</v>
      </c>
      <c r="I226" s="74">
        <f t="shared" si="146"/>
        <v>10000</v>
      </c>
      <c r="J226" s="74">
        <v>4000</v>
      </c>
      <c r="K226" s="74">
        <f t="shared" si="147"/>
        <v>4000</v>
      </c>
      <c r="L226" s="72">
        <f t="shared" si="148"/>
        <v>14000</v>
      </c>
      <c r="M226" s="74">
        <f t="shared" si="149"/>
        <v>13941.035435411923</v>
      </c>
      <c r="N226" s="74">
        <f t="shared" si="150"/>
        <v>5576.4141741647691</v>
      </c>
      <c r="O226" s="72">
        <f t="shared" si="151"/>
        <v>19517.449609576692</v>
      </c>
      <c r="P226" s="205">
        <f t="shared" si="152"/>
        <v>19517.449609576692</v>
      </c>
      <c r="Q226" s="272">
        <f t="shared" si="141"/>
        <v>19517.449609576692</v>
      </c>
      <c r="R226" s="439">
        <f t="shared" si="153"/>
        <v>0</v>
      </c>
      <c r="T226" s="224"/>
      <c r="W226" s="786" t="s">
        <v>4</v>
      </c>
      <c r="X226" s="786" t="s">
        <v>7</v>
      </c>
      <c r="Y226" s="786" t="s">
        <v>6</v>
      </c>
      <c r="Z226" s="786" t="s">
        <v>5</v>
      </c>
      <c r="AA226" s="934" t="s">
        <v>380</v>
      </c>
      <c r="AB226" s="934"/>
      <c r="AC226" s="934"/>
      <c r="AD226" s="934" t="s">
        <v>381</v>
      </c>
      <c r="AE226" s="934"/>
      <c r="AF226" s="737"/>
      <c r="AG226" s="687"/>
      <c r="AH226" s="687"/>
      <c r="AI226" s="687"/>
      <c r="AJ226" s="687"/>
      <c r="AK226" s="687"/>
      <c r="AL226" s="687"/>
    </row>
    <row r="227" spans="1:38" s="273" customFormat="1" x14ac:dyDescent="0.25">
      <c r="A227" s="350"/>
      <c r="B227" s="317"/>
      <c r="C227" s="318">
        <v>12</v>
      </c>
      <c r="D227" s="83" t="s">
        <v>528</v>
      </c>
      <c r="E227" s="242">
        <v>2</v>
      </c>
      <c r="F227" s="242">
        <v>2</v>
      </c>
      <c r="G227" s="77" t="s">
        <v>28</v>
      </c>
      <c r="H227" s="74">
        <f>(7000+2000)/1.03</f>
        <v>8737.8640776699031</v>
      </c>
      <c r="I227" s="74">
        <f t="shared" si="146"/>
        <v>17475.728155339806</v>
      </c>
      <c r="J227" s="74">
        <v>2000</v>
      </c>
      <c r="K227" s="74">
        <f t="shared" si="147"/>
        <v>4000</v>
      </c>
      <c r="L227" s="72">
        <f t="shared" si="148"/>
        <v>21475.728155339806</v>
      </c>
      <c r="M227" s="74">
        <f t="shared" si="149"/>
        <v>12181.487273660903</v>
      </c>
      <c r="N227" s="74">
        <f t="shared" si="150"/>
        <v>2788.2070870823845</v>
      </c>
      <c r="O227" s="72">
        <f t="shared" si="151"/>
        <v>14969.694360743288</v>
      </c>
      <c r="P227" s="205">
        <f t="shared" si="152"/>
        <v>29939.388721486575</v>
      </c>
      <c r="Q227" s="272">
        <f t="shared" si="141"/>
        <v>29939.388721486579</v>
      </c>
      <c r="R227" s="439">
        <f t="shared" si="153"/>
        <v>0</v>
      </c>
      <c r="T227" s="224"/>
      <c r="W227" s="786" t="s">
        <v>4</v>
      </c>
      <c r="X227" s="786" t="s">
        <v>7</v>
      </c>
      <c r="Y227" s="786" t="s">
        <v>6</v>
      </c>
      <c r="Z227" s="786" t="s">
        <v>5</v>
      </c>
      <c r="AA227" s="934" t="s">
        <v>380</v>
      </c>
      <c r="AB227" s="934"/>
      <c r="AC227" s="934"/>
      <c r="AD227" s="934" t="s">
        <v>381</v>
      </c>
      <c r="AE227" s="934"/>
      <c r="AF227" s="737"/>
      <c r="AG227" s="687"/>
      <c r="AH227" s="687"/>
      <c r="AI227" s="687"/>
      <c r="AJ227" s="687"/>
      <c r="AK227" s="687"/>
      <c r="AL227" s="687"/>
    </row>
    <row r="228" spans="1:38" s="273" customFormat="1" x14ac:dyDescent="0.25">
      <c r="A228" s="350"/>
      <c r="B228" s="317"/>
      <c r="C228" s="318">
        <v>13</v>
      </c>
      <c r="D228" s="83" t="s">
        <v>527</v>
      </c>
      <c r="E228" s="242">
        <v>1</v>
      </c>
      <c r="F228" s="242">
        <v>1</v>
      </c>
      <c r="G228" s="77" t="s">
        <v>243</v>
      </c>
      <c r="H228" s="74">
        <f>160000/1.085</f>
        <v>147465.43778801843</v>
      </c>
      <c r="I228" s="74">
        <f t="shared" si="146"/>
        <v>147465.43778801843</v>
      </c>
      <c r="J228" s="74">
        <v>5000</v>
      </c>
      <c r="K228" s="74">
        <f t="shared" si="147"/>
        <v>5000</v>
      </c>
      <c r="L228" s="72">
        <f t="shared" si="148"/>
        <v>152465.43778801843</v>
      </c>
      <c r="M228" s="74">
        <f t="shared" si="149"/>
        <v>205582.08937012972</v>
      </c>
      <c r="N228" s="74">
        <f t="shared" si="150"/>
        <v>6970.5177177059613</v>
      </c>
      <c r="O228" s="72">
        <f t="shared" si="151"/>
        <v>212552.60708783567</v>
      </c>
      <c r="P228" s="205">
        <f t="shared" si="152"/>
        <v>212552.60708783567</v>
      </c>
      <c r="Q228" s="272">
        <f t="shared" si="141"/>
        <v>212552.6070878357</v>
      </c>
      <c r="R228" s="439">
        <f t="shared" si="153"/>
        <v>0</v>
      </c>
      <c r="T228" s="224"/>
      <c r="W228" s="786" t="s">
        <v>4</v>
      </c>
      <c r="X228" s="786" t="s">
        <v>7</v>
      </c>
      <c r="Y228" s="786" t="s">
        <v>6</v>
      </c>
      <c r="Z228" s="786" t="s">
        <v>5</v>
      </c>
      <c r="AA228" s="934" t="s">
        <v>380</v>
      </c>
      <c r="AB228" s="934"/>
      <c r="AC228" s="934"/>
      <c r="AD228" s="934" t="s">
        <v>381</v>
      </c>
      <c r="AE228" s="934"/>
      <c r="AF228" s="737"/>
      <c r="AG228" s="687"/>
      <c r="AH228" s="687"/>
      <c r="AI228" s="687"/>
      <c r="AJ228" s="687"/>
      <c r="AK228" s="687"/>
      <c r="AL228" s="687"/>
    </row>
    <row r="229" spans="1:38" s="273" customFormat="1" x14ac:dyDescent="0.25">
      <c r="A229" s="350"/>
      <c r="B229" s="317"/>
      <c r="C229" s="318"/>
      <c r="D229" s="83"/>
      <c r="E229" s="242"/>
      <c r="F229" s="302"/>
      <c r="G229" s="77"/>
      <c r="H229" s="74"/>
      <c r="I229" s="74"/>
      <c r="J229" s="74"/>
      <c r="K229" s="74"/>
      <c r="L229" s="74"/>
      <c r="M229" s="74">
        <f t="shared" si="149"/>
        <v>0</v>
      </c>
      <c r="N229" s="74">
        <f t="shared" si="150"/>
        <v>0</v>
      </c>
      <c r="O229" s="72">
        <f t="shared" si="151"/>
        <v>0</v>
      </c>
      <c r="P229" s="205">
        <f t="shared" si="152"/>
        <v>0</v>
      </c>
      <c r="Q229" s="272">
        <f t="shared" si="141"/>
        <v>0</v>
      </c>
      <c r="R229" s="439">
        <f t="shared" si="153"/>
        <v>0</v>
      </c>
      <c r="T229" s="224"/>
      <c r="W229" s="760" t="s">
        <v>399</v>
      </c>
      <c r="X229" s="786"/>
      <c r="Y229" s="786"/>
      <c r="Z229" s="786"/>
      <c r="AA229" s="786"/>
      <c r="AB229" s="786"/>
      <c r="AC229" s="786"/>
      <c r="AD229" s="786"/>
      <c r="AE229" s="786"/>
      <c r="AF229" s="686"/>
      <c r="AG229" s="686">
        <v>0.6</v>
      </c>
      <c r="AH229" s="688">
        <v>1</v>
      </c>
      <c r="AI229" s="687">
        <f>AG229*AH229</f>
        <v>0.6</v>
      </c>
      <c r="AJ229" s="688">
        <f>AG229+AH229</f>
        <v>1.6</v>
      </c>
      <c r="AK229" s="687">
        <v>0.6</v>
      </c>
      <c r="AL229" s="687">
        <v>0.15</v>
      </c>
    </row>
    <row r="230" spans="1:38" s="273" customFormat="1" x14ac:dyDescent="0.25">
      <c r="A230" s="350"/>
      <c r="B230" s="412" t="s">
        <v>320</v>
      </c>
      <c r="C230" s="413" t="s">
        <v>355</v>
      </c>
      <c r="D230" s="83"/>
      <c r="E230" s="242"/>
      <c r="F230" s="242"/>
      <c r="G230" s="77"/>
      <c r="H230" s="74"/>
      <c r="I230" s="74"/>
      <c r="J230" s="74"/>
      <c r="K230" s="74"/>
      <c r="L230" s="72"/>
      <c r="M230" s="74">
        <f t="shared" si="149"/>
        <v>0</v>
      </c>
      <c r="N230" s="74">
        <f t="shared" si="150"/>
        <v>0</v>
      </c>
      <c r="O230" s="72">
        <f t="shared" si="151"/>
        <v>0</v>
      </c>
      <c r="P230" s="205">
        <f t="shared" si="152"/>
        <v>0</v>
      </c>
      <c r="Q230" s="272">
        <f t="shared" si="141"/>
        <v>0</v>
      </c>
      <c r="R230" s="439">
        <f t="shared" si="153"/>
        <v>0</v>
      </c>
      <c r="T230" s="224"/>
      <c r="W230" s="786" t="s">
        <v>9</v>
      </c>
      <c r="X230" s="786" t="s">
        <v>382</v>
      </c>
      <c r="Y230" s="761">
        <f>+Y234*1.2</f>
        <v>1.548</v>
      </c>
      <c r="Z230" s="683" t="s">
        <v>383</v>
      </c>
      <c r="AA230" s="741" t="s">
        <v>384</v>
      </c>
      <c r="AB230" s="745">
        <v>2300</v>
      </c>
      <c r="AC230" s="683" t="s">
        <v>385</v>
      </c>
      <c r="AD230" s="684" t="s">
        <v>384</v>
      </c>
      <c r="AE230" s="748">
        <f>Y230*AB230</f>
        <v>3560.4</v>
      </c>
      <c r="AF230" s="686"/>
      <c r="AG230" s="687">
        <v>0.15</v>
      </c>
      <c r="AH230" s="687">
        <v>1</v>
      </c>
      <c r="AI230" s="687">
        <f>AG230*AH230</f>
        <v>0.15</v>
      </c>
      <c r="AJ230" s="688">
        <f t="shared" ref="AJ230" si="155">AG230+AH230</f>
        <v>1.1499999999999999</v>
      </c>
      <c r="AK230" s="687">
        <v>1</v>
      </c>
      <c r="AL230" s="687">
        <v>0.6</v>
      </c>
    </row>
    <row r="231" spans="1:38" s="273" customFormat="1" x14ac:dyDescent="0.25">
      <c r="A231" s="350"/>
      <c r="B231" s="412"/>
      <c r="C231" s="318">
        <v>1</v>
      </c>
      <c r="D231" s="83" t="s">
        <v>526</v>
      </c>
      <c r="E231" s="242">
        <v>5</v>
      </c>
      <c r="F231" s="242">
        <v>5</v>
      </c>
      <c r="G231" s="77" t="s">
        <v>283</v>
      </c>
      <c r="H231" s="74">
        <f>19482/1.075</f>
        <v>18122.79069767442</v>
      </c>
      <c r="I231" s="74">
        <f t="shared" ref="I231:I238" si="156">F231*H231</f>
        <v>90613.953488372092</v>
      </c>
      <c r="J231" s="74">
        <v>1000</v>
      </c>
      <c r="K231" s="74">
        <f t="shared" ref="K231:K238" si="157">F231*J231</f>
        <v>5000</v>
      </c>
      <c r="L231" s="72">
        <f t="shared" ref="L231:L238" si="158">I231+K231</f>
        <v>95613.953488372092</v>
      </c>
      <c r="M231" s="74">
        <f t="shared" si="149"/>
        <v>25265.046730483264</v>
      </c>
      <c r="N231" s="74">
        <f t="shared" si="150"/>
        <v>1394.1035435411923</v>
      </c>
      <c r="O231" s="72">
        <f t="shared" si="151"/>
        <v>26659.150274024454</v>
      </c>
      <c r="P231" s="205">
        <f t="shared" si="152"/>
        <v>133295.75137012228</v>
      </c>
      <c r="Q231" s="272">
        <f t="shared" si="141"/>
        <v>133295.75137012228</v>
      </c>
      <c r="R231" s="439">
        <f t="shared" si="153"/>
        <v>0</v>
      </c>
      <c r="T231" s="224"/>
      <c r="W231" s="786"/>
      <c r="X231" s="786"/>
      <c r="Y231" s="761"/>
      <c r="Z231" s="683"/>
      <c r="AA231" s="741"/>
      <c r="AB231" s="745"/>
      <c r="AC231" s="683"/>
      <c r="AD231" s="684"/>
      <c r="AE231" s="742"/>
      <c r="AF231" s="686"/>
      <c r="AG231" s="687"/>
      <c r="AH231" s="687"/>
      <c r="AI231" s="687"/>
      <c r="AJ231" s="688"/>
      <c r="AK231" s="687"/>
      <c r="AL231" s="687"/>
    </row>
    <row r="232" spans="1:38" s="273" customFormat="1" x14ac:dyDescent="0.25">
      <c r="A232" s="350"/>
      <c r="B232" s="317"/>
      <c r="C232" s="318">
        <v>2</v>
      </c>
      <c r="D232" s="83" t="s">
        <v>361</v>
      </c>
      <c r="E232" s="242">
        <v>10</v>
      </c>
      <c r="F232" s="242">
        <v>10</v>
      </c>
      <c r="G232" s="77" t="s">
        <v>283</v>
      </c>
      <c r="H232" s="74"/>
      <c r="I232" s="74">
        <f t="shared" si="156"/>
        <v>0</v>
      </c>
      <c r="J232" s="74">
        <f>150+100</f>
        <v>250</v>
      </c>
      <c r="K232" s="74">
        <f t="shared" si="157"/>
        <v>2500</v>
      </c>
      <c r="L232" s="72">
        <f t="shared" si="158"/>
        <v>2500</v>
      </c>
      <c r="M232" s="74">
        <f t="shared" si="149"/>
        <v>0</v>
      </c>
      <c r="N232" s="74">
        <f t="shared" si="150"/>
        <v>348.52588588529807</v>
      </c>
      <c r="O232" s="72">
        <f t="shared" si="151"/>
        <v>348.52588588529807</v>
      </c>
      <c r="P232" s="205">
        <f t="shared" si="152"/>
        <v>3485.2588588529807</v>
      </c>
      <c r="Q232" s="272">
        <f t="shared" si="141"/>
        <v>3485.2588588529807</v>
      </c>
      <c r="R232" s="439">
        <f t="shared" si="153"/>
        <v>0</v>
      </c>
      <c r="T232" s="224"/>
      <c r="V232" s="287"/>
      <c r="W232" s="681"/>
      <c r="X232" s="682"/>
      <c r="Y232" s="683"/>
      <c r="Z232" s="683"/>
      <c r="AA232" s="741"/>
      <c r="AB232" s="683"/>
      <c r="AC232" s="684" t="s">
        <v>386</v>
      </c>
      <c r="AD232" s="684" t="s">
        <v>384</v>
      </c>
      <c r="AE232" s="750">
        <f>SUM(AE230:AE230)</f>
        <v>3560.4</v>
      </c>
      <c r="AF232" s="686"/>
      <c r="AG232" s="687">
        <v>0.15</v>
      </c>
      <c r="AH232" s="687">
        <v>0.6</v>
      </c>
      <c r="AI232" s="687">
        <f>AG232*AH232</f>
        <v>0.09</v>
      </c>
      <c r="AJ232" s="688">
        <f>AG232+AH232</f>
        <v>0.75</v>
      </c>
      <c r="AK232" s="687">
        <v>0.15</v>
      </c>
      <c r="AL232" s="687">
        <v>1</v>
      </c>
    </row>
    <row r="233" spans="1:38" s="273" customFormat="1" x14ac:dyDescent="0.25">
      <c r="A233" s="350"/>
      <c r="B233" s="317"/>
      <c r="C233" s="318">
        <v>3</v>
      </c>
      <c r="D233" s="83" t="s">
        <v>517</v>
      </c>
      <c r="E233" s="242">
        <v>1</v>
      </c>
      <c r="F233" s="242">
        <v>1</v>
      </c>
      <c r="G233" s="77" t="s">
        <v>55</v>
      </c>
      <c r="H233" s="74">
        <f>4200/1.085</f>
        <v>3870.9677419354839</v>
      </c>
      <c r="I233" s="74">
        <f t="shared" si="156"/>
        <v>3870.9677419354839</v>
      </c>
      <c r="J233" s="74">
        <f>600+100</f>
        <v>700</v>
      </c>
      <c r="K233" s="74">
        <f t="shared" si="157"/>
        <v>700</v>
      </c>
      <c r="L233" s="72">
        <f t="shared" si="158"/>
        <v>4570.9677419354839</v>
      </c>
      <c r="M233" s="74">
        <f t="shared" si="149"/>
        <v>5396.5298459659061</v>
      </c>
      <c r="N233" s="74">
        <f t="shared" si="150"/>
        <v>975.87248047883463</v>
      </c>
      <c r="O233" s="72">
        <f t="shared" si="151"/>
        <v>6372.4023264447405</v>
      </c>
      <c r="P233" s="205">
        <f t="shared" si="152"/>
        <v>6372.4023264447405</v>
      </c>
      <c r="Q233" s="272">
        <f t="shared" si="141"/>
        <v>6372.4023264447396</v>
      </c>
      <c r="R233" s="439">
        <f t="shared" si="153"/>
        <v>0</v>
      </c>
      <c r="T233" s="224"/>
      <c r="V233" s="287"/>
      <c r="W233" s="681"/>
      <c r="X233" s="682"/>
      <c r="Y233" s="683"/>
      <c r="Z233" s="683"/>
      <c r="AA233" s="741"/>
      <c r="AB233" s="683"/>
      <c r="AC233" s="684"/>
      <c r="AD233" s="684"/>
      <c r="AE233" s="742"/>
      <c r="AF233" s="686"/>
      <c r="AG233" s="687">
        <v>0.15</v>
      </c>
      <c r="AH233" s="687">
        <v>0.6</v>
      </c>
      <c r="AI233" s="687">
        <f>AG233*AH233</f>
        <v>0.09</v>
      </c>
      <c r="AJ233" s="688">
        <f>AG233+AH233</f>
        <v>0.75</v>
      </c>
      <c r="AK233" s="687"/>
      <c r="AL233" s="687">
        <v>0.6</v>
      </c>
    </row>
    <row r="234" spans="1:38" s="273" customFormat="1" x14ac:dyDescent="0.25">
      <c r="A234" s="350"/>
      <c r="B234" s="317"/>
      <c r="C234" s="318">
        <v>4</v>
      </c>
      <c r="D234" s="83" t="s">
        <v>518</v>
      </c>
      <c r="E234" s="242">
        <v>7</v>
      </c>
      <c r="F234" s="242">
        <v>7</v>
      </c>
      <c r="G234" s="77" t="s">
        <v>28</v>
      </c>
      <c r="H234" s="74">
        <f>AE282</f>
        <v>2337.1111111111113</v>
      </c>
      <c r="I234" s="74">
        <f t="shared" si="156"/>
        <v>16359.777777777779</v>
      </c>
      <c r="J234" s="74">
        <v>1200</v>
      </c>
      <c r="K234" s="74">
        <f t="shared" si="157"/>
        <v>8400</v>
      </c>
      <c r="L234" s="72">
        <f t="shared" si="158"/>
        <v>24759.777777777781</v>
      </c>
      <c r="M234" s="74">
        <f t="shared" si="149"/>
        <v>3258.1748816494933</v>
      </c>
      <c r="N234" s="74">
        <f t="shared" si="150"/>
        <v>1672.9242522494308</v>
      </c>
      <c r="O234" s="72">
        <f t="shared" si="151"/>
        <v>4931.0991338989243</v>
      </c>
      <c r="P234" s="205">
        <f t="shared" si="152"/>
        <v>34517.693937292468</v>
      </c>
      <c r="Q234" s="272">
        <f t="shared" si="141"/>
        <v>34517.693937292468</v>
      </c>
      <c r="R234" s="439">
        <f t="shared" si="153"/>
        <v>0</v>
      </c>
      <c r="T234" s="224"/>
      <c r="V234" s="287"/>
      <c r="W234" s="786" t="s">
        <v>10</v>
      </c>
      <c r="X234" s="743" t="s">
        <v>387</v>
      </c>
      <c r="Y234" s="744">
        <f>AI239</f>
        <v>1.29</v>
      </c>
      <c r="Z234" s="683" t="s">
        <v>383</v>
      </c>
      <c r="AA234" s="741" t="s">
        <v>384</v>
      </c>
      <c r="AB234" s="745">
        <v>400</v>
      </c>
      <c r="AC234" s="683" t="s">
        <v>385</v>
      </c>
      <c r="AD234" s="684" t="s">
        <v>384</v>
      </c>
      <c r="AE234" s="742">
        <f t="shared" ref="AE234:AE237" si="159">Y234*AB234</f>
        <v>516</v>
      </c>
      <c r="AF234" s="686"/>
      <c r="AG234" s="687">
        <v>0.2</v>
      </c>
      <c r="AH234" s="687">
        <v>1.8</v>
      </c>
      <c r="AI234" s="687">
        <f>AG234*AH234</f>
        <v>0.36000000000000004</v>
      </c>
      <c r="AJ234" s="688">
        <f>AG234+AH234</f>
        <v>2</v>
      </c>
      <c r="AK234" s="687"/>
      <c r="AL234" s="687">
        <v>0.2</v>
      </c>
    </row>
    <row r="235" spans="1:38" s="273" customFormat="1" x14ac:dyDescent="0.25">
      <c r="A235" s="350"/>
      <c r="B235" s="317"/>
      <c r="C235" s="318">
        <v>5</v>
      </c>
      <c r="D235" s="83" t="s">
        <v>519</v>
      </c>
      <c r="E235" s="242">
        <v>2</v>
      </c>
      <c r="F235" s="242">
        <v>2</v>
      </c>
      <c r="G235" s="77" t="s">
        <v>283</v>
      </c>
      <c r="H235" s="74">
        <v>3000</v>
      </c>
      <c r="I235" s="74">
        <f t="shared" si="156"/>
        <v>6000</v>
      </c>
      <c r="J235" s="74">
        <f>350+100</f>
        <v>450</v>
      </c>
      <c r="K235" s="74">
        <f t="shared" si="157"/>
        <v>900</v>
      </c>
      <c r="L235" s="72">
        <f t="shared" si="158"/>
        <v>6900</v>
      </c>
      <c r="M235" s="74">
        <f t="shared" si="149"/>
        <v>4182.3106306235768</v>
      </c>
      <c r="N235" s="74">
        <f t="shared" si="150"/>
        <v>627.34659459353657</v>
      </c>
      <c r="O235" s="72">
        <f t="shared" si="151"/>
        <v>4809.6572252171136</v>
      </c>
      <c r="P235" s="205">
        <f t="shared" si="152"/>
        <v>9619.3144504342272</v>
      </c>
      <c r="Q235" s="272">
        <f t="shared" si="141"/>
        <v>9619.3144504342254</v>
      </c>
      <c r="R235" s="439">
        <f t="shared" si="153"/>
        <v>0</v>
      </c>
      <c r="T235" s="224"/>
      <c r="V235" s="287"/>
      <c r="W235" s="786"/>
      <c r="X235" s="743" t="s">
        <v>388</v>
      </c>
      <c r="Y235" s="744">
        <f>AJ239</f>
        <v>6.25</v>
      </c>
      <c r="Z235" s="683" t="s">
        <v>383</v>
      </c>
      <c r="AA235" s="741"/>
      <c r="AB235" s="745">
        <v>100</v>
      </c>
      <c r="AC235" s="683" t="s">
        <v>385</v>
      </c>
      <c r="AD235" s="684"/>
      <c r="AE235" s="742">
        <f t="shared" si="159"/>
        <v>625</v>
      </c>
      <c r="AF235" s="686"/>
      <c r="AG235" s="687"/>
      <c r="AH235" s="687"/>
      <c r="AI235" s="687"/>
      <c r="AJ235" s="688"/>
      <c r="AK235" s="687"/>
      <c r="AL235" s="687"/>
    </row>
    <row r="236" spans="1:38" s="273" customFormat="1" x14ac:dyDescent="0.25">
      <c r="A236" s="350"/>
      <c r="B236" s="317"/>
      <c r="C236" s="318">
        <v>6</v>
      </c>
      <c r="D236" s="83" t="s">
        <v>520</v>
      </c>
      <c r="E236" s="242">
        <v>2</v>
      </c>
      <c r="F236" s="242">
        <v>2</v>
      </c>
      <c r="G236" s="77" t="s">
        <v>283</v>
      </c>
      <c r="H236" s="74">
        <v>3500</v>
      </c>
      <c r="I236" s="74">
        <f t="shared" si="156"/>
        <v>7000</v>
      </c>
      <c r="J236" s="74">
        <f>350+100</f>
        <v>450</v>
      </c>
      <c r="K236" s="74">
        <f t="shared" si="157"/>
        <v>900</v>
      </c>
      <c r="L236" s="72">
        <f t="shared" si="158"/>
        <v>7900</v>
      </c>
      <c r="M236" s="74">
        <f t="shared" si="149"/>
        <v>4879.3624023941729</v>
      </c>
      <c r="N236" s="74">
        <f t="shared" si="150"/>
        <v>627.34659459353657</v>
      </c>
      <c r="O236" s="72">
        <f t="shared" si="151"/>
        <v>5506.7089969877097</v>
      </c>
      <c r="P236" s="205">
        <f t="shared" si="152"/>
        <v>11013.417993975419</v>
      </c>
      <c r="Q236" s="272">
        <f t="shared" si="141"/>
        <v>11013.417993975419</v>
      </c>
      <c r="R236" s="439">
        <f t="shared" si="153"/>
        <v>0</v>
      </c>
      <c r="T236" s="224"/>
      <c r="V236" s="287"/>
      <c r="W236" s="786"/>
      <c r="X236" s="743" t="s">
        <v>389</v>
      </c>
      <c r="Y236" s="744">
        <f>AK239</f>
        <v>1.75</v>
      </c>
      <c r="Z236" s="683" t="s">
        <v>100</v>
      </c>
      <c r="AA236" s="741"/>
      <c r="AB236" s="745">
        <v>400</v>
      </c>
      <c r="AC236" s="746" t="s">
        <v>390</v>
      </c>
      <c r="AD236" s="684"/>
      <c r="AE236" s="742">
        <f t="shared" si="159"/>
        <v>700</v>
      </c>
      <c r="AF236" s="686"/>
      <c r="AG236" s="687"/>
      <c r="AH236" s="687"/>
      <c r="AI236" s="687"/>
      <c r="AJ236" s="688"/>
      <c r="AK236" s="687"/>
      <c r="AL236" s="687"/>
    </row>
    <row r="237" spans="1:38" s="273" customFormat="1" x14ac:dyDescent="0.25">
      <c r="A237" s="350"/>
      <c r="B237" s="317"/>
      <c r="C237" s="318">
        <v>7</v>
      </c>
      <c r="D237" s="83" t="s">
        <v>360</v>
      </c>
      <c r="E237" s="242">
        <f>35.04+6</f>
        <v>41.04</v>
      </c>
      <c r="F237" s="242">
        <v>42</v>
      </c>
      <c r="G237" s="77" t="s">
        <v>100</v>
      </c>
      <c r="H237" s="74">
        <f>(480/2.4)/1.075</f>
        <v>186.04651162790699</v>
      </c>
      <c r="I237" s="74">
        <f t="shared" si="156"/>
        <v>7813.9534883720935</v>
      </c>
      <c r="J237" s="74">
        <f>65+100</f>
        <v>165</v>
      </c>
      <c r="K237" s="74">
        <f t="shared" si="157"/>
        <v>6930</v>
      </c>
      <c r="L237" s="72">
        <f t="shared" si="158"/>
        <v>14743.953488372093</v>
      </c>
      <c r="M237" s="74">
        <f t="shared" si="149"/>
        <v>259.36810112394278</v>
      </c>
      <c r="N237" s="74">
        <f t="shared" si="150"/>
        <v>230.02708468429674</v>
      </c>
      <c r="O237" s="72">
        <f t="shared" si="151"/>
        <v>489.39518580823949</v>
      </c>
      <c r="P237" s="205">
        <f t="shared" si="152"/>
        <v>20554.597803946057</v>
      </c>
      <c r="Q237" s="272">
        <f t="shared" si="141"/>
        <v>20554.597803946057</v>
      </c>
      <c r="R237" s="439">
        <f t="shared" si="153"/>
        <v>0</v>
      </c>
      <c r="T237" s="224"/>
      <c r="V237" s="287"/>
      <c r="W237" s="786"/>
      <c r="X237" s="743" t="s">
        <v>391</v>
      </c>
      <c r="Y237" s="744">
        <f>AL239</f>
        <v>2.5500000000000003</v>
      </c>
      <c r="Z237" s="683" t="s">
        <v>100</v>
      </c>
      <c r="AA237" s="741"/>
      <c r="AB237" s="745">
        <v>400</v>
      </c>
      <c r="AC237" s="746" t="s">
        <v>390</v>
      </c>
      <c r="AD237" s="684"/>
      <c r="AE237" s="742">
        <f t="shared" si="159"/>
        <v>1020.0000000000001</v>
      </c>
      <c r="AF237" s="686"/>
      <c r="AG237" s="687"/>
      <c r="AH237" s="687"/>
      <c r="AI237" s="687"/>
      <c r="AJ237" s="688"/>
      <c r="AK237" s="687"/>
      <c r="AL237" s="687"/>
    </row>
    <row r="238" spans="1:38" s="273" customFormat="1" x14ac:dyDescent="0.25">
      <c r="A238" s="350"/>
      <c r="B238" s="317"/>
      <c r="C238" s="318">
        <v>8</v>
      </c>
      <c r="D238" s="83" t="s">
        <v>411</v>
      </c>
      <c r="E238" s="242">
        <f>0.6*2</f>
        <v>1.2</v>
      </c>
      <c r="F238" s="242">
        <v>2.4</v>
      </c>
      <c r="G238" s="77" t="s">
        <v>100</v>
      </c>
      <c r="H238" s="74">
        <f>1850/1.075</f>
        <v>1720.9302325581396</v>
      </c>
      <c r="I238" s="74">
        <f t="shared" si="156"/>
        <v>4130.2325581395344</v>
      </c>
      <c r="J238" s="74">
        <f>160+100</f>
        <v>260</v>
      </c>
      <c r="K238" s="74">
        <f t="shared" si="157"/>
        <v>624</v>
      </c>
      <c r="L238" s="72">
        <f t="shared" si="158"/>
        <v>4754.2325581395344</v>
      </c>
      <c r="M238" s="74">
        <f t="shared" si="149"/>
        <v>2399.1549353964706</v>
      </c>
      <c r="N238" s="74">
        <f t="shared" si="150"/>
        <v>362.46692132070996</v>
      </c>
      <c r="O238" s="72">
        <f t="shared" si="151"/>
        <v>2761.6218567171804</v>
      </c>
      <c r="P238" s="205">
        <f t="shared" si="152"/>
        <v>6627.8924561212325</v>
      </c>
      <c r="Q238" s="272">
        <f t="shared" si="141"/>
        <v>6627.8924561212325</v>
      </c>
      <c r="R238" s="439">
        <f t="shared" si="153"/>
        <v>0</v>
      </c>
      <c r="T238" s="224"/>
      <c r="V238" s="287"/>
      <c r="W238" s="786"/>
      <c r="X238" s="743" t="s">
        <v>392</v>
      </c>
      <c r="Y238" s="747">
        <v>1</v>
      </c>
      <c r="Z238" s="683" t="s">
        <v>393</v>
      </c>
      <c r="AA238" s="684"/>
      <c r="AB238" s="745">
        <v>500</v>
      </c>
      <c r="AC238" s="746" t="s">
        <v>394</v>
      </c>
      <c r="AD238" s="684"/>
      <c r="AE238" s="748">
        <f>Y238*AB238</f>
        <v>500</v>
      </c>
      <c r="AF238" s="686"/>
      <c r="AG238" s="687"/>
      <c r="AH238" s="687"/>
      <c r="AI238" s="749"/>
      <c r="AJ238" s="749"/>
      <c r="AK238" s="749"/>
      <c r="AL238" s="749"/>
    </row>
    <row r="239" spans="1:38" s="273" customFormat="1" hidden="1" x14ac:dyDescent="0.25">
      <c r="A239" s="350"/>
      <c r="B239" s="317"/>
      <c r="C239" s="318"/>
      <c r="D239" s="83"/>
      <c r="E239" s="242"/>
      <c r="F239" s="242"/>
      <c r="G239" s="77"/>
      <c r="H239" s="74"/>
      <c r="I239" s="74"/>
      <c r="J239" s="74"/>
      <c r="K239" s="74"/>
      <c r="L239" s="72"/>
      <c r="M239" s="74"/>
      <c r="N239" s="74"/>
      <c r="O239" s="72"/>
      <c r="P239" s="205"/>
      <c r="Q239" s="272"/>
      <c r="R239" s="439"/>
      <c r="T239" s="224"/>
      <c r="V239" s="287"/>
      <c r="W239" s="786"/>
      <c r="AC239" s="684" t="s">
        <v>395</v>
      </c>
      <c r="AD239" s="684" t="s">
        <v>384</v>
      </c>
      <c r="AE239" s="750">
        <f>SUM(AE234:AE238)</f>
        <v>3361</v>
      </c>
      <c r="AF239" s="686"/>
      <c r="AG239" s="687"/>
      <c r="AH239" s="687"/>
      <c r="AI239" s="749">
        <f>SUM(AI229:AI234)</f>
        <v>1.29</v>
      </c>
      <c r="AJ239" s="749">
        <f>SUM(AJ229:AJ234)</f>
        <v>6.25</v>
      </c>
      <c r="AK239" s="749">
        <f>SUM(AK229:AK233)</f>
        <v>1.75</v>
      </c>
      <c r="AL239" s="749">
        <f>SUM(AL229:AL234)</f>
        <v>2.5500000000000003</v>
      </c>
    </row>
    <row r="240" spans="1:38" s="273" customFormat="1" ht="15.75" thickBot="1" x14ac:dyDescent="0.3">
      <c r="A240" s="350"/>
      <c r="B240" s="317"/>
      <c r="C240" s="318"/>
      <c r="D240" s="83"/>
      <c r="E240" s="242"/>
      <c r="F240" s="242"/>
      <c r="G240" s="77"/>
      <c r="H240" s="74"/>
      <c r="I240" s="74"/>
      <c r="J240" s="74"/>
      <c r="K240" s="74"/>
      <c r="L240" s="72"/>
      <c r="M240" s="74"/>
      <c r="N240" s="74"/>
      <c r="O240" s="72"/>
      <c r="P240" s="205"/>
      <c r="Q240" s="272">
        <f>L240/$P$260*$P$268</f>
        <v>0</v>
      </c>
      <c r="R240" s="439"/>
      <c r="T240" s="224"/>
      <c r="V240" s="287"/>
      <c r="W240" s="681"/>
      <c r="X240" s="682"/>
      <c r="Y240" s="683"/>
      <c r="Z240" s="683"/>
      <c r="AA240" s="684"/>
      <c r="AB240" s="683"/>
      <c r="AC240" s="684" t="s">
        <v>396</v>
      </c>
      <c r="AD240" s="684" t="s">
        <v>384</v>
      </c>
      <c r="AE240" s="685">
        <f>AE232+AE239</f>
        <v>6921.4</v>
      </c>
      <c r="AF240" s="686"/>
      <c r="AG240" s="687"/>
      <c r="AH240" s="687"/>
      <c r="AI240" s="687"/>
      <c r="AJ240" s="688"/>
      <c r="AK240" s="687"/>
      <c r="AL240" s="687"/>
    </row>
    <row r="241" spans="1:39" s="234" customFormat="1" ht="16.5" thickTop="1" thickBot="1" x14ac:dyDescent="0.3">
      <c r="A241" s="308"/>
      <c r="B241" s="910" t="s">
        <v>348</v>
      </c>
      <c r="C241" s="911"/>
      <c r="D241" s="912"/>
      <c r="E241" s="309"/>
      <c r="F241" s="310"/>
      <c r="G241" s="311"/>
      <c r="H241" s="312"/>
      <c r="I241" s="313">
        <f>SUM(I214:I240)</f>
        <v>339520.97222625959</v>
      </c>
      <c r="J241" s="312"/>
      <c r="K241" s="313">
        <f>SUM(K214:K240)</f>
        <v>69804</v>
      </c>
      <c r="L241" s="313">
        <f>SUM(L214:L240)</f>
        <v>409324.97222625965</v>
      </c>
      <c r="M241" s="312"/>
      <c r="N241" s="312"/>
      <c r="O241" s="313"/>
      <c r="P241" s="315">
        <f>SUM(P214:P240)</f>
        <v>570641.39424052858</v>
      </c>
      <c r="Q241" s="272">
        <f>L241/$P$260*$P$268</f>
        <v>570641.39424052869</v>
      </c>
      <c r="R241" s="439">
        <f t="shared" ref="R241" si="160">P241-Q241</f>
        <v>0</v>
      </c>
      <c r="T241" s="443"/>
      <c r="U241" s="275"/>
      <c r="V241" s="402"/>
      <c r="W241" s="375"/>
      <c r="X241" s="376"/>
      <c r="Y241" s="370"/>
      <c r="Z241" s="370"/>
      <c r="AF241" s="386"/>
      <c r="AG241" s="385"/>
      <c r="AH241" s="385"/>
      <c r="AI241" s="385"/>
      <c r="AJ241" s="387"/>
      <c r="AK241" s="385"/>
      <c r="AL241" s="385"/>
      <c r="AM241" s="282"/>
    </row>
    <row r="242" spans="1:39" s="1" customFormat="1" x14ac:dyDescent="0.25">
      <c r="A242" s="500"/>
      <c r="B242" s="501"/>
      <c r="C242" s="293"/>
      <c r="D242" s="502"/>
      <c r="E242" s="503"/>
      <c r="F242" s="504"/>
      <c r="G242" s="504"/>
      <c r="H242" s="504"/>
      <c r="I242" s="504"/>
      <c r="J242" s="504"/>
      <c r="K242" s="504"/>
      <c r="L242" s="504">
        <f>SUM(L241,L213,L151,L35)</f>
        <v>6993259.6077013928</v>
      </c>
      <c r="M242" s="504"/>
      <c r="N242" s="504"/>
      <c r="O242" s="504"/>
      <c r="P242" s="505"/>
      <c r="Q242" s="272">
        <f>L242/$P$260*$P$268</f>
        <v>9749328</v>
      </c>
      <c r="R242" s="439"/>
      <c r="V242" s="211"/>
      <c r="W242" s="506"/>
      <c r="X242" s="507"/>
      <c r="Y242" s="508"/>
      <c r="Z242" s="508"/>
      <c r="AA242" s="509"/>
      <c r="AB242" s="508"/>
      <c r="AC242" s="510"/>
      <c r="AD242" s="510"/>
      <c r="AE242" s="511"/>
      <c r="AF242" s="508"/>
      <c r="AG242" s="512"/>
      <c r="AH242" s="512"/>
      <c r="AI242" s="512"/>
      <c r="AJ242" s="512"/>
      <c r="AK242" s="512"/>
      <c r="AL242" s="512"/>
    </row>
    <row r="243" spans="1:39" s="287" customFormat="1" ht="20.25" customHeight="1" thickBot="1" x14ac:dyDescent="0.3">
      <c r="A243" s="329"/>
      <c r="B243" s="901" t="s">
        <v>347</v>
      </c>
      <c r="C243" s="902"/>
      <c r="D243" s="903"/>
      <c r="E243" s="330"/>
      <c r="F243" s="331"/>
      <c r="G243" s="332"/>
      <c r="H243" s="780"/>
      <c r="I243" s="780">
        <f>I241+I213+I151+I35</f>
        <v>5172886.1841704044</v>
      </c>
      <c r="J243" s="780"/>
      <c r="K243" s="780">
        <f>K241+K213+K151+K35</f>
        <v>1820373.4235309875</v>
      </c>
      <c r="L243" s="780">
        <f>L241+L213+L151+L35</f>
        <v>6993259.6077013928</v>
      </c>
      <c r="M243" s="922">
        <f>P241+P213+P151+P35</f>
        <v>9750000.1289979592</v>
      </c>
      <c r="N243" s="922"/>
      <c r="O243" s="922"/>
      <c r="P243" s="923"/>
      <c r="Q243" s="272">
        <f t="shared" ref="Q243" si="161">L243/$P$260*$P$268</f>
        <v>9749328</v>
      </c>
      <c r="R243" s="439">
        <f>M243-Q243</f>
        <v>672.12899795919657</v>
      </c>
      <c r="T243" s="443"/>
      <c r="V243" s="446"/>
      <c r="W243" s="447"/>
      <c r="X243" s="448"/>
      <c r="Y243" s="448"/>
      <c r="Z243" s="448"/>
      <c r="AA243" s="448"/>
      <c r="AB243" s="448"/>
      <c r="AC243" s="448"/>
      <c r="AD243" s="448"/>
      <c r="AE243" s="448"/>
      <c r="AF243" s="449"/>
      <c r="AG243" s="449"/>
      <c r="AH243" s="450"/>
      <c r="AI243" s="451"/>
      <c r="AJ243" s="450"/>
      <c r="AK243" s="451"/>
      <c r="AL243" s="451"/>
    </row>
    <row r="244" spans="1:39" s="528" customFormat="1" x14ac:dyDescent="0.25">
      <c r="A244" s="521"/>
      <c r="B244" s="526"/>
      <c r="C244" s="527"/>
      <c r="E244" s="529"/>
      <c r="F244" s="530"/>
      <c r="G244" s="521"/>
      <c r="H244" s="522"/>
      <c r="I244" s="522"/>
      <c r="J244" s="522"/>
      <c r="K244" s="522"/>
      <c r="L244" s="522"/>
      <c r="M244" s="523"/>
      <c r="N244" s="523"/>
      <c r="O244" s="523"/>
      <c r="P244" s="523"/>
      <c r="Q244" s="523"/>
      <c r="R244" s="523"/>
      <c r="T244" s="523"/>
      <c r="V244" s="531"/>
      <c r="W244" s="776" t="s">
        <v>4</v>
      </c>
      <c r="X244" s="776" t="s">
        <v>7</v>
      </c>
      <c r="Y244" s="776" t="s">
        <v>6</v>
      </c>
      <c r="Z244" s="776" t="s">
        <v>5</v>
      </c>
      <c r="AA244" s="896" t="s">
        <v>380</v>
      </c>
      <c r="AB244" s="896"/>
      <c r="AC244" s="896"/>
      <c r="AD244" s="896" t="s">
        <v>381</v>
      </c>
      <c r="AE244" s="896"/>
      <c r="AF244" s="453"/>
      <c r="AG244" s="454"/>
      <c r="AH244" s="454"/>
      <c r="AI244" s="454"/>
      <c r="AJ244" s="454"/>
      <c r="AK244" s="454" t="s">
        <v>397</v>
      </c>
      <c r="AL244" s="454" t="s">
        <v>398</v>
      </c>
    </row>
    <row r="245" spans="1:39" s="528" customFormat="1" x14ac:dyDescent="0.25">
      <c r="A245" s="521"/>
      <c r="B245" s="526"/>
      <c r="C245" s="527"/>
      <c r="E245" s="529"/>
      <c r="F245" s="530"/>
      <c r="G245" s="521"/>
      <c r="H245" s="522"/>
      <c r="I245" s="522"/>
      <c r="J245" s="522"/>
      <c r="K245" s="522"/>
      <c r="L245" s="522"/>
      <c r="M245" s="523"/>
      <c r="N245" s="523"/>
      <c r="O245" s="523"/>
      <c r="P245" s="523"/>
      <c r="Q245" s="523"/>
      <c r="R245" s="523"/>
      <c r="T245" s="523"/>
      <c r="V245" s="531"/>
      <c r="W245" s="455" t="s">
        <v>401</v>
      </c>
      <c r="X245" s="776"/>
      <c r="Y245" s="776"/>
      <c r="Z245" s="776"/>
      <c r="AA245" s="776"/>
      <c r="AB245" s="776"/>
      <c r="AC245" s="776"/>
      <c r="AD245" s="776"/>
      <c r="AE245" s="776"/>
      <c r="AF245" s="456"/>
      <c r="AG245" s="456">
        <v>0.6</v>
      </c>
      <c r="AH245" s="457">
        <v>2.25</v>
      </c>
      <c r="AI245" s="454">
        <f>AG245*AH245</f>
        <v>1.3499999999999999</v>
      </c>
      <c r="AJ245" s="457">
        <f>AG245+AH245</f>
        <v>2.85</v>
      </c>
      <c r="AK245" s="454">
        <v>0.6</v>
      </c>
      <c r="AL245" s="454">
        <v>0.1</v>
      </c>
    </row>
    <row r="246" spans="1:39" s="528" customFormat="1" x14ac:dyDescent="0.25">
      <c r="A246" s="521"/>
      <c r="B246" s="526"/>
      <c r="C246" s="527"/>
      <c r="E246" s="529"/>
      <c r="F246" s="530"/>
      <c r="G246" s="518"/>
      <c r="H246" s="519"/>
      <c r="I246" s="519"/>
      <c r="J246" s="519"/>
      <c r="K246" s="519"/>
      <c r="L246" s="519"/>
      <c r="M246" s="520"/>
      <c r="N246" s="520"/>
      <c r="O246" s="520"/>
      <c r="P246" s="520"/>
      <c r="Q246" s="520"/>
      <c r="R246" s="520"/>
      <c r="T246" s="523"/>
      <c r="V246" s="531"/>
      <c r="W246" s="776" t="s">
        <v>9</v>
      </c>
      <c r="X246" s="776" t="s">
        <v>382</v>
      </c>
      <c r="Y246" s="458">
        <f>+Y249*1.2</f>
        <v>2.2094999999999998</v>
      </c>
      <c r="Z246" s="459" t="s">
        <v>383</v>
      </c>
      <c r="AA246" s="460" t="s">
        <v>384</v>
      </c>
      <c r="AB246" s="461">
        <v>2300</v>
      </c>
      <c r="AC246" s="459" t="s">
        <v>385</v>
      </c>
      <c r="AD246" s="462" t="s">
        <v>384</v>
      </c>
      <c r="AE246" s="463">
        <f>Y246*AB246</f>
        <v>5081.8499999999995</v>
      </c>
      <c r="AF246" s="456"/>
      <c r="AG246" s="454">
        <v>0.1</v>
      </c>
      <c r="AH246" s="454">
        <v>2.25</v>
      </c>
      <c r="AI246" s="454">
        <f>AG246*AH246</f>
        <v>0.22500000000000001</v>
      </c>
      <c r="AJ246" s="457">
        <f t="shared" ref="AJ246" si="162">AG246+AH246</f>
        <v>2.35</v>
      </c>
      <c r="AK246" s="454">
        <v>2.25</v>
      </c>
      <c r="AL246" s="454">
        <v>0.6</v>
      </c>
    </row>
    <row r="247" spans="1:39" s="528" customFormat="1" x14ac:dyDescent="0.25">
      <c r="A247" s="521"/>
      <c r="B247" s="526"/>
      <c r="C247" s="527"/>
      <c r="E247" s="529"/>
      <c r="F247" s="530"/>
      <c r="G247" s="518"/>
      <c r="H247" s="519"/>
      <c r="Q247" s="520"/>
      <c r="R247" s="520"/>
      <c r="T247" s="523"/>
      <c r="V247" s="531"/>
      <c r="W247" s="464"/>
      <c r="X247" s="465"/>
      <c r="Y247" s="459"/>
      <c r="Z247" s="459"/>
      <c r="AA247" s="460"/>
      <c r="AB247" s="459"/>
      <c r="AC247" s="462" t="s">
        <v>386</v>
      </c>
      <c r="AD247" s="462" t="s">
        <v>384</v>
      </c>
      <c r="AE247" s="466">
        <f>SUM(AE246:AE246)</f>
        <v>5081.8499999999995</v>
      </c>
      <c r="AF247" s="456"/>
      <c r="AG247" s="454">
        <v>0.1</v>
      </c>
      <c r="AH247" s="454">
        <v>0.6</v>
      </c>
      <c r="AI247" s="454">
        <f>AG247*AH247</f>
        <v>0.06</v>
      </c>
      <c r="AJ247" s="457">
        <f>AG247+AH247</f>
        <v>0.7</v>
      </c>
      <c r="AK247" s="454">
        <v>0.1</v>
      </c>
      <c r="AL247" s="454">
        <v>2.25</v>
      </c>
    </row>
    <row r="248" spans="1:39" s="528" customFormat="1" ht="15.75" x14ac:dyDescent="0.25">
      <c r="A248" s="532" t="s">
        <v>18</v>
      </c>
      <c r="B248" s="533"/>
      <c r="C248" s="534"/>
      <c r="D248" s="535"/>
      <c r="E248" s="529"/>
      <c r="F248" s="530"/>
      <c r="G248" s="521"/>
      <c r="H248" s="522"/>
      <c r="Q248" s="523"/>
      <c r="R248" s="520"/>
      <c r="T248" s="523"/>
      <c r="V248" s="531"/>
      <c r="W248" s="464"/>
      <c r="X248" s="465"/>
      <c r="Y248" s="459"/>
      <c r="Z248" s="459"/>
      <c r="AA248" s="460"/>
      <c r="AB248" s="459"/>
      <c r="AC248" s="462"/>
      <c r="AD248" s="462"/>
      <c r="AE248" s="467"/>
      <c r="AF248" s="456"/>
      <c r="AG248" s="454">
        <v>0.1</v>
      </c>
      <c r="AH248" s="454">
        <v>0.6</v>
      </c>
      <c r="AI248" s="454">
        <f>AG248*AH248</f>
        <v>0.06</v>
      </c>
      <c r="AJ248" s="457">
        <f>AG248+AH248</f>
        <v>0.7</v>
      </c>
      <c r="AK248" s="454"/>
      <c r="AL248" s="454">
        <v>0.6</v>
      </c>
    </row>
    <row r="249" spans="1:39" s="522" customFormat="1" ht="15.75" x14ac:dyDescent="0.25">
      <c r="A249" s="536"/>
      <c r="B249" s="533"/>
      <c r="C249" s="534"/>
      <c r="D249" s="537"/>
      <c r="R249" s="519"/>
      <c r="V249" s="538"/>
      <c r="W249" s="776" t="s">
        <v>10</v>
      </c>
      <c r="X249" s="469" t="s">
        <v>387</v>
      </c>
      <c r="Y249" s="470">
        <f>AI253</f>
        <v>1.8412500000000001</v>
      </c>
      <c r="Z249" s="459" t="s">
        <v>383</v>
      </c>
      <c r="AA249" s="460" t="s">
        <v>384</v>
      </c>
      <c r="AB249" s="461">
        <v>400</v>
      </c>
      <c r="AC249" s="459" t="s">
        <v>385</v>
      </c>
      <c r="AD249" s="462" t="s">
        <v>384</v>
      </c>
      <c r="AE249" s="467">
        <f t="shared" ref="AE249:AE253" si="163">Y249*AB249</f>
        <v>736.5</v>
      </c>
      <c r="AF249" s="456"/>
      <c r="AG249" s="454">
        <v>6.5000000000000002E-2</v>
      </c>
      <c r="AH249" s="454">
        <v>2.25</v>
      </c>
      <c r="AI249" s="454">
        <f>AG249*AH249</f>
        <v>0.14624999999999999</v>
      </c>
      <c r="AJ249" s="457">
        <f>AG249+AH249</f>
        <v>2.3149999999999999</v>
      </c>
      <c r="AK249" s="454"/>
      <c r="AL249" s="454">
        <v>0.1</v>
      </c>
    </row>
    <row r="250" spans="1:39" s="522" customFormat="1" ht="15.75" x14ac:dyDescent="0.25">
      <c r="A250" s="532" t="s">
        <v>19</v>
      </c>
      <c r="B250" s="533"/>
      <c r="C250" s="534"/>
      <c r="D250" s="535"/>
      <c r="R250" s="519"/>
      <c r="V250" s="538"/>
      <c r="W250" s="776"/>
      <c r="X250" s="469" t="s">
        <v>388</v>
      </c>
      <c r="Y250" s="470">
        <f>AJ253</f>
        <v>8.9150000000000009</v>
      </c>
      <c r="Z250" s="459" t="s">
        <v>383</v>
      </c>
      <c r="AA250" s="460"/>
      <c r="AB250" s="461">
        <v>100</v>
      </c>
      <c r="AC250" s="459" t="s">
        <v>385</v>
      </c>
      <c r="AD250" s="462"/>
      <c r="AE250" s="467">
        <f t="shared" si="163"/>
        <v>891.50000000000011</v>
      </c>
      <c r="AF250" s="456"/>
      <c r="AG250" s="454"/>
      <c r="AH250" s="454"/>
      <c r="AI250" s="454"/>
      <c r="AJ250" s="457"/>
      <c r="AK250" s="454"/>
      <c r="AL250" s="454"/>
    </row>
    <row r="251" spans="1:39" s="522" customFormat="1" ht="15.75" x14ac:dyDescent="0.25">
      <c r="A251" s="536"/>
      <c r="B251" s="533"/>
      <c r="C251" s="534"/>
      <c r="D251" s="535"/>
      <c r="R251" s="519"/>
      <c r="V251" s="538"/>
      <c r="W251" s="776"/>
      <c r="X251" s="469" t="s">
        <v>389</v>
      </c>
      <c r="Y251" s="470">
        <f>AK253</f>
        <v>2.95</v>
      </c>
      <c r="Z251" s="459" t="s">
        <v>100</v>
      </c>
      <c r="AA251" s="460"/>
      <c r="AB251" s="461">
        <v>400</v>
      </c>
      <c r="AC251" s="471" t="s">
        <v>390</v>
      </c>
      <c r="AD251" s="462"/>
      <c r="AE251" s="467">
        <f t="shared" si="163"/>
        <v>1180</v>
      </c>
      <c r="AF251" s="456"/>
      <c r="AG251" s="454"/>
      <c r="AH251" s="454"/>
      <c r="AI251" s="454"/>
      <c r="AJ251" s="457"/>
      <c r="AK251" s="454"/>
      <c r="AL251" s="454"/>
    </row>
    <row r="252" spans="1:39" s="522" customFormat="1" ht="15.75" x14ac:dyDescent="0.25">
      <c r="A252" s="536"/>
      <c r="B252" s="533"/>
      <c r="C252" s="534"/>
      <c r="D252" s="535"/>
      <c r="R252" s="519"/>
      <c r="V252" s="538"/>
      <c r="W252" s="776"/>
      <c r="X252" s="469" t="s">
        <v>391</v>
      </c>
      <c r="Y252" s="470">
        <f>AL253</f>
        <v>3.6500000000000004</v>
      </c>
      <c r="Z252" s="459" t="s">
        <v>100</v>
      </c>
      <c r="AA252" s="460"/>
      <c r="AB252" s="461">
        <v>400</v>
      </c>
      <c r="AC252" s="471" t="s">
        <v>390</v>
      </c>
      <c r="AD252" s="462"/>
      <c r="AE252" s="467">
        <f t="shared" si="163"/>
        <v>1460.0000000000002</v>
      </c>
      <c r="AF252" s="456"/>
      <c r="AG252" s="454"/>
      <c r="AH252" s="454"/>
      <c r="AI252" s="454"/>
      <c r="AJ252" s="457"/>
      <c r="AK252" s="454"/>
      <c r="AL252" s="454"/>
    </row>
    <row r="253" spans="1:39" s="522" customFormat="1" ht="15.75" x14ac:dyDescent="0.25">
      <c r="A253" s="532" t="s">
        <v>20</v>
      </c>
      <c r="B253" s="533"/>
      <c r="C253" s="534"/>
      <c r="D253" s="535"/>
      <c r="R253" s="519"/>
      <c r="V253" s="538"/>
      <c r="W253" s="776"/>
      <c r="X253" s="469" t="s">
        <v>392</v>
      </c>
      <c r="Y253" s="472">
        <v>1</v>
      </c>
      <c r="Z253" s="459" t="s">
        <v>393</v>
      </c>
      <c r="AA253" s="462"/>
      <c r="AB253" s="461">
        <v>500</v>
      </c>
      <c r="AC253" s="471" t="s">
        <v>394</v>
      </c>
      <c r="AD253" s="462"/>
      <c r="AE253" s="463">
        <f t="shared" si="163"/>
        <v>500</v>
      </c>
      <c r="AF253" s="456"/>
      <c r="AG253" s="454"/>
      <c r="AH253" s="454"/>
      <c r="AI253" s="473">
        <f>SUM(AI245:AI249)</f>
        <v>1.8412500000000001</v>
      </c>
      <c r="AJ253" s="473">
        <f>SUM(AJ245:AJ249)</f>
        <v>8.9150000000000009</v>
      </c>
      <c r="AK253" s="473">
        <f>SUM(AK245:AK248)</f>
        <v>2.95</v>
      </c>
      <c r="AL253" s="473">
        <f>SUM(AL245:AL249)</f>
        <v>3.6500000000000004</v>
      </c>
    </row>
    <row r="254" spans="1:39" s="522" customFormat="1" ht="15.75" x14ac:dyDescent="0.25">
      <c r="A254" s="532" t="s">
        <v>349</v>
      </c>
      <c r="B254" s="533"/>
      <c r="C254" s="534"/>
      <c r="D254" s="535"/>
      <c r="R254" s="519"/>
      <c r="V254" s="538"/>
      <c r="W254" s="464"/>
      <c r="X254" s="465"/>
      <c r="Y254" s="459"/>
      <c r="Z254" s="459"/>
      <c r="AA254" s="462"/>
      <c r="AB254" s="459"/>
      <c r="AC254" s="462" t="s">
        <v>395</v>
      </c>
      <c r="AD254" s="462" t="s">
        <v>384</v>
      </c>
      <c r="AE254" s="466">
        <f>SUM(AE249:AE253)</f>
        <v>4768</v>
      </c>
      <c r="AF254" s="456"/>
      <c r="AG254" s="454"/>
      <c r="AH254" s="454"/>
      <c r="AI254" s="454"/>
      <c r="AJ254" s="457"/>
      <c r="AK254" s="454"/>
      <c r="AL254" s="454"/>
    </row>
    <row r="255" spans="1:39" s="528" customFormat="1" ht="15.75" thickBot="1" x14ac:dyDescent="0.3">
      <c r="A255" s="521"/>
      <c r="B255" s="526"/>
      <c r="C255" s="527"/>
      <c r="E255" s="529"/>
      <c r="F255" s="530"/>
      <c r="G255" s="541"/>
      <c r="H255" s="542"/>
      <c r="Q255" s="523"/>
      <c r="R255" s="520"/>
      <c r="T255" s="523"/>
      <c r="V255" s="531"/>
      <c r="W255" s="464"/>
      <c r="X255" s="465"/>
      <c r="Y255" s="459"/>
      <c r="Z255" s="459"/>
      <c r="AA255" s="462"/>
      <c r="AB255" s="459"/>
      <c r="AC255" s="462" t="s">
        <v>396</v>
      </c>
      <c r="AD255" s="462" t="s">
        <v>384</v>
      </c>
      <c r="AE255" s="474">
        <f>AE247+AE254</f>
        <v>9849.8499999999985</v>
      </c>
      <c r="AF255" s="456"/>
      <c r="AG255" s="454"/>
      <c r="AH255" s="454"/>
      <c r="AI255" s="454"/>
      <c r="AJ255" s="457"/>
      <c r="AK255" s="454"/>
      <c r="AL255" s="454"/>
    </row>
    <row r="256" spans="1:39" s="528" customFormat="1" ht="16.5" thickTop="1" x14ac:dyDescent="0.25">
      <c r="A256" s="521"/>
      <c r="B256" s="526"/>
      <c r="C256" s="527"/>
      <c r="E256" s="529"/>
      <c r="F256" s="530"/>
      <c r="G256" s="541"/>
      <c r="H256" s="542"/>
      <c r="I256" s="542"/>
      <c r="J256" s="782"/>
      <c r="K256" s="782"/>
      <c r="L256" s="429"/>
      <c r="M256" s="428"/>
      <c r="N256" s="426"/>
      <c r="O256" s="422"/>
      <c r="P256" s="422"/>
      <c r="Q256" s="523"/>
      <c r="R256" s="520"/>
      <c r="T256" s="523"/>
      <c r="V256" s="531"/>
      <c r="W256" s="464"/>
      <c r="X256" s="465"/>
      <c r="Y256" s="459"/>
      <c r="Z256" s="459"/>
      <c r="AA256" s="462"/>
      <c r="AB256" s="459"/>
      <c r="AC256" s="462"/>
      <c r="AD256" s="462"/>
      <c r="AE256" s="467"/>
      <c r="AF256" s="456"/>
      <c r="AG256" s="454"/>
      <c r="AH256" s="454"/>
      <c r="AI256" s="454"/>
      <c r="AJ256" s="457"/>
      <c r="AK256" s="454"/>
      <c r="AL256" s="454"/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42"/>
      <c r="J257" s="782"/>
      <c r="K257" s="782"/>
      <c r="L257" s="429"/>
      <c r="M257" s="428"/>
      <c r="N257" s="426"/>
      <c r="O257" s="422"/>
      <c r="P257" s="422"/>
      <c r="Q257" s="523"/>
      <c r="R257" s="520"/>
      <c r="T257" s="523"/>
      <c r="V257" s="531"/>
      <c r="W257" s="464"/>
      <c r="X257" s="465"/>
      <c r="Y257" s="459"/>
      <c r="Z257" s="459"/>
      <c r="AA257" s="462"/>
      <c r="AB257" s="459"/>
      <c r="AC257" s="462"/>
      <c r="AD257" s="462"/>
      <c r="AE257" s="467"/>
      <c r="AF257" s="456"/>
      <c r="AG257" s="454"/>
      <c r="AH257" s="454"/>
      <c r="AI257" s="454"/>
      <c r="AJ257" s="457"/>
      <c r="AK257" s="454"/>
      <c r="AL257" s="454"/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42"/>
      <c r="J258" s="782"/>
      <c r="K258" s="782"/>
      <c r="L258" s="429"/>
      <c r="M258" s="428"/>
      <c r="N258" s="426"/>
      <c r="O258" s="422"/>
      <c r="P258" s="422"/>
      <c r="Q258" s="523"/>
      <c r="R258" s="520"/>
      <c r="T258" s="523"/>
      <c r="V258" s="531"/>
      <c r="W258" s="776" t="s">
        <v>4</v>
      </c>
      <c r="X258" s="776" t="s">
        <v>7</v>
      </c>
      <c r="Y258" s="776" t="s">
        <v>6</v>
      </c>
      <c r="Z258" s="776" t="s">
        <v>5</v>
      </c>
      <c r="AA258" s="896" t="s">
        <v>380</v>
      </c>
      <c r="AB258" s="896"/>
      <c r="AC258" s="896"/>
      <c r="AD258" s="896" t="s">
        <v>381</v>
      </c>
      <c r="AE258" s="896"/>
      <c r="AF258" s="453"/>
      <c r="AG258" s="454"/>
      <c r="AH258" s="454"/>
      <c r="AI258" s="454"/>
      <c r="AJ258" s="454"/>
      <c r="AK258" s="454" t="s">
        <v>397</v>
      </c>
      <c r="AL258" s="454" t="s">
        <v>398</v>
      </c>
    </row>
    <row r="259" spans="1:38" s="528" customFormat="1" x14ac:dyDescent="0.25">
      <c r="A259" s="19"/>
      <c r="B259" s="526"/>
      <c r="C259" s="527"/>
      <c r="E259" s="529"/>
      <c r="F259" s="530"/>
      <c r="G259" s="541"/>
      <c r="H259" s="542"/>
      <c r="I259" s="519"/>
      <c r="J259" s="519"/>
      <c r="K259" s="519"/>
      <c r="L259" s="519"/>
      <c r="M259" s="520"/>
      <c r="N259" s="520"/>
      <c r="O259" s="520"/>
      <c r="P259" s="520"/>
      <c r="Q259" s="523"/>
      <c r="R259" s="523"/>
      <c r="T259" s="523"/>
      <c r="V259" s="531"/>
      <c r="W259" s="455" t="s">
        <v>402</v>
      </c>
      <c r="X259" s="776"/>
      <c r="Y259" s="776"/>
      <c r="Z259" s="776"/>
      <c r="AA259" s="776"/>
      <c r="AB259" s="776"/>
      <c r="AC259" s="776"/>
      <c r="AD259" s="776"/>
      <c r="AE259" s="776"/>
      <c r="AF259" s="456"/>
      <c r="AG259" s="456">
        <v>0.6</v>
      </c>
      <c r="AH259" s="457">
        <v>3.2</v>
      </c>
      <c r="AI259" s="454">
        <f>AG259*AH259</f>
        <v>1.92</v>
      </c>
      <c r="AJ259" s="457">
        <f>AG259+AH259</f>
        <v>3.8000000000000003</v>
      </c>
      <c r="AK259" s="454">
        <v>0.6</v>
      </c>
      <c r="AL259" s="454">
        <v>0.1</v>
      </c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22"/>
      <c r="J260" s="417"/>
      <c r="K260" s="417"/>
      <c r="L260" s="781"/>
      <c r="M260" s="419"/>
      <c r="N260" s="420" t="s">
        <v>178</v>
      </c>
      <c r="O260" s="420"/>
      <c r="P260" s="420">
        <f>L243</f>
        <v>6993259.6077013928</v>
      </c>
      <c r="Q260" s="523"/>
      <c r="R260" s="523"/>
      <c r="T260" s="523"/>
      <c r="V260" s="531"/>
      <c r="W260" s="776" t="s">
        <v>9</v>
      </c>
      <c r="X260" s="776" t="s">
        <v>382</v>
      </c>
      <c r="Y260" s="458">
        <f>+Y263*1.2</f>
        <v>3.0816000000000003</v>
      </c>
      <c r="Z260" s="459" t="s">
        <v>383</v>
      </c>
      <c r="AA260" s="460" t="s">
        <v>384</v>
      </c>
      <c r="AB260" s="461">
        <v>2300</v>
      </c>
      <c r="AC260" s="459" t="s">
        <v>385</v>
      </c>
      <c r="AD260" s="462" t="s">
        <v>384</v>
      </c>
      <c r="AE260" s="463">
        <f>Y260*AB260</f>
        <v>7087.6800000000012</v>
      </c>
      <c r="AF260" s="456"/>
      <c r="AG260" s="454">
        <v>0.1</v>
      </c>
      <c r="AH260" s="454">
        <v>3.2</v>
      </c>
      <c r="AI260" s="454">
        <f>AG260*AH260</f>
        <v>0.32000000000000006</v>
      </c>
      <c r="AJ260" s="457">
        <f t="shared" ref="AJ260" si="164">AG260+AH260</f>
        <v>3.3000000000000003</v>
      </c>
      <c r="AK260" s="454">
        <v>3.2</v>
      </c>
      <c r="AL260" s="454">
        <v>0.6</v>
      </c>
    </row>
    <row r="261" spans="1:38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22"/>
      <c r="J261" s="421"/>
      <c r="K261" s="421"/>
      <c r="L261" s="781"/>
      <c r="M261" s="420"/>
      <c r="N261" s="422"/>
      <c r="O261" s="422"/>
      <c r="P261" s="422"/>
      <c r="Q261" s="523"/>
      <c r="R261" s="523"/>
      <c r="T261" s="523"/>
      <c r="V261" s="531"/>
      <c r="W261" s="464"/>
      <c r="X261" s="465"/>
      <c r="Y261" s="459"/>
      <c r="Z261" s="459"/>
      <c r="AA261" s="460"/>
      <c r="AB261" s="459"/>
      <c r="AC261" s="462" t="s">
        <v>386</v>
      </c>
      <c r="AD261" s="462" t="s">
        <v>384</v>
      </c>
      <c r="AE261" s="466">
        <f>SUM(AE260:AE260)</f>
        <v>7087.6800000000012</v>
      </c>
      <c r="AF261" s="456"/>
      <c r="AG261" s="454">
        <v>0.1</v>
      </c>
      <c r="AH261" s="454">
        <v>0.6</v>
      </c>
      <c r="AI261" s="454">
        <f>AG261*AH261</f>
        <v>0.06</v>
      </c>
      <c r="AJ261" s="457">
        <f>AG261+AH261</f>
        <v>0.7</v>
      </c>
      <c r="AK261" s="454">
        <v>0.1</v>
      </c>
      <c r="AL261" s="454">
        <v>3.2</v>
      </c>
    </row>
    <row r="262" spans="1:38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22"/>
      <c r="J262" s="921" t="s">
        <v>179</v>
      </c>
      <c r="K262" s="921"/>
      <c r="L262" s="787" t="s">
        <v>180</v>
      </c>
      <c r="M262" s="420" t="s">
        <v>181</v>
      </c>
      <c r="N262" s="424">
        <f>P260*0.03</f>
        <v>209797.78823104178</v>
      </c>
      <c r="O262" s="422"/>
      <c r="P262" s="422">
        <f>N262+P260</f>
        <v>7203057.3959324351</v>
      </c>
      <c r="Q262" s="523"/>
      <c r="R262" s="523"/>
      <c r="T262" s="523"/>
      <c r="V262" s="531"/>
      <c r="W262" s="464"/>
      <c r="X262" s="465"/>
      <c r="Y262" s="459"/>
      <c r="Z262" s="459"/>
      <c r="AA262" s="460"/>
      <c r="AB262" s="459"/>
      <c r="AC262" s="462"/>
      <c r="AD262" s="462"/>
      <c r="AE262" s="467"/>
      <c r="AF262" s="456"/>
      <c r="AG262" s="454">
        <v>0.1</v>
      </c>
      <c r="AH262" s="454">
        <v>0.6</v>
      </c>
      <c r="AI262" s="454">
        <f>AG262*AH262</f>
        <v>0.06</v>
      </c>
      <c r="AJ262" s="457">
        <f>AG262+AH262</f>
        <v>0.7</v>
      </c>
      <c r="AK262" s="454"/>
      <c r="AL262" s="454">
        <v>0.6</v>
      </c>
    </row>
    <row r="263" spans="1:38" s="528" customFormat="1" ht="15.75" x14ac:dyDescent="0.25">
      <c r="A263" s="521"/>
      <c r="B263" s="526"/>
      <c r="C263" s="527"/>
      <c r="E263" s="529"/>
      <c r="F263" s="530"/>
      <c r="G263" s="541"/>
      <c r="H263" s="542"/>
      <c r="I263" s="522"/>
      <c r="J263" s="921" t="s">
        <v>182</v>
      </c>
      <c r="K263" s="921"/>
      <c r="L263" s="787" t="s">
        <v>180</v>
      </c>
      <c r="M263" s="420" t="s">
        <v>183</v>
      </c>
      <c r="N263" s="424">
        <f>SUM(L262:L310)</f>
        <v>328828.34994462901</v>
      </c>
      <c r="O263" s="422"/>
      <c r="P263" s="422">
        <f>P262+N263</f>
        <v>7531885.7458770638</v>
      </c>
      <c r="Q263" s="523"/>
      <c r="R263" s="523"/>
      <c r="T263" s="523"/>
      <c r="V263" s="531"/>
      <c r="W263" s="776" t="s">
        <v>10</v>
      </c>
      <c r="X263" s="469" t="s">
        <v>387</v>
      </c>
      <c r="Y263" s="470">
        <f>AI267</f>
        <v>2.5680000000000005</v>
      </c>
      <c r="Z263" s="459" t="s">
        <v>383</v>
      </c>
      <c r="AA263" s="460" t="s">
        <v>384</v>
      </c>
      <c r="AB263" s="461">
        <v>400</v>
      </c>
      <c r="AC263" s="459" t="s">
        <v>385</v>
      </c>
      <c r="AD263" s="462" t="s">
        <v>384</v>
      </c>
      <c r="AE263" s="467">
        <f t="shared" ref="AE263:AE267" si="165">Y263*AB263</f>
        <v>1027.2000000000003</v>
      </c>
      <c r="AF263" s="456"/>
      <c r="AG263" s="454">
        <v>6.5000000000000002E-2</v>
      </c>
      <c r="AH263" s="454">
        <v>3.2</v>
      </c>
      <c r="AI263" s="454">
        <f>AG263*AH263</f>
        <v>0.20800000000000002</v>
      </c>
      <c r="AJ263" s="457">
        <f>AG263+AH263</f>
        <v>3.2650000000000001</v>
      </c>
      <c r="AK263" s="454"/>
      <c r="AL263" s="454">
        <v>0.1</v>
      </c>
    </row>
    <row r="264" spans="1:38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22"/>
      <c r="J264" s="921" t="s">
        <v>184</v>
      </c>
      <c r="K264" s="921"/>
      <c r="L264" s="787" t="s">
        <v>161</v>
      </c>
      <c r="M264" s="420" t="s">
        <v>185</v>
      </c>
      <c r="N264" s="424"/>
      <c r="O264" s="422"/>
      <c r="P264" s="422">
        <f>P263+N264</f>
        <v>7531885.7458770638</v>
      </c>
      <c r="Q264" s="523"/>
      <c r="R264" s="523"/>
      <c r="T264" s="523"/>
      <c r="V264" s="531"/>
      <c r="W264" s="776"/>
      <c r="X264" s="469" t="s">
        <v>388</v>
      </c>
      <c r="Y264" s="470">
        <f>AJ267</f>
        <v>11.765000000000001</v>
      </c>
      <c r="Z264" s="459" t="s">
        <v>383</v>
      </c>
      <c r="AA264" s="460"/>
      <c r="AB264" s="461">
        <v>100</v>
      </c>
      <c r="AC264" s="459" t="s">
        <v>385</v>
      </c>
      <c r="AD264" s="462"/>
      <c r="AE264" s="467">
        <f t="shared" si="165"/>
        <v>1176.5</v>
      </c>
      <c r="AF264" s="456"/>
      <c r="AG264" s="454"/>
      <c r="AH264" s="454"/>
      <c r="AI264" s="454"/>
      <c r="AJ264" s="457"/>
      <c r="AK264" s="454"/>
      <c r="AL264" s="454"/>
    </row>
    <row r="265" spans="1:38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22"/>
      <c r="J265" s="921" t="s">
        <v>186</v>
      </c>
      <c r="K265" s="921"/>
      <c r="L265" s="787" t="s">
        <v>161</v>
      </c>
      <c r="M265" s="420" t="s">
        <v>187</v>
      </c>
      <c r="N265" s="424">
        <f>P264*0.15</f>
        <v>1129782.8618815595</v>
      </c>
      <c r="O265" s="422"/>
      <c r="P265" s="422">
        <f>P264+N265</f>
        <v>8661668.6077586226</v>
      </c>
      <c r="Q265" s="523"/>
      <c r="R265" s="523"/>
      <c r="T265" s="523"/>
      <c r="V265" s="531"/>
      <c r="W265" s="776"/>
      <c r="X265" s="469" t="s">
        <v>389</v>
      </c>
      <c r="Y265" s="470">
        <f>AK267</f>
        <v>3.9000000000000004</v>
      </c>
      <c r="Z265" s="459" t="s">
        <v>100</v>
      </c>
      <c r="AA265" s="460"/>
      <c r="AB265" s="461">
        <v>400</v>
      </c>
      <c r="AC265" s="471" t="s">
        <v>390</v>
      </c>
      <c r="AD265" s="462"/>
      <c r="AE265" s="467">
        <f t="shared" si="165"/>
        <v>1560.0000000000002</v>
      </c>
      <c r="AF265" s="456"/>
      <c r="AG265" s="454"/>
      <c r="AH265" s="454"/>
      <c r="AI265" s="454"/>
      <c r="AJ265" s="457"/>
      <c r="AK265" s="454"/>
      <c r="AL265" s="454"/>
    </row>
    <row r="266" spans="1:38" s="528" customFormat="1" ht="15.75" x14ac:dyDescent="0.25">
      <c r="A266" s="521"/>
      <c r="B266" s="526"/>
      <c r="C266" s="527"/>
      <c r="E266" s="529"/>
      <c r="F266" s="530"/>
      <c r="G266" s="541"/>
      <c r="H266" s="542"/>
      <c r="I266" s="522" t="s">
        <v>495</v>
      </c>
      <c r="J266" s="921" t="s">
        <v>188</v>
      </c>
      <c r="K266" s="921"/>
      <c r="L266" s="425"/>
      <c r="M266" s="420" t="s">
        <v>190</v>
      </c>
      <c r="N266" s="424">
        <f>P265*0.1</f>
        <v>866166.86077586235</v>
      </c>
      <c r="O266" s="422"/>
      <c r="P266" s="422">
        <f>P265+N266</f>
        <v>9527835.4685344845</v>
      </c>
      <c r="Q266" s="523"/>
      <c r="R266" s="523">
        <f>M243-P266</f>
        <v>222164.66046347469</v>
      </c>
      <c r="T266" s="523"/>
      <c r="V266" s="531"/>
      <c r="W266" s="776"/>
      <c r="X266" s="469" t="s">
        <v>391</v>
      </c>
      <c r="Y266" s="470">
        <f>AL267</f>
        <v>4.5999999999999996</v>
      </c>
      <c r="Z266" s="459" t="s">
        <v>100</v>
      </c>
      <c r="AA266" s="460"/>
      <c r="AB266" s="461">
        <v>400</v>
      </c>
      <c r="AC266" s="471" t="s">
        <v>390</v>
      </c>
      <c r="AD266" s="462"/>
      <c r="AE266" s="467">
        <f t="shared" si="165"/>
        <v>1839.9999999999998</v>
      </c>
      <c r="AF266" s="456"/>
      <c r="AG266" s="454"/>
      <c r="AH266" s="454"/>
      <c r="AI266" s="454"/>
      <c r="AJ266" s="457"/>
      <c r="AK266" s="454"/>
      <c r="AL266" s="454"/>
    </row>
    <row r="267" spans="1:38" s="528" customFormat="1" ht="15.75" x14ac:dyDescent="0.25">
      <c r="A267" s="521"/>
      <c r="B267" s="526"/>
      <c r="C267" s="527"/>
      <c r="E267" s="529"/>
      <c r="F267" s="530"/>
      <c r="G267" s="541"/>
      <c r="H267" s="542"/>
      <c r="I267" s="542"/>
      <c r="J267" s="924" t="s">
        <v>191</v>
      </c>
      <c r="K267" s="924"/>
      <c r="L267" s="429" t="s">
        <v>180</v>
      </c>
      <c r="M267" s="428"/>
      <c r="N267" s="426"/>
      <c r="O267" s="422"/>
      <c r="P267" s="422"/>
      <c r="Q267" s="523"/>
      <c r="R267" s="523"/>
      <c r="T267" s="523"/>
      <c r="V267" s="531"/>
      <c r="W267" s="776"/>
      <c r="X267" s="469" t="s">
        <v>392</v>
      </c>
      <c r="Y267" s="472">
        <v>1</v>
      </c>
      <c r="Z267" s="459" t="s">
        <v>393</v>
      </c>
      <c r="AA267" s="462"/>
      <c r="AB267" s="461">
        <v>500</v>
      </c>
      <c r="AC267" s="471" t="s">
        <v>394</v>
      </c>
      <c r="AD267" s="462"/>
      <c r="AE267" s="463">
        <f t="shared" si="165"/>
        <v>500</v>
      </c>
      <c r="AF267" s="456"/>
      <c r="AG267" s="454"/>
      <c r="AH267" s="454"/>
      <c r="AI267" s="473">
        <f>SUM(AI259:AI263)</f>
        <v>2.5680000000000005</v>
      </c>
      <c r="AJ267" s="473">
        <f>SUM(AJ259:AJ263)</f>
        <v>11.765000000000001</v>
      </c>
      <c r="AK267" s="473">
        <f>SUM(AK259:AK262)</f>
        <v>3.9000000000000004</v>
      </c>
      <c r="AL267" s="473">
        <f>SUM(AL259:AL263)</f>
        <v>4.5999999999999996</v>
      </c>
    </row>
    <row r="268" spans="1:38" s="528" customFormat="1" ht="15.75" x14ac:dyDescent="0.25">
      <c r="A268" s="521"/>
      <c r="B268" s="526"/>
      <c r="C268" s="527"/>
      <c r="E268" s="529"/>
      <c r="F268" s="530"/>
      <c r="G268" s="541"/>
      <c r="H268" s="542"/>
      <c r="I268" s="542"/>
      <c r="J268" s="924" t="s">
        <v>472</v>
      </c>
      <c r="K268" s="924"/>
      <c r="L268" s="429">
        <f>4*17000/1.05</f>
        <v>64761.904761904756</v>
      </c>
      <c r="M268" s="428" t="s">
        <v>193</v>
      </c>
      <c r="N268" s="426">
        <f>SUM(N262:N266)</f>
        <v>2534575.8608330926</v>
      </c>
      <c r="O268" s="427"/>
      <c r="P268" s="428">
        <v>9749328</v>
      </c>
      <c r="Q268" s="523"/>
      <c r="R268" s="523"/>
      <c r="T268" s="523"/>
      <c r="V268" s="531"/>
      <c r="W268" s="464"/>
      <c r="X268" s="465"/>
      <c r="Y268" s="459"/>
      <c r="Z268" s="459"/>
      <c r="AA268" s="462"/>
      <c r="AB268" s="459"/>
      <c r="AC268" s="462" t="s">
        <v>395</v>
      </c>
      <c r="AD268" s="462" t="s">
        <v>384</v>
      </c>
      <c r="AE268" s="466">
        <f>SUM(AE263:AE267)</f>
        <v>6103.7000000000007</v>
      </c>
      <c r="AF268" s="456"/>
      <c r="AG268" s="454"/>
      <c r="AH268" s="454"/>
      <c r="AI268" s="454"/>
      <c r="AJ268" s="457"/>
      <c r="AK268" s="454"/>
      <c r="AL268" s="454"/>
    </row>
    <row r="269" spans="1:38" s="528" customFormat="1" ht="16.5" thickBot="1" x14ac:dyDescent="0.3">
      <c r="A269" s="521"/>
      <c r="B269" s="526"/>
      <c r="C269" s="527"/>
      <c r="E269" s="529"/>
      <c r="F269" s="530"/>
      <c r="G269" s="541"/>
      <c r="H269" s="542"/>
      <c r="I269" s="542"/>
      <c r="J269" s="924" t="s">
        <v>194</v>
      </c>
      <c r="K269" s="924"/>
      <c r="L269" s="429">
        <v>30000</v>
      </c>
      <c r="M269" s="428" t="s">
        <v>195</v>
      </c>
      <c r="N269" s="426">
        <f>SUM(N262:N267)</f>
        <v>2534575.8608330926</v>
      </c>
      <c r="O269" s="427"/>
      <c r="P269" s="428">
        <f>P268-P266</f>
        <v>221492.53146551549</v>
      </c>
      <c r="Q269" s="523"/>
      <c r="R269" s="523"/>
      <c r="T269" s="523"/>
      <c r="V269" s="531"/>
      <c r="W269" s="464"/>
      <c r="X269" s="465"/>
      <c r="Y269" s="459"/>
      <c r="Z269" s="459"/>
      <c r="AA269" s="462"/>
      <c r="AB269" s="459"/>
      <c r="AC269" s="462" t="s">
        <v>396</v>
      </c>
      <c r="AD269" s="462" t="s">
        <v>384</v>
      </c>
      <c r="AE269" s="474">
        <f>AE261+AE268</f>
        <v>13191.380000000001</v>
      </c>
      <c r="AF269" s="456"/>
      <c r="AG269" s="454"/>
      <c r="AH269" s="454"/>
      <c r="AI269" s="454"/>
      <c r="AJ269" s="457"/>
      <c r="AK269" s="454"/>
      <c r="AL269" s="454"/>
    </row>
    <row r="270" spans="1:38" s="528" customFormat="1" ht="16.5" thickTop="1" x14ac:dyDescent="0.25">
      <c r="A270" s="521"/>
      <c r="B270" s="526"/>
      <c r="C270" s="527"/>
      <c r="E270" s="529"/>
      <c r="F270" s="530"/>
      <c r="G270" s="541"/>
      <c r="H270" s="542"/>
      <c r="I270" s="542"/>
      <c r="J270" s="924" t="s">
        <v>196</v>
      </c>
      <c r="K270" s="924"/>
      <c r="L270" s="429">
        <v>15000</v>
      </c>
      <c r="M270" s="428"/>
      <c r="N270" s="427"/>
      <c r="O270" s="422"/>
      <c r="P270" s="420"/>
      <c r="Q270" s="523"/>
      <c r="R270" s="523"/>
      <c r="T270" s="523"/>
      <c r="V270" s="531"/>
    </row>
    <row r="271" spans="1:38" s="528" customFormat="1" ht="15.75" x14ac:dyDescent="0.25">
      <c r="A271" s="521"/>
      <c r="B271" s="526"/>
      <c r="C271" s="527"/>
      <c r="E271" s="529"/>
      <c r="F271" s="530"/>
      <c r="G271" s="521"/>
      <c r="H271" s="522"/>
      <c r="I271" s="522"/>
      <c r="J271" s="921" t="s">
        <v>197</v>
      </c>
      <c r="K271" s="921"/>
      <c r="L271" s="787">
        <v>18000</v>
      </c>
      <c r="M271" s="428"/>
      <c r="N271" s="422"/>
      <c r="O271" s="422"/>
      <c r="P271" s="422"/>
      <c r="Q271" s="523"/>
      <c r="R271" s="523"/>
      <c r="T271" s="523"/>
      <c r="V271" s="531"/>
    </row>
    <row r="272" spans="1:38" s="528" customFormat="1" ht="15.75" x14ac:dyDescent="0.25">
      <c r="A272" s="521"/>
      <c r="B272" s="526"/>
      <c r="C272" s="527"/>
      <c r="E272" s="529"/>
      <c r="F272" s="530"/>
      <c r="G272" s="521"/>
      <c r="H272" s="522"/>
      <c r="I272" s="522"/>
      <c r="J272" s="921" t="s">
        <v>198</v>
      </c>
      <c r="K272" s="921"/>
      <c r="L272" s="787">
        <f>3*6000</f>
        <v>18000</v>
      </c>
      <c r="M272" s="422"/>
      <c r="N272" s="422"/>
      <c r="O272" s="422"/>
      <c r="P272" s="422"/>
      <c r="Q272" s="523"/>
      <c r="R272" s="523"/>
      <c r="T272" s="523"/>
      <c r="V272" s="531"/>
    </row>
    <row r="273" spans="1:38" ht="15.75" x14ac:dyDescent="0.25">
      <c r="D273" s="528"/>
      <c r="E273" s="529"/>
      <c r="F273" s="530"/>
      <c r="G273" s="521"/>
      <c r="H273" s="522"/>
      <c r="I273" s="522" t="s">
        <v>494</v>
      </c>
      <c r="J273" s="921" t="s">
        <v>199</v>
      </c>
      <c r="K273" s="921"/>
      <c r="L273" s="482"/>
      <c r="M273" s="422"/>
      <c r="N273" s="422"/>
      <c r="O273" s="422"/>
      <c r="P273" s="422"/>
      <c r="Q273" s="523"/>
      <c r="R273" s="523"/>
      <c r="S273" s="528"/>
      <c r="T273" s="523"/>
      <c r="U273" s="528"/>
      <c r="V273" s="446"/>
      <c r="AD273" s="18"/>
      <c r="AF273" s="18"/>
    </row>
    <row r="274" spans="1:38" ht="15.75" x14ac:dyDescent="0.25">
      <c r="A274" s="18"/>
      <c r="B274" s="18"/>
      <c r="C274" s="18"/>
      <c r="D274" s="528"/>
      <c r="E274" s="529"/>
      <c r="F274" s="530"/>
      <c r="G274" s="521"/>
      <c r="H274" s="522"/>
      <c r="I274" s="522"/>
      <c r="J274" s="921" t="s">
        <v>200</v>
      </c>
      <c r="K274" s="921"/>
      <c r="L274" s="425">
        <f>4*10000/1.075</f>
        <v>37209.302325581397</v>
      </c>
      <c r="M274" s="422"/>
      <c r="N274" s="422"/>
      <c r="O274" s="422"/>
      <c r="P274" s="422"/>
      <c r="Q274" s="523"/>
      <c r="R274" s="523"/>
      <c r="S274" s="528"/>
      <c r="T274" s="523"/>
      <c r="U274" s="528"/>
      <c r="V274" s="446"/>
      <c r="AD274" s="18"/>
      <c r="AF274" s="18"/>
    </row>
    <row r="275" spans="1:38" ht="15.75" x14ac:dyDescent="0.25">
      <c r="A275" s="18"/>
      <c r="B275" s="18"/>
      <c r="C275" s="18"/>
      <c r="D275" s="528"/>
      <c r="E275" s="529"/>
      <c r="F275" s="530"/>
      <c r="G275" s="521"/>
      <c r="H275" s="522"/>
      <c r="I275" s="522"/>
      <c r="J275" s="921" t="s">
        <v>201</v>
      </c>
      <c r="K275" s="921"/>
      <c r="L275" s="787" t="s">
        <v>180</v>
      </c>
      <c r="M275" s="422"/>
      <c r="N275" s="422"/>
      <c r="O275" s="422"/>
      <c r="P275" s="422"/>
      <c r="Q275" s="523"/>
      <c r="V275" s="446"/>
      <c r="AD275" s="18"/>
      <c r="AF275" s="18"/>
    </row>
    <row r="276" spans="1:38" ht="15.75" x14ac:dyDescent="0.25">
      <c r="A276" s="18"/>
      <c r="B276" s="18"/>
      <c r="C276" s="18"/>
      <c r="D276" s="528"/>
      <c r="E276" s="529"/>
      <c r="F276" s="530"/>
      <c r="G276" s="521"/>
      <c r="H276" s="522"/>
      <c r="I276" s="522" t="s">
        <v>494</v>
      </c>
      <c r="J276" s="921" t="s">
        <v>202</v>
      </c>
      <c r="K276" s="921"/>
      <c r="L276" s="482"/>
      <c r="M276" s="422"/>
      <c r="N276" s="422"/>
      <c r="O276" s="422"/>
      <c r="P276" s="422"/>
      <c r="Q276" s="523"/>
      <c r="V276" s="446"/>
      <c r="X276" s="877" t="s">
        <v>511</v>
      </c>
      <c r="Y276" s="877"/>
      <c r="Z276" s="877"/>
      <c r="AA276" s="771" t="s">
        <v>243</v>
      </c>
      <c r="AB276" s="771" t="s">
        <v>244</v>
      </c>
      <c r="AC276" s="771" t="s">
        <v>245</v>
      </c>
      <c r="AD276" s="123" t="s">
        <v>246</v>
      </c>
      <c r="AE276" s="196" t="s">
        <v>247</v>
      </c>
      <c r="AF276" s="771" t="s">
        <v>248</v>
      </c>
      <c r="AG276" s="212" t="s">
        <v>249</v>
      </c>
    </row>
    <row r="277" spans="1:38" ht="15.75" x14ac:dyDescent="0.25">
      <c r="A277" s="18"/>
      <c r="B277" s="18"/>
      <c r="C277" s="18"/>
      <c r="D277" s="528"/>
      <c r="E277" s="529"/>
      <c r="F277" s="530"/>
      <c r="G277" s="521"/>
      <c r="H277" s="522"/>
      <c r="I277" s="522"/>
      <c r="J277" s="921" t="s">
        <v>203</v>
      </c>
      <c r="K277" s="921"/>
      <c r="L277" s="787">
        <v>16000</v>
      </c>
      <c r="M277" s="422"/>
      <c r="N277" s="422"/>
      <c r="O277" s="422"/>
      <c r="P277" s="422"/>
      <c r="Q277" s="523"/>
      <c r="V277" s="446"/>
      <c r="X277" s="878" t="s">
        <v>512</v>
      </c>
      <c r="Y277" s="878"/>
      <c r="Z277" s="878"/>
      <c r="AA277" s="124" t="s">
        <v>513</v>
      </c>
      <c r="AB277" s="675">
        <f>(1.1*0.6)*3.28*3.28</f>
        <v>7.1005440000000002</v>
      </c>
      <c r="AC277" s="772">
        <v>8</v>
      </c>
      <c r="AD277" s="123">
        <v>200</v>
      </c>
      <c r="AE277" s="196">
        <f>AD277*AC277</f>
        <v>1600</v>
      </c>
      <c r="AF277" s="772"/>
      <c r="AG277" s="219">
        <f>AF277*AC277</f>
        <v>0</v>
      </c>
    </row>
    <row r="278" spans="1:38" ht="15.75" x14ac:dyDescent="0.25">
      <c r="A278" s="18"/>
      <c r="B278" s="18"/>
      <c r="C278" s="18"/>
      <c r="J278" s="894" t="s">
        <v>204</v>
      </c>
      <c r="K278" s="894"/>
      <c r="L278" s="787" t="s">
        <v>180</v>
      </c>
      <c r="M278" s="422"/>
      <c r="N278" s="422"/>
      <c r="O278" s="422"/>
      <c r="P278" s="422"/>
      <c r="V278" s="446"/>
      <c r="X278" s="878" t="s">
        <v>514</v>
      </c>
      <c r="Y278" s="878"/>
      <c r="Z278" s="878"/>
      <c r="AA278" s="124" t="s">
        <v>100</v>
      </c>
      <c r="AB278" s="772">
        <f>(1.1+0.6+1.1+0.6)</f>
        <v>3.4000000000000004</v>
      </c>
      <c r="AC278" s="772">
        <v>3.5</v>
      </c>
      <c r="AD278" s="123">
        <v>20</v>
      </c>
      <c r="AE278" s="196">
        <f>AD278*AC278</f>
        <v>70</v>
      </c>
      <c r="AF278" s="772"/>
      <c r="AG278" s="219">
        <f>AF278*AC278</f>
        <v>0</v>
      </c>
    </row>
    <row r="279" spans="1:38" ht="15.75" x14ac:dyDescent="0.25">
      <c r="A279" s="18"/>
      <c r="B279" s="18"/>
      <c r="C279" s="18"/>
      <c r="I279" s="2" t="s">
        <v>494</v>
      </c>
      <c r="J279" s="894" t="s">
        <v>205</v>
      </c>
      <c r="K279" s="894"/>
      <c r="L279" s="482"/>
      <c r="M279" s="422"/>
      <c r="N279" s="422"/>
      <c r="O279" s="422"/>
      <c r="P279" s="422"/>
      <c r="V279" s="446"/>
      <c r="X279" s="878" t="s">
        <v>515</v>
      </c>
      <c r="Y279" s="878"/>
      <c r="Z279" s="878"/>
      <c r="AA279" s="124" t="s">
        <v>100</v>
      </c>
      <c r="AB279" s="772">
        <f>(1.1+0.6+1.1+0.6)</f>
        <v>3.4000000000000004</v>
      </c>
      <c r="AC279" s="772">
        <v>3.5</v>
      </c>
      <c r="AD279" s="123">
        <v>16</v>
      </c>
      <c r="AE279" s="196">
        <f>AD279*AC279</f>
        <v>56</v>
      </c>
      <c r="AF279" s="772"/>
      <c r="AG279" s="219">
        <f>AF279*AC279</f>
        <v>0</v>
      </c>
    </row>
    <row r="280" spans="1:38" ht="15.75" x14ac:dyDescent="0.25">
      <c r="A280" s="18"/>
      <c r="B280" s="18"/>
      <c r="C280" s="18"/>
      <c r="I280" s="2" t="s">
        <v>494</v>
      </c>
      <c r="J280" s="894" t="s">
        <v>206</v>
      </c>
      <c r="K280" s="894"/>
      <c r="L280" s="482"/>
      <c r="M280" s="422"/>
      <c r="N280" s="422"/>
      <c r="O280" s="422"/>
      <c r="P280" s="422"/>
      <c r="V280" s="446"/>
      <c r="X280" s="878" t="s">
        <v>516</v>
      </c>
      <c r="Y280" s="878"/>
      <c r="Z280" s="878"/>
      <c r="AA280" s="124" t="s">
        <v>101</v>
      </c>
      <c r="AB280" s="675">
        <f>1.1*0.6</f>
        <v>0.66</v>
      </c>
      <c r="AC280" s="772">
        <v>0.8</v>
      </c>
      <c r="AD280" s="676">
        <f>400/2.88</f>
        <v>138.88888888888889</v>
      </c>
      <c r="AE280" s="196">
        <f t="shared" ref="AE280" si="166">AD280*AC280</f>
        <v>111.11111111111111</v>
      </c>
      <c r="AF280" s="772"/>
      <c r="AG280" s="219">
        <f t="shared" ref="AG280" si="167">AF280*AC280</f>
        <v>0</v>
      </c>
    </row>
    <row r="281" spans="1:38" ht="15.75" x14ac:dyDescent="0.25">
      <c r="A281" s="18"/>
      <c r="B281" s="18"/>
      <c r="C281" s="18"/>
      <c r="I281" s="2" t="s">
        <v>494</v>
      </c>
      <c r="J281" s="894" t="s">
        <v>473</v>
      </c>
      <c r="K281" s="894"/>
      <c r="L281" s="482"/>
      <c r="M281" s="422"/>
      <c r="N281" s="422"/>
      <c r="O281" s="422"/>
      <c r="P281" s="422"/>
      <c r="V281" s="446"/>
      <c r="X281" s="878" t="s">
        <v>379</v>
      </c>
      <c r="Y281" s="878"/>
      <c r="Z281" s="878"/>
      <c r="AA281" s="124" t="s">
        <v>301</v>
      </c>
      <c r="AB281" s="772">
        <v>1</v>
      </c>
      <c r="AC281" s="772">
        <v>1</v>
      </c>
      <c r="AD281" s="676">
        <v>500</v>
      </c>
      <c r="AE281" s="196">
        <f>AD281*AC281</f>
        <v>500</v>
      </c>
      <c r="AF281" s="772"/>
      <c r="AG281" s="219">
        <f>AF281*AC281</f>
        <v>0</v>
      </c>
    </row>
    <row r="282" spans="1:38" ht="15.75" x14ac:dyDescent="0.25">
      <c r="A282" s="18"/>
      <c r="B282" s="18"/>
      <c r="C282" s="18"/>
      <c r="I282" s="2" t="s">
        <v>494</v>
      </c>
      <c r="J282" s="894" t="s">
        <v>208</v>
      </c>
      <c r="K282" s="894"/>
      <c r="L282" s="482"/>
      <c r="M282" s="422"/>
      <c r="N282" s="422"/>
      <c r="O282" s="422"/>
      <c r="P282" s="422"/>
      <c r="V282" s="27"/>
      <c r="X282" s="878"/>
      <c r="Y282" s="878"/>
      <c r="Z282" s="878"/>
      <c r="AA282" s="124"/>
      <c r="AB282" s="772"/>
      <c r="AC282" s="772"/>
      <c r="AD282" s="123"/>
      <c r="AE282" s="212">
        <f>SUM(AE277:AE281)</f>
        <v>2337.1111111111113</v>
      </c>
      <c r="AF282" s="772"/>
      <c r="AG282" s="212">
        <f>SUM(AG277:AG281)</f>
        <v>0</v>
      </c>
    </row>
    <row r="283" spans="1:38" ht="15.75" x14ac:dyDescent="0.25">
      <c r="A283" s="18"/>
      <c r="B283" s="18"/>
      <c r="C283" s="18"/>
      <c r="I283" s="2" t="s">
        <v>496</v>
      </c>
      <c r="J283" s="894" t="s">
        <v>209</v>
      </c>
      <c r="K283" s="894"/>
      <c r="L283" s="482"/>
      <c r="M283" s="422"/>
      <c r="N283" s="422"/>
      <c r="O283" s="422"/>
      <c r="P283" s="422"/>
      <c r="V283" s="27"/>
      <c r="AD283" s="18"/>
      <c r="AF283" s="18"/>
    </row>
    <row r="284" spans="1:38" ht="15.75" x14ac:dyDescent="0.25">
      <c r="A284" s="18"/>
      <c r="B284" s="18"/>
      <c r="C284" s="18"/>
      <c r="J284" s="894" t="s">
        <v>474</v>
      </c>
      <c r="K284" s="894"/>
      <c r="L284" s="787">
        <v>15000</v>
      </c>
      <c r="M284" s="422"/>
      <c r="N284" s="422"/>
      <c r="O284" s="422"/>
      <c r="P284" s="422"/>
      <c r="V284" s="27"/>
      <c r="AD284" s="18"/>
      <c r="AF284" s="18"/>
    </row>
    <row r="285" spans="1:38" ht="15.75" x14ac:dyDescent="0.25">
      <c r="A285" s="18"/>
      <c r="B285" s="18"/>
      <c r="C285" s="18"/>
      <c r="I285" s="2" t="s">
        <v>494</v>
      </c>
      <c r="J285" s="894" t="s">
        <v>211</v>
      </c>
      <c r="K285" s="894"/>
      <c r="L285" s="482"/>
      <c r="M285" s="422"/>
      <c r="N285" s="422"/>
      <c r="O285" s="422"/>
      <c r="P285" s="422"/>
      <c r="V285" s="27"/>
      <c r="AD285" s="18"/>
      <c r="AF285" s="18"/>
    </row>
    <row r="286" spans="1:38" ht="15.75" x14ac:dyDescent="0.25">
      <c r="A286" s="18"/>
      <c r="B286" s="18"/>
      <c r="C286" s="18"/>
      <c r="J286" s="894" t="s">
        <v>212</v>
      </c>
      <c r="K286" s="894"/>
      <c r="L286" s="787">
        <v>15000</v>
      </c>
      <c r="M286" s="422"/>
      <c r="N286" s="422"/>
      <c r="O286" s="422"/>
      <c r="P286" s="422"/>
      <c r="V286" s="27"/>
    </row>
    <row r="287" spans="1:38" ht="15.75" x14ac:dyDescent="0.25">
      <c r="A287" s="18"/>
      <c r="B287" s="18"/>
      <c r="C287" s="18"/>
      <c r="J287" s="894" t="s">
        <v>475</v>
      </c>
      <c r="K287" s="894"/>
      <c r="L287" s="787">
        <f>4*12000/1.12</f>
        <v>42857.142857142855</v>
      </c>
      <c r="M287" s="422"/>
      <c r="N287" s="422"/>
      <c r="O287" s="422"/>
      <c r="P287" s="422"/>
      <c r="V287" s="27"/>
      <c r="X287" s="878" t="s">
        <v>522</v>
      </c>
      <c r="Y287" s="878"/>
      <c r="Z287" s="878"/>
      <c r="AA287" s="124" t="s">
        <v>101</v>
      </c>
      <c r="AB287" s="675">
        <f>(3.2*1.5)*2+(1*1.5)*2</f>
        <v>12.600000000000001</v>
      </c>
      <c r="AC287" s="772">
        <v>13</v>
      </c>
      <c r="AD287" s="676">
        <f>375*(3.28*3.28)/1.075</f>
        <v>3752.9302325581389</v>
      </c>
      <c r="AE287" s="196">
        <f t="shared" ref="AE287" si="168">AD287*AC287</f>
        <v>48788.093023255802</v>
      </c>
      <c r="AF287" s="677">
        <f>AD287*0.35</f>
        <v>1313.5255813953486</v>
      </c>
      <c r="AG287" s="219">
        <f t="shared" ref="AG287" si="169">AF287*AC287</f>
        <v>17075.832558139533</v>
      </c>
    </row>
    <row r="288" spans="1:38" ht="15.75" x14ac:dyDescent="0.25">
      <c r="A288" s="18"/>
      <c r="B288" s="18"/>
      <c r="C288" s="18"/>
      <c r="J288" s="894" t="s">
        <v>214</v>
      </c>
      <c r="K288" s="894"/>
      <c r="L288" s="787" t="s">
        <v>189</v>
      </c>
      <c r="M288" s="422"/>
      <c r="N288" s="422"/>
      <c r="O288" s="422"/>
      <c r="P288" s="422"/>
      <c r="V288" s="27"/>
      <c r="W288" s="397"/>
      <c r="X288" s="878" t="s">
        <v>379</v>
      </c>
      <c r="Y288" s="878"/>
      <c r="Z288" s="878"/>
      <c r="AA288" s="124" t="s">
        <v>301</v>
      </c>
      <c r="AB288" s="772">
        <v>1</v>
      </c>
      <c r="AC288" s="772">
        <v>1</v>
      </c>
      <c r="AD288" s="676">
        <v>2000</v>
      </c>
      <c r="AE288" s="196">
        <f>AD288*AC288</f>
        <v>2000</v>
      </c>
      <c r="AF288" s="772">
        <v>1000</v>
      </c>
      <c r="AG288" s="219">
        <f>AF288*AC288</f>
        <v>1000</v>
      </c>
      <c r="AH288" s="394"/>
      <c r="AI288" s="394"/>
      <c r="AJ288" s="395"/>
      <c r="AK288" s="394"/>
      <c r="AL288" s="394"/>
    </row>
    <row r="289" spans="1:44" ht="15.75" x14ac:dyDescent="0.25">
      <c r="A289" s="18"/>
      <c r="B289" s="18"/>
      <c r="C289" s="18"/>
      <c r="J289" s="894" t="s">
        <v>476</v>
      </c>
      <c r="K289" s="894"/>
      <c r="L289" s="787">
        <v>10000</v>
      </c>
      <c r="M289" s="422"/>
      <c r="N289" s="422"/>
      <c r="O289" s="422"/>
      <c r="P289" s="422"/>
      <c r="V289" s="27"/>
      <c r="W289" s="397"/>
      <c r="AD289" s="18"/>
      <c r="AE289" s="365">
        <f>SUM(AE287:AE288)</f>
        <v>50788.093023255802</v>
      </c>
      <c r="AF289" s="18"/>
      <c r="AG289" s="365">
        <f>SUM(AG287:AG288)</f>
        <v>18075.832558139533</v>
      </c>
      <c r="AH289" s="394"/>
      <c r="AI289" s="394"/>
      <c r="AJ289" s="395"/>
      <c r="AK289" s="394"/>
      <c r="AL289" s="394"/>
    </row>
    <row r="290" spans="1:44" ht="15.75" x14ac:dyDescent="0.25">
      <c r="J290" s="894" t="s">
        <v>477</v>
      </c>
      <c r="K290" s="894"/>
      <c r="L290" s="429"/>
      <c r="M290" s="422"/>
      <c r="N290" s="422"/>
      <c r="O290" s="422"/>
      <c r="P290" s="422"/>
      <c r="V290" s="27"/>
      <c r="W290" s="397"/>
      <c r="X290" s="400"/>
      <c r="Y290" s="404"/>
      <c r="Z290" s="391"/>
      <c r="AA290" s="392"/>
      <c r="AB290" s="399"/>
      <c r="AC290" s="403"/>
      <c r="AD290" s="392"/>
      <c r="AE290" s="378"/>
      <c r="AF290" s="393"/>
      <c r="AG290" s="394"/>
      <c r="AH290" s="394"/>
      <c r="AI290" s="405"/>
      <c r="AJ290" s="405"/>
      <c r="AK290" s="405"/>
      <c r="AL290" s="405"/>
    </row>
    <row r="291" spans="1:44" ht="15.75" x14ac:dyDescent="0.25">
      <c r="J291" s="894" t="s">
        <v>217</v>
      </c>
      <c r="K291" s="894"/>
      <c r="L291" s="429" t="s">
        <v>180</v>
      </c>
      <c r="M291" s="422"/>
      <c r="N291" s="422"/>
      <c r="O291" s="422"/>
      <c r="P291" s="422"/>
      <c r="V291" s="27"/>
      <c r="W291" s="389"/>
      <c r="X291" s="390"/>
      <c r="Y291" s="391"/>
      <c r="Z291" s="391"/>
      <c r="AA291" s="392"/>
      <c r="AB291" s="391"/>
      <c r="AC291" s="392"/>
      <c r="AD291" s="392"/>
      <c r="AE291" s="378"/>
      <c r="AF291" s="393"/>
      <c r="AG291" s="394"/>
      <c r="AH291" s="394"/>
      <c r="AI291" s="394"/>
      <c r="AJ291" s="395"/>
      <c r="AK291" s="394"/>
      <c r="AL291" s="394"/>
    </row>
    <row r="292" spans="1:44" ht="15.75" x14ac:dyDescent="0.25">
      <c r="J292" s="894" t="s">
        <v>478</v>
      </c>
      <c r="K292" s="894"/>
      <c r="L292" s="429">
        <v>3500</v>
      </c>
      <c r="M292" s="422"/>
      <c r="N292" s="422"/>
      <c r="O292" s="422"/>
      <c r="P292" s="422"/>
      <c r="V292" s="27"/>
      <c r="W292" s="389"/>
      <c r="X292" s="390"/>
      <c r="Y292" s="391"/>
      <c r="Z292" s="391"/>
      <c r="AA292" s="392"/>
      <c r="AB292" s="391"/>
      <c r="AC292" s="392"/>
      <c r="AD292" s="392"/>
      <c r="AE292" s="378"/>
      <c r="AF292" s="393"/>
      <c r="AG292" s="394"/>
      <c r="AH292" s="394"/>
      <c r="AI292" s="394"/>
      <c r="AJ292" s="395"/>
      <c r="AK292" s="394"/>
      <c r="AL292" s="394"/>
    </row>
    <row r="293" spans="1:44" ht="15.75" x14ac:dyDescent="0.25">
      <c r="J293" s="894" t="s">
        <v>219</v>
      </c>
      <c r="K293" s="894"/>
      <c r="L293" s="429" t="s">
        <v>180</v>
      </c>
      <c r="M293" s="422"/>
      <c r="N293" s="422"/>
      <c r="O293" s="422"/>
      <c r="P293" s="422"/>
      <c r="V293" s="27"/>
      <c r="W293" s="273"/>
      <c r="X293" s="273"/>
      <c r="Y293" s="273"/>
      <c r="Z293" s="273"/>
      <c r="AA293" s="273"/>
      <c r="AB293" s="273"/>
      <c r="AC293" s="273"/>
      <c r="AD293" s="224"/>
      <c r="AE293" s="273"/>
      <c r="AF293" s="224"/>
      <c r="AG293" s="1"/>
      <c r="AH293" s="1"/>
      <c r="AI293" s="1"/>
      <c r="AJ293" s="1"/>
      <c r="AK293" s="1"/>
      <c r="AL293" s="1"/>
    </row>
    <row r="294" spans="1:44" s="1" customFormat="1" ht="15.75" x14ac:dyDescent="0.25">
      <c r="A294" s="19"/>
      <c r="B294" s="153"/>
      <c r="C294" s="294"/>
      <c r="D294" s="18"/>
      <c r="E294" s="60"/>
      <c r="F294" s="91"/>
      <c r="G294" s="19"/>
      <c r="H294" s="2"/>
      <c r="I294" s="2"/>
      <c r="J294" s="894" t="s">
        <v>220</v>
      </c>
      <c r="K294" s="894"/>
      <c r="L294" s="429">
        <v>3500</v>
      </c>
      <c r="M294" s="422"/>
      <c r="N294" s="422"/>
      <c r="O294" s="422"/>
      <c r="P294" s="422"/>
      <c r="S294" s="18"/>
      <c r="U294" s="18"/>
      <c r="V294" s="18"/>
      <c r="W294" s="18"/>
      <c r="X294" s="18"/>
      <c r="Y294" s="18"/>
      <c r="Z294" s="18"/>
      <c r="AA294" s="18"/>
      <c r="AB294" s="18"/>
      <c r="AC294" s="18"/>
      <c r="AE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spans="1:44" s="1" customFormat="1" ht="15.75" x14ac:dyDescent="0.25">
      <c r="A295" s="19"/>
      <c r="B295" s="153"/>
      <c r="C295" s="294"/>
      <c r="D295" s="18"/>
      <c r="E295" s="60"/>
      <c r="F295" s="91"/>
      <c r="G295" s="19"/>
      <c r="H295" s="2"/>
      <c r="I295" s="2"/>
      <c r="J295" s="894" t="s">
        <v>221</v>
      </c>
      <c r="K295" s="894"/>
      <c r="L295" s="429">
        <v>3500</v>
      </c>
      <c r="M295" s="422"/>
      <c r="N295" s="422"/>
      <c r="O295" s="422"/>
      <c r="P295" s="422"/>
      <c r="S295" s="18"/>
      <c r="U295" s="18"/>
      <c r="V295" s="18"/>
      <c r="W295" s="18"/>
      <c r="X295" s="18"/>
      <c r="Y295" s="18"/>
      <c r="Z295" s="18"/>
      <c r="AA295" s="18"/>
      <c r="AB295" s="18"/>
      <c r="AC295" s="18"/>
      <c r="AE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s="1" customFormat="1" ht="15.75" x14ac:dyDescent="0.25">
      <c r="A296" s="19"/>
      <c r="B296" s="153"/>
      <c r="C296" s="294"/>
      <c r="D296" s="18"/>
      <c r="E296" s="60"/>
      <c r="F296" s="91"/>
      <c r="G296" s="19"/>
      <c r="H296" s="2"/>
      <c r="I296" s="2"/>
      <c r="J296" s="894" t="s">
        <v>479</v>
      </c>
      <c r="K296" s="894"/>
      <c r="L296" s="787">
        <v>0</v>
      </c>
      <c r="M296" s="422"/>
      <c r="N296" s="422"/>
      <c r="O296" s="422"/>
      <c r="P296" s="422"/>
      <c r="S296" s="18"/>
      <c r="U296" s="18"/>
      <c r="V296" s="18"/>
      <c r="W296" s="18"/>
      <c r="X296" s="18"/>
      <c r="Y296" s="18"/>
      <c r="Z296" s="18"/>
      <c r="AA296" s="18"/>
      <c r="AB296" s="18"/>
      <c r="AC296" s="18"/>
      <c r="AE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s="1" customFormat="1" ht="15.75" x14ac:dyDescent="0.25">
      <c r="A297" s="19"/>
      <c r="B297" s="153"/>
      <c r="C297" s="294"/>
      <c r="D297" s="18"/>
      <c r="E297" s="60"/>
      <c r="F297" s="91"/>
      <c r="G297" s="19"/>
      <c r="H297" s="2"/>
      <c r="I297" s="2"/>
      <c r="J297" s="894" t="s">
        <v>223</v>
      </c>
      <c r="K297" s="894"/>
      <c r="L297" s="787">
        <v>12000</v>
      </c>
      <c r="M297" s="430"/>
      <c r="N297" s="422"/>
      <c r="O297" s="422"/>
      <c r="P297" s="422"/>
      <c r="S297" s="18"/>
      <c r="U297" s="18"/>
      <c r="V297" s="18"/>
      <c r="W297" s="18"/>
      <c r="X297" s="18"/>
      <c r="Y297" s="18"/>
      <c r="Z297" s="18"/>
      <c r="AA297" s="18"/>
      <c r="AB297" s="18"/>
      <c r="AC297" s="18"/>
      <c r="AE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4" t="s">
        <v>480</v>
      </c>
      <c r="K298" s="894"/>
      <c r="L298" s="787" t="s">
        <v>189</v>
      </c>
      <c r="M298" s="431"/>
      <c r="N298" s="431"/>
      <c r="O298" s="431"/>
      <c r="P298" s="431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E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3" t="s">
        <v>481</v>
      </c>
      <c r="K299" s="893"/>
      <c r="L299" s="432">
        <v>8500</v>
      </c>
      <c r="M299" s="431"/>
      <c r="N299" s="431"/>
      <c r="O299" s="431"/>
      <c r="P299" s="431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E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4" t="s">
        <v>482</v>
      </c>
      <c r="K300" s="894"/>
      <c r="L300" s="787">
        <v>8500</v>
      </c>
      <c r="M300" s="431"/>
      <c r="N300" s="431"/>
      <c r="O300" s="431"/>
      <c r="P300" s="431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E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5" t="s">
        <v>483</v>
      </c>
      <c r="K301" s="895"/>
      <c r="L301" s="775" t="s">
        <v>189</v>
      </c>
      <c r="M301" s="434"/>
      <c r="N301" s="434"/>
      <c r="O301" s="434"/>
      <c r="P301" s="434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E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spans="1:44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 t="s">
        <v>494</v>
      </c>
      <c r="J302" s="895" t="s">
        <v>484</v>
      </c>
      <c r="K302" s="895"/>
      <c r="L302" s="485"/>
      <c r="M302" s="434"/>
      <c r="N302" s="434"/>
      <c r="O302" s="434"/>
      <c r="P302" s="434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E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spans="1:44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5" t="s">
        <v>485</v>
      </c>
      <c r="K303" s="895"/>
      <c r="L303" s="775" t="s">
        <v>189</v>
      </c>
      <c r="M303" s="434"/>
      <c r="N303" s="434"/>
      <c r="O303" s="434"/>
      <c r="P303" s="434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E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spans="1:44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5" t="s">
        <v>486</v>
      </c>
      <c r="K304" s="895"/>
      <c r="L304" s="775" t="s">
        <v>189</v>
      </c>
      <c r="M304" s="434"/>
      <c r="N304" s="434"/>
      <c r="O304" s="434"/>
      <c r="P304" s="434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E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spans="1:44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/>
      <c r="J305" s="892" t="s">
        <v>222</v>
      </c>
      <c r="K305" s="892"/>
      <c r="L305" s="775">
        <v>7500</v>
      </c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E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spans="1:44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/>
      <c r="J306" s="892" t="s">
        <v>487</v>
      </c>
      <c r="K306" s="892"/>
      <c r="L306" s="775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E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  <row r="307" spans="1:44" s="1" customFormat="1" ht="15.75" x14ac:dyDescent="0.25">
      <c r="A307" s="19"/>
      <c r="B307" s="153"/>
      <c r="C307" s="294"/>
      <c r="D307" s="18"/>
      <c r="E307" s="60"/>
      <c r="F307" s="91"/>
      <c r="G307" s="19"/>
      <c r="H307" s="2"/>
      <c r="I307" s="2"/>
      <c r="J307" s="892" t="s">
        <v>213</v>
      </c>
      <c r="K307" s="892"/>
      <c r="L307" s="775" t="s">
        <v>161</v>
      </c>
      <c r="M307" s="434"/>
      <c r="N307" s="434"/>
      <c r="O307" s="434"/>
      <c r="P307" s="434"/>
      <c r="S307" s="18"/>
      <c r="U307" s="18"/>
      <c r="V307" s="18"/>
      <c r="W307" s="18"/>
      <c r="X307" s="18"/>
      <c r="Y307" s="18"/>
      <c r="Z307" s="18"/>
      <c r="AA307" s="18"/>
      <c r="AB307" s="18"/>
      <c r="AC307" s="18"/>
      <c r="AE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</row>
    <row r="308" spans="1:44" s="1" customFormat="1" ht="15.75" x14ac:dyDescent="0.25">
      <c r="A308" s="19"/>
      <c r="B308" s="153"/>
      <c r="C308" s="294"/>
      <c r="D308" s="18"/>
      <c r="E308" s="60"/>
      <c r="F308" s="91"/>
      <c r="G308" s="19"/>
      <c r="H308" s="2"/>
      <c r="I308" s="2" t="s">
        <v>494</v>
      </c>
      <c r="J308" s="892" t="s">
        <v>488</v>
      </c>
      <c r="K308" s="892"/>
      <c r="L308" s="485"/>
      <c r="M308" s="434"/>
      <c r="N308" s="434"/>
      <c r="O308" s="434"/>
      <c r="P308" s="434"/>
      <c r="S308" s="18"/>
      <c r="U308" s="18"/>
      <c r="V308" s="18"/>
      <c r="W308" s="18"/>
      <c r="X308" s="18"/>
      <c r="Y308" s="18"/>
      <c r="Z308" s="18"/>
      <c r="AA308" s="18"/>
      <c r="AB308" s="18"/>
      <c r="AC308" s="18"/>
      <c r="AE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</row>
    <row r="309" spans="1:44" s="1" customFormat="1" ht="15.75" x14ac:dyDescent="0.25">
      <c r="A309" s="19"/>
      <c r="B309" s="153"/>
      <c r="C309" s="294"/>
      <c r="D309" s="18"/>
      <c r="E309" s="60"/>
      <c r="F309" s="91"/>
      <c r="G309" s="19"/>
      <c r="H309" s="2"/>
      <c r="I309" s="2"/>
      <c r="J309" s="892" t="s">
        <v>489</v>
      </c>
      <c r="K309" s="892"/>
      <c r="L309" s="775"/>
      <c r="M309" s="434"/>
      <c r="N309" s="434"/>
      <c r="O309" s="434"/>
      <c r="P309" s="434"/>
      <c r="S309" s="18"/>
      <c r="U309" s="18"/>
      <c r="V309" s="18"/>
      <c r="W309" s="18"/>
      <c r="X309" s="18"/>
      <c r="Y309" s="18"/>
      <c r="Z309" s="18"/>
      <c r="AA309" s="18"/>
      <c r="AB309" s="18"/>
      <c r="AC309" s="18"/>
      <c r="AE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</row>
  </sheetData>
  <mergeCells count="164">
    <mergeCell ref="A14:A15"/>
    <mergeCell ref="B14:D15"/>
    <mergeCell ref="E14:E15"/>
    <mergeCell ref="F14:F15"/>
    <mergeCell ref="G14:G15"/>
    <mergeCell ref="H14:H15"/>
    <mergeCell ref="B35:D35"/>
    <mergeCell ref="W35:Y35"/>
    <mergeCell ref="W36:Y36"/>
    <mergeCell ref="W37:Y37"/>
    <mergeCell ref="W38:Y38"/>
    <mergeCell ref="W39:Y39"/>
    <mergeCell ref="I14:I15"/>
    <mergeCell ref="J14:J15"/>
    <mergeCell ref="K14:K15"/>
    <mergeCell ref="L14:L15"/>
    <mergeCell ref="M14:O14"/>
    <mergeCell ref="P14:P15"/>
    <mergeCell ref="W58:Y58"/>
    <mergeCell ref="W59:Y59"/>
    <mergeCell ref="W60:Y60"/>
    <mergeCell ref="W61:Y61"/>
    <mergeCell ref="W62:Y62"/>
    <mergeCell ref="W72:Y72"/>
    <mergeCell ref="W42:Y42"/>
    <mergeCell ref="W43:Y43"/>
    <mergeCell ref="W44:Y44"/>
    <mergeCell ref="W45:Y45"/>
    <mergeCell ref="W46:Y46"/>
    <mergeCell ref="W57:Y57"/>
    <mergeCell ref="W120:Y120"/>
    <mergeCell ref="W121:Y121"/>
    <mergeCell ref="W122:Y122"/>
    <mergeCell ref="W123:Y123"/>
    <mergeCell ref="W124:Y124"/>
    <mergeCell ref="W127:Y127"/>
    <mergeCell ref="W73:Y73"/>
    <mergeCell ref="W76:Y76"/>
    <mergeCell ref="W77:Y77"/>
    <mergeCell ref="W78:Y78"/>
    <mergeCell ref="W79:Y79"/>
    <mergeCell ref="W80:Y80"/>
    <mergeCell ref="Y150:AA150"/>
    <mergeCell ref="B151:D151"/>
    <mergeCell ref="Y151:AA151"/>
    <mergeCell ref="Y152:AA152"/>
    <mergeCell ref="Y153:AA153"/>
    <mergeCell ref="V154:AA154"/>
    <mergeCell ref="W128:Y128"/>
    <mergeCell ref="W129:Y129"/>
    <mergeCell ref="W130:Y130"/>
    <mergeCell ref="W131:Y131"/>
    <mergeCell ref="Y147:AA147"/>
    <mergeCell ref="Y149:AA149"/>
    <mergeCell ref="Y161:AA161"/>
    <mergeCell ref="Y162:AA162"/>
    <mergeCell ref="AL162:AN162"/>
    <mergeCell ref="AL163:AN163"/>
    <mergeCell ref="AL164:AN164"/>
    <mergeCell ref="AL165:AN165"/>
    <mergeCell ref="Y155:AA155"/>
    <mergeCell ref="Y156:AA156"/>
    <mergeCell ref="Y157:AA157"/>
    <mergeCell ref="Y158:AA158"/>
    <mergeCell ref="Y159:AA159"/>
    <mergeCell ref="Y160:AA160"/>
    <mergeCell ref="AL178:AN178"/>
    <mergeCell ref="AL179:AN179"/>
    <mergeCell ref="AL180:AN180"/>
    <mergeCell ref="AL181:AN181"/>
    <mergeCell ref="AL182:AN182"/>
    <mergeCell ref="AL185:AM185"/>
    <mergeCell ref="AL166:AN166"/>
    <mergeCell ref="AL170:AN170"/>
    <mergeCell ref="AL171:AN171"/>
    <mergeCell ref="AL172:AN172"/>
    <mergeCell ref="AL173:AN173"/>
    <mergeCell ref="AL174:AN174"/>
    <mergeCell ref="AL199:AM199"/>
    <mergeCell ref="AL200:AM200"/>
    <mergeCell ref="AL201:AM201"/>
    <mergeCell ref="AL202:AM202"/>
    <mergeCell ref="AL203:AM203"/>
    <mergeCell ref="AL204:AM204"/>
    <mergeCell ref="AL186:AM186"/>
    <mergeCell ref="AL189:AM189"/>
    <mergeCell ref="AL195:AM195"/>
    <mergeCell ref="AL196:AM196"/>
    <mergeCell ref="AL197:AM197"/>
    <mergeCell ref="AL198:AM198"/>
    <mergeCell ref="AA227:AC227"/>
    <mergeCell ref="AD227:AE227"/>
    <mergeCell ref="AA228:AC228"/>
    <mergeCell ref="AD228:AE228"/>
    <mergeCell ref="B241:D241"/>
    <mergeCell ref="B243:D243"/>
    <mergeCell ref="M243:P243"/>
    <mergeCell ref="AL205:AM205"/>
    <mergeCell ref="AA211:AC211"/>
    <mergeCell ref="AD211:AE211"/>
    <mergeCell ref="B213:D213"/>
    <mergeCell ref="AA226:AC226"/>
    <mergeCell ref="AD226:AE226"/>
    <mergeCell ref="J264:K264"/>
    <mergeCell ref="J265:K265"/>
    <mergeCell ref="J266:K266"/>
    <mergeCell ref="J267:K267"/>
    <mergeCell ref="J268:K268"/>
    <mergeCell ref="J269:K269"/>
    <mergeCell ref="AA244:AC244"/>
    <mergeCell ref="AD244:AE244"/>
    <mergeCell ref="AA258:AC258"/>
    <mergeCell ref="AD258:AE258"/>
    <mergeCell ref="J262:K262"/>
    <mergeCell ref="J263:K263"/>
    <mergeCell ref="J276:K276"/>
    <mergeCell ref="X276:Z276"/>
    <mergeCell ref="J277:K277"/>
    <mergeCell ref="X277:Z277"/>
    <mergeCell ref="J278:K278"/>
    <mergeCell ref="X278:Z278"/>
    <mergeCell ref="J270:K270"/>
    <mergeCell ref="J271:K271"/>
    <mergeCell ref="J272:K272"/>
    <mergeCell ref="J273:K273"/>
    <mergeCell ref="J274:K274"/>
    <mergeCell ref="J275:K275"/>
    <mergeCell ref="J282:K282"/>
    <mergeCell ref="X282:Z282"/>
    <mergeCell ref="J283:K283"/>
    <mergeCell ref="J284:K284"/>
    <mergeCell ref="J285:K285"/>
    <mergeCell ref="J286:K286"/>
    <mergeCell ref="J279:K279"/>
    <mergeCell ref="X279:Z279"/>
    <mergeCell ref="J280:K280"/>
    <mergeCell ref="X280:Z280"/>
    <mergeCell ref="J281:K281"/>
    <mergeCell ref="X281:Z281"/>
    <mergeCell ref="J291:K291"/>
    <mergeCell ref="J292:K292"/>
    <mergeCell ref="J293:K293"/>
    <mergeCell ref="J294:K294"/>
    <mergeCell ref="J295:K295"/>
    <mergeCell ref="J296:K296"/>
    <mergeCell ref="J287:K287"/>
    <mergeCell ref="X287:Z287"/>
    <mergeCell ref="J288:K288"/>
    <mergeCell ref="X288:Z288"/>
    <mergeCell ref="J289:K289"/>
    <mergeCell ref="J290:K290"/>
    <mergeCell ref="J309:K309"/>
    <mergeCell ref="J303:K303"/>
    <mergeCell ref="J304:K304"/>
    <mergeCell ref="J305:K305"/>
    <mergeCell ref="J306:K306"/>
    <mergeCell ref="J307:K307"/>
    <mergeCell ref="J308:K308"/>
    <mergeCell ref="J297:K297"/>
    <mergeCell ref="J298:K298"/>
    <mergeCell ref="J299:K299"/>
    <mergeCell ref="J300:K300"/>
    <mergeCell ref="J301:K301"/>
    <mergeCell ref="J302:K302"/>
  </mergeCells>
  <printOptions horizontalCentered="1"/>
  <pageMargins left="0.25" right="0.25" top="0.5" bottom="0.5" header="0.3" footer="0.3"/>
  <pageSetup scale="70" orientation="landscape" r:id="rId1"/>
  <headerFooter>
    <oddFooter>Page &amp;P of &amp;N</oddFooter>
  </headerFooter>
  <rowBreaks count="2" manualBreakCount="2">
    <brk id="58" max="15" man="1"/>
    <brk id="151" max="15" man="1"/>
  </rowBreak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313"/>
  <sheetViews>
    <sheetView showGridLines="0" view="pageBreakPreview" topLeftCell="E19" zoomScale="80" zoomScaleNormal="85" zoomScaleSheetLayoutView="80" workbookViewId="0">
      <selection activeCell="P19" sqref="P19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9.8554687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13.85546875" style="18" bestFit="1" customWidth="1"/>
    <col min="20" max="20" width="10.5703125" style="1" bestFit="1" customWidth="1"/>
    <col min="21" max="21" width="9.140625" style="18"/>
    <col min="22" max="22" width="4.140625" style="18" customWidth="1"/>
    <col min="23" max="26" width="20.140625" style="18" customWidth="1"/>
    <col min="27" max="27" width="20.28515625" style="18" customWidth="1"/>
    <col min="28" max="28" width="15.42578125" style="18" customWidth="1"/>
    <col min="29" max="29" width="10.7109375" style="18" customWidth="1"/>
    <col min="30" max="30" width="12.85546875" style="18" customWidth="1"/>
    <col min="31" max="32" width="10.7109375" style="18" customWidth="1"/>
    <col min="33" max="33" width="14.42578125" style="1" customWidth="1"/>
    <col min="34" max="34" width="10.7109375" style="18" customWidth="1"/>
    <col min="35" max="35" width="13.42578125" style="1" customWidth="1"/>
    <col min="36" max="36" width="10.7109375" style="18" customWidth="1"/>
    <col min="37" max="37" width="13.140625" style="18" customWidth="1"/>
    <col min="38" max="44" width="9.140625" style="18"/>
    <col min="45" max="45" width="12" style="18" customWidth="1"/>
    <col min="46" max="46" width="10" style="18" customWidth="1"/>
    <col min="47" max="47" width="14.28515625" style="18" customWidth="1"/>
    <col min="48" max="48" width="11.7109375" style="18" customWidth="1"/>
    <col min="49" max="49" width="12.42578125" style="18" customWidth="1"/>
    <col min="50" max="50" width="11" style="18" customWidth="1"/>
    <col min="51" max="51" width="12.7109375" style="18" customWidth="1"/>
    <col min="52" max="16384" width="9.140625" style="18"/>
  </cols>
  <sheetData>
    <row r="1" spans="1:47" hidden="1" x14ac:dyDescent="0.25"/>
    <row r="2" spans="1:47" hidden="1" x14ac:dyDescent="0.25"/>
    <row r="3" spans="1:47" hidden="1" x14ac:dyDescent="0.25"/>
    <row r="4" spans="1:47" hidden="1" x14ac:dyDescent="0.25"/>
    <row r="5" spans="1:47" hidden="1" x14ac:dyDescent="0.25"/>
    <row r="7" spans="1:47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G7" s="325"/>
      <c r="AI7" s="325"/>
    </row>
    <row r="8" spans="1:47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G8" s="325"/>
      <c r="AI8" s="325"/>
    </row>
    <row r="9" spans="1:47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G9" s="325"/>
      <c r="AI9" s="325"/>
    </row>
    <row r="10" spans="1:47" s="28" customFormat="1" ht="15.75" x14ac:dyDescent="0.25">
      <c r="A10" s="236" t="s">
        <v>24</v>
      </c>
      <c r="B10" s="165" t="s">
        <v>1</v>
      </c>
      <c r="C10" s="299"/>
      <c r="D10" s="812">
        <v>41902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G10" s="325"/>
      <c r="AI10" s="325"/>
    </row>
    <row r="11" spans="1:47" ht="15.75" x14ac:dyDescent="0.25">
      <c r="A11" s="235"/>
      <c r="D11" s="21"/>
      <c r="E11" s="181"/>
      <c r="AO11" s="288" t="s">
        <v>317</v>
      </c>
      <c r="AP11" s="227"/>
      <c r="AQ11" s="228"/>
      <c r="AR11" s="228"/>
      <c r="AS11" s="232">
        <f>9200000*0.3</f>
        <v>2760000</v>
      </c>
      <c r="AT11" s="228"/>
      <c r="AU11" s="227"/>
    </row>
    <row r="12" spans="1:47" hidden="1" x14ac:dyDescent="0.25">
      <c r="A12" s="235"/>
      <c r="D12" s="21"/>
      <c r="E12" s="181"/>
      <c r="T12" s="224"/>
      <c r="U12" s="273"/>
      <c r="V12" s="273"/>
      <c r="AG12" s="224"/>
      <c r="AH12" s="273"/>
      <c r="AI12" s="224"/>
      <c r="AJ12" s="273"/>
      <c r="AK12" s="273"/>
      <c r="AL12" s="273"/>
      <c r="AM12" s="273"/>
      <c r="AN12" s="273"/>
      <c r="AO12" s="227" t="s">
        <v>310</v>
      </c>
      <c r="AP12" s="227"/>
      <c r="AQ12" s="228"/>
      <c r="AR12" s="228"/>
      <c r="AS12" s="228"/>
      <c r="AT12" s="228"/>
      <c r="AU12" s="229">
        <f>AS11*0.006</f>
        <v>16560</v>
      </c>
    </row>
    <row r="13" spans="1:47" ht="15.75" thickBot="1" x14ac:dyDescent="0.3">
      <c r="T13" s="224"/>
      <c r="U13" s="273"/>
      <c r="V13" s="273"/>
      <c r="AN13" s="273"/>
      <c r="AO13" s="227" t="s">
        <v>312</v>
      </c>
      <c r="AP13" s="227"/>
      <c r="AQ13" s="228"/>
      <c r="AR13" s="228"/>
      <c r="AS13" s="228"/>
      <c r="AT13" s="228"/>
      <c r="AU13" s="229">
        <f>(AU12*0.125)+30</f>
        <v>2100</v>
      </c>
    </row>
    <row r="14" spans="1:47" s="274" customFormat="1" x14ac:dyDescent="0.25">
      <c r="A14" s="944" t="s">
        <v>4</v>
      </c>
      <c r="B14" s="946" t="s">
        <v>7</v>
      </c>
      <c r="C14" s="947"/>
      <c r="D14" s="948"/>
      <c r="E14" s="952" t="s">
        <v>81</v>
      </c>
      <c r="F14" s="954" t="s">
        <v>6</v>
      </c>
      <c r="G14" s="956" t="s">
        <v>5</v>
      </c>
      <c r="H14" s="937" t="s">
        <v>174</v>
      </c>
      <c r="I14" s="937" t="s">
        <v>175</v>
      </c>
      <c r="J14" s="937" t="s">
        <v>176</v>
      </c>
      <c r="K14" s="937" t="s">
        <v>177</v>
      </c>
      <c r="L14" s="937" t="s">
        <v>178</v>
      </c>
      <c r="M14" s="939" t="s">
        <v>8</v>
      </c>
      <c r="N14" s="940"/>
      <c r="O14" s="941"/>
      <c r="P14" s="942" t="s">
        <v>11</v>
      </c>
      <c r="Q14" s="441"/>
      <c r="R14" s="441"/>
      <c r="T14" s="441"/>
      <c r="AO14" s="285" t="s">
        <v>314</v>
      </c>
      <c r="AP14" s="285"/>
      <c r="AQ14" s="286"/>
      <c r="AR14" s="286"/>
      <c r="AS14" s="286"/>
      <c r="AT14" s="286"/>
      <c r="AU14" s="127">
        <f>AU12*0.12</f>
        <v>1987.1999999999998</v>
      </c>
    </row>
    <row r="15" spans="1:47" s="274" customFormat="1" ht="15.75" thickBot="1" x14ac:dyDescent="0.3">
      <c r="A15" s="945"/>
      <c r="B15" s="949"/>
      <c r="C15" s="950"/>
      <c r="D15" s="951"/>
      <c r="E15" s="953"/>
      <c r="F15" s="955"/>
      <c r="G15" s="957"/>
      <c r="H15" s="938"/>
      <c r="I15" s="938"/>
      <c r="J15" s="938"/>
      <c r="K15" s="938"/>
      <c r="L15" s="938"/>
      <c r="M15" s="808" t="s">
        <v>9</v>
      </c>
      <c r="N15" s="808" t="s">
        <v>10</v>
      </c>
      <c r="O15" s="808" t="s">
        <v>230</v>
      </c>
      <c r="P15" s="943"/>
      <c r="Q15" s="441"/>
      <c r="R15" s="441"/>
      <c r="T15" s="441"/>
      <c r="AO15" s="285" t="s">
        <v>299</v>
      </c>
      <c r="AP15" s="285"/>
      <c r="AQ15" s="286"/>
      <c r="AR15" s="286"/>
      <c r="AS15" s="286"/>
      <c r="AT15" s="286"/>
      <c r="AU15" s="127">
        <f>AU12*0.002</f>
        <v>33.119999999999997</v>
      </c>
    </row>
    <row r="16" spans="1:47" s="225" customFormat="1" ht="15.75" x14ac:dyDescent="0.25">
      <c r="A16" s="692" t="s">
        <v>80</v>
      </c>
      <c r="B16" s="693" t="s">
        <v>315</v>
      </c>
      <c r="C16" s="694"/>
      <c r="D16" s="516"/>
      <c r="E16" s="185"/>
      <c r="F16" s="302"/>
      <c r="G16" s="695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N16" s="278"/>
      <c r="AO16" s="285" t="s">
        <v>302</v>
      </c>
      <c r="AP16" s="285"/>
      <c r="AQ16" s="286"/>
      <c r="AR16" s="286"/>
      <c r="AS16" s="286"/>
      <c r="AT16" s="286"/>
      <c r="AU16" s="127">
        <v>200</v>
      </c>
    </row>
    <row r="17" spans="1:47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266"/>
      <c r="I17" s="72">
        <f>H17*F17</f>
        <v>0</v>
      </c>
      <c r="J17" s="266"/>
      <c r="K17" s="72">
        <f>J17*F17</f>
        <v>0</v>
      </c>
      <c r="L17" s="72">
        <f>I17+K17</f>
        <v>0</v>
      </c>
      <c r="M17" s="74">
        <f t="shared" ref="M17:M33" si="0">H17/$P$264*$P$272</f>
        <v>0</v>
      </c>
      <c r="N17" s="74">
        <f t="shared" ref="N17:N33" si="1">J17/$P$264*$P$272</f>
        <v>0</v>
      </c>
      <c r="O17" s="72">
        <f t="shared" ref="O17:O33" si="2">N17+M17</f>
        <v>0</v>
      </c>
      <c r="P17" s="205">
        <f t="shared" ref="P17:P33" si="3">O17*F17</f>
        <v>0</v>
      </c>
      <c r="Q17" s="272">
        <f t="shared" ref="Q17:Q47" si="4">L17/$P$264*$P$272</f>
        <v>0</v>
      </c>
      <c r="R17" s="439">
        <f t="shared" ref="R17:R36" si="5">P17-Q17</f>
        <v>0</v>
      </c>
      <c r="S17" s="230"/>
      <c r="T17" s="439"/>
      <c r="U17" s="275"/>
      <c r="V17" s="276"/>
      <c r="AN17" s="278"/>
      <c r="AO17" s="285" t="s">
        <v>304</v>
      </c>
      <c r="AP17" s="285"/>
      <c r="AQ17" s="286"/>
      <c r="AR17" s="286"/>
      <c r="AS17" s="286"/>
      <c r="AT17" s="286"/>
      <c r="AU17" s="690">
        <f>SUM(AU12:AU16)</f>
        <v>20880.32</v>
      </c>
    </row>
    <row r="18" spans="1:47" s="225" customFormat="1" x14ac:dyDescent="0.25">
      <c r="A18" s="263"/>
      <c r="B18" s="261"/>
      <c r="C18" s="318">
        <v>2</v>
      </c>
      <c r="D18" s="516" t="s">
        <v>303</v>
      </c>
      <c r="E18" s="71">
        <v>1</v>
      </c>
      <c r="F18" s="302">
        <v>1</v>
      </c>
      <c r="G18" s="262" t="s">
        <v>301</v>
      </c>
      <c r="H18" s="266"/>
      <c r="I18" s="72">
        <f t="shared" ref="I18:I33" si="6">H18*F18</f>
        <v>0</v>
      </c>
      <c r="J18" s="266"/>
      <c r="K18" s="72">
        <f t="shared" ref="K18:K33" si="7">J18*F18</f>
        <v>0</v>
      </c>
      <c r="L18" s="72">
        <f t="shared" ref="L18:L33" si="8">I18+K18</f>
        <v>0</v>
      </c>
      <c r="M18" s="74">
        <f t="shared" si="0"/>
        <v>0</v>
      </c>
      <c r="N18" s="74">
        <f t="shared" si="1"/>
        <v>0</v>
      </c>
      <c r="O18" s="72">
        <f t="shared" si="2"/>
        <v>0</v>
      </c>
      <c r="P18" s="205">
        <f t="shared" si="3"/>
        <v>0</v>
      </c>
      <c r="Q18" s="272">
        <f t="shared" si="4"/>
        <v>0</v>
      </c>
      <c r="R18" s="439">
        <f t="shared" si="5"/>
        <v>0</v>
      </c>
      <c r="S18" s="230"/>
      <c r="T18" s="439"/>
      <c r="U18" s="275"/>
      <c r="V18" s="276"/>
      <c r="AN18" s="279"/>
      <c r="AO18" s="285" t="s">
        <v>306</v>
      </c>
      <c r="AP18" s="285"/>
      <c r="AQ18" s="286"/>
      <c r="AR18" s="286"/>
      <c r="AS18" s="286"/>
      <c r="AT18" s="286"/>
      <c r="AU18" s="127"/>
    </row>
    <row r="19" spans="1:47" s="225" customFormat="1" x14ac:dyDescent="0.25">
      <c r="A19" s="263"/>
      <c r="B19" s="261"/>
      <c r="C19" s="318">
        <v>3</v>
      </c>
      <c r="D19" s="516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6"/>
        <v>5000</v>
      </c>
      <c r="J19" s="72">
        <v>10000</v>
      </c>
      <c r="K19" s="72">
        <f t="shared" si="7"/>
        <v>10000</v>
      </c>
      <c r="L19" s="72">
        <f t="shared" si="8"/>
        <v>15000</v>
      </c>
      <c r="M19" s="74">
        <f t="shared" si="0"/>
        <v>6962.7585955023733</v>
      </c>
      <c r="N19" s="74">
        <f t="shared" si="1"/>
        <v>13925.517191004747</v>
      </c>
      <c r="O19" s="72">
        <f t="shared" si="2"/>
        <v>20888.275786507118</v>
      </c>
      <c r="P19" s="205">
        <f t="shared" si="3"/>
        <v>20888.275786507118</v>
      </c>
      <c r="Q19" s="272">
        <f t="shared" si="4"/>
        <v>20888.275786507118</v>
      </c>
      <c r="R19" s="439">
        <f t="shared" si="5"/>
        <v>0</v>
      </c>
      <c r="S19" s="230"/>
      <c r="T19" s="439"/>
      <c r="U19" s="275"/>
      <c r="V19" s="264"/>
      <c r="AN19" s="278"/>
      <c r="AO19" s="285"/>
      <c r="AP19" s="285"/>
      <c r="AQ19" s="286"/>
      <c r="AR19" s="286"/>
      <c r="AS19" s="286"/>
      <c r="AT19" s="286"/>
      <c r="AU19" s="127"/>
    </row>
    <row r="20" spans="1:47" s="225" customFormat="1" ht="15.75" x14ac:dyDescent="0.25">
      <c r="A20" s="263"/>
      <c r="B20" s="261"/>
      <c r="C20" s="318">
        <v>4</v>
      </c>
      <c r="D20" s="499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6"/>
        <v>0</v>
      </c>
      <c r="J20" s="566">
        <f>4*(24000+16000+16000)/1.06</f>
        <v>211320.75471698112</v>
      </c>
      <c r="K20" s="72">
        <f t="shared" si="7"/>
        <v>211320.75471698112</v>
      </c>
      <c r="L20" s="72">
        <f t="shared" si="8"/>
        <v>211320.75471698112</v>
      </c>
      <c r="M20" s="74">
        <f t="shared" si="0"/>
        <v>0</v>
      </c>
      <c r="N20" s="74">
        <f t="shared" si="1"/>
        <v>294275.08026274177</v>
      </c>
      <c r="O20" s="72">
        <f t="shared" si="2"/>
        <v>294275.08026274177</v>
      </c>
      <c r="P20" s="205">
        <f t="shared" si="3"/>
        <v>294275.08026274177</v>
      </c>
      <c r="Q20" s="272">
        <f t="shared" si="4"/>
        <v>294275.08026274177</v>
      </c>
      <c r="R20" s="439">
        <f t="shared" si="5"/>
        <v>0</v>
      </c>
      <c r="S20" s="230"/>
      <c r="T20" s="439"/>
      <c r="U20" s="275"/>
      <c r="V20" s="280"/>
      <c r="AN20" s="278"/>
      <c r="AO20" s="696" t="s">
        <v>308</v>
      </c>
      <c r="AP20" s="285"/>
      <c r="AQ20" s="286"/>
      <c r="AR20" s="286"/>
      <c r="AS20" s="697">
        <f>9200000*0.3</f>
        <v>2760000</v>
      </c>
      <c r="AT20" s="286"/>
      <c r="AU20" s="127"/>
    </row>
    <row r="21" spans="1:47" s="225" customFormat="1" x14ac:dyDescent="0.25">
      <c r="A21" s="263"/>
      <c r="B21" s="261"/>
      <c r="C21" s="318">
        <v>5</v>
      </c>
      <c r="D21" s="516" t="s">
        <v>307</v>
      </c>
      <c r="E21" s="71">
        <v>1</v>
      </c>
      <c r="F21" s="302">
        <v>1</v>
      </c>
      <c r="G21" s="262" t="s">
        <v>301</v>
      </c>
      <c r="H21" s="72">
        <f>(AU17+AU26+AU33)/1.07</f>
        <v>53503.15887850467</v>
      </c>
      <c r="I21" s="72">
        <f t="shared" si="6"/>
        <v>53503.15887850467</v>
      </c>
      <c r="J21" s="72">
        <v>2500</v>
      </c>
      <c r="K21" s="72">
        <f t="shared" si="7"/>
        <v>2500</v>
      </c>
      <c r="L21" s="72">
        <f t="shared" si="8"/>
        <v>56003.15887850467</v>
      </c>
      <c r="M21" s="74">
        <f t="shared" si="0"/>
        <v>74505.915873567501</v>
      </c>
      <c r="N21" s="74">
        <f t="shared" si="1"/>
        <v>3481.3792977511866</v>
      </c>
      <c r="O21" s="72">
        <f t="shared" si="2"/>
        <v>77987.295171318692</v>
      </c>
      <c r="P21" s="205">
        <f t="shared" si="3"/>
        <v>77987.295171318692</v>
      </c>
      <c r="Q21" s="272">
        <f t="shared" si="4"/>
        <v>77987.295171318678</v>
      </c>
      <c r="R21" s="439">
        <f t="shared" si="5"/>
        <v>0</v>
      </c>
      <c r="S21" s="230"/>
      <c r="T21" s="439"/>
      <c r="U21" s="275"/>
      <c r="V21" s="281"/>
      <c r="AN21" s="278"/>
      <c r="AO21" s="285" t="s">
        <v>310</v>
      </c>
      <c r="AP21" s="285"/>
      <c r="AQ21" s="286"/>
      <c r="AR21" s="286"/>
      <c r="AS21" s="286"/>
      <c r="AT21" s="286"/>
      <c r="AU21" s="127">
        <f>AS20*0.0055</f>
        <v>15180</v>
      </c>
    </row>
    <row r="22" spans="1:47" s="225" customFormat="1" x14ac:dyDescent="0.25">
      <c r="A22" s="263"/>
      <c r="B22" s="261"/>
      <c r="C22" s="318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6"/>
        <v>35000</v>
      </c>
      <c r="J22" s="72">
        <v>5000</v>
      </c>
      <c r="K22" s="72">
        <f t="shared" si="7"/>
        <v>5000</v>
      </c>
      <c r="L22" s="72">
        <f t="shared" si="8"/>
        <v>40000</v>
      </c>
      <c r="M22" s="74">
        <f t="shared" si="0"/>
        <v>48739.310168516604</v>
      </c>
      <c r="N22" s="74">
        <f t="shared" si="1"/>
        <v>6962.7585955023733</v>
      </c>
      <c r="O22" s="72">
        <f t="shared" si="2"/>
        <v>55702.068764018979</v>
      </c>
      <c r="P22" s="205">
        <f t="shared" si="3"/>
        <v>55702.068764018979</v>
      </c>
      <c r="Q22" s="272">
        <f t="shared" si="4"/>
        <v>55702.068764018986</v>
      </c>
      <c r="R22" s="439">
        <f t="shared" si="5"/>
        <v>0</v>
      </c>
      <c r="S22" s="230"/>
      <c r="T22" s="442"/>
      <c r="U22" s="275"/>
      <c r="V22" s="276"/>
      <c r="W22" s="925" t="s">
        <v>292</v>
      </c>
      <c r="X22" s="925"/>
      <c r="Y22" s="925"/>
      <c r="Z22" s="925"/>
      <c r="AA22" s="925"/>
      <c r="AB22" s="925"/>
      <c r="AC22" s="586" t="s">
        <v>243</v>
      </c>
      <c r="AD22" s="586" t="s">
        <v>244</v>
      </c>
      <c r="AE22" s="586" t="s">
        <v>245</v>
      </c>
      <c r="AF22" s="587" t="s">
        <v>246</v>
      </c>
      <c r="AG22" s="588" t="s">
        <v>247</v>
      </c>
      <c r="AH22" s="586" t="s">
        <v>248</v>
      </c>
      <c r="AI22" s="589" t="s">
        <v>249</v>
      </c>
      <c r="AN22" s="278"/>
      <c r="AO22" s="285" t="s">
        <v>312</v>
      </c>
      <c r="AP22" s="285"/>
      <c r="AQ22" s="286"/>
      <c r="AR22" s="286"/>
      <c r="AS22" s="286"/>
      <c r="AT22" s="286"/>
      <c r="AU22" s="127">
        <f>(AU21*0.125)+30</f>
        <v>1927.5</v>
      </c>
    </row>
    <row r="23" spans="1:47" s="225" customFormat="1" x14ac:dyDescent="0.25">
      <c r="A23" s="263"/>
      <c r="B23" s="261"/>
      <c r="C23" s="318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6"/>
        <v>108000</v>
      </c>
      <c r="J23" s="72"/>
      <c r="K23" s="72">
        <f t="shared" si="7"/>
        <v>0</v>
      </c>
      <c r="L23" s="72">
        <f t="shared" si="8"/>
        <v>108000</v>
      </c>
      <c r="M23" s="74">
        <f t="shared" si="0"/>
        <v>150395.58566285126</v>
      </c>
      <c r="N23" s="74">
        <f t="shared" si="1"/>
        <v>0</v>
      </c>
      <c r="O23" s="72">
        <f t="shared" si="2"/>
        <v>150395.58566285126</v>
      </c>
      <c r="P23" s="205">
        <f t="shared" si="3"/>
        <v>150395.58566285126</v>
      </c>
      <c r="Q23" s="272">
        <f t="shared" si="4"/>
        <v>150395.58566285126</v>
      </c>
      <c r="R23" s="439">
        <f t="shared" si="5"/>
        <v>0</v>
      </c>
      <c r="S23" s="230"/>
      <c r="T23" s="442"/>
      <c r="U23" s="275"/>
      <c r="V23" s="276"/>
      <c r="W23" s="926" t="s">
        <v>260</v>
      </c>
      <c r="X23" s="926"/>
      <c r="Y23" s="926"/>
      <c r="Z23" s="926"/>
      <c r="AA23" s="926"/>
      <c r="AB23" s="926"/>
      <c r="AC23" s="593" t="s">
        <v>251</v>
      </c>
      <c r="AD23" s="803">
        <v>4.93</v>
      </c>
      <c r="AE23" s="803">
        <v>5.15</v>
      </c>
      <c r="AF23" s="587">
        <f>154/1.06</f>
        <v>145.28301886792451</v>
      </c>
      <c r="AG23" s="588">
        <f>AF23*AE23</f>
        <v>748.20754716981128</v>
      </c>
      <c r="AH23" s="803">
        <v>18</v>
      </c>
      <c r="AI23" s="595">
        <f>AH23*AE23</f>
        <v>92.7</v>
      </c>
      <c r="AN23" s="278"/>
      <c r="AO23" s="285" t="s">
        <v>314</v>
      </c>
      <c r="AP23" s="285"/>
      <c r="AQ23" s="286"/>
      <c r="AR23" s="286"/>
      <c r="AS23" s="286"/>
      <c r="AT23" s="286"/>
      <c r="AU23" s="127">
        <f>AU21*0.12</f>
        <v>1821.6</v>
      </c>
    </row>
    <row r="24" spans="1:47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6"/>
        <v>0</v>
      </c>
      <c r="J24" s="72"/>
      <c r="K24" s="72">
        <f t="shared" si="7"/>
        <v>0</v>
      </c>
      <c r="L24" s="72">
        <f t="shared" si="8"/>
        <v>0</v>
      </c>
      <c r="M24" s="74">
        <f t="shared" si="0"/>
        <v>0</v>
      </c>
      <c r="N24" s="74">
        <f t="shared" si="1"/>
        <v>0</v>
      </c>
      <c r="O24" s="72">
        <f t="shared" si="2"/>
        <v>0</v>
      </c>
      <c r="P24" s="205">
        <f t="shared" si="3"/>
        <v>0</v>
      </c>
      <c r="Q24" s="272">
        <f t="shared" si="4"/>
        <v>0</v>
      </c>
      <c r="R24" s="439">
        <f t="shared" si="5"/>
        <v>0</v>
      </c>
      <c r="S24" s="230"/>
      <c r="T24" s="442"/>
      <c r="U24" s="275"/>
      <c r="V24" s="276"/>
      <c r="W24" s="878" t="s">
        <v>261</v>
      </c>
      <c r="X24" s="878"/>
      <c r="Y24" s="878"/>
      <c r="Z24" s="878"/>
      <c r="AA24" s="878"/>
      <c r="AB24" s="878"/>
      <c r="AC24" s="124" t="s">
        <v>262</v>
      </c>
      <c r="AD24" s="793">
        <v>4.9299999999999997E-2</v>
      </c>
      <c r="AE24" s="793">
        <v>0.05</v>
      </c>
      <c r="AF24" s="123">
        <f>580/1.05</f>
        <v>552.38095238095241</v>
      </c>
      <c r="AG24" s="196">
        <f>AF24*AE24</f>
        <v>27.61904761904762</v>
      </c>
      <c r="AH24" s="793"/>
      <c r="AI24" s="219">
        <f>AH24*AE24</f>
        <v>0</v>
      </c>
      <c r="AN24" s="278"/>
      <c r="AO24" s="285" t="s">
        <v>299</v>
      </c>
      <c r="AP24" s="285"/>
      <c r="AQ24" s="286"/>
      <c r="AR24" s="286"/>
      <c r="AS24" s="286"/>
      <c r="AT24" s="286"/>
      <c r="AU24" s="127">
        <f>AU21*0.002</f>
        <v>30.36</v>
      </c>
    </row>
    <row r="25" spans="1:47" s="225" customFormat="1" x14ac:dyDescent="0.25">
      <c r="A25" s="263"/>
      <c r="B25" s="261"/>
      <c r="C25" s="318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72">
        <f>155+47*5</f>
        <v>390</v>
      </c>
      <c r="I25" s="72">
        <f t="shared" si="6"/>
        <v>514800</v>
      </c>
      <c r="J25" s="72">
        <v>76</v>
      </c>
      <c r="K25" s="72">
        <f t="shared" si="7"/>
        <v>100320</v>
      </c>
      <c r="L25" s="72">
        <f t="shared" si="8"/>
        <v>615120</v>
      </c>
      <c r="M25" s="74">
        <f t="shared" si="0"/>
        <v>543.09517044918505</v>
      </c>
      <c r="N25" s="74">
        <f t="shared" si="1"/>
        <v>105.83393065163607</v>
      </c>
      <c r="O25" s="72">
        <f t="shared" si="2"/>
        <v>648.92910110082107</v>
      </c>
      <c r="P25" s="205">
        <f t="shared" si="3"/>
        <v>856586.41345308383</v>
      </c>
      <c r="Q25" s="272">
        <f t="shared" si="4"/>
        <v>856586.41345308395</v>
      </c>
      <c r="R25" s="439">
        <f t="shared" si="5"/>
        <v>0</v>
      </c>
      <c r="S25" s="230"/>
      <c r="T25" s="442"/>
      <c r="U25" s="275"/>
      <c r="V25" s="276"/>
      <c r="W25" s="878" t="str">
        <f>W65</f>
        <v>mortar (topping) included @ other item</v>
      </c>
      <c r="X25" s="878"/>
      <c r="Y25" s="878"/>
      <c r="Z25" s="878"/>
      <c r="AA25" s="878"/>
      <c r="AB25" s="878"/>
      <c r="AC25" s="124" t="s">
        <v>257</v>
      </c>
      <c r="AD25" s="793">
        <v>1</v>
      </c>
      <c r="AE25" s="793">
        <v>1</v>
      </c>
      <c r="AF25" s="123">
        <f>AF66</f>
        <v>0</v>
      </c>
      <c r="AG25" s="196">
        <f>AF25*AE25</f>
        <v>0</v>
      </c>
      <c r="AH25" s="793">
        <f>AH33</f>
        <v>0</v>
      </c>
      <c r="AI25" s="219">
        <f>AH25*AE25</f>
        <v>0</v>
      </c>
      <c r="AN25" s="278"/>
      <c r="AO25" s="285" t="s">
        <v>302</v>
      </c>
      <c r="AP25" s="285"/>
      <c r="AQ25" s="286"/>
      <c r="AR25" s="286"/>
      <c r="AS25" s="286"/>
      <c r="AT25" s="286"/>
      <c r="AU25" s="127">
        <v>200</v>
      </c>
    </row>
    <row r="26" spans="1:47" s="225" customFormat="1" x14ac:dyDescent="0.25">
      <c r="A26" s="263"/>
      <c r="B26" s="261"/>
      <c r="C26" s="318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6"/>
        <v>46601.941747572811</v>
      </c>
      <c r="J26" s="72">
        <v>4000</v>
      </c>
      <c r="K26" s="72">
        <f t="shared" si="7"/>
        <v>4000</v>
      </c>
      <c r="L26" s="72">
        <f t="shared" si="8"/>
        <v>50601.941747572811</v>
      </c>
      <c r="M26" s="74">
        <f t="shared" si="0"/>
        <v>64895.614094002689</v>
      </c>
      <c r="N26" s="74">
        <f t="shared" si="1"/>
        <v>5570.2068764018986</v>
      </c>
      <c r="O26" s="72">
        <f t="shared" si="2"/>
        <v>70465.820970404588</v>
      </c>
      <c r="P26" s="205">
        <f t="shared" si="3"/>
        <v>70465.820970404588</v>
      </c>
      <c r="Q26" s="272">
        <f t="shared" si="4"/>
        <v>70465.820970404588</v>
      </c>
      <c r="R26" s="439">
        <f t="shared" si="5"/>
        <v>0</v>
      </c>
      <c r="S26" s="230"/>
      <c r="T26" s="442"/>
      <c r="U26" s="275"/>
      <c r="V26" s="276"/>
      <c r="W26" s="878"/>
      <c r="X26" s="878"/>
      <c r="Y26" s="878"/>
      <c r="Z26" s="878"/>
      <c r="AA26" s="878"/>
      <c r="AB26" s="878"/>
      <c r="AC26" s="124"/>
      <c r="AD26" s="793"/>
      <c r="AE26" s="793"/>
      <c r="AF26" s="123"/>
      <c r="AG26" s="212">
        <f>SUM(AG23:AG25)</f>
        <v>775.82659478885887</v>
      </c>
      <c r="AH26" s="793"/>
      <c r="AI26" s="212">
        <f>SUM(AI23:AI25)</f>
        <v>92.7</v>
      </c>
      <c r="AN26" s="278"/>
      <c r="AO26" s="285" t="s">
        <v>304</v>
      </c>
      <c r="AP26" s="285"/>
      <c r="AQ26" s="286"/>
      <c r="AR26" s="286"/>
      <c r="AS26" s="286"/>
      <c r="AT26" s="286"/>
      <c r="AU26" s="690">
        <f>SUM(AU20:AU25)</f>
        <v>19159.46</v>
      </c>
    </row>
    <row r="27" spans="1:47" s="225" customFormat="1" x14ac:dyDescent="0.25">
      <c r="A27" s="698"/>
      <c r="B27" s="699"/>
      <c r="C27" s="318">
        <v>11</v>
      </c>
      <c r="D27" s="516" t="s">
        <v>311</v>
      </c>
      <c r="E27" s="71">
        <v>1</v>
      </c>
      <c r="F27" s="302">
        <v>1</v>
      </c>
      <c r="G27" s="262" t="s">
        <v>301</v>
      </c>
      <c r="H27" s="72"/>
      <c r="I27" s="72">
        <f t="shared" si="6"/>
        <v>0</v>
      </c>
      <c r="J27" s="72"/>
      <c r="K27" s="72">
        <f t="shared" si="7"/>
        <v>0</v>
      </c>
      <c r="L27" s="72">
        <f t="shared" si="8"/>
        <v>0</v>
      </c>
      <c r="M27" s="74">
        <f t="shared" si="0"/>
        <v>0</v>
      </c>
      <c r="N27" s="74">
        <f t="shared" si="1"/>
        <v>0</v>
      </c>
      <c r="O27" s="72">
        <f t="shared" si="2"/>
        <v>0</v>
      </c>
      <c r="P27" s="205">
        <f t="shared" si="3"/>
        <v>0</v>
      </c>
      <c r="Q27" s="272">
        <f t="shared" si="4"/>
        <v>0</v>
      </c>
      <c r="R27" s="439">
        <f t="shared" si="5"/>
        <v>0</v>
      </c>
      <c r="T27" s="224"/>
      <c r="U27" s="275"/>
      <c r="V27" s="276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24"/>
      <c r="AH27" s="273"/>
      <c r="AI27" s="224"/>
      <c r="AN27" s="278"/>
      <c r="AO27" s="285"/>
      <c r="AP27" s="285"/>
      <c r="AQ27" s="286"/>
      <c r="AR27" s="286"/>
      <c r="AS27" s="286"/>
      <c r="AT27" s="286"/>
      <c r="AU27" s="127"/>
    </row>
    <row r="28" spans="1:47" s="225" customFormat="1" ht="15.75" x14ac:dyDescent="0.25">
      <c r="A28" s="698"/>
      <c r="B28" s="699"/>
      <c r="C28" s="318">
        <v>12</v>
      </c>
      <c r="D28" s="516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6"/>
        <v>10000</v>
      </c>
      <c r="J28" s="72">
        <v>15000</v>
      </c>
      <c r="K28" s="72">
        <f t="shared" si="7"/>
        <v>15000</v>
      </c>
      <c r="L28" s="72">
        <f t="shared" si="8"/>
        <v>25000</v>
      </c>
      <c r="M28" s="74">
        <f t="shared" si="0"/>
        <v>13925.517191004747</v>
      </c>
      <c r="N28" s="74">
        <f t="shared" si="1"/>
        <v>20888.275786507118</v>
      </c>
      <c r="O28" s="72">
        <f t="shared" si="2"/>
        <v>34813.792977511868</v>
      </c>
      <c r="P28" s="205">
        <f t="shared" si="3"/>
        <v>34813.792977511868</v>
      </c>
      <c r="Q28" s="272">
        <f t="shared" si="4"/>
        <v>34813.792977511861</v>
      </c>
      <c r="R28" s="439">
        <f t="shared" si="5"/>
        <v>0</v>
      </c>
      <c r="T28" s="224"/>
      <c r="U28" s="275"/>
      <c r="V28" s="276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24"/>
      <c r="AH28" s="273"/>
      <c r="AI28" s="224"/>
      <c r="AN28" s="278"/>
      <c r="AO28" s="700" t="s">
        <v>318</v>
      </c>
      <c r="AP28" s="285"/>
      <c r="AQ28" s="286"/>
      <c r="AR28" s="286"/>
      <c r="AS28" s="697">
        <f>9200000</f>
        <v>9200000</v>
      </c>
      <c r="AT28" s="286"/>
      <c r="AU28" s="127"/>
    </row>
    <row r="29" spans="1:47" s="225" customFormat="1" x14ac:dyDescent="0.25">
      <c r="A29" s="263"/>
      <c r="B29" s="261"/>
      <c r="C29" s="318">
        <v>13</v>
      </c>
      <c r="D29" s="499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6"/>
        <v>45000</v>
      </c>
      <c r="J29" s="72"/>
      <c r="K29" s="72">
        <f t="shared" si="7"/>
        <v>0</v>
      </c>
      <c r="L29" s="72">
        <f t="shared" si="8"/>
        <v>45000</v>
      </c>
      <c r="M29" s="74">
        <f t="shared" si="0"/>
        <v>62664.827359521354</v>
      </c>
      <c r="N29" s="74">
        <f t="shared" si="1"/>
        <v>0</v>
      </c>
      <c r="O29" s="72">
        <f t="shared" si="2"/>
        <v>62664.827359521354</v>
      </c>
      <c r="P29" s="205">
        <f t="shared" si="3"/>
        <v>62664.827359521354</v>
      </c>
      <c r="Q29" s="272">
        <f t="shared" si="4"/>
        <v>62664.827359521354</v>
      </c>
      <c r="R29" s="439">
        <f t="shared" si="5"/>
        <v>0</v>
      </c>
      <c r="S29" s="230"/>
      <c r="T29" s="439"/>
      <c r="U29" s="275"/>
      <c r="V29" s="281"/>
      <c r="W29" s="904" t="s">
        <v>291</v>
      </c>
      <c r="X29" s="904"/>
      <c r="Y29" s="904"/>
      <c r="Z29" s="904"/>
      <c r="AA29" s="904"/>
      <c r="AB29" s="904"/>
      <c r="AC29" s="794" t="s">
        <v>243</v>
      </c>
      <c r="AD29" s="794" t="s">
        <v>244</v>
      </c>
      <c r="AE29" s="794" t="s">
        <v>245</v>
      </c>
      <c r="AF29" s="123" t="s">
        <v>246</v>
      </c>
      <c r="AG29" s="196" t="s">
        <v>247</v>
      </c>
      <c r="AH29" s="794" t="s">
        <v>248</v>
      </c>
      <c r="AI29" s="212" t="s">
        <v>249</v>
      </c>
      <c r="AN29" s="278"/>
      <c r="AO29" s="285" t="s">
        <v>310</v>
      </c>
      <c r="AP29" s="285"/>
      <c r="AQ29" s="286"/>
      <c r="AR29" s="286"/>
      <c r="AS29" s="286"/>
      <c r="AT29" s="286"/>
      <c r="AU29" s="127">
        <f>AS28*0.0015</f>
        <v>13800</v>
      </c>
    </row>
    <row r="30" spans="1:47" s="225" customFormat="1" x14ac:dyDescent="0.25">
      <c r="A30" s="263"/>
      <c r="B30" s="261"/>
      <c r="C30" s="318">
        <v>14</v>
      </c>
      <c r="D30" s="499" t="s">
        <v>498</v>
      </c>
      <c r="E30" s="71">
        <v>1</v>
      </c>
      <c r="F30" s="302">
        <v>1</v>
      </c>
      <c r="G30" s="262" t="s">
        <v>301</v>
      </c>
      <c r="H30" s="842">
        <f>4*7000/1.075</f>
        <v>26046.511627906977</v>
      </c>
      <c r="I30" s="72">
        <f t="shared" si="6"/>
        <v>26046.511627906977</v>
      </c>
      <c r="J30" s="565">
        <v>2500</v>
      </c>
      <c r="K30" s="72">
        <f t="shared" si="7"/>
        <v>2500</v>
      </c>
      <c r="L30" s="72">
        <f t="shared" si="8"/>
        <v>28546.511627906977</v>
      </c>
      <c r="M30" s="74">
        <f t="shared" si="0"/>
        <v>36271.114544012358</v>
      </c>
      <c r="N30" s="74">
        <f t="shared" si="1"/>
        <v>3481.3792977511866</v>
      </c>
      <c r="O30" s="72">
        <f t="shared" si="2"/>
        <v>39752.493841763542</v>
      </c>
      <c r="P30" s="205">
        <f t="shared" si="3"/>
        <v>39752.493841763542</v>
      </c>
      <c r="Q30" s="272">
        <f t="shared" si="4"/>
        <v>39752.493841763542</v>
      </c>
      <c r="R30" s="439">
        <f t="shared" si="5"/>
        <v>0</v>
      </c>
      <c r="S30" s="230"/>
      <c r="T30" s="442"/>
      <c r="U30" s="275"/>
      <c r="V30" s="276"/>
      <c r="W30" s="878" t="s">
        <v>250</v>
      </c>
      <c r="X30" s="878"/>
      <c r="Y30" s="878"/>
      <c r="Z30" s="878"/>
      <c r="AA30" s="878"/>
      <c r="AB30" s="878"/>
      <c r="AC30" s="124" t="s">
        <v>251</v>
      </c>
      <c r="AD30" s="793">
        <v>2.77</v>
      </c>
      <c r="AE30" s="793">
        <v>2.9</v>
      </c>
      <c r="AF30" s="123">
        <f>489.5/1.06</f>
        <v>461.79245283018867</v>
      </c>
      <c r="AG30" s="196">
        <f>AF30*AE30</f>
        <v>1339.1981132075471</v>
      </c>
      <c r="AH30" s="793">
        <v>74</v>
      </c>
      <c r="AI30" s="219">
        <f>AH30*AE30</f>
        <v>214.6</v>
      </c>
      <c r="AN30" s="278"/>
      <c r="AO30" s="285" t="s">
        <v>312</v>
      </c>
      <c r="AP30" s="285"/>
      <c r="AQ30" s="286"/>
      <c r="AR30" s="286"/>
      <c r="AS30" s="286"/>
      <c r="AT30" s="286"/>
      <c r="AU30" s="127">
        <f>AU29*0.125</f>
        <v>1725</v>
      </c>
    </row>
    <row r="31" spans="1:47" s="225" customFormat="1" x14ac:dyDescent="0.25">
      <c r="A31" s="698"/>
      <c r="B31" s="699"/>
      <c r="C31" s="318">
        <v>15</v>
      </c>
      <c r="D31" s="499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6"/>
        <v>51650.485436893199</v>
      </c>
      <c r="J31" s="483">
        <f>(4*14000/1.03+20000/1.03)*0.3</f>
        <v>22135.922330097088</v>
      </c>
      <c r="K31" s="72">
        <f t="shared" si="7"/>
        <v>22135.922330097088</v>
      </c>
      <c r="L31" s="72">
        <f t="shared" si="8"/>
        <v>73786.407766990291</v>
      </c>
      <c r="M31" s="74">
        <f t="shared" si="0"/>
        <v>71925.972287519646</v>
      </c>
      <c r="N31" s="74">
        <f t="shared" si="1"/>
        <v>30825.416694651278</v>
      </c>
      <c r="O31" s="72">
        <f t="shared" si="2"/>
        <v>102751.38898217093</v>
      </c>
      <c r="P31" s="205">
        <f t="shared" si="3"/>
        <v>102751.38898217093</v>
      </c>
      <c r="Q31" s="272">
        <f t="shared" si="4"/>
        <v>102751.38898217093</v>
      </c>
      <c r="R31" s="439">
        <f t="shared" si="5"/>
        <v>0</v>
      </c>
      <c r="T31" s="224"/>
      <c r="U31" s="275"/>
      <c r="V31" s="276"/>
      <c r="W31" s="878" t="s">
        <v>252</v>
      </c>
      <c r="X31" s="878"/>
      <c r="Y31" s="878"/>
      <c r="Z31" s="878"/>
      <c r="AA31" s="878"/>
      <c r="AB31" s="878"/>
      <c r="AC31" s="124" t="s">
        <v>253</v>
      </c>
      <c r="AD31" s="793">
        <v>0.25</v>
      </c>
      <c r="AE31" s="793">
        <v>0.25</v>
      </c>
      <c r="AF31" s="123">
        <f>AF133</f>
        <v>279.41176470588238</v>
      </c>
      <c r="AG31" s="196">
        <f>AF31*AE31</f>
        <v>69.852941176470594</v>
      </c>
      <c r="AH31" s="793"/>
      <c r="AI31" s="219">
        <f>AH31*AE31</f>
        <v>0</v>
      </c>
      <c r="AN31" s="278"/>
      <c r="AO31" s="285" t="s">
        <v>314</v>
      </c>
      <c r="AP31" s="285"/>
      <c r="AQ31" s="286"/>
      <c r="AR31" s="286"/>
      <c r="AS31" s="286"/>
      <c r="AT31" s="286"/>
      <c r="AU31" s="127">
        <f>AU29*0.12</f>
        <v>1656</v>
      </c>
    </row>
    <row r="32" spans="1:47" s="225" customFormat="1" x14ac:dyDescent="0.25">
      <c r="A32" s="698"/>
      <c r="B32" s="699"/>
      <c r="C32" s="318">
        <v>16</v>
      </c>
      <c r="D32" s="499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6"/>
        <v>15000</v>
      </c>
      <c r="J32" s="72">
        <f>1700*5</f>
        <v>8500</v>
      </c>
      <c r="K32" s="72">
        <f t="shared" si="7"/>
        <v>8500</v>
      </c>
      <c r="L32" s="72">
        <f t="shared" si="8"/>
        <v>23500</v>
      </c>
      <c r="M32" s="74">
        <f t="shared" si="0"/>
        <v>20888.275786507118</v>
      </c>
      <c r="N32" s="74">
        <f t="shared" si="1"/>
        <v>11836.689612354032</v>
      </c>
      <c r="O32" s="72">
        <f t="shared" si="2"/>
        <v>32724.96539886115</v>
      </c>
      <c r="P32" s="205">
        <f t="shared" si="3"/>
        <v>32724.96539886115</v>
      </c>
      <c r="Q32" s="272">
        <f t="shared" si="4"/>
        <v>32724.965398861154</v>
      </c>
      <c r="R32" s="439">
        <f t="shared" si="5"/>
        <v>0</v>
      </c>
      <c r="T32" s="224"/>
      <c r="U32" s="275"/>
      <c r="V32" s="276"/>
      <c r="W32" s="878" t="s">
        <v>254</v>
      </c>
      <c r="X32" s="878"/>
      <c r="Y32" s="878"/>
      <c r="Z32" s="878"/>
      <c r="AA32" s="878"/>
      <c r="AB32" s="878"/>
      <c r="AC32" s="124" t="s">
        <v>255</v>
      </c>
      <c r="AD32" s="793">
        <v>0.25</v>
      </c>
      <c r="AE32" s="793">
        <v>0.35</v>
      </c>
      <c r="AF32" s="123">
        <f>37/1.06</f>
        <v>34.905660377358487</v>
      </c>
      <c r="AG32" s="196">
        <f>AF32*AE32</f>
        <v>12.216981132075469</v>
      </c>
      <c r="AH32" s="793"/>
      <c r="AI32" s="219">
        <f>AH32*AE32</f>
        <v>0</v>
      </c>
      <c r="AN32" s="278"/>
      <c r="AO32" s="285" t="s">
        <v>299</v>
      </c>
      <c r="AP32" s="285"/>
      <c r="AQ32" s="286"/>
      <c r="AR32" s="286"/>
      <c r="AS32" s="286"/>
      <c r="AT32" s="286"/>
      <c r="AU32" s="127">
        <f>AU29*0.002</f>
        <v>27.6</v>
      </c>
    </row>
    <row r="33" spans="1:47" s="225" customFormat="1" x14ac:dyDescent="0.25">
      <c r="A33" s="698"/>
      <c r="B33" s="699"/>
      <c r="C33" s="318">
        <v>17</v>
      </c>
      <c r="D33" s="499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6"/>
        <v>10000</v>
      </c>
      <c r="J33" s="72">
        <v>5000</v>
      </c>
      <c r="K33" s="72">
        <f t="shared" si="7"/>
        <v>5000</v>
      </c>
      <c r="L33" s="72">
        <f t="shared" si="8"/>
        <v>15000</v>
      </c>
      <c r="M33" s="74">
        <f t="shared" si="0"/>
        <v>13925.517191004747</v>
      </c>
      <c r="N33" s="74">
        <f t="shared" si="1"/>
        <v>6962.7585955023733</v>
      </c>
      <c r="O33" s="72">
        <f t="shared" si="2"/>
        <v>20888.275786507118</v>
      </c>
      <c r="P33" s="205">
        <f t="shared" si="3"/>
        <v>20888.275786507118</v>
      </c>
      <c r="Q33" s="272">
        <f t="shared" si="4"/>
        <v>20888.275786507118</v>
      </c>
      <c r="R33" s="439">
        <f t="shared" si="5"/>
        <v>0</v>
      </c>
      <c r="T33" s="224"/>
      <c r="U33" s="275"/>
      <c r="V33" s="276"/>
      <c r="W33" s="878" t="s">
        <v>256</v>
      </c>
      <c r="X33" s="878"/>
      <c r="Y33" s="878"/>
      <c r="Z33" s="878"/>
      <c r="AA33" s="878"/>
      <c r="AB33" s="878"/>
      <c r="AC33" s="124" t="s">
        <v>257</v>
      </c>
      <c r="AD33" s="793">
        <v>1</v>
      </c>
      <c r="AE33" s="793">
        <v>1</v>
      </c>
      <c r="AF33" s="123">
        <v>0</v>
      </c>
      <c r="AG33" s="196">
        <f>AF33*AE33</f>
        <v>0</v>
      </c>
      <c r="AH33" s="793">
        <v>0</v>
      </c>
      <c r="AI33" s="219">
        <f>AH33*AE33</f>
        <v>0</v>
      </c>
      <c r="AN33" s="278"/>
      <c r="AO33" s="285" t="s">
        <v>304</v>
      </c>
      <c r="AP33" s="285"/>
      <c r="AQ33" s="286"/>
      <c r="AR33" s="286"/>
      <c r="AS33" s="286"/>
      <c r="AT33" s="286"/>
      <c r="AU33" s="690">
        <f>SUM(AU28:AU32)</f>
        <v>17208.599999999999</v>
      </c>
    </row>
    <row r="34" spans="1:47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4"/>
        <v>0</v>
      </c>
      <c r="R34" s="439">
        <f t="shared" si="5"/>
        <v>0</v>
      </c>
      <c r="T34" s="224"/>
      <c r="U34" s="275"/>
      <c r="V34" s="276"/>
      <c r="W34" s="126"/>
      <c r="X34" s="126"/>
      <c r="Y34" s="126"/>
      <c r="Z34" s="126"/>
      <c r="AA34" s="126"/>
      <c r="AB34" s="126"/>
      <c r="AC34" s="126"/>
      <c r="AD34" s="793"/>
      <c r="AE34" s="793"/>
      <c r="AF34" s="123"/>
      <c r="AG34" s="212">
        <f>SUM(AG30:AG33)</f>
        <v>1421.2680355160931</v>
      </c>
      <c r="AH34" s="794"/>
      <c r="AI34" s="212">
        <f>SUM(AI30:AI33)</f>
        <v>214.6</v>
      </c>
      <c r="AN34" s="278"/>
      <c r="AO34" s="225"/>
      <c r="AP34" s="225"/>
    </row>
    <row r="35" spans="1:47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920602.09769087762</v>
      </c>
      <c r="J35" s="312"/>
      <c r="K35" s="313">
        <f>SUM(K16:K34)</f>
        <v>386276.67704707815</v>
      </c>
      <c r="L35" s="313">
        <f>SUM(L16:L34)</f>
        <v>1306878.7747379558</v>
      </c>
      <c r="M35" s="312"/>
      <c r="N35" s="312"/>
      <c r="O35" s="313"/>
      <c r="P35" s="314">
        <f>SUM(P16:P34)</f>
        <v>1819896.2844172623</v>
      </c>
      <c r="Q35" s="272">
        <f t="shared" si="4"/>
        <v>1819896.2844172621</v>
      </c>
      <c r="R35" s="439">
        <f t="shared" si="5"/>
        <v>0</v>
      </c>
      <c r="T35" s="443"/>
      <c r="U35" s="275"/>
      <c r="V35" s="276"/>
      <c r="AN35" s="278"/>
      <c r="AO35" s="225"/>
      <c r="AP35" s="282"/>
    </row>
    <row r="36" spans="1:47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4"/>
        <v>0</v>
      </c>
      <c r="R36" s="439">
        <f t="shared" si="5"/>
        <v>0</v>
      </c>
      <c r="T36" s="224"/>
      <c r="U36" s="283"/>
      <c r="V36" s="284"/>
      <c r="AN36" s="127"/>
    </row>
    <row r="37" spans="1:47" s="273" customFormat="1" x14ac:dyDescent="0.25">
      <c r="A37" s="411"/>
      <c r="B37" s="412" t="s">
        <v>319</v>
      </c>
      <c r="C37" s="413" t="s">
        <v>25</v>
      </c>
      <c r="D37" s="712"/>
      <c r="E37" s="242"/>
      <c r="F37" s="302"/>
      <c r="G37" s="75"/>
      <c r="H37" s="74"/>
      <c r="I37" s="74"/>
      <c r="J37" s="74"/>
      <c r="K37" s="74"/>
      <c r="L37" s="74"/>
      <c r="M37" s="76"/>
      <c r="N37" s="76"/>
      <c r="O37" s="76"/>
      <c r="P37" s="205"/>
      <c r="Q37" s="272">
        <f t="shared" si="4"/>
        <v>0</v>
      </c>
      <c r="R37" s="439"/>
      <c r="T37" s="224"/>
    </row>
    <row r="38" spans="1:47" s="273" customFormat="1" x14ac:dyDescent="0.25">
      <c r="A38" s="411"/>
      <c r="B38" s="689"/>
      <c r="C38" s="318">
        <v>1</v>
      </c>
      <c r="D38" s="83" t="s">
        <v>529</v>
      </c>
      <c r="E38" s="242">
        <f>491+3.8</f>
        <v>494.8</v>
      </c>
      <c r="F38" s="302">
        <v>498</v>
      </c>
      <c r="G38" s="75" t="s">
        <v>16</v>
      </c>
      <c r="H38" s="328">
        <f>AG34</f>
        <v>1421.2680355160931</v>
      </c>
      <c r="I38" s="74">
        <f>F38*H38</f>
        <v>707791.48168701434</v>
      </c>
      <c r="J38" s="328">
        <f>AI34</f>
        <v>214.6</v>
      </c>
      <c r="K38" s="74">
        <f>F38*J38</f>
        <v>106870.8</v>
      </c>
      <c r="L38" s="74">
        <f>K38+I38</f>
        <v>814662.28168701439</v>
      </c>
      <c r="M38" s="74">
        <f t="shared" ref="M38:M47" si="9">H38/$P$264*$P$272</f>
        <v>1979.1892461604896</v>
      </c>
      <c r="N38" s="74">
        <f t="shared" ref="N38:N47" si="10">J38/$P$264*$P$272</f>
        <v>298.84159891896184</v>
      </c>
      <c r="O38" s="72">
        <f t="shared" ref="O38:O51" si="11">N38+M38</f>
        <v>2278.0308450794514</v>
      </c>
      <c r="P38" s="205">
        <f t="shared" ref="P38:P51" si="12">O38*F38</f>
        <v>1134459.3608495668</v>
      </c>
      <c r="Q38" s="272">
        <f t="shared" si="4"/>
        <v>1134459.360849567</v>
      </c>
      <c r="R38" s="439">
        <f t="shared" ref="R38:R51" si="13">P38-Q38</f>
        <v>0</v>
      </c>
      <c r="T38" s="224"/>
    </row>
    <row r="39" spans="1:47" s="273" customFormat="1" x14ac:dyDescent="0.25">
      <c r="A39" s="350"/>
      <c r="B39" s="689"/>
      <c r="C39" s="318">
        <v>2</v>
      </c>
      <c r="D39" s="83" t="s">
        <v>530</v>
      </c>
      <c r="E39" s="242">
        <f>262</f>
        <v>262</v>
      </c>
      <c r="F39" s="302">
        <v>265</v>
      </c>
      <c r="G39" s="75" t="s">
        <v>16</v>
      </c>
      <c r="H39" s="328">
        <f>AG26</f>
        <v>775.82659478885887</v>
      </c>
      <c r="I39" s="74">
        <f>F39*H39</f>
        <v>205594.0476190476</v>
      </c>
      <c r="J39" s="328">
        <v>75</v>
      </c>
      <c r="K39" s="74">
        <f t="shared" ref="K39:K47" si="14">F39*J39</f>
        <v>19875</v>
      </c>
      <c r="L39" s="74">
        <f t="shared" ref="L39:L47" si="15">K39+I39</f>
        <v>225469.0476190476</v>
      </c>
      <c r="M39" s="74">
        <f t="shared" si="9"/>
        <v>1080.3786582970927</v>
      </c>
      <c r="N39" s="74">
        <f t="shared" si="10"/>
        <v>104.4413789325356</v>
      </c>
      <c r="O39" s="72">
        <f t="shared" si="11"/>
        <v>1184.8200372296283</v>
      </c>
      <c r="P39" s="205">
        <f t="shared" si="12"/>
        <v>313977.30986585148</v>
      </c>
      <c r="Q39" s="272">
        <f t="shared" si="4"/>
        <v>313977.30986585148</v>
      </c>
      <c r="R39" s="439">
        <f t="shared" si="13"/>
        <v>0</v>
      </c>
      <c r="T39" s="224"/>
    </row>
    <row r="40" spans="1:47" s="273" customFormat="1" x14ac:dyDescent="0.25">
      <c r="A40" s="350"/>
      <c r="B40" s="689"/>
      <c r="C40" s="318">
        <v>3</v>
      </c>
      <c r="D40" s="83" t="s">
        <v>533</v>
      </c>
      <c r="E40" s="242">
        <f>23.6</f>
        <v>23.6</v>
      </c>
      <c r="F40" s="302">
        <v>26</v>
      </c>
      <c r="G40" s="75" t="s">
        <v>16</v>
      </c>
      <c r="H40" s="328">
        <f>AG67</f>
        <v>402.77580466148731</v>
      </c>
      <c r="I40" s="74">
        <f t="shared" ref="I40:I47" si="16">F40*H40</f>
        <v>10472.170921198671</v>
      </c>
      <c r="J40" s="328">
        <f>AI67</f>
        <v>216</v>
      </c>
      <c r="K40" s="74">
        <f t="shared" si="14"/>
        <v>5616</v>
      </c>
      <c r="L40" s="74">
        <f t="shared" si="15"/>
        <v>16088.170921198671</v>
      </c>
      <c r="M40" s="74">
        <f t="shared" si="9"/>
        <v>560.88613919343106</v>
      </c>
      <c r="N40" s="74">
        <f t="shared" si="10"/>
        <v>300.79117132570252</v>
      </c>
      <c r="O40" s="72">
        <f t="shared" si="11"/>
        <v>861.67731051913358</v>
      </c>
      <c r="P40" s="205">
        <f t="shared" si="12"/>
        <v>22403.610073497472</v>
      </c>
      <c r="Q40" s="272">
        <f t="shared" si="4"/>
        <v>22403.610073497475</v>
      </c>
      <c r="R40" s="439">
        <f t="shared" si="13"/>
        <v>0</v>
      </c>
      <c r="T40" s="224"/>
    </row>
    <row r="41" spans="1:47" s="273" customFormat="1" x14ac:dyDescent="0.25">
      <c r="A41" s="350"/>
      <c r="B41" s="689"/>
      <c r="C41" s="318">
        <v>4</v>
      </c>
      <c r="D41" s="83" t="s">
        <v>535</v>
      </c>
      <c r="E41" s="241">
        <v>7.44</v>
      </c>
      <c r="F41" s="813">
        <v>8</v>
      </c>
      <c r="G41" s="75" t="s">
        <v>16</v>
      </c>
      <c r="H41" s="328">
        <f>AG129</f>
        <v>1573.2463928967813</v>
      </c>
      <c r="I41" s="74">
        <f>F41*H41</f>
        <v>12585.971143174251</v>
      </c>
      <c r="J41" s="328">
        <f>AI129</f>
        <v>214.5</v>
      </c>
      <c r="K41" s="74">
        <f t="shared" si="14"/>
        <v>1716</v>
      </c>
      <c r="L41" s="74">
        <f t="shared" si="15"/>
        <v>14301.971143174251</v>
      </c>
      <c r="M41" s="74">
        <f t="shared" si="9"/>
        <v>2190.8269689970334</v>
      </c>
      <c r="N41" s="74">
        <f t="shared" si="10"/>
        <v>298.70234374705177</v>
      </c>
      <c r="O41" s="72">
        <f t="shared" si="11"/>
        <v>2489.529312744085</v>
      </c>
      <c r="P41" s="205">
        <f t="shared" si="12"/>
        <v>19916.23450195268</v>
      </c>
      <c r="Q41" s="272">
        <f t="shared" si="4"/>
        <v>19916.234501952684</v>
      </c>
      <c r="R41" s="439">
        <f t="shared" si="13"/>
        <v>0</v>
      </c>
      <c r="T41" s="224"/>
    </row>
    <row r="42" spans="1:47" s="273" customFormat="1" x14ac:dyDescent="0.25">
      <c r="A42" s="350"/>
      <c r="B42" s="689"/>
      <c r="C42" s="318">
        <v>5</v>
      </c>
      <c r="D42" s="83" t="s">
        <v>534</v>
      </c>
      <c r="E42" s="241">
        <v>11.16</v>
      </c>
      <c r="F42" s="813">
        <v>12</v>
      </c>
      <c r="G42" s="75" t="s">
        <v>16</v>
      </c>
      <c r="H42" s="328">
        <f>AG136</f>
        <v>1167.3640399556048</v>
      </c>
      <c r="I42" s="74">
        <f t="shared" si="16"/>
        <v>14008.368479467257</v>
      </c>
      <c r="J42" s="328">
        <f>AI136</f>
        <v>215.1</v>
      </c>
      <c r="K42" s="74">
        <f t="shared" si="14"/>
        <v>2581.1999999999998</v>
      </c>
      <c r="L42" s="74">
        <f t="shared" si="15"/>
        <v>16589.568479467256</v>
      </c>
      <c r="M42" s="74">
        <f t="shared" si="9"/>
        <v>1625.6148006562523</v>
      </c>
      <c r="N42" s="74">
        <f t="shared" si="10"/>
        <v>299.53787477851205</v>
      </c>
      <c r="O42" s="72">
        <f t="shared" si="11"/>
        <v>1925.1526754347644</v>
      </c>
      <c r="P42" s="205">
        <f t="shared" si="12"/>
        <v>23101.832105217174</v>
      </c>
      <c r="Q42" s="272">
        <f t="shared" si="4"/>
        <v>23101.832105217174</v>
      </c>
      <c r="R42" s="439">
        <f t="shared" si="13"/>
        <v>0</v>
      </c>
      <c r="T42" s="224"/>
    </row>
    <row r="43" spans="1:47" s="273" customFormat="1" x14ac:dyDescent="0.25">
      <c r="A43" s="350"/>
      <c r="B43" s="689"/>
      <c r="C43" s="318">
        <v>6</v>
      </c>
      <c r="D43" s="83" t="s">
        <v>536</v>
      </c>
      <c r="E43" s="241">
        <v>7.2</v>
      </c>
      <c r="F43" s="813">
        <v>8</v>
      </c>
      <c r="G43" s="75" t="s">
        <v>16</v>
      </c>
      <c r="H43" s="328">
        <f>AS129</f>
        <v>2628.4535701072882</v>
      </c>
      <c r="I43" s="74">
        <f>F43*H43</f>
        <v>21027.628560858306</v>
      </c>
      <c r="J43" s="328">
        <f>AU129</f>
        <v>214.5</v>
      </c>
      <c r="K43" s="74">
        <f t="shared" ref="K43:K44" si="17">F43*J43</f>
        <v>1716</v>
      </c>
      <c r="L43" s="74">
        <f t="shared" ref="L43:L44" si="18">K43+I43</f>
        <v>22743.628560858306</v>
      </c>
      <c r="M43" s="74">
        <f t="shared" ref="M43:M44" si="19">H43/$P$264*$P$272</f>
        <v>3660.2575376286836</v>
      </c>
      <c r="N43" s="74">
        <f t="shared" ref="N43:N44" si="20">J43/$P$264*$P$272</f>
        <v>298.70234374705177</v>
      </c>
      <c r="O43" s="72">
        <f t="shared" ref="O43:O44" si="21">N43+M43</f>
        <v>3958.9598813757352</v>
      </c>
      <c r="P43" s="205">
        <f t="shared" ref="P43:P44" si="22">O43*F43</f>
        <v>31671.679051005882</v>
      </c>
      <c r="Q43" s="272">
        <f t="shared" ref="Q43:Q44" si="23">L43/$P$264*$P$272</f>
        <v>31671.679051005885</v>
      </c>
      <c r="R43" s="439">
        <f t="shared" ref="R43:R44" si="24">P43-Q43</f>
        <v>0</v>
      </c>
      <c r="T43" s="224"/>
    </row>
    <row r="44" spans="1:47" s="273" customFormat="1" x14ac:dyDescent="0.25">
      <c r="A44" s="350"/>
      <c r="B44" s="689"/>
      <c r="C44" s="318">
        <v>7</v>
      </c>
      <c r="D44" s="83" t="s">
        <v>537</v>
      </c>
      <c r="E44" s="241">
        <v>10.8</v>
      </c>
      <c r="F44" s="813">
        <v>11</v>
      </c>
      <c r="G44" s="75" t="s">
        <v>16</v>
      </c>
      <c r="H44" s="328">
        <f>AS136</f>
        <v>2011.7869034406215</v>
      </c>
      <c r="I44" s="74">
        <f t="shared" ref="I44" si="25">F44*H44</f>
        <v>22129.655937846837</v>
      </c>
      <c r="J44" s="328">
        <f>AU136</f>
        <v>215.1</v>
      </c>
      <c r="K44" s="74">
        <f t="shared" si="17"/>
        <v>2366.1</v>
      </c>
      <c r="L44" s="74">
        <f t="shared" si="18"/>
        <v>24495.755937846836</v>
      </c>
      <c r="M44" s="74">
        <f t="shared" si="19"/>
        <v>2801.5173108500576</v>
      </c>
      <c r="N44" s="74">
        <f t="shared" si="20"/>
        <v>299.53787477851205</v>
      </c>
      <c r="O44" s="72">
        <f t="shared" si="21"/>
        <v>3101.0551856285697</v>
      </c>
      <c r="P44" s="205">
        <f t="shared" si="22"/>
        <v>34111.607041914263</v>
      </c>
      <c r="Q44" s="272">
        <f t="shared" si="23"/>
        <v>34111.607041914271</v>
      </c>
      <c r="R44" s="439">
        <f t="shared" si="24"/>
        <v>0</v>
      </c>
      <c r="T44" s="224"/>
    </row>
    <row r="45" spans="1:47" s="273" customFormat="1" x14ac:dyDescent="0.25">
      <c r="A45" s="350"/>
      <c r="B45" s="689"/>
      <c r="C45" s="318">
        <v>8</v>
      </c>
      <c r="D45" s="83" t="s">
        <v>44</v>
      </c>
      <c r="E45" s="242">
        <v>45.86</v>
      </c>
      <c r="F45" s="302">
        <v>48</v>
      </c>
      <c r="G45" s="75" t="s">
        <v>16</v>
      </c>
      <c r="H45" s="328">
        <v>100</v>
      </c>
      <c r="I45" s="74">
        <f t="shared" si="16"/>
        <v>4800</v>
      </c>
      <c r="J45" s="328">
        <v>100</v>
      </c>
      <c r="K45" s="74">
        <f t="shared" si="14"/>
        <v>4800</v>
      </c>
      <c r="L45" s="74">
        <f t="shared" si="15"/>
        <v>9600</v>
      </c>
      <c r="M45" s="74">
        <f t="shared" si="9"/>
        <v>139.25517191004744</v>
      </c>
      <c r="N45" s="74">
        <f t="shared" si="10"/>
        <v>139.25517191004744</v>
      </c>
      <c r="O45" s="72">
        <f t="shared" si="11"/>
        <v>278.51034382009487</v>
      </c>
      <c r="P45" s="205">
        <f t="shared" si="12"/>
        <v>13368.496503364553</v>
      </c>
      <c r="Q45" s="272">
        <f t="shared" si="4"/>
        <v>13368.496503364557</v>
      </c>
      <c r="R45" s="439">
        <f t="shared" si="13"/>
        <v>0</v>
      </c>
      <c r="T45" s="224"/>
    </row>
    <row r="46" spans="1:47" s="273" customFormat="1" x14ac:dyDescent="0.25">
      <c r="A46" s="350"/>
      <c r="B46" s="689"/>
      <c r="C46" s="318">
        <v>9</v>
      </c>
      <c r="D46" s="83" t="s">
        <v>162</v>
      </c>
      <c r="E46" s="242">
        <v>238.71</v>
      </c>
      <c r="F46" s="302">
        <v>242</v>
      </c>
      <c r="G46" s="75" t="s">
        <v>16</v>
      </c>
      <c r="H46" s="328">
        <f>AV171</f>
        <v>1203.5652494113497</v>
      </c>
      <c r="I46" s="74">
        <f t="shared" si="16"/>
        <v>291262.79035754665</v>
      </c>
      <c r="J46" s="328">
        <f>AX171</f>
        <v>215.10000000000002</v>
      </c>
      <c r="K46" s="74">
        <f t="shared" si="14"/>
        <v>52054.200000000004</v>
      </c>
      <c r="L46" s="74">
        <f t="shared" si="15"/>
        <v>343316.99035754666</v>
      </c>
      <c r="M46" s="74">
        <f t="shared" si="9"/>
        <v>1676.0268571173663</v>
      </c>
      <c r="N46" s="74">
        <f t="shared" si="10"/>
        <v>299.5378747785121</v>
      </c>
      <c r="O46" s="72">
        <f t="shared" si="11"/>
        <v>1975.5647318958784</v>
      </c>
      <c r="P46" s="205">
        <f t="shared" si="12"/>
        <v>478086.66511880257</v>
      </c>
      <c r="Q46" s="272">
        <f t="shared" si="4"/>
        <v>478086.66511880257</v>
      </c>
      <c r="R46" s="439">
        <f t="shared" si="13"/>
        <v>0</v>
      </c>
      <c r="T46" s="224"/>
    </row>
    <row r="47" spans="1:47" s="273" customFormat="1" x14ac:dyDescent="0.25">
      <c r="A47" s="350"/>
      <c r="B47" s="713"/>
      <c r="C47" s="318">
        <v>10</v>
      </c>
      <c r="D47" s="714" t="s">
        <v>287</v>
      </c>
      <c r="E47" s="715">
        <f>96.84+64.56+11.89</f>
        <v>173.29000000000002</v>
      </c>
      <c r="F47" s="716">
        <v>0</v>
      </c>
      <c r="G47" s="717" t="s">
        <v>16</v>
      </c>
      <c r="H47" s="192"/>
      <c r="I47" s="192">
        <f t="shared" si="16"/>
        <v>0</v>
      </c>
      <c r="J47" s="192"/>
      <c r="K47" s="192">
        <f t="shared" si="14"/>
        <v>0</v>
      </c>
      <c r="L47" s="192">
        <f t="shared" si="15"/>
        <v>0</v>
      </c>
      <c r="M47" s="74">
        <f t="shared" si="9"/>
        <v>0</v>
      </c>
      <c r="N47" s="74">
        <f t="shared" si="10"/>
        <v>0</v>
      </c>
      <c r="O47" s="72">
        <f t="shared" si="11"/>
        <v>0</v>
      </c>
      <c r="P47" s="305" t="s">
        <v>39</v>
      </c>
      <c r="Q47" s="272">
        <f t="shared" si="4"/>
        <v>0</v>
      </c>
      <c r="R47" s="439" t="e">
        <f t="shared" si="13"/>
        <v>#VALUE!</v>
      </c>
      <c r="T47" s="224"/>
    </row>
    <row r="48" spans="1:47" s="273" customFormat="1" x14ac:dyDescent="0.25">
      <c r="A48" s="350"/>
      <c r="B48" s="689"/>
      <c r="C48" s="318"/>
      <c r="D48" s="83"/>
      <c r="E48" s="242"/>
      <c r="F48" s="302"/>
      <c r="G48" s="74"/>
      <c r="H48" s="74"/>
      <c r="I48" s="74"/>
      <c r="J48" s="74"/>
      <c r="K48" s="74"/>
      <c r="L48" s="74"/>
      <c r="M48" s="74"/>
      <c r="N48" s="74"/>
      <c r="O48" s="72"/>
      <c r="P48" s="205"/>
      <c r="Q48" s="272"/>
      <c r="R48" s="439"/>
      <c r="T48" s="224"/>
    </row>
    <row r="49" spans="1:47" s="273" customFormat="1" x14ac:dyDescent="0.25">
      <c r="A49" s="411"/>
      <c r="B49" s="412" t="s">
        <v>320</v>
      </c>
      <c r="C49" s="413" t="s">
        <v>83</v>
      </c>
      <c r="D49" s="712"/>
      <c r="E49" s="242"/>
      <c r="F49" s="302"/>
      <c r="G49" s="75"/>
      <c r="H49" s="74"/>
      <c r="I49" s="74"/>
      <c r="J49" s="74"/>
      <c r="K49" s="74"/>
      <c r="L49" s="74"/>
      <c r="M49" s="74"/>
      <c r="N49" s="74"/>
      <c r="O49" s="72"/>
      <c r="P49" s="205"/>
      <c r="Q49" s="272"/>
      <c r="R49" s="439"/>
      <c r="T49" s="224"/>
    </row>
    <row r="50" spans="1:47" s="273" customFormat="1" x14ac:dyDescent="0.25">
      <c r="A50" s="411"/>
      <c r="B50" s="689"/>
      <c r="C50" s="318">
        <v>1</v>
      </c>
      <c r="D50" s="83" t="s">
        <v>538</v>
      </c>
      <c r="E50" s="241">
        <v>6.24</v>
      </c>
      <c r="F50" s="813">
        <v>7</v>
      </c>
      <c r="G50" s="77" t="s">
        <v>101</v>
      </c>
      <c r="H50" s="328">
        <f>H42</f>
        <v>1167.3640399556048</v>
      </c>
      <c r="I50" s="74">
        <f>F50*H50</f>
        <v>8171.5482796892338</v>
      </c>
      <c r="J50" s="328">
        <f>J42</f>
        <v>215.1</v>
      </c>
      <c r="K50" s="74">
        <f>F50*J50</f>
        <v>1505.7</v>
      </c>
      <c r="L50" s="74">
        <f>K50+I50</f>
        <v>9677.2482796892346</v>
      </c>
      <c r="M50" s="74">
        <f t="shared" ref="M50:M56" si="26">H50/$P$264*$P$272</f>
        <v>1625.6148006562523</v>
      </c>
      <c r="N50" s="74">
        <f t="shared" ref="N50:N56" si="27">J50/$P$264*$P$272</f>
        <v>299.53787477851205</v>
      </c>
      <c r="O50" s="72">
        <f t="shared" si="11"/>
        <v>1925.1526754347644</v>
      </c>
      <c r="P50" s="205">
        <f t="shared" si="12"/>
        <v>13476.06872804335</v>
      </c>
      <c r="Q50" s="272">
        <f t="shared" ref="Q50:Q56" si="28">L50/$P$264*$P$272</f>
        <v>13476.068728043354</v>
      </c>
      <c r="R50" s="439">
        <f t="shared" si="13"/>
        <v>0</v>
      </c>
      <c r="T50" s="224"/>
      <c r="AG50" s="224"/>
      <c r="AI50" s="224"/>
    </row>
    <row r="51" spans="1:47" s="273" customFormat="1" x14ac:dyDescent="0.25">
      <c r="A51" s="411"/>
      <c r="B51" s="689"/>
      <c r="C51" s="318">
        <v>2</v>
      </c>
      <c r="D51" s="83" t="s">
        <v>539</v>
      </c>
      <c r="E51" s="241">
        <v>16.04</v>
      </c>
      <c r="F51" s="813">
        <v>17</v>
      </c>
      <c r="G51" s="77" t="s">
        <v>101</v>
      </c>
      <c r="H51" s="328">
        <f>H50</f>
        <v>1167.3640399556048</v>
      </c>
      <c r="I51" s="74">
        <f t="shared" ref="I51" si="29">F51*H51</f>
        <v>19845.188679245282</v>
      </c>
      <c r="J51" s="328">
        <f>J50</f>
        <v>215.1</v>
      </c>
      <c r="K51" s="74">
        <f t="shared" ref="K51" si="30">F51*J51</f>
        <v>3656.7</v>
      </c>
      <c r="L51" s="74">
        <f t="shared" ref="L51" si="31">K51+I51</f>
        <v>23501.888679245283</v>
      </c>
      <c r="M51" s="74">
        <f t="shared" si="26"/>
        <v>1625.6148006562523</v>
      </c>
      <c r="N51" s="74">
        <f t="shared" si="27"/>
        <v>299.53787477851205</v>
      </c>
      <c r="O51" s="72">
        <f t="shared" si="11"/>
        <v>1925.1526754347644</v>
      </c>
      <c r="P51" s="205">
        <f t="shared" si="12"/>
        <v>32727.595482390996</v>
      </c>
      <c r="Q51" s="272">
        <f t="shared" si="28"/>
        <v>32727.595482391</v>
      </c>
      <c r="R51" s="439">
        <f t="shared" si="13"/>
        <v>0</v>
      </c>
      <c r="T51" s="224"/>
      <c r="AG51" s="224"/>
      <c r="AI51" s="224"/>
    </row>
    <row r="52" spans="1:47" s="273" customFormat="1" x14ac:dyDescent="0.25">
      <c r="A52" s="411"/>
      <c r="B52" s="689"/>
      <c r="C52" s="318">
        <v>3</v>
      </c>
      <c r="D52" s="83" t="s">
        <v>540</v>
      </c>
      <c r="E52" s="241">
        <v>12.18</v>
      </c>
      <c r="F52" s="813">
        <v>13</v>
      </c>
      <c r="G52" s="77" t="s">
        <v>101</v>
      </c>
      <c r="H52" s="328">
        <f>H42</f>
        <v>1167.3640399556048</v>
      </c>
      <c r="I52" s="74">
        <f>F52*H52</f>
        <v>15175.732519422862</v>
      </c>
      <c r="J52" s="328">
        <f>J42</f>
        <v>215.1</v>
      </c>
      <c r="K52" s="74">
        <f>F52*J52</f>
        <v>2796.2999999999997</v>
      </c>
      <c r="L52" s="74">
        <f>K52+I52</f>
        <v>17972.032519422861</v>
      </c>
      <c r="M52" s="74">
        <f t="shared" si="26"/>
        <v>1625.6148006562523</v>
      </c>
      <c r="N52" s="74">
        <f t="shared" si="27"/>
        <v>299.53787477851205</v>
      </c>
      <c r="O52" s="72">
        <f t="shared" ref="O52:O53" si="32">N52+M52</f>
        <v>1925.1526754347644</v>
      </c>
      <c r="P52" s="205">
        <f t="shared" ref="P52:P53" si="33">O52*F52</f>
        <v>25026.984780651939</v>
      </c>
      <c r="Q52" s="272">
        <f t="shared" si="28"/>
        <v>25026.984780651939</v>
      </c>
      <c r="R52" s="439">
        <f t="shared" ref="R52:R53" si="34">P52-Q52</f>
        <v>0</v>
      </c>
      <c r="T52" s="224"/>
      <c r="AG52" s="224"/>
      <c r="AI52" s="224"/>
    </row>
    <row r="53" spans="1:47" s="273" customFormat="1" x14ac:dyDescent="0.25">
      <c r="A53" s="411"/>
      <c r="B53" s="689"/>
      <c r="C53" s="318">
        <v>4</v>
      </c>
      <c r="D53" s="83" t="s">
        <v>541</v>
      </c>
      <c r="E53" s="241">
        <v>28.68</v>
      </c>
      <c r="F53" s="813">
        <v>30</v>
      </c>
      <c r="G53" s="77" t="s">
        <v>101</v>
      </c>
      <c r="H53" s="328">
        <f>H52</f>
        <v>1167.3640399556048</v>
      </c>
      <c r="I53" s="74">
        <f t="shared" ref="I53" si="35">F53*H53</f>
        <v>35020.92119866814</v>
      </c>
      <c r="J53" s="328">
        <f>J52</f>
        <v>215.1</v>
      </c>
      <c r="K53" s="74">
        <f t="shared" ref="K53" si="36">F53*J53</f>
        <v>6453</v>
      </c>
      <c r="L53" s="74">
        <f t="shared" ref="L53" si="37">K53+I53</f>
        <v>41473.92119866814</v>
      </c>
      <c r="M53" s="74">
        <f t="shared" si="26"/>
        <v>1625.6148006562523</v>
      </c>
      <c r="N53" s="74">
        <f t="shared" si="27"/>
        <v>299.53787477851205</v>
      </c>
      <c r="O53" s="72">
        <f t="shared" si="32"/>
        <v>1925.1526754347644</v>
      </c>
      <c r="P53" s="205">
        <f t="shared" si="33"/>
        <v>57754.580263042932</v>
      </c>
      <c r="Q53" s="272">
        <f t="shared" si="28"/>
        <v>57754.580263042932</v>
      </c>
      <c r="R53" s="439">
        <f t="shared" si="34"/>
        <v>0</v>
      </c>
      <c r="T53" s="224"/>
      <c r="AG53" s="224"/>
      <c r="AI53" s="224"/>
    </row>
    <row r="54" spans="1:47" s="273" customFormat="1" x14ac:dyDescent="0.25">
      <c r="A54" s="411"/>
      <c r="B54" s="689"/>
      <c r="C54" s="318">
        <v>5</v>
      </c>
      <c r="D54" s="83" t="s">
        <v>490</v>
      </c>
      <c r="E54" s="242">
        <f>1350+85</f>
        <v>1435</v>
      </c>
      <c r="F54" s="302">
        <v>1450</v>
      </c>
      <c r="G54" s="77" t="s">
        <v>101</v>
      </c>
      <c r="H54" s="818">
        <f>165-5</f>
        <v>160</v>
      </c>
      <c r="I54" s="74">
        <f>F54*H54</f>
        <v>232000</v>
      </c>
      <c r="J54" s="818">
        <f>165-5</f>
        <v>160</v>
      </c>
      <c r="K54" s="74">
        <f>F54*J54</f>
        <v>232000</v>
      </c>
      <c r="L54" s="74">
        <f>K54+I54</f>
        <v>464000</v>
      </c>
      <c r="M54" s="74">
        <f t="shared" si="26"/>
        <v>222.80827505607593</v>
      </c>
      <c r="N54" s="74">
        <f t="shared" si="27"/>
        <v>222.80827505607593</v>
      </c>
      <c r="O54" s="72">
        <f>N54+M54</f>
        <v>445.61655011215186</v>
      </c>
      <c r="P54" s="205">
        <f>O54*F54</f>
        <v>646143.99766262015</v>
      </c>
      <c r="Q54" s="272">
        <f t="shared" si="28"/>
        <v>646143.99766262015</v>
      </c>
      <c r="R54" s="439">
        <f>P54-Q54</f>
        <v>0</v>
      </c>
    </row>
    <row r="55" spans="1:47" s="273" customFormat="1" x14ac:dyDescent="0.25">
      <c r="A55" s="411"/>
      <c r="B55" s="689"/>
      <c r="C55" s="318">
        <v>6</v>
      </c>
      <c r="D55" s="83" t="s">
        <v>491</v>
      </c>
      <c r="E55" s="242">
        <f>685+46</f>
        <v>731</v>
      </c>
      <c r="F55" s="302">
        <v>744</v>
      </c>
      <c r="G55" s="77" t="s">
        <v>101</v>
      </c>
      <c r="H55" s="818">
        <f>180-10</f>
        <v>170</v>
      </c>
      <c r="I55" s="74">
        <f>F55*H55</f>
        <v>126480</v>
      </c>
      <c r="J55" s="818">
        <f>190-5</f>
        <v>185</v>
      </c>
      <c r="K55" s="74">
        <f>F55*J55</f>
        <v>137640</v>
      </c>
      <c r="L55" s="74">
        <f>K55+I55</f>
        <v>264120</v>
      </c>
      <c r="M55" s="74">
        <f t="shared" si="26"/>
        <v>236.73379224708069</v>
      </c>
      <c r="N55" s="74">
        <f t="shared" si="27"/>
        <v>257.62206803358777</v>
      </c>
      <c r="O55" s="72">
        <f t="shared" ref="O55:O83" si="38">N55+M55</f>
        <v>494.35586028066848</v>
      </c>
      <c r="P55" s="205">
        <f t="shared" ref="P55:P83" si="39">O55*F55</f>
        <v>367800.76004881738</v>
      </c>
      <c r="Q55" s="272">
        <f t="shared" si="28"/>
        <v>367800.76004881732</v>
      </c>
      <c r="R55" s="439">
        <f t="shared" ref="R55:R83" si="40">P55-Q55</f>
        <v>0</v>
      </c>
    </row>
    <row r="56" spans="1:47" s="273" customFormat="1" x14ac:dyDescent="0.25">
      <c r="A56" s="411"/>
      <c r="B56" s="689"/>
      <c r="C56" s="318">
        <v>7</v>
      </c>
      <c r="D56" s="83" t="s">
        <v>334</v>
      </c>
      <c r="E56" s="306" t="s">
        <v>39</v>
      </c>
      <c r="F56" s="302">
        <v>0</v>
      </c>
      <c r="G56" s="77"/>
      <c r="H56" s="74"/>
      <c r="I56" s="74"/>
      <c r="J56" s="74"/>
      <c r="K56" s="74"/>
      <c r="L56" s="74"/>
      <c r="M56" s="74">
        <f t="shared" si="26"/>
        <v>0</v>
      </c>
      <c r="N56" s="74">
        <f t="shared" si="27"/>
        <v>0</v>
      </c>
      <c r="O56" s="72">
        <f t="shared" si="38"/>
        <v>0</v>
      </c>
      <c r="P56" s="205">
        <f t="shared" si="39"/>
        <v>0</v>
      </c>
      <c r="Q56" s="272">
        <f t="shared" si="28"/>
        <v>0</v>
      </c>
      <c r="R56" s="439">
        <f t="shared" si="40"/>
        <v>0</v>
      </c>
      <c r="T56" s="224"/>
      <c r="AG56" s="224"/>
      <c r="AI56" s="224"/>
    </row>
    <row r="57" spans="1:47" s="273" customFormat="1" x14ac:dyDescent="0.25">
      <c r="A57" s="411"/>
      <c r="B57" s="689"/>
      <c r="C57" s="318"/>
      <c r="D57" s="82"/>
      <c r="E57" s="242"/>
      <c r="F57" s="302"/>
      <c r="G57" s="75"/>
      <c r="H57" s="74"/>
      <c r="I57" s="74"/>
      <c r="J57" s="74"/>
      <c r="K57" s="74"/>
      <c r="L57" s="74"/>
      <c r="M57" s="74"/>
      <c r="N57" s="74"/>
      <c r="O57" s="72"/>
      <c r="P57" s="205"/>
      <c r="Q57" s="272"/>
      <c r="R57" s="439"/>
      <c r="T57" s="224"/>
      <c r="AG57" s="224"/>
      <c r="AI57" s="224"/>
    </row>
    <row r="58" spans="1:47" s="273" customFormat="1" x14ac:dyDescent="0.25">
      <c r="A58" s="411"/>
      <c r="B58" s="412" t="s">
        <v>321</v>
      </c>
      <c r="C58" s="413" t="s">
        <v>87</v>
      </c>
      <c r="D58" s="82"/>
      <c r="E58" s="242"/>
      <c r="F58" s="302"/>
      <c r="G58" s="75"/>
      <c r="H58" s="74"/>
      <c r="I58" s="74"/>
      <c r="J58" s="74"/>
      <c r="K58" s="74"/>
      <c r="L58" s="74"/>
      <c r="M58" s="74"/>
      <c r="N58" s="74"/>
      <c r="O58" s="72"/>
      <c r="P58" s="205"/>
      <c r="Q58" s="272"/>
      <c r="R58" s="439"/>
      <c r="T58" s="224"/>
      <c r="AG58" s="224"/>
      <c r="AI58" s="224"/>
    </row>
    <row r="59" spans="1:47" s="273" customFormat="1" x14ac:dyDescent="0.25">
      <c r="A59" s="411"/>
      <c r="B59" s="689"/>
      <c r="C59" s="318">
        <v>1</v>
      </c>
      <c r="D59" s="83" t="s">
        <v>322</v>
      </c>
      <c r="E59" s="242">
        <v>269</v>
      </c>
      <c r="F59" s="302">
        <v>273</v>
      </c>
      <c r="G59" s="77" t="s">
        <v>101</v>
      </c>
      <c r="H59" s="347">
        <f>430*0.98</f>
        <v>421.4</v>
      </c>
      <c r="I59" s="74">
        <f>F59*H59</f>
        <v>115042.2</v>
      </c>
      <c r="J59" s="74">
        <f>375*0.98</f>
        <v>367.5</v>
      </c>
      <c r="K59" s="74">
        <f t="shared" ref="K59:K60" si="41">F59*J59</f>
        <v>100327.5</v>
      </c>
      <c r="L59" s="72">
        <f t="shared" ref="L59:L60" si="42">I59+K59</f>
        <v>215369.7</v>
      </c>
      <c r="M59" s="74">
        <f>H59/$P$264*$P$272</f>
        <v>586.82129442893995</v>
      </c>
      <c r="N59" s="74">
        <f>J59/$P$264*$P$272</f>
        <v>511.76275676942441</v>
      </c>
      <c r="O59" s="72">
        <f t="shared" si="38"/>
        <v>1098.5840511983643</v>
      </c>
      <c r="P59" s="205">
        <f t="shared" si="39"/>
        <v>299913.44597715343</v>
      </c>
      <c r="Q59" s="272">
        <f>L59/$P$264*$P$272</f>
        <v>299913.44597715349</v>
      </c>
      <c r="R59" s="439">
        <f t="shared" si="40"/>
        <v>0</v>
      </c>
      <c r="T59" s="224"/>
    </row>
    <row r="60" spans="1:47" s="273" customFormat="1" ht="15" customHeight="1" x14ac:dyDescent="0.25">
      <c r="A60" s="411"/>
      <c r="B60" s="689"/>
      <c r="C60" s="318">
        <v>2</v>
      </c>
      <c r="D60" s="83" t="s">
        <v>90</v>
      </c>
      <c r="E60" s="242">
        <v>36.700000000000003</v>
      </c>
      <c r="F60" s="302">
        <v>39</v>
      </c>
      <c r="G60" s="77" t="s">
        <v>101</v>
      </c>
      <c r="H60" s="347">
        <f>(167+175)+150</f>
        <v>492</v>
      </c>
      <c r="I60" s="74">
        <f>F60*H60</f>
        <v>19188</v>
      </c>
      <c r="J60" s="74">
        <f>225+150</f>
        <v>375</v>
      </c>
      <c r="K60" s="74">
        <f t="shared" si="41"/>
        <v>14625</v>
      </c>
      <c r="L60" s="72">
        <f t="shared" si="42"/>
        <v>33813</v>
      </c>
      <c r="M60" s="74">
        <f>H60/$P$264*$P$272</f>
        <v>685.13544579743348</v>
      </c>
      <c r="N60" s="74">
        <f>J60/$P$264*$P$272</f>
        <v>522.20689466267788</v>
      </c>
      <c r="O60" s="72">
        <f t="shared" si="38"/>
        <v>1207.3423404601112</v>
      </c>
      <c r="P60" s="205">
        <f t="shared" si="39"/>
        <v>47086.351277944341</v>
      </c>
      <c r="Q60" s="272">
        <f>L60/$P$264*$P$272</f>
        <v>47086.351277944341</v>
      </c>
      <c r="R60" s="439">
        <f t="shared" si="40"/>
        <v>0</v>
      </c>
      <c r="T60" s="224"/>
      <c r="AG60" s="224"/>
      <c r="AI60" s="224"/>
      <c r="AO60" s="285"/>
      <c r="AP60" s="285"/>
      <c r="AQ60" s="286"/>
      <c r="AR60" s="286"/>
      <c r="AS60" s="286"/>
      <c r="AT60" s="286"/>
      <c r="AU60" s="127"/>
    </row>
    <row r="61" spans="1:47" s="273" customFormat="1" ht="15" customHeight="1" x14ac:dyDescent="0.25">
      <c r="A61" s="411"/>
      <c r="B61" s="689"/>
      <c r="C61" s="318"/>
      <c r="D61" s="83" t="s">
        <v>155</v>
      </c>
      <c r="E61" s="242"/>
      <c r="F61" s="302"/>
      <c r="G61" s="75"/>
      <c r="H61" s="347"/>
      <c r="I61" s="74"/>
      <c r="J61" s="74"/>
      <c r="K61" s="74"/>
      <c r="L61" s="74"/>
      <c r="M61" s="74"/>
      <c r="N61" s="74"/>
      <c r="O61" s="72"/>
      <c r="P61" s="205"/>
      <c r="Q61" s="272"/>
      <c r="R61" s="439"/>
      <c r="T61" s="224"/>
      <c r="W61" s="904" t="s">
        <v>293</v>
      </c>
      <c r="X61" s="904"/>
      <c r="Y61" s="904"/>
      <c r="Z61" s="904"/>
      <c r="AA61" s="904"/>
      <c r="AB61" s="904"/>
      <c r="AC61" s="794" t="s">
        <v>243</v>
      </c>
      <c r="AD61" s="794" t="s">
        <v>244</v>
      </c>
      <c r="AE61" s="794" t="s">
        <v>245</v>
      </c>
      <c r="AF61" s="123" t="s">
        <v>246</v>
      </c>
      <c r="AG61" s="196" t="s">
        <v>247</v>
      </c>
      <c r="AH61" s="794" t="s">
        <v>248</v>
      </c>
      <c r="AI61" s="212" t="s">
        <v>249</v>
      </c>
      <c r="AO61" s="285"/>
      <c r="AP61" s="285"/>
      <c r="AQ61" s="286"/>
      <c r="AR61" s="286"/>
      <c r="AS61" s="286"/>
      <c r="AT61" s="286"/>
      <c r="AU61" s="127"/>
    </row>
    <row r="62" spans="1:47" s="273" customFormat="1" x14ac:dyDescent="0.25">
      <c r="A62" s="411"/>
      <c r="B62" s="689"/>
      <c r="C62" s="318">
        <v>3</v>
      </c>
      <c r="D62" s="83" t="s">
        <v>92</v>
      </c>
      <c r="E62" s="242">
        <v>62</v>
      </c>
      <c r="F62" s="302">
        <v>64</v>
      </c>
      <c r="G62" s="77" t="s">
        <v>101</v>
      </c>
      <c r="H62" s="347">
        <f>((177+155)+150)*0.98</f>
        <v>472.36</v>
      </c>
      <c r="I62" s="74">
        <f>F62*H62</f>
        <v>30231.040000000001</v>
      </c>
      <c r="J62" s="74">
        <f>(225+150)*0.98</f>
        <v>367.5</v>
      </c>
      <c r="K62" s="74">
        <f t="shared" ref="K62" si="43">F62*J62</f>
        <v>23520</v>
      </c>
      <c r="L62" s="72">
        <f t="shared" ref="L62" si="44">I62+K62</f>
        <v>53751.040000000001</v>
      </c>
      <c r="M62" s="74">
        <f>H62/$P$264*$P$272</f>
        <v>657.78573003430017</v>
      </c>
      <c r="N62" s="74">
        <f>J62/$P$264*$P$272</f>
        <v>511.76275676942441</v>
      </c>
      <c r="O62" s="72">
        <f t="shared" si="38"/>
        <v>1169.5484868037247</v>
      </c>
      <c r="P62" s="205">
        <f t="shared" si="39"/>
        <v>74851.103155438381</v>
      </c>
      <c r="Q62" s="272">
        <f>L62/$P$264*$P$272</f>
        <v>74851.103155438366</v>
      </c>
      <c r="R62" s="439">
        <f t="shared" si="40"/>
        <v>0</v>
      </c>
      <c r="T62" s="224"/>
      <c r="W62" s="878" t="s">
        <v>258</v>
      </c>
      <c r="X62" s="878"/>
      <c r="Y62" s="878"/>
      <c r="Z62" s="878"/>
      <c r="AA62" s="878"/>
      <c r="AB62" s="878"/>
      <c r="AC62" s="124" t="s">
        <v>251</v>
      </c>
      <c r="AD62" s="793">
        <v>11.11</v>
      </c>
      <c r="AE62" s="793">
        <v>12</v>
      </c>
      <c r="AF62" s="123">
        <f>27.26/1.02</f>
        <v>26.725490196078432</v>
      </c>
      <c r="AG62" s="196">
        <f>AF62*AE62</f>
        <v>320.70588235294122</v>
      </c>
      <c r="AH62" s="793">
        <v>18</v>
      </c>
      <c r="AI62" s="219">
        <f>AH62*AE62</f>
        <v>216</v>
      </c>
      <c r="AO62" s="285"/>
      <c r="AP62" s="285"/>
      <c r="AQ62" s="286"/>
      <c r="AR62" s="286"/>
      <c r="AS62" s="286"/>
      <c r="AT62" s="286"/>
      <c r="AU62" s="690"/>
    </row>
    <row r="63" spans="1:47" s="273" customFormat="1" x14ac:dyDescent="0.25">
      <c r="A63" s="411"/>
      <c r="B63" s="718"/>
      <c r="C63" s="719"/>
      <c r="D63" s="83" t="s">
        <v>154</v>
      </c>
      <c r="E63" s="242"/>
      <c r="F63" s="302"/>
      <c r="G63" s="75"/>
      <c r="H63" s="74"/>
      <c r="I63" s="74"/>
      <c r="J63" s="74"/>
      <c r="K63" s="74"/>
      <c r="L63" s="74"/>
      <c r="M63" s="74"/>
      <c r="N63" s="74"/>
      <c r="O63" s="72"/>
      <c r="P63" s="205"/>
      <c r="Q63" s="272"/>
      <c r="R63" s="439"/>
      <c r="T63" s="224"/>
      <c r="W63" s="878" t="s">
        <v>252</v>
      </c>
      <c r="X63" s="878"/>
      <c r="Y63" s="878"/>
      <c r="Z63" s="878"/>
      <c r="AA63" s="878"/>
      <c r="AB63" s="878"/>
      <c r="AC63" s="124" t="s">
        <v>253</v>
      </c>
      <c r="AD63" s="793">
        <v>0.25</v>
      </c>
      <c r="AE63" s="793">
        <v>0.25</v>
      </c>
      <c r="AF63" s="123">
        <f>AF133</f>
        <v>279.41176470588238</v>
      </c>
      <c r="AG63" s="196">
        <f>AF63*AE63</f>
        <v>69.852941176470594</v>
      </c>
      <c r="AH63" s="793"/>
      <c r="AI63" s="219">
        <f t="shared" ref="AI63:AI65" si="45">AH63*AE63</f>
        <v>0</v>
      </c>
    </row>
    <row r="64" spans="1:47" s="273" customFormat="1" x14ac:dyDescent="0.25">
      <c r="A64" s="411"/>
      <c r="B64" s="689"/>
      <c r="C64" s="318">
        <v>4</v>
      </c>
      <c r="D64" s="83" t="s">
        <v>93</v>
      </c>
      <c r="E64" s="242">
        <v>252</v>
      </c>
      <c r="F64" s="302">
        <v>255</v>
      </c>
      <c r="G64" s="77" t="s">
        <v>101</v>
      </c>
      <c r="H64" s="74">
        <f>(230+185)/1.05</f>
        <v>395.23809523809524</v>
      </c>
      <c r="I64" s="74">
        <f>F64*H64</f>
        <v>100785.71428571429</v>
      </c>
      <c r="J64" s="74">
        <v>225</v>
      </c>
      <c r="K64" s="74">
        <f t="shared" ref="K64" si="46">F64*J64</f>
        <v>57375</v>
      </c>
      <c r="L64" s="72">
        <f t="shared" ref="L64" si="47">I64+K64</f>
        <v>158160.71428571429</v>
      </c>
      <c r="M64" s="74">
        <f>H64/$P$264*$P$272</f>
        <v>550.38948897780665</v>
      </c>
      <c r="N64" s="74">
        <f>J64/$P$264*$P$272</f>
        <v>313.32413679760674</v>
      </c>
      <c r="O64" s="72">
        <f t="shared" si="38"/>
        <v>863.71362577541345</v>
      </c>
      <c r="P64" s="205">
        <f t="shared" si="39"/>
        <v>220246.97457273043</v>
      </c>
      <c r="Q64" s="272">
        <f>L64/$P$264*$P$272</f>
        <v>220246.9745727304</v>
      </c>
      <c r="R64" s="439">
        <f t="shared" si="40"/>
        <v>0</v>
      </c>
      <c r="T64" s="224"/>
      <c r="W64" s="878" t="s">
        <v>254</v>
      </c>
      <c r="X64" s="878"/>
      <c r="Y64" s="878"/>
      <c r="Z64" s="878"/>
      <c r="AA64" s="878"/>
      <c r="AB64" s="878"/>
      <c r="AC64" s="124" t="s">
        <v>255</v>
      </c>
      <c r="AD64" s="793">
        <v>0.25</v>
      </c>
      <c r="AE64" s="793">
        <v>0.35</v>
      </c>
      <c r="AF64" s="123">
        <f>AF32</f>
        <v>34.905660377358487</v>
      </c>
      <c r="AG64" s="196">
        <f t="shared" ref="AG64:AG65" si="48">AF64*AE64</f>
        <v>12.216981132075469</v>
      </c>
      <c r="AH64" s="793"/>
      <c r="AI64" s="219">
        <f t="shared" si="45"/>
        <v>0</v>
      </c>
    </row>
    <row r="65" spans="1:35" s="273" customFormat="1" x14ac:dyDescent="0.25">
      <c r="A65" s="411"/>
      <c r="B65" s="718"/>
      <c r="C65" s="719"/>
      <c r="D65" s="83" t="s">
        <v>94</v>
      </c>
      <c r="E65" s="242"/>
      <c r="F65" s="302"/>
      <c r="G65" s="75"/>
      <c r="H65" s="74"/>
      <c r="I65" s="74"/>
      <c r="J65" s="74"/>
      <c r="K65" s="74"/>
      <c r="L65" s="74"/>
      <c r="M65" s="74"/>
      <c r="N65" s="74"/>
      <c r="O65" s="72"/>
      <c r="P65" s="205"/>
      <c r="Q65" s="272"/>
      <c r="R65" s="439"/>
      <c r="T65" s="224"/>
      <c r="W65" s="878" t="str">
        <f>W33</f>
        <v>mortar (topping) included @ other item</v>
      </c>
      <c r="X65" s="878"/>
      <c r="Y65" s="878"/>
      <c r="Z65" s="878"/>
      <c r="AA65" s="878"/>
      <c r="AB65" s="878"/>
      <c r="AC65" s="124" t="s">
        <v>257</v>
      </c>
      <c r="AD65" s="793">
        <v>1</v>
      </c>
      <c r="AE65" s="793">
        <v>1</v>
      </c>
      <c r="AF65" s="123">
        <f>AF33</f>
        <v>0</v>
      </c>
      <c r="AG65" s="196">
        <f t="shared" si="48"/>
        <v>0</v>
      </c>
      <c r="AH65" s="793">
        <f>AH33</f>
        <v>0</v>
      </c>
      <c r="AI65" s="219">
        <f t="shared" si="45"/>
        <v>0</v>
      </c>
    </row>
    <row r="66" spans="1:35" s="273" customFormat="1" x14ac:dyDescent="0.25">
      <c r="A66" s="411"/>
      <c r="B66" s="689"/>
      <c r="C66" s="318">
        <v>5</v>
      </c>
      <c r="D66" s="83" t="s">
        <v>160</v>
      </c>
      <c r="E66" s="720">
        <f>29.2+51.05</f>
        <v>80.25</v>
      </c>
      <c r="F66" s="721">
        <v>82</v>
      </c>
      <c r="G66" s="77" t="s">
        <v>101</v>
      </c>
      <c r="H66" s="74"/>
      <c r="I66" s="74">
        <f>F66*H66</f>
        <v>0</v>
      </c>
      <c r="J66" s="74"/>
      <c r="K66" s="74">
        <f t="shared" ref="K66:K69" si="49">F66*J66</f>
        <v>0</v>
      </c>
      <c r="L66" s="72">
        <f t="shared" ref="L66:L67" si="50">I66+K66</f>
        <v>0</v>
      </c>
      <c r="M66" s="74">
        <f>H66/$P$264*$P$272</f>
        <v>0</v>
      </c>
      <c r="N66" s="74">
        <f>J66/$P$264*$P$272</f>
        <v>0</v>
      </c>
      <c r="O66" s="72">
        <f t="shared" si="38"/>
        <v>0</v>
      </c>
      <c r="P66" s="205">
        <f t="shared" si="39"/>
        <v>0</v>
      </c>
      <c r="Q66" s="272">
        <f>L66/$P$264*$P$272</f>
        <v>0</v>
      </c>
      <c r="R66" s="439">
        <f t="shared" si="40"/>
        <v>0</v>
      </c>
      <c r="T66" s="224"/>
      <c r="W66" s="878" t="s">
        <v>259</v>
      </c>
      <c r="X66" s="878"/>
      <c r="Y66" s="878"/>
      <c r="Z66" s="878"/>
      <c r="AA66" s="878"/>
      <c r="AB66" s="878"/>
      <c r="AC66" s="124" t="s">
        <v>257</v>
      </c>
      <c r="AD66" s="793">
        <v>1</v>
      </c>
      <c r="AE66" s="793">
        <v>1</v>
      </c>
      <c r="AF66" s="123">
        <f>AF33</f>
        <v>0</v>
      </c>
      <c r="AG66" s="196">
        <f>AF66*AE66</f>
        <v>0</v>
      </c>
      <c r="AH66" s="793">
        <f>AH33</f>
        <v>0</v>
      </c>
      <c r="AI66" s="219">
        <f>AH66*AE66</f>
        <v>0</v>
      </c>
    </row>
    <row r="67" spans="1:35" s="273" customFormat="1" x14ac:dyDescent="0.25">
      <c r="A67" s="411"/>
      <c r="B67" s="689"/>
      <c r="C67" s="318">
        <v>6</v>
      </c>
      <c r="D67" s="83" t="s">
        <v>492</v>
      </c>
      <c r="E67" s="242">
        <v>61.7</v>
      </c>
      <c r="F67" s="302">
        <v>63</v>
      </c>
      <c r="G67" s="77" t="s">
        <v>100</v>
      </c>
      <c r="H67" s="74">
        <v>130</v>
      </c>
      <c r="I67" s="74">
        <f>F67*H67</f>
        <v>8190</v>
      </c>
      <c r="J67" s="74">
        <v>120</v>
      </c>
      <c r="K67" s="74">
        <f t="shared" si="49"/>
        <v>7560</v>
      </c>
      <c r="L67" s="72">
        <f t="shared" si="50"/>
        <v>15750</v>
      </c>
      <c r="M67" s="74">
        <f>H67/$P$264*$P$272</f>
        <v>181.03172348306168</v>
      </c>
      <c r="N67" s="74">
        <f>J67/$P$264*$P$272</f>
        <v>167.10620629205692</v>
      </c>
      <c r="O67" s="72">
        <f t="shared" si="38"/>
        <v>348.13792977511861</v>
      </c>
      <c r="P67" s="205">
        <f t="shared" si="39"/>
        <v>21932.689575832472</v>
      </c>
      <c r="Q67" s="272">
        <f>L67/$P$264*$P$272</f>
        <v>21932.689575832475</v>
      </c>
      <c r="R67" s="439">
        <f t="shared" si="40"/>
        <v>0</v>
      </c>
      <c r="T67" s="224"/>
      <c r="W67" s="126"/>
      <c r="X67" s="126"/>
      <c r="Y67" s="126"/>
      <c r="Z67" s="126"/>
      <c r="AA67" s="126"/>
      <c r="AB67" s="126"/>
      <c r="AC67" s="126"/>
      <c r="AD67" s="793"/>
      <c r="AE67" s="793"/>
      <c r="AF67" s="123"/>
      <c r="AG67" s="212">
        <f>SUM(AG62:AG66)</f>
        <v>402.77580466148731</v>
      </c>
      <c r="AH67" s="794"/>
      <c r="AI67" s="212">
        <f>SUM(AI62:AI66)</f>
        <v>216</v>
      </c>
    </row>
    <row r="68" spans="1:35" s="273" customFormat="1" hidden="1" x14ac:dyDescent="0.25">
      <c r="A68" s="411"/>
      <c r="B68" s="689"/>
      <c r="C68" s="318"/>
      <c r="D68" s="83"/>
      <c r="E68" s="242"/>
      <c r="F68" s="302"/>
      <c r="G68" s="75"/>
      <c r="H68" s="74"/>
      <c r="I68" s="74"/>
      <c r="J68" s="74"/>
      <c r="K68" s="74"/>
      <c r="L68" s="74"/>
      <c r="M68" s="74">
        <f>H68/$P$264*$P$272</f>
        <v>0</v>
      </c>
      <c r="N68" s="74">
        <f>J68/$P$264*$P$272</f>
        <v>0</v>
      </c>
      <c r="O68" s="72">
        <f t="shared" si="38"/>
        <v>0</v>
      </c>
      <c r="P68" s="205">
        <f t="shared" si="39"/>
        <v>0</v>
      </c>
      <c r="Q68" s="272">
        <f>L68/$P$264*$P$272</f>
        <v>0</v>
      </c>
      <c r="R68" s="439">
        <f t="shared" si="40"/>
        <v>0</v>
      </c>
      <c r="T68" s="224"/>
      <c r="AG68" s="224"/>
      <c r="AI68" s="224"/>
    </row>
    <row r="69" spans="1:35" s="273" customFormat="1" x14ac:dyDescent="0.25">
      <c r="A69" s="411"/>
      <c r="B69" s="689"/>
      <c r="C69" s="318">
        <v>7</v>
      </c>
      <c r="D69" s="83" t="s">
        <v>357</v>
      </c>
      <c r="E69" s="242">
        <v>152.9</v>
      </c>
      <c r="F69" s="302">
        <v>154</v>
      </c>
      <c r="G69" s="77" t="s">
        <v>101</v>
      </c>
      <c r="H69" s="74"/>
      <c r="I69" s="74">
        <f>F69*H69</f>
        <v>0</v>
      </c>
      <c r="J69" s="74"/>
      <c r="K69" s="74">
        <f t="shared" si="49"/>
        <v>0</v>
      </c>
      <c r="L69" s="72">
        <f t="shared" ref="L69" si="51">I69+K69</f>
        <v>0</v>
      </c>
      <c r="M69" s="74">
        <f>H69/$P$264*$P$272</f>
        <v>0</v>
      </c>
      <c r="N69" s="74">
        <f>J69/$P$264*$P$272</f>
        <v>0</v>
      </c>
      <c r="O69" s="72">
        <f t="shared" si="38"/>
        <v>0</v>
      </c>
      <c r="P69" s="305" t="s">
        <v>39</v>
      </c>
      <c r="Q69" s="272">
        <f>L69/$P$264*$P$272</f>
        <v>0</v>
      </c>
      <c r="R69" s="439" t="e">
        <f t="shared" si="40"/>
        <v>#VALUE!</v>
      </c>
      <c r="T69" s="224"/>
      <c r="AG69" s="224"/>
      <c r="AI69" s="224"/>
    </row>
    <row r="70" spans="1:35" s="273" customFormat="1" x14ac:dyDescent="0.25">
      <c r="A70" s="411"/>
      <c r="B70" s="718"/>
      <c r="C70" s="719"/>
      <c r="D70" s="83"/>
      <c r="E70" s="242"/>
      <c r="F70" s="302"/>
      <c r="G70" s="75"/>
      <c r="H70" s="74"/>
      <c r="I70" s="74"/>
      <c r="J70" s="74"/>
      <c r="K70" s="74"/>
      <c r="L70" s="74"/>
      <c r="M70" s="74"/>
      <c r="N70" s="74"/>
      <c r="O70" s="72"/>
      <c r="P70" s="205"/>
      <c r="Q70" s="272"/>
      <c r="R70" s="439"/>
      <c r="T70" s="224"/>
      <c r="AG70" s="224"/>
      <c r="AI70" s="224"/>
    </row>
    <row r="71" spans="1:35" s="273" customFormat="1" x14ac:dyDescent="0.25">
      <c r="A71" s="411"/>
      <c r="B71" s="412" t="s">
        <v>323</v>
      </c>
      <c r="C71" s="413" t="s">
        <v>26</v>
      </c>
      <c r="D71" s="82"/>
      <c r="E71" s="242"/>
      <c r="F71" s="302"/>
      <c r="G71" s="75"/>
      <c r="H71" s="74"/>
      <c r="I71" s="74"/>
      <c r="J71" s="74"/>
      <c r="K71" s="74"/>
      <c r="L71" s="74"/>
      <c r="M71" s="74"/>
      <c r="N71" s="74"/>
      <c r="O71" s="72"/>
      <c r="P71" s="205"/>
      <c r="Q71" s="272"/>
      <c r="R71" s="439"/>
      <c r="T71" s="224"/>
      <c r="AG71" s="224"/>
      <c r="AI71" s="224"/>
    </row>
    <row r="72" spans="1:35" s="273" customFormat="1" hidden="1" x14ac:dyDescent="0.25">
      <c r="A72" s="350"/>
      <c r="B72" s="317"/>
      <c r="C72" s="318">
        <v>1</v>
      </c>
      <c r="D72" s="83" t="s">
        <v>104</v>
      </c>
      <c r="E72" s="242">
        <v>3</v>
      </c>
      <c r="F72" s="302">
        <v>3</v>
      </c>
      <c r="G72" s="77" t="s">
        <v>28</v>
      </c>
      <c r="H72" s="74"/>
      <c r="I72" s="74">
        <f>F72*H72</f>
        <v>0</v>
      </c>
      <c r="J72" s="74"/>
      <c r="K72" s="74">
        <f t="shared" ref="K72" si="52">F72*J72</f>
        <v>0</v>
      </c>
      <c r="L72" s="72">
        <f t="shared" ref="L72" si="53">I72+K72</f>
        <v>0</v>
      </c>
      <c r="M72" s="74">
        <f t="shared" ref="M72:M81" si="54">H72/$P$264*$P$272</f>
        <v>0</v>
      </c>
      <c r="N72" s="74">
        <f t="shared" ref="N72:N81" si="55">J72/$P$264*$P$272</f>
        <v>0</v>
      </c>
      <c r="O72" s="72">
        <f t="shared" si="38"/>
        <v>0</v>
      </c>
      <c r="P72" s="205">
        <f t="shared" si="39"/>
        <v>0</v>
      </c>
      <c r="Q72" s="272">
        <f t="shared" ref="Q72:Q81" si="56">L72/$P$264*$P$272</f>
        <v>0</v>
      </c>
      <c r="R72" s="439">
        <f t="shared" si="40"/>
        <v>0</v>
      </c>
      <c r="T72" s="224"/>
      <c r="AG72" s="224"/>
      <c r="AI72" s="224"/>
    </row>
    <row r="73" spans="1:35" s="273" customFormat="1" hidden="1" x14ac:dyDescent="0.25">
      <c r="A73" s="350"/>
      <c r="B73" s="319"/>
      <c r="C73" s="318"/>
      <c r="D73" s="83" t="s">
        <v>324</v>
      </c>
      <c r="E73" s="242"/>
      <c r="F73" s="302"/>
      <c r="G73" s="75"/>
      <c r="H73" s="74"/>
      <c r="I73" s="74"/>
      <c r="J73" s="74"/>
      <c r="K73" s="74"/>
      <c r="L73" s="74"/>
      <c r="M73" s="74">
        <f t="shared" si="54"/>
        <v>0</v>
      </c>
      <c r="N73" s="74">
        <f t="shared" si="55"/>
        <v>0</v>
      </c>
      <c r="O73" s="72">
        <f t="shared" si="38"/>
        <v>0</v>
      </c>
      <c r="P73" s="205">
        <f t="shared" si="39"/>
        <v>0</v>
      </c>
      <c r="Q73" s="272">
        <f t="shared" si="56"/>
        <v>0</v>
      </c>
      <c r="R73" s="439">
        <f t="shared" si="40"/>
        <v>0</v>
      </c>
      <c r="T73" s="224"/>
    </row>
    <row r="74" spans="1:35" s="273" customFormat="1" hidden="1" x14ac:dyDescent="0.25">
      <c r="A74" s="350"/>
      <c r="B74" s="317"/>
      <c r="C74" s="318">
        <v>2</v>
      </c>
      <c r="D74" s="83" t="s">
        <v>105</v>
      </c>
      <c r="E74" s="242">
        <v>1</v>
      </c>
      <c r="F74" s="302">
        <v>1</v>
      </c>
      <c r="G74" s="77" t="s">
        <v>55</v>
      </c>
      <c r="H74" s="74"/>
      <c r="I74" s="74">
        <f>F74*H74</f>
        <v>0</v>
      </c>
      <c r="J74" s="74"/>
      <c r="K74" s="74">
        <f t="shared" ref="K74" si="57">F74*J74</f>
        <v>0</v>
      </c>
      <c r="L74" s="72">
        <f t="shared" ref="L74" si="58">I74+K74</f>
        <v>0</v>
      </c>
      <c r="M74" s="74">
        <f t="shared" si="54"/>
        <v>0</v>
      </c>
      <c r="N74" s="74">
        <f t="shared" si="55"/>
        <v>0</v>
      </c>
      <c r="O74" s="72">
        <f t="shared" si="38"/>
        <v>0</v>
      </c>
      <c r="P74" s="205">
        <f t="shared" si="39"/>
        <v>0</v>
      </c>
      <c r="Q74" s="272">
        <f t="shared" si="56"/>
        <v>0</v>
      </c>
      <c r="R74" s="439">
        <f t="shared" si="40"/>
        <v>0</v>
      </c>
      <c r="T74" s="224"/>
    </row>
    <row r="75" spans="1:35" s="273" customFormat="1" hidden="1" x14ac:dyDescent="0.25">
      <c r="A75" s="350"/>
      <c r="B75" s="319"/>
      <c r="C75" s="318"/>
      <c r="D75" s="83" t="s">
        <v>325</v>
      </c>
      <c r="E75" s="242"/>
      <c r="F75" s="302"/>
      <c r="G75" s="75"/>
      <c r="H75" s="74"/>
      <c r="I75" s="74"/>
      <c r="J75" s="74"/>
      <c r="K75" s="74"/>
      <c r="L75" s="74"/>
      <c r="M75" s="74">
        <f t="shared" si="54"/>
        <v>0</v>
      </c>
      <c r="N75" s="74">
        <f t="shared" si="55"/>
        <v>0</v>
      </c>
      <c r="O75" s="72">
        <f t="shared" si="38"/>
        <v>0</v>
      </c>
      <c r="P75" s="205">
        <f t="shared" si="39"/>
        <v>0</v>
      </c>
      <c r="Q75" s="272">
        <f t="shared" si="56"/>
        <v>0</v>
      </c>
      <c r="R75" s="439">
        <f t="shared" si="40"/>
        <v>0</v>
      </c>
      <c r="T75" s="224"/>
      <c r="AG75" s="224"/>
      <c r="AI75" s="224"/>
    </row>
    <row r="76" spans="1:35" s="273" customFormat="1" x14ac:dyDescent="0.25">
      <c r="A76" s="350"/>
      <c r="B76" s="317"/>
      <c r="C76" s="318">
        <v>1</v>
      </c>
      <c r="D76" s="83" t="s">
        <v>106</v>
      </c>
      <c r="E76" s="242">
        <v>2</v>
      </c>
      <c r="F76" s="302">
        <v>2</v>
      </c>
      <c r="G76" s="77" t="s">
        <v>28</v>
      </c>
      <c r="H76" s="74">
        <f>(4000+1750+1000)/1.03</f>
        <v>6553.3980582524273</v>
      </c>
      <c r="I76" s="74">
        <f t="shared" ref="I76:I81" si="59">F76*H76</f>
        <v>13106.796116504855</v>
      </c>
      <c r="J76" s="74">
        <v>700</v>
      </c>
      <c r="K76" s="74">
        <f t="shared" ref="K76:K81" si="60">F76*J76</f>
        <v>1400</v>
      </c>
      <c r="L76" s="72">
        <f t="shared" ref="L76:L81" si="61">I76+K76</f>
        <v>14506.796116504855</v>
      </c>
      <c r="M76" s="74">
        <f t="shared" si="54"/>
        <v>9125.9457319691282</v>
      </c>
      <c r="N76" s="74">
        <f t="shared" si="55"/>
        <v>974.78620337033215</v>
      </c>
      <c r="O76" s="72">
        <f t="shared" si="38"/>
        <v>10100.73193533946</v>
      </c>
      <c r="P76" s="205">
        <f t="shared" si="39"/>
        <v>20201.463870678919</v>
      </c>
      <c r="Q76" s="272">
        <f t="shared" si="56"/>
        <v>20201.463870678923</v>
      </c>
      <c r="R76" s="439">
        <f t="shared" si="40"/>
        <v>0</v>
      </c>
      <c r="T76" s="224"/>
      <c r="W76" s="878" t="s">
        <v>254</v>
      </c>
      <c r="X76" s="878"/>
      <c r="Y76" s="878"/>
      <c r="Z76" s="878"/>
      <c r="AA76" s="878"/>
      <c r="AB76" s="878"/>
      <c r="AC76" s="124" t="s">
        <v>255</v>
      </c>
      <c r="AD76" s="793">
        <v>0.25</v>
      </c>
      <c r="AE76" s="793">
        <v>0.35</v>
      </c>
      <c r="AF76" s="123">
        <f>37/1.06</f>
        <v>34.905660377358487</v>
      </c>
      <c r="AG76" s="196">
        <f>AF76*AE76</f>
        <v>12.216981132075469</v>
      </c>
      <c r="AH76" s="793"/>
      <c r="AI76" s="219">
        <f>AH76*AE76</f>
        <v>0</v>
      </c>
    </row>
    <row r="77" spans="1:35" s="273" customFormat="1" x14ac:dyDescent="0.25">
      <c r="A77" s="350"/>
      <c r="B77" s="317"/>
      <c r="C77" s="318">
        <v>2</v>
      </c>
      <c r="D77" s="83" t="s">
        <v>107</v>
      </c>
      <c r="E77" s="242">
        <v>4</v>
      </c>
      <c r="F77" s="302">
        <v>4</v>
      </c>
      <c r="G77" s="77" t="s">
        <v>28</v>
      </c>
      <c r="H77" s="74">
        <f>(4000+1750+1000)/1.03</f>
        <v>6553.3980582524273</v>
      </c>
      <c r="I77" s="74">
        <f t="shared" si="59"/>
        <v>26213.592233009709</v>
      </c>
      <c r="J77" s="74">
        <f>J76</f>
        <v>700</v>
      </c>
      <c r="K77" s="74">
        <f t="shared" si="60"/>
        <v>2800</v>
      </c>
      <c r="L77" s="72">
        <f t="shared" si="61"/>
        <v>29013.592233009709</v>
      </c>
      <c r="M77" s="74">
        <f t="shared" si="54"/>
        <v>9125.9457319691282</v>
      </c>
      <c r="N77" s="74">
        <f t="shared" si="55"/>
        <v>974.78620337033215</v>
      </c>
      <c r="O77" s="72">
        <f t="shared" si="38"/>
        <v>10100.73193533946</v>
      </c>
      <c r="P77" s="205">
        <f t="shared" si="39"/>
        <v>40402.927741357838</v>
      </c>
      <c r="Q77" s="272">
        <f t="shared" si="56"/>
        <v>40402.927741357846</v>
      </c>
      <c r="R77" s="439">
        <f t="shared" si="40"/>
        <v>0</v>
      </c>
      <c r="T77" s="224"/>
      <c r="W77" s="878" t="s">
        <v>256</v>
      </c>
      <c r="X77" s="878"/>
      <c r="Y77" s="878"/>
      <c r="Z77" s="878"/>
      <c r="AA77" s="878"/>
      <c r="AB77" s="878"/>
      <c r="AC77" s="124" t="s">
        <v>257</v>
      </c>
      <c r="AD77" s="793">
        <v>1</v>
      </c>
      <c r="AE77" s="793">
        <v>1</v>
      </c>
      <c r="AF77" s="123">
        <f>AQ68</f>
        <v>0</v>
      </c>
      <c r="AG77" s="196">
        <f>AF77*AE77</f>
        <v>0</v>
      </c>
      <c r="AH77" s="793"/>
      <c r="AI77" s="219">
        <f>AH77*AE77</f>
        <v>0</v>
      </c>
    </row>
    <row r="78" spans="1:35" s="273" customFormat="1" x14ac:dyDescent="0.25">
      <c r="A78" s="350"/>
      <c r="B78" s="317"/>
      <c r="C78" s="318">
        <v>3</v>
      </c>
      <c r="D78" s="83" t="s">
        <v>326</v>
      </c>
      <c r="E78" s="242">
        <v>7</v>
      </c>
      <c r="F78" s="302">
        <v>7</v>
      </c>
      <c r="G78" s="77" t="s">
        <v>28</v>
      </c>
      <c r="H78" s="74">
        <f>(6000+1750+1000)/1.03</f>
        <v>8495.1456310679605</v>
      </c>
      <c r="I78" s="74">
        <f t="shared" si="59"/>
        <v>59466.01941747572</v>
      </c>
      <c r="J78" s="74">
        <f>J77</f>
        <v>700</v>
      </c>
      <c r="K78" s="74">
        <f t="shared" si="60"/>
        <v>4900</v>
      </c>
      <c r="L78" s="72">
        <f t="shared" si="61"/>
        <v>64366.01941747572</v>
      </c>
      <c r="M78" s="74">
        <f t="shared" si="54"/>
        <v>11829.929652552573</v>
      </c>
      <c r="N78" s="74">
        <f t="shared" si="55"/>
        <v>974.78620337033215</v>
      </c>
      <c r="O78" s="72">
        <f t="shared" si="38"/>
        <v>12804.715855922905</v>
      </c>
      <c r="P78" s="205">
        <f t="shared" si="39"/>
        <v>89633.010991460338</v>
      </c>
      <c r="Q78" s="272">
        <f t="shared" si="56"/>
        <v>89633.010991460338</v>
      </c>
      <c r="R78" s="439">
        <f t="shared" si="40"/>
        <v>0</v>
      </c>
      <c r="T78" s="224"/>
      <c r="W78" s="126"/>
      <c r="X78" s="126"/>
      <c r="Y78" s="126"/>
      <c r="Z78" s="126"/>
      <c r="AA78" s="126"/>
      <c r="AB78" s="126"/>
      <c r="AC78" s="126"/>
      <c r="AD78" s="793"/>
      <c r="AE78" s="793"/>
      <c r="AF78" s="123"/>
      <c r="AG78" s="212">
        <f>SUM(AG74:AG77)</f>
        <v>12.216981132075469</v>
      </c>
      <c r="AH78" s="794"/>
      <c r="AI78" s="212">
        <f>SUM(AI74:AI77)</f>
        <v>0</v>
      </c>
    </row>
    <row r="79" spans="1:35" s="273" customFormat="1" x14ac:dyDescent="0.25">
      <c r="A79" s="350"/>
      <c r="B79" s="317"/>
      <c r="C79" s="318">
        <v>4</v>
      </c>
      <c r="D79" s="83" t="s">
        <v>327</v>
      </c>
      <c r="E79" s="242">
        <v>1</v>
      </c>
      <c r="F79" s="302">
        <v>1</v>
      </c>
      <c r="G79" s="77" t="s">
        <v>55</v>
      </c>
      <c r="H79" s="74">
        <f>(6000+1750+1000)/1.03</f>
        <v>8495.1456310679605</v>
      </c>
      <c r="I79" s="74">
        <f t="shared" si="59"/>
        <v>8495.1456310679605</v>
      </c>
      <c r="J79" s="74">
        <f>J78</f>
        <v>700</v>
      </c>
      <c r="K79" s="74">
        <f t="shared" si="60"/>
        <v>700</v>
      </c>
      <c r="L79" s="72">
        <f t="shared" si="61"/>
        <v>9195.1456310679605</v>
      </c>
      <c r="M79" s="74">
        <f t="shared" si="54"/>
        <v>11829.929652552573</v>
      </c>
      <c r="N79" s="74">
        <f t="shared" si="55"/>
        <v>974.78620337033215</v>
      </c>
      <c r="O79" s="72">
        <f t="shared" si="38"/>
        <v>12804.715855922905</v>
      </c>
      <c r="P79" s="205">
        <f t="shared" si="39"/>
        <v>12804.715855922905</v>
      </c>
      <c r="Q79" s="272">
        <f t="shared" si="56"/>
        <v>12804.715855922905</v>
      </c>
      <c r="R79" s="439">
        <f t="shared" si="40"/>
        <v>0</v>
      </c>
      <c r="T79" s="224"/>
      <c r="AG79" s="224"/>
      <c r="AI79" s="224"/>
    </row>
    <row r="80" spans="1:35" s="273" customFormat="1" x14ac:dyDescent="0.25">
      <c r="A80" s="350"/>
      <c r="B80" s="317"/>
      <c r="C80" s="318">
        <v>5</v>
      </c>
      <c r="D80" s="83" t="s">
        <v>328</v>
      </c>
      <c r="E80" s="242">
        <v>2</v>
      </c>
      <c r="F80" s="302">
        <v>2</v>
      </c>
      <c r="G80" s="77" t="s">
        <v>28</v>
      </c>
      <c r="H80" s="74">
        <f>(5000+1550+1000)/1.03</f>
        <v>7330.0970873786409</v>
      </c>
      <c r="I80" s="74">
        <f t="shared" si="59"/>
        <v>14660.194174757282</v>
      </c>
      <c r="J80" s="74">
        <v>650</v>
      </c>
      <c r="K80" s="74">
        <f t="shared" si="60"/>
        <v>1300</v>
      </c>
      <c r="L80" s="72">
        <f t="shared" si="61"/>
        <v>15960.194174757282</v>
      </c>
      <c r="M80" s="74">
        <f t="shared" si="54"/>
        <v>10207.539300202508</v>
      </c>
      <c r="N80" s="74">
        <f t="shared" si="55"/>
        <v>905.15861741530841</v>
      </c>
      <c r="O80" s="72">
        <f t="shared" si="38"/>
        <v>11112.697917617817</v>
      </c>
      <c r="P80" s="205">
        <f t="shared" si="39"/>
        <v>22225.395835235635</v>
      </c>
      <c r="Q80" s="272">
        <f t="shared" si="56"/>
        <v>22225.395835235631</v>
      </c>
      <c r="R80" s="439">
        <f t="shared" si="40"/>
        <v>0</v>
      </c>
      <c r="T80" s="224"/>
      <c r="W80" s="904" t="s">
        <v>295</v>
      </c>
      <c r="X80" s="904"/>
      <c r="Y80" s="904"/>
      <c r="Z80" s="904"/>
      <c r="AA80" s="904"/>
      <c r="AB80" s="904"/>
      <c r="AC80" s="794" t="s">
        <v>243</v>
      </c>
      <c r="AD80" s="794" t="s">
        <v>244</v>
      </c>
      <c r="AE80" s="794" t="s">
        <v>245</v>
      </c>
      <c r="AF80" s="123" t="s">
        <v>246</v>
      </c>
      <c r="AG80" s="196" t="s">
        <v>247</v>
      </c>
      <c r="AH80" s="794" t="s">
        <v>248</v>
      </c>
      <c r="AI80" s="212" t="s">
        <v>249</v>
      </c>
    </row>
    <row r="81" spans="1:35" s="273" customFormat="1" x14ac:dyDescent="0.25">
      <c r="A81" s="350"/>
      <c r="B81" s="317"/>
      <c r="C81" s="318">
        <v>6</v>
      </c>
      <c r="D81" s="83" t="s">
        <v>111</v>
      </c>
      <c r="E81" s="242">
        <v>3</v>
      </c>
      <c r="F81" s="302">
        <v>3</v>
      </c>
      <c r="G81" s="77" t="s">
        <v>28</v>
      </c>
      <c r="H81" s="74">
        <f>8350/1.06</f>
        <v>7877.3584905660373</v>
      </c>
      <c r="I81" s="74">
        <f t="shared" si="59"/>
        <v>23632.07547169811</v>
      </c>
      <c r="J81" s="74">
        <v>700</v>
      </c>
      <c r="K81" s="74">
        <f t="shared" si="60"/>
        <v>2100</v>
      </c>
      <c r="L81" s="72">
        <f t="shared" si="61"/>
        <v>25732.07547169811</v>
      </c>
      <c r="M81" s="74">
        <f t="shared" si="54"/>
        <v>10969.629108008456</v>
      </c>
      <c r="N81" s="74">
        <f t="shared" si="55"/>
        <v>974.78620337033215</v>
      </c>
      <c r="O81" s="72">
        <f t="shared" si="38"/>
        <v>11944.415311378787</v>
      </c>
      <c r="P81" s="205">
        <f t="shared" si="39"/>
        <v>35833.245934136357</v>
      </c>
      <c r="Q81" s="272">
        <f t="shared" si="56"/>
        <v>35833.245934136357</v>
      </c>
      <c r="R81" s="439">
        <f t="shared" si="40"/>
        <v>0</v>
      </c>
      <c r="T81" s="224"/>
      <c r="W81" s="878" t="s">
        <v>271</v>
      </c>
      <c r="X81" s="878"/>
      <c r="Y81" s="878"/>
      <c r="Z81" s="878"/>
      <c r="AA81" s="878"/>
      <c r="AB81" s="878"/>
      <c r="AC81" s="124" t="s">
        <v>251</v>
      </c>
      <c r="AD81" s="793">
        <v>8.33</v>
      </c>
      <c r="AE81" s="793">
        <v>9</v>
      </c>
      <c r="AF81" s="123">
        <f>143/1.02</f>
        <v>140.19607843137254</v>
      </c>
      <c r="AG81" s="196">
        <f>AF81*AE81</f>
        <v>1261.7647058823529</v>
      </c>
      <c r="AH81" s="793">
        <v>23.9</v>
      </c>
      <c r="AI81" s="219">
        <f>AH81*AE81</f>
        <v>215.1</v>
      </c>
    </row>
    <row r="82" spans="1:35" s="273" customFormat="1" x14ac:dyDescent="0.25">
      <c r="A82" s="350"/>
      <c r="B82" s="319"/>
      <c r="C82" s="318"/>
      <c r="D82" s="83" t="s">
        <v>49</v>
      </c>
      <c r="E82" s="242"/>
      <c r="F82" s="302"/>
      <c r="G82" s="75"/>
      <c r="H82" s="74"/>
      <c r="I82" s="74"/>
      <c r="J82" s="74"/>
      <c r="K82" s="74"/>
      <c r="L82" s="74"/>
      <c r="M82" s="74"/>
      <c r="N82" s="74"/>
      <c r="O82" s="72"/>
      <c r="P82" s="205"/>
      <c r="Q82" s="272"/>
      <c r="R82" s="439"/>
      <c r="T82" s="224"/>
      <c r="W82" s="878" t="s">
        <v>252</v>
      </c>
      <c r="X82" s="878"/>
      <c r="Y82" s="878"/>
      <c r="Z82" s="878"/>
      <c r="AA82" s="878"/>
      <c r="AB82" s="878"/>
      <c r="AC82" s="124" t="s">
        <v>253</v>
      </c>
      <c r="AD82" s="793">
        <v>0.25</v>
      </c>
      <c r="AE82" s="793">
        <v>0.25</v>
      </c>
      <c r="AF82" s="123">
        <f>AF75</f>
        <v>0</v>
      </c>
      <c r="AG82" s="196">
        <f>AF82*AE82</f>
        <v>0</v>
      </c>
      <c r="AH82" s="793"/>
      <c r="AI82" s="219">
        <f>AH82*AE82</f>
        <v>0</v>
      </c>
    </row>
    <row r="83" spans="1:35" s="273" customFormat="1" x14ac:dyDescent="0.25">
      <c r="A83" s="350"/>
      <c r="B83" s="317"/>
      <c r="C83" s="318">
        <v>7</v>
      </c>
      <c r="D83" s="83" t="s">
        <v>112</v>
      </c>
      <c r="E83" s="242">
        <v>1</v>
      </c>
      <c r="F83" s="302">
        <v>1</v>
      </c>
      <c r="G83" s="77" t="s">
        <v>55</v>
      </c>
      <c r="H83" s="74">
        <f>9100/1.06</f>
        <v>8584.9056603773588</v>
      </c>
      <c r="I83" s="74">
        <f>F83*H83</f>
        <v>8584.9056603773588</v>
      </c>
      <c r="J83" s="74">
        <f>J81</f>
        <v>700</v>
      </c>
      <c r="K83" s="74">
        <f t="shared" ref="K83" si="62">F83*J83</f>
        <v>700</v>
      </c>
      <c r="L83" s="72">
        <f t="shared" ref="L83" si="63">I83+K83</f>
        <v>9284.9056603773588</v>
      </c>
      <c r="M83" s="74">
        <f>H83/$P$264*$P$272</f>
        <v>11954.925135673884</v>
      </c>
      <c r="N83" s="74">
        <f>J83/$P$264*$P$272</f>
        <v>974.78620337033215</v>
      </c>
      <c r="O83" s="72">
        <f t="shared" si="38"/>
        <v>12929.711339044215</v>
      </c>
      <c r="P83" s="205">
        <f t="shared" si="39"/>
        <v>12929.711339044215</v>
      </c>
      <c r="Q83" s="272">
        <f>L83/$P$264*$P$272</f>
        <v>12929.711339044217</v>
      </c>
      <c r="R83" s="439">
        <f t="shared" si="40"/>
        <v>0</v>
      </c>
      <c r="T83" s="224"/>
      <c r="W83" s="878" t="s">
        <v>254</v>
      </c>
      <c r="X83" s="878"/>
      <c r="Y83" s="878"/>
      <c r="Z83" s="878"/>
      <c r="AA83" s="878"/>
      <c r="AB83" s="878"/>
      <c r="AC83" s="124" t="s">
        <v>255</v>
      </c>
      <c r="AD83" s="793">
        <v>0.25</v>
      </c>
      <c r="AE83" s="793">
        <v>0.35</v>
      </c>
      <c r="AF83" s="123">
        <f>37/1.06</f>
        <v>34.905660377358487</v>
      </c>
      <c r="AG83" s="196">
        <f>AF83*AE83</f>
        <v>12.216981132075469</v>
      </c>
      <c r="AH83" s="793"/>
      <c r="AI83" s="219">
        <f>AH83*AE83</f>
        <v>0</v>
      </c>
    </row>
    <row r="84" spans="1:35" s="273" customFormat="1" x14ac:dyDescent="0.25">
      <c r="A84" s="350"/>
      <c r="B84" s="319"/>
      <c r="C84" s="318"/>
      <c r="D84" s="83" t="s">
        <v>50</v>
      </c>
      <c r="E84" s="242"/>
      <c r="F84" s="302"/>
      <c r="G84" s="75"/>
      <c r="H84" s="74"/>
      <c r="I84" s="74"/>
      <c r="J84" s="74"/>
      <c r="K84" s="74"/>
      <c r="L84" s="74"/>
      <c r="M84" s="74"/>
      <c r="N84" s="74"/>
      <c r="O84" s="72"/>
      <c r="P84" s="205"/>
      <c r="Q84" s="272"/>
      <c r="R84" s="439"/>
      <c r="T84" s="224"/>
      <c r="W84" s="878" t="s">
        <v>256</v>
      </c>
      <c r="X84" s="878"/>
      <c r="Y84" s="878"/>
      <c r="Z84" s="878"/>
      <c r="AA84" s="878"/>
      <c r="AB84" s="878"/>
      <c r="AC84" s="124" t="s">
        <v>257</v>
      </c>
      <c r="AD84" s="793">
        <v>1</v>
      </c>
      <c r="AE84" s="793">
        <v>1</v>
      </c>
      <c r="AF84" s="123">
        <v>0</v>
      </c>
      <c r="AG84" s="196">
        <f>AF84*AE84</f>
        <v>0</v>
      </c>
      <c r="AH84" s="793">
        <v>0</v>
      </c>
      <c r="AI84" s="219">
        <f>AH84*AE84</f>
        <v>0</v>
      </c>
    </row>
    <row r="85" spans="1:35" s="273" customFormat="1" x14ac:dyDescent="0.25">
      <c r="A85" s="350"/>
      <c r="B85" s="319"/>
      <c r="C85" s="318"/>
      <c r="D85" s="82"/>
      <c r="E85" s="242"/>
      <c r="F85" s="302"/>
      <c r="G85" s="75"/>
      <c r="H85" s="440">
        <v>1.07</v>
      </c>
      <c r="I85" s="74"/>
      <c r="J85" s="440"/>
      <c r="K85" s="74"/>
      <c r="L85" s="74"/>
      <c r="M85" s="74"/>
      <c r="N85" s="74"/>
      <c r="O85" s="72"/>
      <c r="P85" s="205"/>
      <c r="Q85" s="272"/>
      <c r="R85" s="439"/>
      <c r="T85" s="224"/>
      <c r="AG85" s="224"/>
      <c r="AI85" s="224"/>
    </row>
    <row r="86" spans="1:35" s="273" customFormat="1" hidden="1" x14ac:dyDescent="0.25">
      <c r="A86" s="411"/>
      <c r="B86" s="412" t="s">
        <v>329</v>
      </c>
      <c r="C86" s="413" t="s">
        <v>510</v>
      </c>
      <c r="D86" s="82"/>
      <c r="E86" s="242"/>
      <c r="F86" s="302"/>
      <c r="G86" s="75"/>
      <c r="H86" s="74"/>
      <c r="I86" s="74"/>
      <c r="J86" s="74"/>
      <c r="K86" s="74"/>
      <c r="L86" s="74"/>
      <c r="M86" s="74"/>
      <c r="N86" s="74"/>
      <c r="O86" s="72"/>
      <c r="P86" s="205"/>
      <c r="Q86" s="272"/>
      <c r="R86" s="439"/>
      <c r="T86" s="224"/>
      <c r="AG86" s="224"/>
      <c r="AI86" s="224"/>
    </row>
    <row r="87" spans="1:35" s="273" customFormat="1" ht="15" hidden="1" customHeight="1" x14ac:dyDescent="0.25">
      <c r="A87" s="350"/>
      <c r="B87" s="317"/>
      <c r="C87" s="318">
        <v>1</v>
      </c>
      <c r="D87" s="84" t="s">
        <v>113</v>
      </c>
      <c r="E87" s="243">
        <v>1</v>
      </c>
      <c r="F87" s="302">
        <v>1</v>
      </c>
      <c r="G87" s="77" t="s">
        <v>55</v>
      </c>
      <c r="H87" s="72"/>
      <c r="I87" s="74">
        <f>F87*H87</f>
        <v>0</v>
      </c>
      <c r="J87" s="72"/>
      <c r="K87" s="74">
        <f t="shared" ref="K87" si="64">F87*J87</f>
        <v>0</v>
      </c>
      <c r="L87" s="72">
        <f t="shared" ref="L87" si="65">I87+K87</f>
        <v>0</v>
      </c>
      <c r="M87" s="74"/>
      <c r="N87" s="74"/>
      <c r="O87" s="72"/>
      <c r="P87" s="205"/>
      <c r="Q87" s="272"/>
      <c r="R87" s="439"/>
      <c r="S87" s="72">
        <f>278766*0.85</f>
        <v>236951.1</v>
      </c>
      <c r="T87" s="72">
        <f>278766*0.15</f>
        <v>41814.9</v>
      </c>
    </row>
    <row r="88" spans="1:35" s="273" customFormat="1" ht="15" hidden="1" customHeight="1" x14ac:dyDescent="0.25">
      <c r="A88" s="350"/>
      <c r="B88" s="319"/>
      <c r="C88" s="318"/>
      <c r="D88" s="84" t="s">
        <v>54</v>
      </c>
      <c r="E88" s="243"/>
      <c r="F88" s="302"/>
      <c r="G88" s="77"/>
      <c r="H88" s="74"/>
      <c r="I88" s="74"/>
      <c r="J88" s="74"/>
      <c r="K88" s="74"/>
      <c r="L88" s="74"/>
      <c r="M88" s="74"/>
      <c r="N88" s="74"/>
      <c r="O88" s="72"/>
      <c r="P88" s="205"/>
      <c r="Q88" s="272"/>
      <c r="R88" s="439"/>
      <c r="S88" s="74"/>
      <c r="T88" s="74"/>
    </row>
    <row r="89" spans="1:35" s="273" customFormat="1" ht="15" hidden="1" customHeight="1" x14ac:dyDescent="0.25">
      <c r="A89" s="350"/>
      <c r="B89" s="317"/>
      <c r="C89" s="318">
        <v>2</v>
      </c>
      <c r="D89" s="84" t="s">
        <v>114</v>
      </c>
      <c r="E89" s="243">
        <v>1</v>
      </c>
      <c r="F89" s="302">
        <v>1</v>
      </c>
      <c r="G89" s="77" t="s">
        <v>55</v>
      </c>
      <c r="H89" s="72"/>
      <c r="I89" s="74">
        <f>F89*H89</f>
        <v>0</v>
      </c>
      <c r="J89" s="72"/>
      <c r="K89" s="74">
        <f t="shared" ref="K89" si="66">F89*J89</f>
        <v>0</v>
      </c>
      <c r="L89" s="72">
        <f t="shared" ref="L89" si="67">I89+K89</f>
        <v>0</v>
      </c>
      <c r="M89" s="74"/>
      <c r="N89" s="74"/>
      <c r="O89" s="72"/>
      <c r="P89" s="205"/>
      <c r="Q89" s="272"/>
      <c r="R89" s="439"/>
      <c r="S89" s="72">
        <f>120447*0.85</f>
        <v>102379.95</v>
      </c>
      <c r="T89" s="72">
        <f>120447*0.15</f>
        <v>18067.05</v>
      </c>
    </row>
    <row r="90" spans="1:35" s="273" customFormat="1" ht="15" hidden="1" customHeight="1" x14ac:dyDescent="0.25">
      <c r="A90" s="350"/>
      <c r="B90" s="319"/>
      <c r="C90" s="318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4"/>
      <c r="N90" s="74"/>
      <c r="O90" s="72"/>
      <c r="P90" s="205"/>
      <c r="Q90" s="272"/>
      <c r="R90" s="439"/>
      <c r="S90" s="74"/>
      <c r="T90" s="74"/>
    </row>
    <row r="91" spans="1:35" s="273" customFormat="1" ht="15" hidden="1" customHeight="1" x14ac:dyDescent="0.25">
      <c r="A91" s="350"/>
      <c r="B91" s="317"/>
      <c r="C91" s="318">
        <v>3</v>
      </c>
      <c r="D91" s="84" t="s">
        <v>115</v>
      </c>
      <c r="E91" s="243">
        <v>1</v>
      </c>
      <c r="F91" s="302">
        <v>1</v>
      </c>
      <c r="G91" s="77" t="s">
        <v>55</v>
      </c>
      <c r="H91" s="72"/>
      <c r="I91" s="74">
        <f>F91*H91</f>
        <v>0</v>
      </c>
      <c r="J91" s="72"/>
      <c r="K91" s="74">
        <f t="shared" ref="K91" si="68">F91*J91</f>
        <v>0</v>
      </c>
      <c r="L91" s="72">
        <f t="shared" ref="L91" si="69">I91+K91</f>
        <v>0</v>
      </c>
      <c r="M91" s="74"/>
      <c r="N91" s="74"/>
      <c r="O91" s="72"/>
      <c r="P91" s="205"/>
      <c r="Q91" s="272"/>
      <c r="R91" s="439"/>
      <c r="S91" s="72">
        <f>95427.5*0.85</f>
        <v>81113.375</v>
      </c>
      <c r="T91" s="72">
        <f>95427.5*0.15</f>
        <v>14314.125</v>
      </c>
    </row>
    <row r="92" spans="1:35" s="273" customFormat="1" ht="15" hidden="1" customHeight="1" x14ac:dyDescent="0.25">
      <c r="A92" s="350"/>
      <c r="B92" s="319"/>
      <c r="C92" s="318"/>
      <c r="D92" s="84" t="s">
        <v>37</v>
      </c>
      <c r="E92" s="243"/>
      <c r="F92" s="302"/>
      <c r="G92" s="77"/>
      <c r="H92" s="74"/>
      <c r="I92" s="74"/>
      <c r="J92" s="74"/>
      <c r="K92" s="74"/>
      <c r="L92" s="74"/>
      <c r="M92" s="74"/>
      <c r="N92" s="74"/>
      <c r="O92" s="72"/>
      <c r="P92" s="205"/>
      <c r="Q92" s="272"/>
      <c r="R92" s="439"/>
      <c r="S92" s="74"/>
      <c r="T92" s="74"/>
    </row>
    <row r="93" spans="1:35" s="273" customFormat="1" ht="15" hidden="1" customHeight="1" x14ac:dyDescent="0.25">
      <c r="A93" s="350"/>
      <c r="B93" s="317"/>
      <c r="C93" s="318">
        <v>4</v>
      </c>
      <c r="D93" s="84" t="s">
        <v>116</v>
      </c>
      <c r="E93" s="243">
        <v>1</v>
      </c>
      <c r="F93" s="302">
        <v>1</v>
      </c>
      <c r="G93" s="77" t="s">
        <v>55</v>
      </c>
      <c r="H93" s="72"/>
      <c r="I93" s="74">
        <f>F93*H93</f>
        <v>0</v>
      </c>
      <c r="J93" s="72"/>
      <c r="K93" s="74">
        <f t="shared" ref="K93" si="70">F93*J93</f>
        <v>0</v>
      </c>
      <c r="L93" s="72">
        <f t="shared" ref="L93" si="71">I93+K93</f>
        <v>0</v>
      </c>
      <c r="M93" s="74"/>
      <c r="N93" s="74"/>
      <c r="O93" s="72"/>
      <c r="P93" s="205"/>
      <c r="Q93" s="272"/>
      <c r="R93" s="439"/>
      <c r="S93" s="72">
        <f>45342*0.85</f>
        <v>38540.699999999997</v>
      </c>
      <c r="T93" s="72">
        <f>45342*0.15</f>
        <v>6801.3</v>
      </c>
    </row>
    <row r="94" spans="1:35" s="273" customFormat="1" ht="15" hidden="1" customHeight="1" x14ac:dyDescent="0.25">
      <c r="A94" s="350"/>
      <c r="B94" s="319"/>
      <c r="C94" s="318"/>
      <c r="D94" s="84" t="s">
        <v>37</v>
      </c>
      <c r="E94" s="243"/>
      <c r="F94" s="302"/>
      <c r="G94" s="77"/>
      <c r="H94" s="74"/>
      <c r="I94" s="74"/>
      <c r="J94" s="74"/>
      <c r="K94" s="74"/>
      <c r="L94" s="74"/>
      <c r="M94" s="74"/>
      <c r="N94" s="74"/>
      <c r="O94" s="72"/>
      <c r="P94" s="205"/>
      <c r="Q94" s="272"/>
      <c r="R94" s="439"/>
      <c r="S94" s="74"/>
      <c r="T94" s="74"/>
    </row>
    <row r="95" spans="1:35" s="273" customFormat="1" ht="15" hidden="1" customHeight="1" x14ac:dyDescent="0.25">
      <c r="A95" s="350"/>
      <c r="B95" s="317"/>
      <c r="C95" s="318">
        <v>5</v>
      </c>
      <c r="D95" s="84" t="s">
        <v>117</v>
      </c>
      <c r="E95" s="243">
        <v>2</v>
      </c>
      <c r="F95" s="302">
        <v>2</v>
      </c>
      <c r="G95" s="77" t="s">
        <v>28</v>
      </c>
      <c r="H95" s="72"/>
      <c r="I95" s="74">
        <f>F95*H95</f>
        <v>0</v>
      </c>
      <c r="J95" s="72"/>
      <c r="K95" s="74">
        <f t="shared" ref="K95" si="72">F95*J95</f>
        <v>0</v>
      </c>
      <c r="L95" s="72">
        <f t="shared" ref="L95" si="73">I95+K95</f>
        <v>0</v>
      </c>
      <c r="M95" s="74"/>
      <c r="N95" s="74"/>
      <c r="O95" s="72"/>
      <c r="P95" s="205"/>
      <c r="Q95" s="272"/>
      <c r="R95" s="439"/>
      <c r="S95" s="74">
        <f>14025*0.85*0.9</f>
        <v>10729.125</v>
      </c>
      <c r="T95" s="74">
        <f>14025*0.15*0.9</f>
        <v>1893.375</v>
      </c>
    </row>
    <row r="96" spans="1:35" s="273" customFormat="1" ht="15" hidden="1" customHeight="1" x14ac:dyDescent="0.25">
      <c r="A96" s="350"/>
      <c r="B96" s="319"/>
      <c r="C96" s="318"/>
      <c r="D96" s="84" t="s">
        <v>38</v>
      </c>
      <c r="E96" s="243"/>
      <c r="F96" s="302"/>
      <c r="G96" s="75"/>
      <c r="H96" s="74"/>
      <c r="I96" s="74"/>
      <c r="J96" s="74"/>
      <c r="K96" s="74"/>
      <c r="L96" s="74"/>
      <c r="M96" s="74"/>
      <c r="N96" s="74"/>
      <c r="O96" s="72"/>
      <c r="P96" s="205"/>
      <c r="Q96" s="272"/>
      <c r="R96" s="439"/>
      <c r="S96" s="74"/>
      <c r="T96" s="74"/>
    </row>
    <row r="97" spans="1:20" s="273" customFormat="1" ht="15" hidden="1" customHeight="1" x14ac:dyDescent="0.25">
      <c r="A97" s="350"/>
      <c r="B97" s="317"/>
      <c r="C97" s="318">
        <v>6</v>
      </c>
      <c r="D97" s="83" t="s">
        <v>118</v>
      </c>
      <c r="E97" s="242">
        <v>2</v>
      </c>
      <c r="F97" s="302">
        <v>2</v>
      </c>
      <c r="G97" s="77" t="s">
        <v>28</v>
      </c>
      <c r="H97" s="72"/>
      <c r="I97" s="74">
        <f>F97*H97</f>
        <v>0</v>
      </c>
      <c r="J97" s="72"/>
      <c r="K97" s="74">
        <f t="shared" ref="K97" si="74">F97*J97</f>
        <v>0</v>
      </c>
      <c r="L97" s="72">
        <f t="shared" ref="L97" si="75">I97+K97</f>
        <v>0</v>
      </c>
      <c r="M97" s="74"/>
      <c r="N97" s="74"/>
      <c r="O97" s="72"/>
      <c r="P97" s="205"/>
      <c r="Q97" s="272"/>
      <c r="R97" s="439"/>
      <c r="S97" s="74">
        <f>18105*0.85*0.9</f>
        <v>13850.325000000001</v>
      </c>
      <c r="T97" s="74">
        <f>18105*0.15*0.9</f>
        <v>2444.1750000000002</v>
      </c>
    </row>
    <row r="98" spans="1:20" s="273" customFormat="1" ht="15" hidden="1" customHeight="1" x14ac:dyDescent="0.25">
      <c r="A98" s="350"/>
      <c r="B98" s="319"/>
      <c r="C98" s="318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4"/>
      <c r="N98" s="74"/>
      <c r="O98" s="72"/>
      <c r="P98" s="205"/>
      <c r="Q98" s="272"/>
      <c r="R98" s="439"/>
      <c r="S98" s="74"/>
      <c r="T98" s="74"/>
    </row>
    <row r="99" spans="1:20" s="273" customFormat="1" ht="15" hidden="1" customHeight="1" x14ac:dyDescent="0.25">
      <c r="A99" s="350"/>
      <c r="B99" s="317"/>
      <c r="C99" s="318">
        <v>7</v>
      </c>
      <c r="D99" s="83" t="s">
        <v>119</v>
      </c>
      <c r="E99" s="242">
        <v>4</v>
      </c>
      <c r="F99" s="302">
        <v>4</v>
      </c>
      <c r="G99" s="77" t="s">
        <v>28</v>
      </c>
      <c r="H99" s="72"/>
      <c r="I99" s="74">
        <f>F99*H99</f>
        <v>0</v>
      </c>
      <c r="J99" s="72"/>
      <c r="K99" s="74">
        <f t="shared" ref="K99" si="76">F99*J99</f>
        <v>0</v>
      </c>
      <c r="L99" s="72">
        <f t="shared" ref="L99" si="77">I99+K99</f>
        <v>0</v>
      </c>
      <c r="M99" s="74"/>
      <c r="N99" s="74"/>
      <c r="O99" s="72"/>
      <c r="P99" s="205"/>
      <c r="Q99" s="272"/>
      <c r="R99" s="439"/>
      <c r="S99" s="74">
        <f>9180*0.85*0.9</f>
        <v>7022.7</v>
      </c>
      <c r="T99" s="74">
        <f>9180*0.15*0.9</f>
        <v>1239.3</v>
      </c>
    </row>
    <row r="100" spans="1:20" s="273" customFormat="1" ht="15" hidden="1" customHeight="1" x14ac:dyDescent="0.25">
      <c r="A100" s="350"/>
      <c r="B100" s="319"/>
      <c r="C100" s="318"/>
      <c r="D100" s="83" t="s">
        <v>38</v>
      </c>
      <c r="E100" s="242"/>
      <c r="F100" s="302"/>
      <c r="G100" s="75"/>
      <c r="H100" s="74"/>
      <c r="I100" s="74"/>
      <c r="J100" s="74"/>
      <c r="K100" s="74"/>
      <c r="L100" s="74"/>
      <c r="M100" s="74"/>
      <c r="N100" s="74"/>
      <c r="O100" s="72"/>
      <c r="P100" s="205"/>
      <c r="Q100" s="272"/>
      <c r="R100" s="439"/>
      <c r="S100" s="74"/>
      <c r="T100" s="74"/>
    </row>
    <row r="101" spans="1:20" s="273" customFormat="1" ht="15" hidden="1" customHeight="1" x14ac:dyDescent="0.25">
      <c r="A101" s="350"/>
      <c r="B101" s="317"/>
      <c r="C101" s="318">
        <v>8</v>
      </c>
      <c r="D101" s="83" t="s">
        <v>120</v>
      </c>
      <c r="E101" s="242">
        <v>1</v>
      </c>
      <c r="F101" s="302">
        <v>1</v>
      </c>
      <c r="G101" s="77" t="s">
        <v>55</v>
      </c>
      <c r="H101" s="72"/>
      <c r="I101" s="74">
        <f>F101*H101</f>
        <v>0</v>
      </c>
      <c r="J101" s="72"/>
      <c r="K101" s="74">
        <f t="shared" ref="K101" si="78">F101*J101</f>
        <v>0</v>
      </c>
      <c r="L101" s="72">
        <f t="shared" ref="L101" si="79">I101+K101</f>
        <v>0</v>
      </c>
      <c r="M101" s="74"/>
      <c r="N101" s="74"/>
      <c r="O101" s="72"/>
      <c r="P101" s="205"/>
      <c r="Q101" s="272"/>
      <c r="R101" s="439"/>
      <c r="S101" s="74">
        <f>4590*0.85*0.9</f>
        <v>3511.35</v>
      </c>
      <c r="T101" s="74">
        <f>4590*0.15*0.9</f>
        <v>619.65</v>
      </c>
    </row>
    <row r="102" spans="1:20" s="273" customFormat="1" ht="15" hidden="1" customHeight="1" x14ac:dyDescent="0.25">
      <c r="A102" s="350"/>
      <c r="B102" s="319"/>
      <c r="C102" s="318"/>
      <c r="D102" s="83" t="s">
        <v>51</v>
      </c>
      <c r="E102" s="242"/>
      <c r="F102" s="302"/>
      <c r="G102" s="75"/>
      <c r="H102" s="74"/>
      <c r="I102" s="74"/>
      <c r="J102" s="74"/>
      <c r="K102" s="74"/>
      <c r="L102" s="74"/>
      <c r="M102" s="74"/>
      <c r="N102" s="74"/>
      <c r="O102" s="72"/>
      <c r="P102" s="205"/>
      <c r="Q102" s="272"/>
      <c r="R102" s="439"/>
      <c r="S102" s="74"/>
      <c r="T102" s="74"/>
    </row>
    <row r="103" spans="1:20" s="273" customFormat="1" ht="15" hidden="1" customHeight="1" x14ac:dyDescent="0.25">
      <c r="A103" s="350"/>
      <c r="B103" s="317"/>
      <c r="C103" s="318">
        <v>9</v>
      </c>
      <c r="D103" s="83" t="s">
        <v>121</v>
      </c>
      <c r="E103" s="242">
        <v>1</v>
      </c>
      <c r="F103" s="302">
        <v>1</v>
      </c>
      <c r="G103" s="77" t="s">
        <v>55</v>
      </c>
      <c r="H103" s="72"/>
      <c r="I103" s="74">
        <f>F103*H103</f>
        <v>0</v>
      </c>
      <c r="J103" s="72"/>
      <c r="K103" s="74">
        <f t="shared" ref="K103" si="80">F103*J103</f>
        <v>0</v>
      </c>
      <c r="L103" s="72">
        <f t="shared" ref="L103" si="81">I103+K103</f>
        <v>0</v>
      </c>
      <c r="M103" s="74"/>
      <c r="N103" s="74"/>
      <c r="O103" s="72"/>
      <c r="P103" s="205"/>
      <c r="Q103" s="272"/>
      <c r="R103" s="439"/>
      <c r="S103" s="72">
        <f>183816*0.85</f>
        <v>156243.6</v>
      </c>
      <c r="T103" s="72">
        <f>183816*0.15</f>
        <v>27572.399999999998</v>
      </c>
    </row>
    <row r="104" spans="1:20" s="273" customFormat="1" ht="15" hidden="1" customHeight="1" x14ac:dyDescent="0.25">
      <c r="A104" s="350"/>
      <c r="B104" s="319"/>
      <c r="C104" s="318"/>
      <c r="D104" s="83" t="s">
        <v>54</v>
      </c>
      <c r="E104" s="242"/>
      <c r="F104" s="302"/>
      <c r="G104" s="77"/>
      <c r="H104" s="74"/>
      <c r="I104" s="74"/>
      <c r="J104" s="74"/>
      <c r="K104" s="74"/>
      <c r="L104" s="72"/>
      <c r="M104" s="74"/>
      <c r="N104" s="74"/>
      <c r="O104" s="72"/>
      <c r="P104" s="205"/>
      <c r="Q104" s="272"/>
      <c r="R104" s="439"/>
      <c r="S104" s="74"/>
      <c r="T104" s="74"/>
    </row>
    <row r="105" spans="1:20" s="273" customFormat="1" ht="15" hidden="1" customHeight="1" x14ac:dyDescent="0.25">
      <c r="A105" s="350"/>
      <c r="B105" s="317"/>
      <c r="C105" s="318">
        <v>10</v>
      </c>
      <c r="D105" s="83" t="s">
        <v>122</v>
      </c>
      <c r="E105" s="242">
        <v>1</v>
      </c>
      <c r="F105" s="302">
        <v>1</v>
      </c>
      <c r="G105" s="77" t="s">
        <v>55</v>
      </c>
      <c r="H105" s="72"/>
      <c r="I105" s="74">
        <f>F105*H105</f>
        <v>0</v>
      </c>
      <c r="J105" s="72"/>
      <c r="K105" s="74">
        <f t="shared" ref="K105" si="82">F105*J105</f>
        <v>0</v>
      </c>
      <c r="L105" s="72">
        <f t="shared" ref="L105" si="83">I105+K105</f>
        <v>0</v>
      </c>
      <c r="M105" s="74"/>
      <c r="N105" s="74"/>
      <c r="O105" s="72"/>
      <c r="P105" s="205"/>
      <c r="Q105" s="272"/>
      <c r="R105" s="439"/>
      <c r="S105" s="72">
        <f>200214*0.85</f>
        <v>170181.9</v>
      </c>
      <c r="T105" s="72">
        <f>200214*0.15</f>
        <v>30032.1</v>
      </c>
    </row>
    <row r="106" spans="1:20" s="273" customFormat="1" ht="15" hidden="1" customHeight="1" x14ac:dyDescent="0.25">
      <c r="A106" s="350"/>
      <c r="B106" s="319"/>
      <c r="C106" s="318"/>
      <c r="D106" s="83" t="s">
        <v>37</v>
      </c>
      <c r="E106" s="242"/>
      <c r="F106" s="302"/>
      <c r="G106" s="77"/>
      <c r="H106" s="74"/>
      <c r="I106" s="74"/>
      <c r="J106" s="74"/>
      <c r="K106" s="74"/>
      <c r="L106" s="72"/>
      <c r="M106" s="74"/>
      <c r="N106" s="74"/>
      <c r="O106" s="72"/>
      <c r="P106" s="205"/>
      <c r="Q106" s="272"/>
      <c r="R106" s="439"/>
      <c r="S106" s="74"/>
      <c r="T106" s="74"/>
    </row>
    <row r="107" spans="1:20" s="273" customFormat="1" ht="15" hidden="1" customHeight="1" x14ac:dyDescent="0.25">
      <c r="A107" s="350"/>
      <c r="B107" s="317"/>
      <c r="C107" s="318">
        <v>11</v>
      </c>
      <c r="D107" s="83" t="s">
        <v>123</v>
      </c>
      <c r="E107" s="242">
        <v>24</v>
      </c>
      <c r="F107" s="302">
        <v>24</v>
      </c>
      <c r="G107" s="77" t="s">
        <v>28</v>
      </c>
      <c r="H107" s="72"/>
      <c r="I107" s="74">
        <f>F107*H107</f>
        <v>0</v>
      </c>
      <c r="J107" s="72"/>
      <c r="K107" s="74">
        <f t="shared" ref="K107" si="84">F107*J107</f>
        <v>0</v>
      </c>
      <c r="L107" s="72">
        <f t="shared" ref="L107" si="85">I107+K107</f>
        <v>0</v>
      </c>
      <c r="M107" s="74"/>
      <c r="N107" s="74"/>
      <c r="O107" s="72"/>
      <c r="P107" s="205"/>
      <c r="Q107" s="272"/>
      <c r="R107" s="439"/>
      <c r="S107" s="72">
        <f>18360*0.85</f>
        <v>15606</v>
      </c>
      <c r="T107" s="72">
        <f>18360*0.15</f>
        <v>2754</v>
      </c>
    </row>
    <row r="108" spans="1:20" s="273" customFormat="1" ht="15" hidden="1" customHeight="1" x14ac:dyDescent="0.25">
      <c r="A108" s="350"/>
      <c r="B108" s="319"/>
      <c r="C108" s="318"/>
      <c r="D108" s="83" t="s">
        <v>52</v>
      </c>
      <c r="E108" s="242"/>
      <c r="F108" s="302"/>
      <c r="G108" s="75"/>
      <c r="H108" s="74"/>
      <c r="I108" s="74"/>
      <c r="J108" s="74"/>
      <c r="K108" s="74"/>
      <c r="L108" s="72"/>
      <c r="M108" s="74"/>
      <c r="N108" s="74"/>
      <c r="O108" s="72"/>
      <c r="P108" s="205"/>
      <c r="Q108" s="272"/>
      <c r="R108" s="439"/>
      <c r="S108" s="74"/>
      <c r="T108" s="74"/>
    </row>
    <row r="109" spans="1:20" s="273" customFormat="1" ht="15" hidden="1" customHeight="1" x14ac:dyDescent="0.25">
      <c r="A109" s="350"/>
      <c r="B109" s="319"/>
      <c r="C109" s="318"/>
      <c r="D109" s="83" t="s">
        <v>58</v>
      </c>
      <c r="E109" s="242"/>
      <c r="F109" s="302"/>
      <c r="G109" s="75"/>
      <c r="H109" s="74"/>
      <c r="I109" s="74"/>
      <c r="J109" s="74"/>
      <c r="K109" s="74"/>
      <c r="L109" s="72"/>
      <c r="M109" s="74"/>
      <c r="N109" s="74"/>
      <c r="O109" s="72"/>
      <c r="P109" s="205"/>
      <c r="Q109" s="272"/>
      <c r="R109" s="439"/>
      <c r="S109" s="74"/>
      <c r="T109" s="74"/>
    </row>
    <row r="110" spans="1:20" s="273" customFormat="1" ht="15" hidden="1" customHeight="1" x14ac:dyDescent="0.25">
      <c r="A110" s="350"/>
      <c r="B110" s="317"/>
      <c r="C110" s="318">
        <v>12</v>
      </c>
      <c r="D110" s="83" t="s">
        <v>124</v>
      </c>
      <c r="E110" s="242">
        <v>1</v>
      </c>
      <c r="F110" s="302">
        <v>1</v>
      </c>
      <c r="G110" s="77" t="s">
        <v>55</v>
      </c>
      <c r="H110" s="72"/>
      <c r="I110" s="74">
        <f>F110*H110</f>
        <v>0</v>
      </c>
      <c r="J110" s="72"/>
      <c r="K110" s="74">
        <f t="shared" ref="K110" si="86">F110*J110</f>
        <v>0</v>
      </c>
      <c r="L110" s="72">
        <f t="shared" ref="L110" si="87">I110+K110</f>
        <v>0</v>
      </c>
      <c r="M110" s="74"/>
      <c r="N110" s="74"/>
      <c r="O110" s="72"/>
      <c r="P110" s="205"/>
      <c r="Q110" s="272"/>
      <c r="R110" s="439"/>
      <c r="S110" s="72">
        <f>24480*0.85</f>
        <v>20808</v>
      </c>
      <c r="T110" s="72">
        <f>24480*0.15</f>
        <v>3672</v>
      </c>
    </row>
    <row r="111" spans="1:20" s="273" customFormat="1" ht="15" hidden="1" customHeight="1" x14ac:dyDescent="0.25">
      <c r="A111" s="350"/>
      <c r="B111" s="319"/>
      <c r="C111" s="318"/>
      <c r="D111" s="83" t="s">
        <v>53</v>
      </c>
      <c r="E111" s="242"/>
      <c r="F111" s="302"/>
      <c r="G111" s="75"/>
      <c r="H111" s="74"/>
      <c r="I111" s="74"/>
      <c r="J111" s="74"/>
      <c r="K111" s="74"/>
      <c r="L111" s="72"/>
      <c r="M111" s="74"/>
      <c r="N111" s="74"/>
      <c r="O111" s="72"/>
      <c r="P111" s="205"/>
      <c r="Q111" s="272"/>
      <c r="R111" s="439"/>
      <c r="S111" s="74"/>
      <c r="T111" s="74"/>
    </row>
    <row r="112" spans="1:20" s="273" customFormat="1" ht="15" hidden="1" customHeight="1" x14ac:dyDescent="0.25">
      <c r="A112" s="722"/>
      <c r="B112" s="319"/>
      <c r="C112" s="318"/>
      <c r="D112" s="83" t="s">
        <v>59</v>
      </c>
      <c r="E112" s="242"/>
      <c r="F112" s="302"/>
      <c r="G112" s="75"/>
      <c r="H112" s="74"/>
      <c r="I112" s="74"/>
      <c r="J112" s="74"/>
      <c r="K112" s="74"/>
      <c r="L112" s="72"/>
      <c r="M112" s="74"/>
      <c r="N112" s="74"/>
      <c r="O112" s="72"/>
      <c r="P112" s="205"/>
      <c r="Q112" s="272"/>
      <c r="R112" s="439"/>
      <c r="S112" s="74"/>
      <c r="T112" s="74"/>
    </row>
    <row r="113" spans="1:47" s="273" customFormat="1" ht="15" hidden="1" customHeight="1" x14ac:dyDescent="0.25">
      <c r="A113" s="723"/>
      <c r="B113" s="317"/>
      <c r="C113" s="318">
        <v>13</v>
      </c>
      <c r="D113" s="83" t="s">
        <v>125</v>
      </c>
      <c r="E113" s="242">
        <v>1</v>
      </c>
      <c r="F113" s="302">
        <v>1</v>
      </c>
      <c r="G113" s="77" t="s">
        <v>55</v>
      </c>
      <c r="H113" s="72"/>
      <c r="I113" s="74">
        <f>F113*H113</f>
        <v>0</v>
      </c>
      <c r="J113" s="72"/>
      <c r="K113" s="74">
        <f t="shared" ref="K113" si="88">F113*J113</f>
        <v>0</v>
      </c>
      <c r="L113" s="72">
        <f t="shared" ref="L113" si="89">I113+K113</f>
        <v>0</v>
      </c>
      <c r="M113" s="74"/>
      <c r="N113" s="74"/>
      <c r="O113" s="72"/>
      <c r="P113" s="205"/>
      <c r="Q113" s="272"/>
      <c r="R113" s="439"/>
      <c r="S113" s="72">
        <f>(65520+7560+5880)*0.85</f>
        <v>67116</v>
      </c>
      <c r="T113" s="72">
        <f>(65520+7560+5880)*0.15</f>
        <v>11844</v>
      </c>
    </row>
    <row r="114" spans="1:47" s="273" customFormat="1" ht="15" hidden="1" customHeight="1" x14ac:dyDescent="0.25">
      <c r="A114" s="350"/>
      <c r="B114" s="319"/>
      <c r="C114" s="318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4"/>
      <c r="N114" s="74"/>
      <c r="O114" s="72"/>
      <c r="P114" s="205"/>
      <c r="Q114" s="272"/>
      <c r="R114" s="439"/>
      <c r="S114" s="74"/>
      <c r="T114" s="74"/>
    </row>
    <row r="115" spans="1:47" s="273" customFormat="1" ht="15" hidden="1" customHeight="1" x14ac:dyDescent="0.25">
      <c r="A115" s="350"/>
      <c r="B115" s="317"/>
      <c r="C115" s="318">
        <v>14</v>
      </c>
      <c r="D115" s="83" t="s">
        <v>126</v>
      </c>
      <c r="E115" s="242">
        <v>1</v>
      </c>
      <c r="F115" s="302">
        <v>1</v>
      </c>
      <c r="G115" s="77" t="s">
        <v>55</v>
      </c>
      <c r="H115" s="72"/>
      <c r="I115" s="74">
        <f>F115*H115</f>
        <v>0</v>
      </c>
      <c r="J115" s="72"/>
      <c r="K115" s="74">
        <f t="shared" ref="K115" si="90">F115*J115</f>
        <v>0</v>
      </c>
      <c r="L115" s="72">
        <f t="shared" ref="L115" si="91">I115+K115</f>
        <v>0</v>
      </c>
      <c r="M115" s="74"/>
      <c r="N115" s="74"/>
      <c r="O115" s="72"/>
      <c r="P115" s="205"/>
      <c r="Q115" s="272"/>
      <c r="R115" s="439"/>
      <c r="S115" s="72">
        <f>151200*0.85</f>
        <v>128520</v>
      </c>
      <c r="T115" s="72">
        <f>151200*0.15</f>
        <v>22680</v>
      </c>
    </row>
    <row r="116" spans="1:47" s="273" customFormat="1" ht="15" hidden="1" customHeight="1" x14ac:dyDescent="0.25">
      <c r="A116" s="350"/>
      <c r="B116" s="319"/>
      <c r="C116" s="318"/>
      <c r="D116" s="83" t="s">
        <v>164</v>
      </c>
      <c r="E116" s="242"/>
      <c r="F116" s="302"/>
      <c r="G116" s="75"/>
      <c r="H116" s="74"/>
      <c r="I116" s="74"/>
      <c r="J116" s="74"/>
      <c r="K116" s="74"/>
      <c r="L116" s="72"/>
      <c r="M116" s="74"/>
      <c r="N116" s="74"/>
      <c r="O116" s="72"/>
      <c r="P116" s="205"/>
      <c r="Q116" s="272"/>
      <c r="R116" s="439"/>
      <c r="S116" s="74"/>
      <c r="T116" s="74"/>
    </row>
    <row r="117" spans="1:47" s="273" customFormat="1" ht="15" hidden="1" customHeight="1" x14ac:dyDescent="0.25">
      <c r="A117" s="350"/>
      <c r="B117" s="317"/>
      <c r="C117" s="318">
        <v>15</v>
      </c>
      <c r="D117" s="83" t="s">
        <v>127</v>
      </c>
      <c r="E117" s="242">
        <v>1</v>
      </c>
      <c r="F117" s="302">
        <v>1</v>
      </c>
      <c r="G117" s="77" t="s">
        <v>55</v>
      </c>
      <c r="H117" s="72"/>
      <c r="I117" s="74">
        <f>F117*H117</f>
        <v>0</v>
      </c>
      <c r="J117" s="72"/>
      <c r="K117" s="74">
        <f t="shared" ref="K117" si="92">F117*J117</f>
        <v>0</v>
      </c>
      <c r="L117" s="72">
        <f t="shared" ref="L117" si="93">I117+K117</f>
        <v>0</v>
      </c>
      <c r="M117" s="74"/>
      <c r="N117" s="74"/>
      <c r="O117" s="72"/>
      <c r="P117" s="205"/>
      <c r="Q117" s="272"/>
      <c r="R117" s="439"/>
      <c r="S117" s="72">
        <f>80640*0.85</f>
        <v>68544</v>
      </c>
      <c r="T117" s="72">
        <f>80640*0.15</f>
        <v>12096</v>
      </c>
    </row>
    <row r="118" spans="1:47" s="273" customFormat="1" ht="15" hidden="1" customHeight="1" x14ac:dyDescent="0.25">
      <c r="A118" s="350"/>
      <c r="B118" s="319"/>
      <c r="C118" s="318"/>
      <c r="D118" s="83" t="s">
        <v>164</v>
      </c>
      <c r="E118" s="242"/>
      <c r="F118" s="302"/>
      <c r="G118" s="75"/>
      <c r="H118" s="74"/>
      <c r="I118" s="74"/>
      <c r="J118" s="74"/>
      <c r="K118" s="74"/>
      <c r="L118" s="72"/>
      <c r="M118" s="74"/>
      <c r="N118" s="74"/>
      <c r="O118" s="72"/>
      <c r="P118" s="205"/>
      <c r="Q118" s="272"/>
      <c r="R118" s="439"/>
      <c r="S118" s="74"/>
      <c r="T118" s="74"/>
    </row>
    <row r="119" spans="1:47" s="273" customFormat="1" ht="15" hidden="1" customHeight="1" x14ac:dyDescent="0.25">
      <c r="A119" s="350"/>
      <c r="B119" s="317"/>
      <c r="C119" s="318">
        <v>16</v>
      </c>
      <c r="D119" s="83" t="s">
        <v>128</v>
      </c>
      <c r="E119" s="242">
        <v>1</v>
      </c>
      <c r="F119" s="302">
        <v>1</v>
      </c>
      <c r="G119" s="77" t="s">
        <v>55</v>
      </c>
      <c r="H119" s="72"/>
      <c r="I119" s="74">
        <f>F119*H119</f>
        <v>0</v>
      </c>
      <c r="J119" s="72"/>
      <c r="K119" s="74">
        <f t="shared" ref="K119" si="94">F119*J119</f>
        <v>0</v>
      </c>
      <c r="L119" s="72">
        <f t="shared" ref="L119" si="95">I119+K119</f>
        <v>0</v>
      </c>
      <c r="M119" s="74"/>
      <c r="N119" s="74"/>
      <c r="O119" s="72"/>
      <c r="P119" s="205"/>
      <c r="Q119" s="272"/>
      <c r="R119" s="439"/>
      <c r="S119" s="72">
        <f>(27888+33600)*0.85</f>
        <v>52264.799999999996</v>
      </c>
      <c r="T119" s="72">
        <f>(27888+33600)*0.15</f>
        <v>9223.1999999999989</v>
      </c>
    </row>
    <row r="120" spans="1:47" s="273" customFormat="1" ht="15" hidden="1" customHeight="1" x14ac:dyDescent="0.25">
      <c r="A120" s="350"/>
      <c r="B120" s="319"/>
      <c r="C120" s="318"/>
      <c r="D120" s="83" t="s">
        <v>164</v>
      </c>
      <c r="E120" s="242"/>
      <c r="F120" s="302"/>
      <c r="G120" s="75"/>
      <c r="H120" s="74"/>
      <c r="I120" s="74"/>
      <c r="J120" s="74"/>
      <c r="K120" s="74"/>
      <c r="L120" s="74"/>
      <c r="M120" s="74"/>
      <c r="N120" s="74"/>
      <c r="O120" s="72"/>
      <c r="P120" s="205"/>
      <c r="Q120" s="272"/>
      <c r="R120" s="439"/>
      <c r="S120" s="74"/>
      <c r="T120" s="224"/>
    </row>
    <row r="121" spans="1:47" s="273" customFormat="1" hidden="1" x14ac:dyDescent="0.25">
      <c r="A121" s="350"/>
      <c r="B121" s="319"/>
      <c r="C121" s="318"/>
      <c r="D121" s="83"/>
      <c r="E121" s="242"/>
      <c r="F121" s="302"/>
      <c r="G121" s="75"/>
      <c r="H121" s="74"/>
      <c r="I121" s="74"/>
      <c r="J121" s="74"/>
      <c r="K121" s="74"/>
      <c r="L121" s="74"/>
      <c r="M121" s="74"/>
      <c r="N121" s="74"/>
      <c r="O121" s="72"/>
      <c r="P121" s="205"/>
      <c r="Q121" s="272"/>
      <c r="R121" s="439"/>
      <c r="T121" s="224"/>
      <c r="AG121" s="224"/>
      <c r="AI121" s="224"/>
    </row>
    <row r="122" spans="1:47" s="273" customFormat="1" x14ac:dyDescent="0.25">
      <c r="A122" s="350"/>
      <c r="B122" s="724" t="s">
        <v>330</v>
      </c>
      <c r="C122" s="725" t="s">
        <v>141</v>
      </c>
      <c r="D122" s="83"/>
      <c r="E122" s="242"/>
      <c r="F122" s="302"/>
      <c r="G122" s="75"/>
      <c r="H122" s="74"/>
      <c r="I122" s="74"/>
      <c r="J122" s="74"/>
      <c r="K122" s="74"/>
      <c r="L122" s="74"/>
      <c r="M122" s="74"/>
      <c r="N122" s="74"/>
      <c r="O122" s="72"/>
      <c r="P122" s="205"/>
      <c r="Q122" s="272"/>
      <c r="R122" s="439"/>
      <c r="T122" s="224"/>
      <c r="AG122" s="224"/>
      <c r="AI122" s="224"/>
    </row>
    <row r="123" spans="1:47" s="273" customFormat="1" x14ac:dyDescent="0.25">
      <c r="A123" s="350"/>
      <c r="B123" s="317"/>
      <c r="C123" s="318">
        <v>1</v>
      </c>
      <c r="D123" s="83" t="s">
        <v>455</v>
      </c>
      <c r="E123" s="242">
        <v>20</v>
      </c>
      <c r="F123" s="302">
        <v>20</v>
      </c>
      <c r="G123" s="77" t="s">
        <v>28</v>
      </c>
      <c r="H123" s="74">
        <f>2400/1.05</f>
        <v>2285.7142857142858</v>
      </c>
      <c r="I123" s="74">
        <f>F123*H123</f>
        <v>45714.285714285717</v>
      </c>
      <c r="J123" s="74">
        <v>350</v>
      </c>
      <c r="K123" s="74">
        <f t="shared" ref="K123:K124" si="96">F123*J123</f>
        <v>7000</v>
      </c>
      <c r="L123" s="72">
        <f t="shared" ref="L123:L124" si="97">I123+K123</f>
        <v>52714.285714285717</v>
      </c>
      <c r="M123" s="74">
        <f>H123/$P$264*$P$272</f>
        <v>3182.9753579439416</v>
      </c>
      <c r="N123" s="74">
        <f>J123/$P$264*$P$272</f>
        <v>487.39310168516607</v>
      </c>
      <c r="O123" s="72">
        <f t="shared" ref="O123:O148" si="98">N123+M123</f>
        <v>3670.3684596291077</v>
      </c>
      <c r="P123" s="205">
        <f t="shared" ref="P123:P148" si="99">O123*F123</f>
        <v>73407.369192582148</v>
      </c>
      <c r="Q123" s="272">
        <f>L123/$P$264*$P$272</f>
        <v>73407.369192582162</v>
      </c>
      <c r="R123" s="439">
        <f t="shared" ref="R123:R148" si="100">P123-Q123</f>
        <v>0</v>
      </c>
      <c r="T123" s="224"/>
      <c r="AG123" s="224"/>
      <c r="AI123" s="224"/>
    </row>
    <row r="124" spans="1:47" s="273" customFormat="1" x14ac:dyDescent="0.25">
      <c r="A124" s="350"/>
      <c r="B124" s="317"/>
      <c r="C124" s="318">
        <v>2</v>
      </c>
      <c r="D124" s="83" t="s">
        <v>143</v>
      </c>
      <c r="E124" s="242">
        <f>(20-4)*3</f>
        <v>48</v>
      </c>
      <c r="F124" s="302">
        <v>48</v>
      </c>
      <c r="G124" s="77" t="s">
        <v>283</v>
      </c>
      <c r="H124" s="74">
        <f>350/1.05</f>
        <v>333.33333333333331</v>
      </c>
      <c r="I124" s="74">
        <f>F124*H124</f>
        <v>16000</v>
      </c>
      <c r="J124" s="74">
        <v>75</v>
      </c>
      <c r="K124" s="74">
        <f t="shared" si="96"/>
        <v>3600</v>
      </c>
      <c r="L124" s="72">
        <f t="shared" si="97"/>
        <v>19600</v>
      </c>
      <c r="M124" s="74">
        <f>H124/$P$264*$P$272</f>
        <v>464.18390636682483</v>
      </c>
      <c r="N124" s="74">
        <f>J124/$P$264*$P$272</f>
        <v>104.4413789325356</v>
      </c>
      <c r="O124" s="72">
        <f t="shared" si="98"/>
        <v>568.62528529936048</v>
      </c>
      <c r="P124" s="205">
        <f t="shared" si="99"/>
        <v>27294.013694369303</v>
      </c>
      <c r="Q124" s="272">
        <f>L124/$P$264*$P$272</f>
        <v>27294.013694369303</v>
      </c>
      <c r="R124" s="439">
        <f t="shared" si="100"/>
        <v>0</v>
      </c>
      <c r="T124" s="224"/>
      <c r="W124" s="904" t="s">
        <v>542</v>
      </c>
      <c r="X124" s="904"/>
      <c r="Y124" s="904"/>
      <c r="Z124" s="904"/>
      <c r="AA124" s="904"/>
      <c r="AB124" s="904"/>
      <c r="AC124" s="794" t="s">
        <v>243</v>
      </c>
      <c r="AD124" s="794" t="s">
        <v>244</v>
      </c>
      <c r="AE124" s="794" t="s">
        <v>245</v>
      </c>
      <c r="AF124" s="123" t="s">
        <v>246</v>
      </c>
      <c r="AG124" s="196" t="s">
        <v>247</v>
      </c>
      <c r="AH124" s="794" t="s">
        <v>248</v>
      </c>
      <c r="AI124" s="212" t="s">
        <v>249</v>
      </c>
      <c r="AL124" s="904" t="s">
        <v>544</v>
      </c>
      <c r="AM124" s="904"/>
      <c r="AN124" s="904"/>
      <c r="AO124" s="794" t="s">
        <v>243</v>
      </c>
      <c r="AP124" s="794" t="s">
        <v>244</v>
      </c>
      <c r="AQ124" s="794" t="s">
        <v>245</v>
      </c>
      <c r="AR124" s="123" t="s">
        <v>246</v>
      </c>
      <c r="AS124" s="196" t="s">
        <v>247</v>
      </c>
      <c r="AT124" s="794" t="s">
        <v>248</v>
      </c>
      <c r="AU124" s="212" t="s">
        <v>249</v>
      </c>
    </row>
    <row r="125" spans="1:47" s="273" customFormat="1" x14ac:dyDescent="0.25">
      <c r="A125" s="350"/>
      <c r="B125" s="319"/>
      <c r="C125" s="318"/>
      <c r="D125" s="83" t="s">
        <v>331</v>
      </c>
      <c r="E125" s="242"/>
      <c r="F125" s="302"/>
      <c r="G125" s="75"/>
      <c r="H125" s="74"/>
      <c r="I125" s="74"/>
      <c r="J125" s="74"/>
      <c r="K125" s="74"/>
      <c r="L125" s="74"/>
      <c r="M125" s="74"/>
      <c r="N125" s="74"/>
      <c r="O125" s="72"/>
      <c r="P125" s="205"/>
      <c r="Q125" s="272"/>
      <c r="R125" s="439"/>
      <c r="T125" s="224"/>
      <c r="W125" s="878" t="s">
        <v>272</v>
      </c>
      <c r="X125" s="878"/>
      <c r="Y125" s="878"/>
      <c r="Z125" s="878"/>
      <c r="AA125" s="878"/>
      <c r="AB125" s="878"/>
      <c r="AC125" s="124" t="s">
        <v>251</v>
      </c>
      <c r="AD125" s="793">
        <v>12.5</v>
      </c>
      <c r="AE125" s="793">
        <v>13</v>
      </c>
      <c r="AF125" s="123">
        <f>117/1.02</f>
        <v>114.70588235294117</v>
      </c>
      <c r="AG125" s="196">
        <f>AF125*AE125</f>
        <v>1491.1764705882354</v>
      </c>
      <c r="AH125" s="793">
        <v>16.5</v>
      </c>
      <c r="AI125" s="219">
        <f>AH125*AE125</f>
        <v>214.5</v>
      </c>
      <c r="AL125" s="878" t="s">
        <v>272</v>
      </c>
      <c r="AM125" s="878"/>
      <c r="AN125" s="878"/>
      <c r="AO125" s="124" t="s">
        <v>251</v>
      </c>
      <c r="AP125" s="793">
        <v>12.5</v>
      </c>
      <c r="AQ125" s="793">
        <v>13</v>
      </c>
      <c r="AR125" s="123">
        <f>200/1.02</f>
        <v>196.07843137254901</v>
      </c>
      <c r="AS125" s="196">
        <f>AR125*AQ125</f>
        <v>2549.0196078431372</v>
      </c>
      <c r="AT125" s="793">
        <v>16.5</v>
      </c>
      <c r="AU125" s="219">
        <f>AT125*AQ125</f>
        <v>214.5</v>
      </c>
    </row>
    <row r="126" spans="1:47" s="273" customFormat="1" x14ac:dyDescent="0.25">
      <c r="A126" s="350"/>
      <c r="B126" s="317"/>
      <c r="C126" s="318">
        <v>3</v>
      </c>
      <c r="D126" s="83" t="s">
        <v>146</v>
      </c>
      <c r="E126" s="242">
        <v>4</v>
      </c>
      <c r="F126" s="302">
        <v>4</v>
      </c>
      <c r="G126" s="77" t="s">
        <v>28</v>
      </c>
      <c r="H126" s="74">
        <f>4000/1.05</f>
        <v>3809.5238095238092</v>
      </c>
      <c r="I126" s="74">
        <f>F126*H126</f>
        <v>15238.095238095237</v>
      </c>
      <c r="J126" s="74">
        <v>400</v>
      </c>
      <c r="K126" s="74">
        <f t="shared" ref="K126:K127" si="101">F126*J126</f>
        <v>1600</v>
      </c>
      <c r="L126" s="72">
        <f t="shared" ref="L126:L127" si="102">I126+K126</f>
        <v>16838.095238095237</v>
      </c>
      <c r="M126" s="74">
        <f>H126/$P$264*$P$272</f>
        <v>5304.9589299065692</v>
      </c>
      <c r="N126" s="74">
        <f>J126/$P$264*$P$272</f>
        <v>557.02068764018975</v>
      </c>
      <c r="O126" s="72">
        <f t="shared" si="98"/>
        <v>5861.9796175467591</v>
      </c>
      <c r="P126" s="205">
        <f t="shared" si="99"/>
        <v>23447.918470187036</v>
      </c>
      <c r="Q126" s="272">
        <f>L126/$P$264*$P$272</f>
        <v>23447.918470187036</v>
      </c>
      <c r="R126" s="439">
        <f t="shared" si="100"/>
        <v>0</v>
      </c>
      <c r="T126" s="224"/>
      <c r="W126" s="878" t="s">
        <v>252</v>
      </c>
      <c r="X126" s="878"/>
      <c r="Y126" s="878"/>
      <c r="Z126" s="878"/>
      <c r="AA126" s="878"/>
      <c r="AB126" s="878"/>
      <c r="AC126" s="124" t="s">
        <v>253</v>
      </c>
      <c r="AD126" s="793">
        <v>0.25</v>
      </c>
      <c r="AE126" s="793">
        <v>0.25</v>
      </c>
      <c r="AF126" s="123">
        <f>285/1.02</f>
        <v>279.41176470588238</v>
      </c>
      <c r="AG126" s="196">
        <f>AF126*AE126</f>
        <v>69.852941176470594</v>
      </c>
      <c r="AH126" s="793"/>
      <c r="AI126" s="219">
        <f>AH126*AE126</f>
        <v>0</v>
      </c>
      <c r="AL126" s="878" t="s">
        <v>252</v>
      </c>
      <c r="AM126" s="878"/>
      <c r="AN126" s="878"/>
      <c r="AO126" s="124" t="s">
        <v>253</v>
      </c>
      <c r="AP126" s="793">
        <v>0.25</v>
      </c>
      <c r="AQ126" s="793">
        <v>0.25</v>
      </c>
      <c r="AR126" s="123">
        <f>285/1.06</f>
        <v>268.8679245283019</v>
      </c>
      <c r="AS126" s="196">
        <f>AR126*AQ126</f>
        <v>67.216981132075475</v>
      </c>
      <c r="AT126" s="793"/>
      <c r="AU126" s="219">
        <f>AT126*AQ126</f>
        <v>0</v>
      </c>
    </row>
    <row r="127" spans="1:47" s="273" customFormat="1" x14ac:dyDescent="0.25">
      <c r="A127" s="350"/>
      <c r="B127" s="317"/>
      <c r="C127" s="318">
        <v>4</v>
      </c>
      <c r="D127" s="83" t="s">
        <v>147</v>
      </c>
      <c r="E127" s="242">
        <f>4*4</f>
        <v>16</v>
      </c>
      <c r="F127" s="302">
        <v>16</v>
      </c>
      <c r="G127" s="77" t="s">
        <v>28</v>
      </c>
      <c r="H127" s="74">
        <f>750/1.05</f>
        <v>714.28571428571422</v>
      </c>
      <c r="I127" s="74">
        <f>F127*H127</f>
        <v>11428.571428571428</v>
      </c>
      <c r="J127" s="74">
        <v>75</v>
      </c>
      <c r="K127" s="74">
        <f t="shared" si="101"/>
        <v>1200</v>
      </c>
      <c r="L127" s="72">
        <f t="shared" si="102"/>
        <v>12628.571428571428</v>
      </c>
      <c r="M127" s="74">
        <f>H127/$P$264*$P$272</f>
        <v>994.67979935748167</v>
      </c>
      <c r="N127" s="74">
        <f>J127/$P$264*$P$272</f>
        <v>104.4413789325356</v>
      </c>
      <c r="O127" s="72">
        <f t="shared" si="98"/>
        <v>1099.1211782900173</v>
      </c>
      <c r="P127" s="205">
        <f t="shared" si="99"/>
        <v>17585.938852640276</v>
      </c>
      <c r="Q127" s="272">
        <f>L127/$P$264*$P$272</f>
        <v>17585.938852640276</v>
      </c>
      <c r="R127" s="439">
        <f t="shared" si="100"/>
        <v>0</v>
      </c>
      <c r="T127" s="224"/>
      <c r="W127" s="878" t="s">
        <v>254</v>
      </c>
      <c r="X127" s="878"/>
      <c r="Y127" s="878"/>
      <c r="Z127" s="878"/>
      <c r="AA127" s="878"/>
      <c r="AB127" s="878"/>
      <c r="AC127" s="124" t="s">
        <v>255</v>
      </c>
      <c r="AD127" s="793">
        <v>0.25</v>
      </c>
      <c r="AE127" s="793">
        <v>0.35</v>
      </c>
      <c r="AF127" s="123">
        <f>37/1.06</f>
        <v>34.905660377358487</v>
      </c>
      <c r="AG127" s="196">
        <f>AF127*AE127</f>
        <v>12.216981132075469</v>
      </c>
      <c r="AH127" s="793"/>
      <c r="AI127" s="219">
        <f>AH127*AE127</f>
        <v>0</v>
      </c>
      <c r="AL127" s="878" t="s">
        <v>254</v>
      </c>
      <c r="AM127" s="878"/>
      <c r="AN127" s="878"/>
      <c r="AO127" s="124" t="s">
        <v>255</v>
      </c>
      <c r="AP127" s="793">
        <v>0.25</v>
      </c>
      <c r="AQ127" s="793">
        <v>0.35</v>
      </c>
      <c r="AR127" s="123">
        <f>37/1.06</f>
        <v>34.905660377358487</v>
      </c>
      <c r="AS127" s="196">
        <f>AR127*AQ127</f>
        <v>12.216981132075469</v>
      </c>
      <c r="AT127" s="793"/>
      <c r="AU127" s="219">
        <f>AT127*AQ127</f>
        <v>0</v>
      </c>
    </row>
    <row r="128" spans="1:47" s="273" customFormat="1" x14ac:dyDescent="0.25">
      <c r="A128" s="350"/>
      <c r="B128" s="319"/>
      <c r="C128" s="318"/>
      <c r="D128" s="83"/>
      <c r="E128" s="242"/>
      <c r="F128" s="302"/>
      <c r="G128" s="75"/>
      <c r="H128" s="74"/>
      <c r="I128" s="74"/>
      <c r="J128" s="74"/>
      <c r="K128" s="74"/>
      <c r="L128" s="74"/>
      <c r="M128" s="74"/>
      <c r="N128" s="74"/>
      <c r="O128" s="72"/>
      <c r="P128" s="205"/>
      <c r="Q128" s="272"/>
      <c r="R128" s="439"/>
      <c r="T128" s="224"/>
      <c r="W128" s="878" t="s">
        <v>256</v>
      </c>
      <c r="X128" s="878"/>
      <c r="Y128" s="878"/>
      <c r="Z128" s="878"/>
      <c r="AA128" s="878"/>
      <c r="AB128" s="878"/>
      <c r="AC128" s="124" t="s">
        <v>257</v>
      </c>
      <c r="AD128" s="793">
        <v>1</v>
      </c>
      <c r="AE128" s="793">
        <v>1</v>
      </c>
      <c r="AF128" s="123">
        <f>AQ68</f>
        <v>0</v>
      </c>
      <c r="AG128" s="196">
        <f>AF128*AE128</f>
        <v>0</v>
      </c>
      <c r="AH128" s="793"/>
      <c r="AI128" s="219">
        <f>AH128*AE128</f>
        <v>0</v>
      </c>
      <c r="AL128" s="878" t="s">
        <v>256</v>
      </c>
      <c r="AM128" s="878"/>
      <c r="AN128" s="878"/>
      <c r="AO128" s="124" t="s">
        <v>257</v>
      </c>
      <c r="AP128" s="793">
        <v>1</v>
      </c>
      <c r="AQ128" s="793">
        <v>1</v>
      </c>
      <c r="AR128" s="123">
        <f>BC68</f>
        <v>0</v>
      </c>
      <c r="AS128" s="196">
        <f>AR128*AQ128</f>
        <v>0</v>
      </c>
      <c r="AT128" s="793"/>
      <c r="AU128" s="219">
        <f>AT128*AQ128</f>
        <v>0</v>
      </c>
    </row>
    <row r="129" spans="1:47" s="273" customFormat="1" x14ac:dyDescent="0.25">
      <c r="A129" s="350"/>
      <c r="B129" s="724" t="s">
        <v>332</v>
      </c>
      <c r="C129" s="725" t="s">
        <v>148</v>
      </c>
      <c r="D129" s="83"/>
      <c r="E129" s="242"/>
      <c r="F129" s="302"/>
      <c r="G129" s="75"/>
      <c r="H129" s="74"/>
      <c r="I129" s="74"/>
      <c r="J129" s="74"/>
      <c r="K129" s="74"/>
      <c r="L129" s="74"/>
      <c r="M129" s="74"/>
      <c r="N129" s="74"/>
      <c r="O129" s="72"/>
      <c r="P129" s="205"/>
      <c r="Q129" s="272"/>
      <c r="R129" s="439"/>
      <c r="T129" s="224"/>
      <c r="W129" s="126"/>
      <c r="X129" s="126"/>
      <c r="Y129" s="126"/>
      <c r="Z129" s="126"/>
      <c r="AA129" s="126"/>
      <c r="AB129" s="126"/>
      <c r="AC129" s="126"/>
      <c r="AD129" s="793"/>
      <c r="AE129" s="793"/>
      <c r="AF129" s="123"/>
      <c r="AG129" s="212">
        <f>SUM(AG125:AG128)</f>
        <v>1573.2463928967813</v>
      </c>
      <c r="AH129" s="794"/>
      <c r="AI129" s="212">
        <f>SUM(AI125:AI128)</f>
        <v>214.5</v>
      </c>
      <c r="AL129" s="126"/>
      <c r="AM129" s="126"/>
      <c r="AN129" s="126"/>
      <c r="AO129" s="126"/>
      <c r="AP129" s="793"/>
      <c r="AQ129" s="793"/>
      <c r="AR129" s="123"/>
      <c r="AS129" s="212">
        <f>SUM(AS125:AS128)</f>
        <v>2628.4535701072882</v>
      </c>
      <c r="AT129" s="794"/>
      <c r="AU129" s="212">
        <f>SUM(AU125:AU128)</f>
        <v>214.5</v>
      </c>
    </row>
    <row r="130" spans="1:47" s="273" customFormat="1" x14ac:dyDescent="0.25">
      <c r="A130" s="350"/>
      <c r="B130" s="317"/>
      <c r="C130" s="318">
        <v>1</v>
      </c>
      <c r="D130" s="83" t="s">
        <v>149</v>
      </c>
      <c r="E130" s="242">
        <v>76.8</v>
      </c>
      <c r="F130" s="302">
        <v>78</v>
      </c>
      <c r="G130" s="77" t="s">
        <v>100</v>
      </c>
      <c r="H130" s="74">
        <f>231/1.05</f>
        <v>220</v>
      </c>
      <c r="I130" s="74">
        <f t="shared" ref="I130:I136" si="103">F130*H130</f>
        <v>17160</v>
      </c>
      <c r="J130" s="74">
        <v>75</v>
      </c>
      <c r="K130" s="74">
        <f t="shared" ref="K130:K136" si="104">F130*J130</f>
        <v>5850</v>
      </c>
      <c r="L130" s="72">
        <f t="shared" ref="L130:L136" si="105">I130+K130</f>
        <v>23010</v>
      </c>
      <c r="M130" s="74">
        <f>H130/$P$264*$P$272</f>
        <v>306.36137820210439</v>
      </c>
      <c r="N130" s="74">
        <f>J130/$P$264*$P$272</f>
        <v>104.4413789325356</v>
      </c>
      <c r="O130" s="72">
        <f t="shared" si="98"/>
        <v>410.80275713463999</v>
      </c>
      <c r="P130" s="205">
        <f t="shared" si="99"/>
        <v>32042.61505650192</v>
      </c>
      <c r="Q130" s="272">
        <f>L130/$P$264*$P$272</f>
        <v>32042.615056501916</v>
      </c>
      <c r="R130" s="439">
        <f t="shared" si="100"/>
        <v>0</v>
      </c>
      <c r="T130" s="224"/>
      <c r="AG130" s="224"/>
      <c r="AI130" s="224"/>
      <c r="AS130" s="224"/>
      <c r="AU130" s="224"/>
    </row>
    <row r="131" spans="1:47" s="273" customFormat="1" x14ac:dyDescent="0.25">
      <c r="A131" s="350"/>
      <c r="B131" s="317"/>
      <c r="C131" s="318">
        <v>2</v>
      </c>
      <c r="D131" s="83" t="s">
        <v>150</v>
      </c>
      <c r="E131" s="242">
        <v>56.4</v>
      </c>
      <c r="F131" s="302">
        <v>58</v>
      </c>
      <c r="G131" s="77" t="s">
        <v>100</v>
      </c>
      <c r="H131" s="74">
        <f>140/1.05</f>
        <v>133.33333333333331</v>
      </c>
      <c r="I131" s="74">
        <f t="shared" si="103"/>
        <v>7733.3333333333321</v>
      </c>
      <c r="J131" s="74">
        <v>75</v>
      </c>
      <c r="K131" s="74">
        <f t="shared" si="104"/>
        <v>4350</v>
      </c>
      <c r="L131" s="72">
        <f t="shared" si="105"/>
        <v>12083.333333333332</v>
      </c>
      <c r="M131" s="74">
        <f>H131/$P$264*$P$272</f>
        <v>185.6735625467299</v>
      </c>
      <c r="N131" s="74">
        <f>J131/$P$264*$P$272</f>
        <v>104.4413789325356</v>
      </c>
      <c r="O131" s="72">
        <f t="shared" si="98"/>
        <v>290.1149414792655</v>
      </c>
      <c r="P131" s="205">
        <f t="shared" si="99"/>
        <v>16826.6666057974</v>
      </c>
      <c r="Q131" s="272">
        <f>L131/$P$264*$P$272</f>
        <v>16826.6666057974</v>
      </c>
      <c r="R131" s="439">
        <f t="shared" si="100"/>
        <v>0</v>
      </c>
      <c r="T131" s="224"/>
      <c r="W131" s="904" t="s">
        <v>543</v>
      </c>
      <c r="X131" s="904"/>
      <c r="Y131" s="904"/>
      <c r="Z131" s="904"/>
      <c r="AA131" s="904"/>
      <c r="AB131" s="904"/>
      <c r="AC131" s="794" t="s">
        <v>243</v>
      </c>
      <c r="AD131" s="794" t="s">
        <v>244</v>
      </c>
      <c r="AE131" s="794" t="s">
        <v>245</v>
      </c>
      <c r="AF131" s="123" t="s">
        <v>246</v>
      </c>
      <c r="AG131" s="196" t="s">
        <v>247</v>
      </c>
      <c r="AH131" s="794" t="s">
        <v>248</v>
      </c>
      <c r="AI131" s="212" t="s">
        <v>249</v>
      </c>
      <c r="AL131" s="904" t="s">
        <v>545</v>
      </c>
      <c r="AM131" s="904"/>
      <c r="AN131" s="904"/>
      <c r="AO131" s="794" t="s">
        <v>243</v>
      </c>
      <c r="AP131" s="794" t="s">
        <v>244</v>
      </c>
      <c r="AQ131" s="794" t="s">
        <v>245</v>
      </c>
      <c r="AR131" s="123" t="s">
        <v>246</v>
      </c>
      <c r="AS131" s="196" t="s">
        <v>247</v>
      </c>
      <c r="AT131" s="794" t="s">
        <v>248</v>
      </c>
      <c r="AU131" s="212" t="s">
        <v>249</v>
      </c>
    </row>
    <row r="132" spans="1:47" s="273" customFormat="1" x14ac:dyDescent="0.25">
      <c r="A132" s="350"/>
      <c r="B132" s="317"/>
      <c r="C132" s="318">
        <v>3</v>
      </c>
      <c r="D132" s="83" t="s">
        <v>354</v>
      </c>
      <c r="E132" s="242">
        <f>7.83+5.5*2</f>
        <v>18.829999999999998</v>
      </c>
      <c r="F132" s="302">
        <v>19.5</v>
      </c>
      <c r="G132" s="77" t="s">
        <v>100</v>
      </c>
      <c r="H132" s="74">
        <f>825/1.05</f>
        <v>785.71428571428567</v>
      </c>
      <c r="I132" s="74">
        <f t="shared" si="103"/>
        <v>15321.428571428571</v>
      </c>
      <c r="J132" s="74">
        <v>120</v>
      </c>
      <c r="K132" s="74">
        <f t="shared" si="104"/>
        <v>2340</v>
      </c>
      <c r="L132" s="72">
        <f t="shared" si="105"/>
        <v>17661.428571428572</v>
      </c>
      <c r="M132" s="74">
        <f>H132/$P$264*$P$272</f>
        <v>1094.1477792932299</v>
      </c>
      <c r="N132" s="74">
        <f>J132/$P$264*$P$272</f>
        <v>167.10620629205692</v>
      </c>
      <c r="O132" s="72">
        <f t="shared" si="98"/>
        <v>1261.2539855852867</v>
      </c>
      <c r="P132" s="205">
        <f t="shared" si="99"/>
        <v>24594.452718913089</v>
      </c>
      <c r="Q132" s="272">
        <f>L132/$P$264*$P$272</f>
        <v>24594.452718913097</v>
      </c>
      <c r="R132" s="439">
        <f t="shared" si="100"/>
        <v>0</v>
      </c>
      <c r="T132" s="224"/>
      <c r="W132" s="878" t="s">
        <v>271</v>
      </c>
      <c r="X132" s="878"/>
      <c r="Y132" s="878"/>
      <c r="Z132" s="878"/>
      <c r="AA132" s="878"/>
      <c r="AB132" s="878"/>
      <c r="AC132" s="124" t="s">
        <v>251</v>
      </c>
      <c r="AD132" s="793">
        <v>8.33</v>
      </c>
      <c r="AE132" s="793">
        <v>9</v>
      </c>
      <c r="AF132" s="123">
        <f>123/1.02</f>
        <v>120.58823529411764</v>
      </c>
      <c r="AG132" s="196">
        <f>AF132*AE132</f>
        <v>1085.2941176470588</v>
      </c>
      <c r="AH132" s="793">
        <v>23.9</v>
      </c>
      <c r="AI132" s="219">
        <f>AH132*AE132</f>
        <v>215.1</v>
      </c>
      <c r="AL132" s="878" t="s">
        <v>271</v>
      </c>
      <c r="AM132" s="878"/>
      <c r="AN132" s="878"/>
      <c r="AO132" s="124" t="s">
        <v>251</v>
      </c>
      <c r="AP132" s="793">
        <v>8.33</v>
      </c>
      <c r="AQ132" s="793">
        <v>9</v>
      </c>
      <c r="AR132" s="123">
        <f>219/1.02</f>
        <v>214.70588235294116</v>
      </c>
      <c r="AS132" s="196">
        <f>AR132*AQ132</f>
        <v>1932.3529411764705</v>
      </c>
      <c r="AT132" s="793">
        <v>23.9</v>
      </c>
      <c r="AU132" s="219">
        <f>AT132*AQ132</f>
        <v>215.1</v>
      </c>
    </row>
    <row r="133" spans="1:47" s="273" customFormat="1" x14ac:dyDescent="0.25">
      <c r="A133" s="350"/>
      <c r="B133" s="317"/>
      <c r="C133" s="318">
        <v>4</v>
      </c>
      <c r="D133" s="83" t="s">
        <v>297</v>
      </c>
      <c r="E133" s="306">
        <v>2</v>
      </c>
      <c r="F133" s="302">
        <v>2</v>
      </c>
      <c r="G133" s="77" t="s">
        <v>100</v>
      </c>
      <c r="H133" s="74">
        <f>1200/1.05</f>
        <v>1142.8571428571429</v>
      </c>
      <c r="I133" s="74">
        <f t="shared" si="103"/>
        <v>2285.7142857142858</v>
      </c>
      <c r="J133" s="74">
        <v>175</v>
      </c>
      <c r="K133" s="74">
        <f t="shared" si="104"/>
        <v>350</v>
      </c>
      <c r="L133" s="72">
        <f t="shared" si="105"/>
        <v>2635.7142857142858</v>
      </c>
      <c r="M133" s="74">
        <f>H133/$P$264*$P$272</f>
        <v>1591.4876789719708</v>
      </c>
      <c r="N133" s="74">
        <f>J133/$P$264*$P$272</f>
        <v>243.69655084258304</v>
      </c>
      <c r="O133" s="72">
        <f t="shared" si="98"/>
        <v>1835.1842298145539</v>
      </c>
      <c r="P133" s="205">
        <f t="shared" si="99"/>
        <v>3670.3684596291077</v>
      </c>
      <c r="Q133" s="272">
        <f>L133/$P$264*$P$272</f>
        <v>3670.3684596291077</v>
      </c>
      <c r="R133" s="439">
        <f t="shared" si="100"/>
        <v>0</v>
      </c>
      <c r="T133" s="224"/>
      <c r="W133" s="878" t="s">
        <v>252</v>
      </c>
      <c r="X133" s="878"/>
      <c r="Y133" s="878"/>
      <c r="Z133" s="878"/>
      <c r="AA133" s="878"/>
      <c r="AB133" s="878"/>
      <c r="AC133" s="124" t="s">
        <v>253</v>
      </c>
      <c r="AD133" s="793">
        <v>0.25</v>
      </c>
      <c r="AE133" s="793">
        <v>0.25</v>
      </c>
      <c r="AF133" s="123">
        <f>AF126</f>
        <v>279.41176470588238</v>
      </c>
      <c r="AG133" s="196">
        <f>AF133*AE133</f>
        <v>69.852941176470594</v>
      </c>
      <c r="AH133" s="793"/>
      <c r="AI133" s="219">
        <f>AH133*AE133</f>
        <v>0</v>
      </c>
      <c r="AL133" s="878" t="s">
        <v>252</v>
      </c>
      <c r="AM133" s="878"/>
      <c r="AN133" s="878"/>
      <c r="AO133" s="124" t="s">
        <v>253</v>
      </c>
      <c r="AP133" s="793">
        <v>0.25</v>
      </c>
      <c r="AQ133" s="793">
        <v>0.25</v>
      </c>
      <c r="AR133" s="123">
        <f>AR126</f>
        <v>268.8679245283019</v>
      </c>
      <c r="AS133" s="196">
        <f>AR133*AQ133</f>
        <v>67.216981132075475</v>
      </c>
      <c r="AT133" s="793"/>
      <c r="AU133" s="219">
        <f>AT133*AQ133</f>
        <v>0</v>
      </c>
    </row>
    <row r="134" spans="1:47" s="273" customFormat="1" x14ac:dyDescent="0.25">
      <c r="A134" s="350"/>
      <c r="B134" s="317"/>
      <c r="C134" s="318">
        <v>5</v>
      </c>
      <c r="D134" s="83" t="s">
        <v>416</v>
      </c>
      <c r="E134" s="306" t="s">
        <v>39</v>
      </c>
      <c r="F134" s="302"/>
      <c r="G134" s="75"/>
      <c r="H134" s="74"/>
      <c r="I134" s="74">
        <f t="shared" si="103"/>
        <v>0</v>
      </c>
      <c r="J134" s="74"/>
      <c r="K134" s="74">
        <f t="shared" si="104"/>
        <v>0</v>
      </c>
      <c r="L134" s="72">
        <f t="shared" si="105"/>
        <v>0</v>
      </c>
      <c r="M134" s="74"/>
      <c r="N134" s="74"/>
      <c r="O134" s="72"/>
      <c r="P134" s="305" t="s">
        <v>39</v>
      </c>
      <c r="Q134" s="272"/>
      <c r="R134" s="439"/>
      <c r="T134" s="224"/>
      <c r="W134" s="878" t="s">
        <v>254</v>
      </c>
      <c r="X134" s="878"/>
      <c r="Y134" s="878"/>
      <c r="Z134" s="878"/>
      <c r="AA134" s="878"/>
      <c r="AB134" s="878"/>
      <c r="AC134" s="124" t="s">
        <v>255</v>
      </c>
      <c r="AD134" s="793">
        <v>0.25</v>
      </c>
      <c r="AE134" s="793">
        <v>0.35</v>
      </c>
      <c r="AF134" s="123">
        <f>37/1.06</f>
        <v>34.905660377358487</v>
      </c>
      <c r="AG134" s="196">
        <f>AF134*AE134</f>
        <v>12.216981132075469</v>
      </c>
      <c r="AH134" s="793"/>
      <c r="AI134" s="219">
        <f>AH134*AE134</f>
        <v>0</v>
      </c>
      <c r="AL134" s="878" t="s">
        <v>254</v>
      </c>
      <c r="AM134" s="878"/>
      <c r="AN134" s="878"/>
      <c r="AO134" s="124" t="s">
        <v>255</v>
      </c>
      <c r="AP134" s="793">
        <v>0.25</v>
      </c>
      <c r="AQ134" s="793">
        <v>0.35</v>
      </c>
      <c r="AR134" s="123">
        <f>37/1.06</f>
        <v>34.905660377358487</v>
      </c>
      <c r="AS134" s="196">
        <f>AR134*AQ134</f>
        <v>12.216981132075469</v>
      </c>
      <c r="AT134" s="793"/>
      <c r="AU134" s="219">
        <f>AT134*AQ134</f>
        <v>0</v>
      </c>
    </row>
    <row r="135" spans="1:47" s="224" customFormat="1" x14ac:dyDescent="0.25">
      <c r="A135" s="350"/>
      <c r="B135" s="726"/>
      <c r="C135" s="318">
        <v>6</v>
      </c>
      <c r="D135" s="83" t="s">
        <v>159</v>
      </c>
      <c r="E135" s="306" t="s">
        <v>39</v>
      </c>
      <c r="F135" s="302"/>
      <c r="G135" s="75"/>
      <c r="H135" s="74"/>
      <c r="I135" s="74">
        <f t="shared" si="103"/>
        <v>0</v>
      </c>
      <c r="J135" s="74"/>
      <c r="K135" s="74">
        <f t="shared" si="104"/>
        <v>0</v>
      </c>
      <c r="L135" s="72">
        <f t="shared" si="105"/>
        <v>0</v>
      </c>
      <c r="M135" s="74"/>
      <c r="N135" s="74"/>
      <c r="O135" s="72"/>
      <c r="P135" s="305" t="s">
        <v>39</v>
      </c>
      <c r="Q135" s="272"/>
      <c r="R135" s="439"/>
      <c r="S135" s="273"/>
      <c r="W135" s="878" t="s">
        <v>256</v>
      </c>
      <c r="X135" s="878"/>
      <c r="Y135" s="878"/>
      <c r="Z135" s="878"/>
      <c r="AA135" s="878"/>
      <c r="AB135" s="878"/>
      <c r="AC135" s="124" t="s">
        <v>257</v>
      </c>
      <c r="AD135" s="793">
        <v>1</v>
      </c>
      <c r="AE135" s="793">
        <v>1</v>
      </c>
      <c r="AF135" s="123">
        <v>0</v>
      </c>
      <c r="AG135" s="196">
        <f>AF135*AE135</f>
        <v>0</v>
      </c>
      <c r="AH135" s="793">
        <v>0</v>
      </c>
      <c r="AI135" s="219">
        <f>AH135*AE135</f>
        <v>0</v>
      </c>
      <c r="AL135" s="878" t="s">
        <v>256</v>
      </c>
      <c r="AM135" s="878"/>
      <c r="AN135" s="878"/>
      <c r="AO135" s="124" t="s">
        <v>257</v>
      </c>
      <c r="AP135" s="793">
        <v>1</v>
      </c>
      <c r="AQ135" s="793">
        <v>1</v>
      </c>
      <c r="AR135" s="123">
        <v>0</v>
      </c>
      <c r="AS135" s="196">
        <f>AR135*AQ135</f>
        <v>0</v>
      </c>
      <c r="AT135" s="793">
        <v>0</v>
      </c>
      <c r="AU135" s="219">
        <f>AT135*AQ135</f>
        <v>0</v>
      </c>
    </row>
    <row r="136" spans="1:47" s="224" customFormat="1" x14ac:dyDescent="0.25">
      <c r="A136" s="350"/>
      <c r="B136" s="726"/>
      <c r="C136" s="318">
        <v>7</v>
      </c>
      <c r="D136" s="83" t="s">
        <v>417</v>
      </c>
      <c r="E136" s="306">
        <v>7.5</v>
      </c>
      <c r="F136" s="302">
        <v>8</v>
      </c>
      <c r="G136" s="77" t="s">
        <v>101</v>
      </c>
      <c r="H136" s="566">
        <f>5878*0.85/1.075</f>
        <v>4647.7209302325582</v>
      </c>
      <c r="I136" s="74">
        <f t="shared" si="103"/>
        <v>37181.767441860466</v>
      </c>
      <c r="J136" s="566">
        <f>5878*0.15/1.075</f>
        <v>820.18604651162786</v>
      </c>
      <c r="K136" s="74">
        <f t="shared" si="104"/>
        <v>6561.4883720930229</v>
      </c>
      <c r="L136" s="72">
        <f t="shared" si="105"/>
        <v>43743.255813953489</v>
      </c>
      <c r="M136" s="74">
        <f>H136/$P$264*$P$272</f>
        <v>6472.191771294606</v>
      </c>
      <c r="N136" s="74">
        <f>J136/$P$264*$P$272</f>
        <v>1142.1514890519891</v>
      </c>
      <c r="O136" s="266">
        <f t="shared" si="98"/>
        <v>7614.3432603465953</v>
      </c>
      <c r="P136" s="205">
        <f t="shared" si="99"/>
        <v>60914.746082772763</v>
      </c>
      <c r="Q136" s="272">
        <f>L136/$P$264*$P$272</f>
        <v>60914.746082772755</v>
      </c>
      <c r="R136" s="439">
        <f t="shared" si="100"/>
        <v>0</v>
      </c>
      <c r="S136" s="273"/>
      <c r="W136" s="126"/>
      <c r="X136" s="126"/>
      <c r="Y136" s="126"/>
      <c r="Z136" s="126"/>
      <c r="AA136" s="126"/>
      <c r="AB136" s="126"/>
      <c r="AC136" s="126"/>
      <c r="AD136" s="793"/>
      <c r="AE136" s="793"/>
      <c r="AF136" s="123"/>
      <c r="AG136" s="212">
        <f>SUM(AG132:AG135)</f>
        <v>1167.3640399556048</v>
      </c>
      <c r="AH136" s="794"/>
      <c r="AI136" s="212">
        <f>SUM(AI132:AI135)</f>
        <v>215.1</v>
      </c>
      <c r="AL136" s="126"/>
      <c r="AM136" s="126"/>
      <c r="AN136" s="126"/>
      <c r="AO136" s="126"/>
      <c r="AP136" s="793"/>
      <c r="AQ136" s="793"/>
      <c r="AR136" s="123"/>
      <c r="AS136" s="212">
        <f>SUM(AS132:AS135)</f>
        <v>2011.7869034406215</v>
      </c>
      <c r="AT136" s="794"/>
      <c r="AU136" s="212">
        <f>SUM(AU132:AU135)</f>
        <v>215.1</v>
      </c>
    </row>
    <row r="137" spans="1:47" s="224" customFormat="1" ht="15" customHeight="1" x14ac:dyDescent="0.25">
      <c r="A137" s="350"/>
      <c r="B137" s="319"/>
      <c r="C137" s="318"/>
      <c r="D137" s="82"/>
      <c r="E137" s="242"/>
      <c r="F137" s="302"/>
      <c r="G137" s="75"/>
      <c r="H137" s="74"/>
      <c r="I137" s="74"/>
      <c r="J137" s="74"/>
      <c r="K137" s="74"/>
      <c r="L137" s="74"/>
      <c r="M137" s="74"/>
      <c r="N137" s="74"/>
      <c r="O137" s="72"/>
      <c r="P137" s="205"/>
      <c r="Q137" s="272"/>
      <c r="R137" s="439"/>
      <c r="S137" s="273"/>
    </row>
    <row r="138" spans="1:47" s="273" customFormat="1" x14ac:dyDescent="0.25">
      <c r="A138" s="350"/>
      <c r="B138" s="412" t="s">
        <v>335</v>
      </c>
      <c r="C138" s="413" t="s">
        <v>413</v>
      </c>
      <c r="D138" s="83"/>
      <c r="E138" s="242"/>
      <c r="F138" s="302"/>
      <c r="G138" s="75"/>
      <c r="H138" s="74"/>
      <c r="I138" s="74"/>
      <c r="J138" s="74"/>
      <c r="K138" s="74"/>
      <c r="L138" s="74"/>
      <c r="M138" s="74"/>
      <c r="N138" s="74"/>
      <c r="O138" s="72"/>
      <c r="P138" s="205"/>
      <c r="Q138" s="272"/>
      <c r="R138" s="439"/>
    </row>
    <row r="139" spans="1:47" s="273" customFormat="1" x14ac:dyDescent="0.25">
      <c r="A139" s="350"/>
      <c r="B139" s="317"/>
      <c r="C139" s="318">
        <v>1</v>
      </c>
      <c r="D139" s="83" t="s">
        <v>414</v>
      </c>
      <c r="E139" s="242">
        <v>15.7</v>
      </c>
      <c r="F139" s="302">
        <v>16.5</v>
      </c>
      <c r="G139" s="77" t="s">
        <v>100</v>
      </c>
      <c r="H139" s="566">
        <f>152640*0.85/F139/1.075</f>
        <v>7314.6723044397468</v>
      </c>
      <c r="I139" s="74">
        <f>F139*H139</f>
        <v>120692.09302325582</v>
      </c>
      <c r="J139" s="566">
        <f>152640*0.15/F139/1.075</f>
        <v>1290.8245243128965</v>
      </c>
      <c r="K139" s="74">
        <f t="shared" ref="K139:K142" si="106">F139*J139</f>
        <v>21298.604651162794</v>
      </c>
      <c r="L139" s="72">
        <f t="shared" ref="L139:L142" si="107">I139+K139</f>
        <v>141990.69767441862</v>
      </c>
      <c r="M139" s="74">
        <f>H139/$P$264*$P$272</f>
        <v>10186.059492204198</v>
      </c>
      <c r="N139" s="74">
        <f>J139/$P$264*$P$272</f>
        <v>1797.5399103889763</v>
      </c>
      <c r="O139" s="266">
        <f t="shared" si="98"/>
        <v>11983.599402593174</v>
      </c>
      <c r="P139" s="205">
        <f t="shared" si="99"/>
        <v>197729.39014278736</v>
      </c>
      <c r="Q139" s="272">
        <f>L139/$P$264*$P$272</f>
        <v>197729.39014278739</v>
      </c>
      <c r="R139" s="439">
        <f t="shared" si="100"/>
        <v>0</v>
      </c>
    </row>
    <row r="140" spans="1:47" s="273" customFormat="1" x14ac:dyDescent="0.25">
      <c r="A140" s="350"/>
      <c r="B140" s="317"/>
      <c r="C140" s="318">
        <v>2</v>
      </c>
      <c r="D140" s="83" t="s">
        <v>415</v>
      </c>
      <c r="E140" s="242">
        <v>8.5</v>
      </c>
      <c r="F140" s="302">
        <v>9</v>
      </c>
      <c r="G140" s="77" t="s">
        <v>100</v>
      </c>
      <c r="H140" s="566">
        <f>59360*0.8/F140/1.075</f>
        <v>4908.3204134366924</v>
      </c>
      <c r="I140" s="74">
        <f>F140*H140</f>
        <v>44174.883720930229</v>
      </c>
      <c r="J140" s="566">
        <f>59360*0.2/F140/1.075</f>
        <v>1227.0801033591731</v>
      </c>
      <c r="K140" s="74">
        <f t="shared" si="106"/>
        <v>11043.720930232557</v>
      </c>
      <c r="L140" s="72">
        <f t="shared" si="107"/>
        <v>55218.604651162786</v>
      </c>
      <c r="M140" s="74">
        <f>H140/$P$264*$P$272</f>
        <v>6835.0900296272175</v>
      </c>
      <c r="N140" s="74">
        <f>J140/$P$264*$P$272</f>
        <v>1708.7725074068044</v>
      </c>
      <c r="O140" s="266">
        <f t="shared" si="98"/>
        <v>8543.8625370340214</v>
      </c>
      <c r="P140" s="205">
        <f t="shared" si="99"/>
        <v>76894.762833306188</v>
      </c>
      <c r="Q140" s="272">
        <f>L140/$P$264*$P$272</f>
        <v>76894.762833306188</v>
      </c>
      <c r="R140" s="439">
        <f t="shared" si="100"/>
        <v>0</v>
      </c>
    </row>
    <row r="141" spans="1:47" s="273" customFormat="1" x14ac:dyDescent="0.25">
      <c r="A141" s="350"/>
      <c r="B141" s="317"/>
      <c r="C141" s="318">
        <v>3</v>
      </c>
      <c r="D141" s="83" t="s">
        <v>336</v>
      </c>
      <c r="E141" s="242">
        <v>4</v>
      </c>
      <c r="F141" s="302">
        <v>4</v>
      </c>
      <c r="G141" s="77" t="s">
        <v>100</v>
      </c>
      <c r="H141" s="74">
        <f>AU210/F141</f>
        <v>6588.8095238095229</v>
      </c>
      <c r="I141" s="74">
        <f>F141*H141</f>
        <v>26355.238095238092</v>
      </c>
      <c r="J141" s="74">
        <f>AW210/F141</f>
        <v>3442.5</v>
      </c>
      <c r="K141" s="74">
        <f t="shared" si="106"/>
        <v>13770</v>
      </c>
      <c r="L141" s="72">
        <f t="shared" si="107"/>
        <v>40125.238095238092</v>
      </c>
      <c r="M141" s="74">
        <f>H141/$P$264*$P$272</f>
        <v>9175.2580292065304</v>
      </c>
      <c r="N141" s="74">
        <f>J141/$P$264*$P$272</f>
        <v>4793.8592930033838</v>
      </c>
      <c r="O141" s="266">
        <f t="shared" si="98"/>
        <v>13969.117322209913</v>
      </c>
      <c r="P141" s="205">
        <f t="shared" si="99"/>
        <v>55876.469288839653</v>
      </c>
      <c r="Q141" s="272">
        <f>L141/$P$264*$P$272</f>
        <v>55876.469288839653</v>
      </c>
      <c r="R141" s="439">
        <f t="shared" si="100"/>
        <v>0</v>
      </c>
      <c r="T141" s="224"/>
      <c r="AG141" s="224"/>
      <c r="AI141" s="224"/>
    </row>
    <row r="142" spans="1:47" s="273" customFormat="1" x14ac:dyDescent="0.25">
      <c r="A142" s="350"/>
      <c r="B142" s="317"/>
      <c r="C142" s="318">
        <v>4</v>
      </c>
      <c r="D142" s="83" t="s">
        <v>337</v>
      </c>
      <c r="E142" s="242">
        <v>56</v>
      </c>
      <c r="F142" s="302">
        <v>58</v>
      </c>
      <c r="G142" s="77" t="s">
        <v>101</v>
      </c>
      <c r="H142" s="74">
        <v>185</v>
      </c>
      <c r="I142" s="74">
        <f>F142*H142</f>
        <v>10730</v>
      </c>
      <c r="J142" s="74">
        <v>185</v>
      </c>
      <c r="K142" s="74">
        <f t="shared" si="106"/>
        <v>10730</v>
      </c>
      <c r="L142" s="72">
        <f t="shared" si="107"/>
        <v>21460</v>
      </c>
      <c r="M142" s="74">
        <f>H142/$P$264*$P$272</f>
        <v>257.62206803358777</v>
      </c>
      <c r="N142" s="74">
        <f>J142/$P$264*$P$272</f>
        <v>257.62206803358777</v>
      </c>
      <c r="O142" s="72">
        <f t="shared" si="98"/>
        <v>515.24413606717553</v>
      </c>
      <c r="P142" s="205">
        <f t="shared" si="99"/>
        <v>29884.159891896183</v>
      </c>
      <c r="Q142" s="272">
        <f>L142/$P$264*$P$272</f>
        <v>29884.159891896183</v>
      </c>
      <c r="R142" s="439">
        <f t="shared" si="100"/>
        <v>0</v>
      </c>
      <c r="T142" s="224"/>
      <c r="AG142" s="224"/>
      <c r="AI142" s="224"/>
    </row>
    <row r="143" spans="1:47" s="273" customFormat="1" x14ac:dyDescent="0.25">
      <c r="A143" s="350"/>
      <c r="B143" s="724"/>
      <c r="C143" s="725"/>
      <c r="D143" s="83"/>
      <c r="E143" s="242"/>
      <c r="F143" s="302"/>
      <c r="G143" s="75"/>
      <c r="H143" s="74"/>
      <c r="I143" s="74"/>
      <c r="J143" s="74"/>
      <c r="K143" s="74"/>
      <c r="L143" s="74"/>
      <c r="M143" s="74"/>
      <c r="N143" s="74"/>
      <c r="O143" s="72"/>
      <c r="P143" s="205"/>
      <c r="Q143" s="272"/>
      <c r="R143" s="439"/>
    </row>
    <row r="144" spans="1:47" s="273" customFormat="1" x14ac:dyDescent="0.25">
      <c r="A144" s="350"/>
      <c r="B144" s="317"/>
      <c r="C144" s="318"/>
      <c r="D144" s="83"/>
      <c r="E144" s="242"/>
      <c r="F144" s="302"/>
      <c r="G144" s="77"/>
      <c r="H144" s="74"/>
      <c r="I144" s="74"/>
      <c r="J144" s="74"/>
      <c r="K144" s="74"/>
      <c r="L144" s="72"/>
      <c r="M144" s="74"/>
      <c r="N144" s="74"/>
      <c r="O144" s="72"/>
      <c r="P144" s="205"/>
      <c r="Q144" s="272"/>
      <c r="R144" s="439"/>
    </row>
    <row r="145" spans="1:42" s="224" customFormat="1" x14ac:dyDescent="0.25">
      <c r="A145" s="411"/>
      <c r="B145" s="412" t="s">
        <v>338</v>
      </c>
      <c r="C145" s="413" t="s">
        <v>131</v>
      </c>
      <c r="D145" s="82"/>
      <c r="E145" s="242"/>
      <c r="F145" s="302"/>
      <c r="G145" s="77"/>
      <c r="H145" s="74"/>
      <c r="I145" s="74"/>
      <c r="J145" s="74"/>
      <c r="K145" s="74"/>
      <c r="L145" s="72"/>
      <c r="M145" s="74"/>
      <c r="N145" s="74"/>
      <c r="O145" s="72"/>
      <c r="P145" s="205"/>
      <c r="Q145" s="272"/>
      <c r="R145" s="439"/>
      <c r="S145" s="273"/>
    </row>
    <row r="146" spans="1:42" s="224" customFormat="1" x14ac:dyDescent="0.25">
      <c r="A146" s="411"/>
      <c r="B146" s="412"/>
      <c r="C146" s="413">
        <v>1</v>
      </c>
      <c r="D146" s="83" t="s">
        <v>456</v>
      </c>
      <c r="E146" s="242">
        <v>1</v>
      </c>
      <c r="F146" s="302">
        <v>1</v>
      </c>
      <c r="G146" s="77" t="s">
        <v>55</v>
      </c>
      <c r="H146" s="566">
        <f>(23600+74200)*0.85/1.3889/1.075</f>
        <v>55677.32202328428</v>
      </c>
      <c r="I146" s="74">
        <f t="shared" ref="I146:I148" si="108">F146*H146</f>
        <v>55677.32202328428</v>
      </c>
      <c r="J146" s="566">
        <f>(23600+74200)*0.15/1.3889/1.075</f>
        <v>9825.409768814874</v>
      </c>
      <c r="K146" s="74">
        <f t="shared" ref="K146:K148" si="109">F146*J146</f>
        <v>9825.409768814874</v>
      </c>
      <c r="L146" s="72">
        <f t="shared" ref="L146:L148" si="110">I146+K146</f>
        <v>65502.731792099155</v>
      </c>
      <c r="M146" s="74">
        <f>H146/$P$264*$P$272</f>
        <v>77533.55049843523</v>
      </c>
      <c r="N146" s="74">
        <f>J146/$P$264*$P$272</f>
        <v>13682.391264429749</v>
      </c>
      <c r="O146" s="266">
        <f t="shared" si="98"/>
        <v>91215.941762864983</v>
      </c>
      <c r="P146" s="205">
        <f t="shared" si="99"/>
        <v>91215.941762864983</v>
      </c>
      <c r="Q146" s="272">
        <f>L146/$P$264*$P$272</f>
        <v>91215.941762864983</v>
      </c>
      <c r="R146" s="439">
        <f t="shared" si="100"/>
        <v>0</v>
      </c>
      <c r="S146" s="273"/>
    </row>
    <row r="147" spans="1:42" s="224" customFormat="1" x14ac:dyDescent="0.25">
      <c r="A147" s="350"/>
      <c r="B147" s="412"/>
      <c r="C147" s="413">
        <v>2</v>
      </c>
      <c r="D147" s="83" t="s">
        <v>457</v>
      </c>
      <c r="E147" s="242">
        <v>1</v>
      </c>
      <c r="F147" s="302">
        <v>1</v>
      </c>
      <c r="G147" s="77" t="s">
        <v>55</v>
      </c>
      <c r="H147" s="566">
        <f>(58600+74200)*0.85/1.3889/1.075</f>
        <v>75602.74401525718</v>
      </c>
      <c r="I147" s="74">
        <f t="shared" si="108"/>
        <v>75602.74401525718</v>
      </c>
      <c r="J147" s="566">
        <f>(58600+74200)*0.15/1.3889/1.075</f>
        <v>13341.660708574798</v>
      </c>
      <c r="K147" s="74">
        <f t="shared" si="109"/>
        <v>13341.660708574798</v>
      </c>
      <c r="L147" s="72">
        <f t="shared" si="110"/>
        <v>88944.404723831976</v>
      </c>
      <c r="M147" s="74">
        <f>H147/$P$264*$P$272</f>
        <v>105280.73114715949</v>
      </c>
      <c r="N147" s="74">
        <f>J147/$P$264*$P$272</f>
        <v>18578.952555381089</v>
      </c>
      <c r="O147" s="266">
        <f t="shared" si="98"/>
        <v>123859.68370254058</v>
      </c>
      <c r="P147" s="205">
        <f t="shared" si="99"/>
        <v>123859.68370254058</v>
      </c>
      <c r="Q147" s="272">
        <f>L147/$P$264*$P$272</f>
        <v>123859.6837025406</v>
      </c>
      <c r="R147" s="439">
        <f t="shared" si="100"/>
        <v>0</v>
      </c>
      <c r="S147" s="273"/>
      <c r="U147" s="225"/>
      <c r="V147" s="225"/>
    </row>
    <row r="148" spans="1:42" s="224" customFormat="1" x14ac:dyDescent="0.25">
      <c r="A148" s="411"/>
      <c r="B148" s="412"/>
      <c r="C148" s="413">
        <v>3</v>
      </c>
      <c r="D148" s="83" t="s">
        <v>418</v>
      </c>
      <c r="E148" s="242">
        <v>1</v>
      </c>
      <c r="F148" s="302">
        <v>1</v>
      </c>
      <c r="G148" s="77" t="s">
        <v>55</v>
      </c>
      <c r="H148" s="74">
        <f>5900*0.85/1.3889/1.03</f>
        <v>3505.6030231369796</v>
      </c>
      <c r="I148" s="74">
        <f t="shared" si="108"/>
        <v>3505.6030231369796</v>
      </c>
      <c r="J148" s="74">
        <f>5900*0.15/1.3889/1.03</f>
        <v>618.63582761240821</v>
      </c>
      <c r="K148" s="74">
        <f t="shared" si="109"/>
        <v>618.63582761240821</v>
      </c>
      <c r="L148" s="72">
        <f t="shared" si="110"/>
        <v>4124.2388507493879</v>
      </c>
      <c r="M148" s="74">
        <f>H148/$P$264*$P$272</f>
        <v>4881.7335163532207</v>
      </c>
      <c r="N148" s="74">
        <f>J148/$P$264*$P$272</f>
        <v>861.48238523880377</v>
      </c>
      <c r="O148" s="72">
        <f t="shared" si="98"/>
        <v>5743.2159015920242</v>
      </c>
      <c r="P148" s="205">
        <f t="shared" si="99"/>
        <v>5743.2159015920242</v>
      </c>
      <c r="Q148" s="272">
        <f>L148/$P$264*$P$272</f>
        <v>5743.2159015920261</v>
      </c>
      <c r="R148" s="439">
        <f t="shared" si="100"/>
        <v>0</v>
      </c>
      <c r="S148" s="273"/>
      <c r="U148" s="225"/>
      <c r="V148" s="225"/>
    </row>
    <row r="149" spans="1:42" s="224" customFormat="1" x14ac:dyDescent="0.25">
      <c r="A149" s="350"/>
      <c r="B149" s="718"/>
      <c r="C149" s="719"/>
      <c r="D149" s="82"/>
      <c r="E149" s="242"/>
      <c r="F149" s="302"/>
      <c r="G149" s="75"/>
      <c r="H149" s="74"/>
      <c r="I149" s="74"/>
      <c r="J149" s="74"/>
      <c r="K149" s="74"/>
      <c r="L149" s="74"/>
      <c r="M149" s="74"/>
      <c r="N149" s="74"/>
      <c r="O149" s="72"/>
      <c r="P149" s="205"/>
      <c r="Q149" s="272"/>
      <c r="R149" s="439"/>
      <c r="S149" s="273"/>
      <c r="U149" s="225"/>
      <c r="V149" s="225"/>
    </row>
    <row r="150" spans="1:42" s="273" customFormat="1" x14ac:dyDescent="0.25">
      <c r="A150" s="350"/>
      <c r="B150" s="412" t="s">
        <v>339</v>
      </c>
      <c r="C150" s="413" t="s">
        <v>340</v>
      </c>
      <c r="D150" s="83"/>
      <c r="E150" s="242"/>
      <c r="F150" s="302"/>
      <c r="G150" s="75"/>
      <c r="H150" s="74"/>
      <c r="I150" s="74"/>
      <c r="J150" s="74"/>
      <c r="K150" s="74"/>
      <c r="L150" s="74"/>
      <c r="M150" s="74"/>
      <c r="N150" s="74"/>
      <c r="O150" s="72"/>
      <c r="P150" s="205"/>
      <c r="Q150" s="272"/>
      <c r="R150" s="439"/>
      <c r="T150" s="224"/>
      <c r="AG150" s="224"/>
      <c r="AI150" s="224"/>
    </row>
    <row r="151" spans="1:42" s="273" customFormat="1" x14ac:dyDescent="0.25">
      <c r="A151" s="350"/>
      <c r="B151" s="317"/>
      <c r="C151" s="318">
        <v>1</v>
      </c>
      <c r="D151" s="83" t="s">
        <v>341</v>
      </c>
      <c r="E151" s="242">
        <v>1</v>
      </c>
      <c r="F151" s="302">
        <v>1</v>
      </c>
      <c r="G151" s="77" t="s">
        <v>55</v>
      </c>
      <c r="H151" s="566">
        <f>79415.5*0.7/1.085</f>
        <v>51235.806451612902</v>
      </c>
      <c r="I151" s="74">
        <f>F151*H151</f>
        <v>51235.806451612902</v>
      </c>
      <c r="J151" s="566">
        <f>79415.5*0.3/1.085</f>
        <v>21958.202764976959</v>
      </c>
      <c r="K151" s="74">
        <f t="shared" ref="K151:K153" si="111">F151*J151</f>
        <v>21958.202764976959</v>
      </c>
      <c r="L151" s="72">
        <f t="shared" ref="L151:L153" si="112">I151+K151</f>
        <v>73194.009216589853</v>
      </c>
      <c r="M151" s="74">
        <f t="shared" ref="M151:M152" si="113">H151/$P$264*$P$272</f>
        <v>71348.51035369272</v>
      </c>
      <c r="N151" s="74">
        <f t="shared" ref="N151:N152" si="114">J151/$P$264*$P$272</f>
        <v>30577.933008725457</v>
      </c>
      <c r="O151" s="266">
        <f t="shared" ref="O151:O153" si="115">N151+M151</f>
        <v>101926.44336241818</v>
      </c>
      <c r="P151" s="205">
        <f t="shared" ref="P151:P153" si="116">O151*F151</f>
        <v>101926.44336241818</v>
      </c>
      <c r="Q151" s="272">
        <f t="shared" ref="Q151:Q152" si="117">L151/$P$264*$P$272</f>
        <v>101926.44336241817</v>
      </c>
      <c r="R151" s="439">
        <f t="shared" ref="R151:R153" si="118">P151-Q151</f>
        <v>0</v>
      </c>
      <c r="T151" s="224"/>
      <c r="V151" s="224"/>
      <c r="W151" s="225"/>
      <c r="X151" s="225"/>
      <c r="Y151" s="225"/>
      <c r="Z151" s="225"/>
      <c r="AA151" s="225"/>
      <c r="AB151" s="932" t="s">
        <v>366</v>
      </c>
      <c r="AC151" s="932"/>
      <c r="AD151" s="932"/>
      <c r="AE151" s="807"/>
      <c r="AF151" s="807"/>
      <c r="AG151" s="807"/>
      <c r="AH151" s="807"/>
      <c r="AI151" s="807"/>
      <c r="AJ151" s="728"/>
      <c r="AK151" s="728"/>
    </row>
    <row r="152" spans="1:42" s="273" customFormat="1" x14ac:dyDescent="0.25">
      <c r="A152" s="350"/>
      <c r="B152" s="317"/>
      <c r="C152" s="318">
        <v>2</v>
      </c>
      <c r="D152" s="83" t="s">
        <v>342</v>
      </c>
      <c r="E152" s="242">
        <v>1</v>
      </c>
      <c r="F152" s="302">
        <v>1</v>
      </c>
      <c r="G152" s="77" t="s">
        <v>55</v>
      </c>
      <c r="H152" s="566">
        <f>120317.5*0.7/1.085</f>
        <v>77624.193548387106</v>
      </c>
      <c r="I152" s="74">
        <f>F152*H152</f>
        <v>77624.193548387106</v>
      </c>
      <c r="J152" s="566">
        <f>120317.5*0.3/1.085</f>
        <v>33267.511520737331</v>
      </c>
      <c r="K152" s="74">
        <f t="shared" si="111"/>
        <v>33267.511520737331</v>
      </c>
      <c r="L152" s="72">
        <f t="shared" si="112"/>
        <v>110891.70506912444</v>
      </c>
      <c r="M152" s="74">
        <f t="shared" si="113"/>
        <v>108095.70416959442</v>
      </c>
      <c r="N152" s="74">
        <f t="shared" si="114"/>
        <v>46326.73035839761</v>
      </c>
      <c r="O152" s="266">
        <f t="shared" si="115"/>
        <v>154422.43452799204</v>
      </c>
      <c r="P152" s="205">
        <f t="shared" si="116"/>
        <v>154422.43452799204</v>
      </c>
      <c r="Q152" s="272">
        <f t="shared" si="117"/>
        <v>154422.43452799204</v>
      </c>
      <c r="R152" s="439">
        <f t="shared" si="118"/>
        <v>0</v>
      </c>
      <c r="T152" s="224"/>
      <c r="V152" s="224"/>
      <c r="W152" s="225"/>
      <c r="X152" s="225"/>
      <c r="Y152" s="225"/>
      <c r="Z152" s="225"/>
      <c r="AA152" s="225"/>
      <c r="AB152" s="354"/>
      <c r="AC152" s="354"/>
      <c r="AD152" s="354"/>
      <c r="AE152" s="807" t="s">
        <v>81</v>
      </c>
      <c r="AF152" s="807" t="s">
        <v>6</v>
      </c>
      <c r="AG152" s="807" t="s">
        <v>5</v>
      </c>
      <c r="AH152" s="807" t="s">
        <v>174</v>
      </c>
      <c r="AI152" s="807" t="s">
        <v>175</v>
      </c>
      <c r="AJ152" s="728" t="s">
        <v>176</v>
      </c>
      <c r="AK152" s="728" t="s">
        <v>177</v>
      </c>
    </row>
    <row r="153" spans="1:42" s="273" customFormat="1" x14ac:dyDescent="0.25">
      <c r="A153" s="350"/>
      <c r="B153" s="317"/>
      <c r="C153" s="318">
        <v>3</v>
      </c>
      <c r="D153" s="83" t="s">
        <v>359</v>
      </c>
      <c r="E153" s="242">
        <v>6.3</v>
      </c>
      <c r="F153" s="302">
        <v>6.5</v>
      </c>
      <c r="G153" s="77" t="s">
        <v>100</v>
      </c>
      <c r="H153" s="74">
        <f>(AH218*2+AH236*3)/F153/1.085</f>
        <v>2993.8319744771361</v>
      </c>
      <c r="I153" s="74">
        <f>F153*H153</f>
        <v>19459.907834101385</v>
      </c>
      <c r="J153" s="74">
        <f>(AH225*2+AH243*3)/F153/1.085</f>
        <v>2819.5675292449487</v>
      </c>
      <c r="K153" s="74">
        <f t="shared" si="111"/>
        <v>18327.188940092165</v>
      </c>
      <c r="L153" s="72">
        <f t="shared" si="112"/>
        <v>37787.096774193546</v>
      </c>
      <c r="M153" s="74">
        <f>H153/$P$264*$P$272</f>
        <v>4169.0658627561043</v>
      </c>
      <c r="N153" s="74">
        <f>J153/$P$264*$P$272</f>
        <v>3926.3936099699304</v>
      </c>
      <c r="O153" s="72">
        <f t="shared" si="115"/>
        <v>8095.4594727260346</v>
      </c>
      <c r="P153" s="205">
        <f t="shared" si="116"/>
        <v>52620.486572719223</v>
      </c>
      <c r="Q153" s="272">
        <f>L153/$P$264*$P$272</f>
        <v>52620.486572719215</v>
      </c>
      <c r="R153" s="439">
        <f t="shared" si="118"/>
        <v>0</v>
      </c>
      <c r="T153" s="224"/>
      <c r="V153" s="224"/>
      <c r="W153" s="225"/>
      <c r="X153" s="225"/>
      <c r="Y153" s="225"/>
      <c r="Z153" s="225"/>
      <c r="AA153" s="225"/>
      <c r="AB153" s="931" t="s">
        <v>367</v>
      </c>
      <c r="AC153" s="931"/>
      <c r="AD153" s="931"/>
      <c r="AE153" s="729">
        <f>5.925*5.9</f>
        <v>34.957500000000003</v>
      </c>
      <c r="AF153" s="806">
        <v>35</v>
      </c>
      <c r="AG153" s="806" t="s">
        <v>101</v>
      </c>
      <c r="AH153" s="730">
        <f>4500/1.12</f>
        <v>4017.8571428571427</v>
      </c>
      <c r="AI153" s="730">
        <f>AH153*AF153</f>
        <v>140625</v>
      </c>
      <c r="AJ153" s="731">
        <v>375</v>
      </c>
      <c r="AK153" s="731">
        <f>AJ153*AF153</f>
        <v>13125</v>
      </c>
    </row>
    <row r="154" spans="1:42" s="273" customFormat="1" ht="15.75" thickBot="1" x14ac:dyDescent="0.3">
      <c r="A154" s="350"/>
      <c r="B154" s="724"/>
      <c r="C154" s="725"/>
      <c r="D154" s="83"/>
      <c r="E154" s="242"/>
      <c r="F154" s="302"/>
      <c r="G154" s="75"/>
      <c r="H154" s="74"/>
      <c r="I154" s="74"/>
      <c r="J154" s="74"/>
      <c r="K154" s="74"/>
      <c r="L154" s="74"/>
      <c r="M154" s="72"/>
      <c r="N154" s="72"/>
      <c r="O154" s="72"/>
      <c r="P154" s="205"/>
      <c r="Q154" s="272">
        <f>L154/$P$264*$P$272</f>
        <v>0</v>
      </c>
      <c r="R154" s="439"/>
      <c r="T154" s="224"/>
      <c r="V154" s="224"/>
      <c r="W154" s="225"/>
      <c r="X154" s="225"/>
      <c r="Y154" s="225"/>
      <c r="Z154" s="225"/>
      <c r="AA154" s="225"/>
      <c r="AB154" s="931" t="s">
        <v>368</v>
      </c>
      <c r="AC154" s="931"/>
      <c r="AD154" s="931"/>
      <c r="AE154" s="806">
        <f>2*3.5</f>
        <v>7</v>
      </c>
      <c r="AF154" s="806">
        <v>12</v>
      </c>
      <c r="AG154" s="806" t="s">
        <v>100</v>
      </c>
      <c r="AH154" s="730">
        <f>7.4*50</f>
        <v>370</v>
      </c>
      <c r="AI154" s="730">
        <f>AH154*AF154</f>
        <v>4440</v>
      </c>
      <c r="AJ154" s="731">
        <v>85</v>
      </c>
      <c r="AK154" s="731">
        <f>AJ154*AF154</f>
        <v>1020</v>
      </c>
    </row>
    <row r="155" spans="1:42" s="234" customFormat="1" ht="15.75" thickBot="1" x14ac:dyDescent="0.3">
      <c r="A155" s="308"/>
      <c r="B155" s="910" t="s">
        <v>343</v>
      </c>
      <c r="C155" s="911"/>
      <c r="D155" s="912"/>
      <c r="E155" s="309"/>
      <c r="F155" s="310"/>
      <c r="G155" s="311"/>
      <c r="H155" s="312"/>
      <c r="I155" s="313">
        <f>SUM(I36:I154)</f>
        <v>2807082.176122278</v>
      </c>
      <c r="J155" s="312"/>
      <c r="K155" s="313">
        <f>SUM(K36:K154)</f>
        <v>985986.923484297</v>
      </c>
      <c r="L155" s="313">
        <f>SUM(L36:L154)</f>
        <v>3793069.099606575</v>
      </c>
      <c r="M155" s="312"/>
      <c r="N155" s="312"/>
      <c r="O155" s="313"/>
      <c r="P155" s="315">
        <f>SUM(P36:P154)</f>
        <v>5282044.8953240234</v>
      </c>
      <c r="Q155" s="272">
        <f>L155/$P$264*$P$272</f>
        <v>5282044.8953240244</v>
      </c>
      <c r="R155" s="439">
        <f t="shared" ref="R155" si="119">P155-Q155</f>
        <v>0</v>
      </c>
      <c r="T155" s="211"/>
      <c r="V155" s="224"/>
      <c r="W155" s="225"/>
      <c r="X155" s="225"/>
      <c r="Y155" s="225"/>
      <c r="Z155" s="225"/>
      <c r="AA155" s="225"/>
      <c r="AB155" s="899" t="s">
        <v>369</v>
      </c>
      <c r="AC155" s="899"/>
      <c r="AD155" s="899"/>
      <c r="AE155" s="796">
        <v>11.8</v>
      </c>
      <c r="AF155" s="796">
        <v>12</v>
      </c>
      <c r="AG155" s="796" t="s">
        <v>100</v>
      </c>
      <c r="AH155" s="360">
        <f>47.1*36/1.12</f>
        <v>1513.9285714285713</v>
      </c>
      <c r="AI155" s="360">
        <f>AH155*AF155</f>
        <v>18167.142857142855</v>
      </c>
      <c r="AJ155" s="362">
        <v>200</v>
      </c>
      <c r="AK155" s="362">
        <f>AJ155*AF155</f>
        <v>2400</v>
      </c>
      <c r="AL155" s="277"/>
      <c r="AM155" s="277"/>
      <c r="AN155" s="278"/>
      <c r="AO155" s="225"/>
      <c r="AP155" s="282"/>
    </row>
    <row r="156" spans="1:42" s="225" customFormat="1" ht="15.75" x14ac:dyDescent="0.25">
      <c r="A156" s="517" t="s">
        <v>86</v>
      </c>
      <c r="B156" s="513" t="s">
        <v>344</v>
      </c>
      <c r="C156" s="514"/>
      <c r="D156" s="515"/>
      <c r="E156" s="709"/>
      <c r="F156" s="710"/>
      <c r="G156" s="711"/>
      <c r="H156" s="256"/>
      <c r="I156" s="256"/>
      <c r="J156" s="256"/>
      <c r="K156" s="256"/>
      <c r="L156" s="256"/>
      <c r="M156" s="256"/>
      <c r="N156" s="256"/>
      <c r="O156" s="256"/>
      <c r="P156" s="257"/>
      <c r="Q156" s="272"/>
      <c r="R156" s="439"/>
      <c r="T156" s="224"/>
      <c r="V156" s="224"/>
      <c r="AB156" s="931" t="s">
        <v>370</v>
      </c>
      <c r="AC156" s="931"/>
      <c r="AD156" s="931"/>
      <c r="AE156" s="363">
        <f>(5.825*7)+(5.9*2)</f>
        <v>52.575000000000003</v>
      </c>
      <c r="AF156" s="806">
        <v>54</v>
      </c>
      <c r="AG156" s="806" t="s">
        <v>100</v>
      </c>
      <c r="AH156" s="730">
        <f>33*36/1.12</f>
        <v>1060.7142857142856</v>
      </c>
      <c r="AI156" s="730">
        <f>AH156*AF156</f>
        <v>57278.57142857142</v>
      </c>
      <c r="AJ156" s="731">
        <v>130</v>
      </c>
      <c r="AK156" s="731">
        <f>AJ156*AF156</f>
        <v>7020</v>
      </c>
      <c r="AL156" s="286"/>
      <c r="AM156" s="286"/>
      <c r="AN156" s="127"/>
      <c r="AO156" s="285"/>
    </row>
    <row r="157" spans="1:42" s="224" customFormat="1" x14ac:dyDescent="0.25">
      <c r="A157" s="350"/>
      <c r="B157" s="412" t="s">
        <v>319</v>
      </c>
      <c r="C157" s="413" t="s">
        <v>132</v>
      </c>
      <c r="D157" s="316"/>
      <c r="E157" s="244"/>
      <c r="F157" s="30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/>
      <c r="R157" s="439"/>
      <c r="S157" s="273"/>
      <c r="W157" s="225"/>
      <c r="X157" s="225"/>
      <c r="Y157" s="225"/>
      <c r="Z157" s="225"/>
      <c r="AA157" s="225"/>
      <c r="AB157" s="931" t="s">
        <v>371</v>
      </c>
      <c r="AC157" s="931"/>
      <c r="AD157" s="931"/>
      <c r="AE157" s="363">
        <f>(5.825*1)</f>
        <v>5.8250000000000002</v>
      </c>
      <c r="AF157" s="806">
        <v>6</v>
      </c>
      <c r="AG157" s="806" t="s">
        <v>100</v>
      </c>
      <c r="AH157" s="730">
        <f>9.42*36/1.075</f>
        <v>315.46046511627907</v>
      </c>
      <c r="AI157" s="730">
        <f>AH157*AF157</f>
        <v>1892.7627906976745</v>
      </c>
      <c r="AJ157" s="731">
        <v>35</v>
      </c>
      <c r="AK157" s="731">
        <f>AJ157*AF157</f>
        <v>210</v>
      </c>
    </row>
    <row r="158" spans="1:42" s="224" customFormat="1" x14ac:dyDescent="0.25">
      <c r="A158" s="350"/>
      <c r="B158" s="317"/>
      <c r="C158" s="318">
        <v>1</v>
      </c>
      <c r="D158" s="83" t="s">
        <v>419</v>
      </c>
      <c r="E158" s="242">
        <f>61+1+5</f>
        <v>67</v>
      </c>
      <c r="F158" s="242">
        <f>61+1+5</f>
        <v>67</v>
      </c>
      <c r="G158" s="77" t="s">
        <v>283</v>
      </c>
      <c r="H158" s="74">
        <f>360/1.05</f>
        <v>342.85714285714283</v>
      </c>
      <c r="I158" s="74">
        <f>F158*H158</f>
        <v>22971.428571428569</v>
      </c>
      <c r="J158" s="74">
        <v>130</v>
      </c>
      <c r="K158" s="74">
        <f t="shared" ref="K158:K161" si="120">F158*J158</f>
        <v>8710</v>
      </c>
      <c r="L158" s="72">
        <f t="shared" ref="L158:L161" si="121">I158+K158</f>
        <v>31681.428571428569</v>
      </c>
      <c r="M158" s="74">
        <f>X158/$S$217*$S$218</f>
        <v>457.70956227863775</v>
      </c>
      <c r="N158" s="74">
        <f>Y158/$S$217*$S$218</f>
        <v>173.54820903065018</v>
      </c>
      <c r="O158" s="72">
        <f t="shared" ref="O158:O215" si="122">N158+M158</f>
        <v>631.25777130928793</v>
      </c>
      <c r="P158" s="205">
        <f t="shared" ref="P158:P215" si="123">O158*F158</f>
        <v>42294.270677722292</v>
      </c>
      <c r="Q158" s="272">
        <f>L158/$P$264*$P$272</f>
        <v>44118.027820701747</v>
      </c>
      <c r="R158" s="439">
        <f t="shared" ref="R158:R215" si="124">P158-Q158</f>
        <v>-1823.7571429794552</v>
      </c>
      <c r="S158" s="273"/>
      <c r="T158" s="74">
        <f>360/1.05</f>
        <v>342.85714285714283</v>
      </c>
      <c r="W158" s="838"/>
      <c r="X158" s="841">
        <v>475.7688989331981</v>
      </c>
      <c r="Y158" s="841">
        <v>180.39570751217099</v>
      </c>
      <c r="Z158" s="841"/>
      <c r="AA158" s="838"/>
      <c r="AB158" s="838" t="s">
        <v>372</v>
      </c>
      <c r="AC158" s="838"/>
      <c r="AD158" s="838"/>
      <c r="AE158" s="729">
        <f>7*5.925</f>
        <v>41.475000000000001</v>
      </c>
      <c r="AF158" s="806">
        <v>42</v>
      </c>
      <c r="AG158" s="732" t="s">
        <v>100</v>
      </c>
      <c r="AH158" s="730">
        <f>4.7*70/1.12</f>
        <v>293.75</v>
      </c>
      <c r="AI158" s="730">
        <f t="shared" ref="AI158:AI161" si="125">AH158*AF158</f>
        <v>12337.5</v>
      </c>
      <c r="AJ158" s="731">
        <v>60</v>
      </c>
      <c r="AK158" s="731">
        <f t="shared" ref="AK158:AK161" si="126">AJ158*AF158</f>
        <v>2520</v>
      </c>
    </row>
    <row r="159" spans="1:42" s="224" customFormat="1" x14ac:dyDescent="0.25">
      <c r="A159" s="350"/>
      <c r="B159" s="317"/>
      <c r="C159" s="318">
        <v>2</v>
      </c>
      <c r="D159" s="83" t="s">
        <v>134</v>
      </c>
      <c r="E159" s="242">
        <v>88</v>
      </c>
      <c r="F159" s="242">
        <v>88</v>
      </c>
      <c r="G159" s="77" t="s">
        <v>283</v>
      </c>
      <c r="H159" s="74">
        <f>837/1.05</f>
        <v>797.14285714285711</v>
      </c>
      <c r="I159" s="74">
        <f>F159*H159</f>
        <v>70148.57142857142</v>
      </c>
      <c r="J159" s="74">
        <f>J158</f>
        <v>130</v>
      </c>
      <c r="K159" s="74">
        <f t="shared" si="120"/>
        <v>11440</v>
      </c>
      <c r="L159" s="72">
        <f t="shared" si="121"/>
        <v>81588.57142857142</v>
      </c>
      <c r="M159" s="74">
        <f t="shared" ref="M159:M161" si="127">X159/$S$217*$S$218</f>
        <v>1064.1747322978329</v>
      </c>
      <c r="N159" s="74">
        <f t="shared" ref="N159:N161" si="128">Y159/$S$217*$S$218</f>
        <v>173.54820903065018</v>
      </c>
      <c r="O159" s="72">
        <f t="shared" si="122"/>
        <v>1237.7229413284831</v>
      </c>
      <c r="P159" s="205">
        <f t="shared" si="123"/>
        <v>108919.61883690651</v>
      </c>
      <c r="Q159" s="272">
        <f>L159/$P$264*$P$272</f>
        <v>113616.30540180899</v>
      </c>
      <c r="R159" s="439">
        <f t="shared" si="124"/>
        <v>-4696.686564902484</v>
      </c>
      <c r="S159" s="273"/>
      <c r="T159" s="74">
        <f>837/1.05</f>
        <v>797.14285714285711</v>
      </c>
      <c r="W159" s="225"/>
      <c r="X159" s="839">
        <v>1106.1626900196857</v>
      </c>
      <c r="Y159" s="839">
        <v>180.39570751217099</v>
      </c>
      <c r="Z159" s="839"/>
      <c r="AA159" s="225"/>
      <c r="AB159" s="931" t="s">
        <v>373</v>
      </c>
      <c r="AC159" s="931"/>
      <c r="AD159" s="931"/>
      <c r="AE159" s="729">
        <v>5.83</v>
      </c>
      <c r="AF159" s="806">
        <v>6</v>
      </c>
      <c r="AG159" s="732" t="s">
        <v>100</v>
      </c>
      <c r="AH159" s="730">
        <f>600/1.05</f>
        <v>571.42857142857144</v>
      </c>
      <c r="AI159" s="730">
        <f t="shared" si="125"/>
        <v>3428.5714285714284</v>
      </c>
      <c r="AJ159" s="731">
        <v>150</v>
      </c>
      <c r="AK159" s="731">
        <f t="shared" si="126"/>
        <v>900</v>
      </c>
    </row>
    <row r="160" spans="1:42" s="224" customFormat="1" x14ac:dyDescent="0.25">
      <c r="A160" s="350"/>
      <c r="B160" s="317"/>
      <c r="C160" s="318">
        <v>3</v>
      </c>
      <c r="D160" s="83" t="s">
        <v>135</v>
      </c>
      <c r="E160" s="242">
        <f>3+1</f>
        <v>4</v>
      </c>
      <c r="F160" s="242">
        <f>3+1</f>
        <v>4</v>
      </c>
      <c r="G160" s="77" t="s">
        <v>283</v>
      </c>
      <c r="H160" s="74">
        <f>260/1.05</f>
        <v>247.61904761904762</v>
      </c>
      <c r="I160" s="74">
        <f>F160*H160</f>
        <v>990.47619047619048</v>
      </c>
      <c r="J160" s="74">
        <f>J158</f>
        <v>130</v>
      </c>
      <c r="K160" s="74">
        <f t="shared" si="120"/>
        <v>520</v>
      </c>
      <c r="L160" s="72">
        <f t="shared" si="121"/>
        <v>1510.4761904761904</v>
      </c>
      <c r="M160" s="74">
        <f t="shared" si="127"/>
        <v>330.56801720123843</v>
      </c>
      <c r="N160" s="74">
        <f t="shared" si="128"/>
        <v>173.54820903065018</v>
      </c>
      <c r="O160" s="72">
        <f t="shared" si="122"/>
        <v>504.11622623188862</v>
      </c>
      <c r="P160" s="205">
        <f t="shared" si="123"/>
        <v>2016.4649049275545</v>
      </c>
      <c r="Q160" s="272">
        <f>L160/$P$264*$P$272</f>
        <v>2103.4162157079545</v>
      </c>
      <c r="R160" s="439">
        <f t="shared" si="124"/>
        <v>-86.951310780400036</v>
      </c>
      <c r="S160" s="273"/>
      <c r="T160" s="74">
        <f>260/1.05</f>
        <v>247.61904761904762</v>
      </c>
      <c r="U160" s="273"/>
      <c r="W160" s="225"/>
      <c r="X160" s="839">
        <v>343.61087145175424</v>
      </c>
      <c r="Y160" s="839">
        <v>180.39570751217099</v>
      </c>
      <c r="Z160" s="839"/>
      <c r="AA160" s="225"/>
      <c r="AB160" s="931" t="s">
        <v>374</v>
      </c>
      <c r="AC160" s="931"/>
      <c r="AD160" s="931"/>
      <c r="AE160" s="729">
        <v>2</v>
      </c>
      <c r="AF160" s="806">
        <v>2</v>
      </c>
      <c r="AG160" s="732" t="s">
        <v>283</v>
      </c>
      <c r="AH160" s="730">
        <f>14.13*60</f>
        <v>847.80000000000007</v>
      </c>
      <c r="AI160" s="730">
        <f t="shared" si="125"/>
        <v>1695.6000000000001</v>
      </c>
      <c r="AJ160" s="731">
        <v>151</v>
      </c>
      <c r="AK160" s="731">
        <f t="shared" si="126"/>
        <v>302</v>
      </c>
    </row>
    <row r="161" spans="1:50" s="224" customFormat="1" x14ac:dyDescent="0.25">
      <c r="A161" s="350"/>
      <c r="B161" s="317"/>
      <c r="C161" s="318">
        <v>4</v>
      </c>
      <c r="D161" s="83" t="s">
        <v>136</v>
      </c>
      <c r="E161" s="242">
        <v>18</v>
      </c>
      <c r="F161" s="242">
        <v>18</v>
      </c>
      <c r="G161" s="77" t="s">
        <v>283</v>
      </c>
      <c r="H161" s="74">
        <f>1980/1.05</f>
        <v>1885.7142857142856</v>
      </c>
      <c r="I161" s="74">
        <f>F161*H161</f>
        <v>33942.857142857138</v>
      </c>
      <c r="J161" s="74">
        <v>210</v>
      </c>
      <c r="K161" s="74">
        <f t="shared" si="120"/>
        <v>3780</v>
      </c>
      <c r="L161" s="72">
        <f t="shared" si="121"/>
        <v>37722.857142857138</v>
      </c>
      <c r="M161" s="74">
        <f t="shared" si="127"/>
        <v>2517.4025925325077</v>
      </c>
      <c r="N161" s="74">
        <f t="shared" si="128"/>
        <v>280.34710689566566</v>
      </c>
      <c r="O161" s="72">
        <f t="shared" si="122"/>
        <v>2797.7496994281732</v>
      </c>
      <c r="P161" s="205">
        <f t="shared" si="123"/>
        <v>50359.494589707116</v>
      </c>
      <c r="Q161" s="272">
        <f>L161/$P$264*$P$272</f>
        <v>52531.029563667318</v>
      </c>
      <c r="R161" s="439">
        <f t="shared" si="124"/>
        <v>-2171.5349739602025</v>
      </c>
      <c r="S161" s="273"/>
      <c r="T161" s="74">
        <f>1980/1.05</f>
        <v>1885.7142857142856</v>
      </c>
      <c r="U161" s="273"/>
      <c r="W161" s="225"/>
      <c r="X161" s="839">
        <v>2616.7289441325897</v>
      </c>
      <c r="Y161" s="839">
        <v>291.40845059658386</v>
      </c>
      <c r="Z161" s="839"/>
      <c r="AA161" s="225"/>
      <c r="AB161" s="931" t="s">
        <v>375</v>
      </c>
      <c r="AC161" s="931"/>
      <c r="AD161" s="931"/>
      <c r="AE161" s="729">
        <v>2</v>
      </c>
      <c r="AF161" s="806">
        <v>2</v>
      </c>
      <c r="AG161" s="732" t="s">
        <v>283</v>
      </c>
      <c r="AH161" s="730">
        <f>24.72*60</f>
        <v>1483.1999999999998</v>
      </c>
      <c r="AI161" s="730">
        <f t="shared" si="125"/>
        <v>2966.3999999999996</v>
      </c>
      <c r="AJ161" s="731">
        <v>152</v>
      </c>
      <c r="AK161" s="731">
        <f t="shared" si="126"/>
        <v>304</v>
      </c>
    </row>
    <row r="162" spans="1:50" s="224" customFormat="1" x14ac:dyDescent="0.25">
      <c r="A162" s="350"/>
      <c r="B162" s="319"/>
      <c r="C162" s="318"/>
      <c r="D162" s="83" t="s">
        <v>137</v>
      </c>
      <c r="E162" s="242"/>
      <c r="F162" s="242"/>
      <c r="G162" s="75"/>
      <c r="H162" s="74"/>
      <c r="I162" s="74"/>
      <c r="J162" s="74"/>
      <c r="K162" s="74"/>
      <c r="L162" s="74"/>
      <c r="M162" s="74"/>
      <c r="N162" s="74"/>
      <c r="O162" s="72"/>
      <c r="P162" s="205"/>
      <c r="Q162" s="272"/>
      <c r="R162" s="439"/>
      <c r="S162" s="273"/>
      <c r="T162" s="74"/>
      <c r="U162" s="273"/>
      <c r="W162" s="225"/>
      <c r="X162" s="839"/>
      <c r="Y162" s="839"/>
      <c r="Z162" s="839"/>
      <c r="AA162" s="225"/>
      <c r="AB162" s="931" t="s">
        <v>370</v>
      </c>
      <c r="AC162" s="931"/>
      <c r="AD162" s="931"/>
      <c r="AE162" s="363">
        <f>(5.825*7)+(5.9*2)</f>
        <v>52.575000000000003</v>
      </c>
      <c r="AF162" s="806">
        <v>54</v>
      </c>
      <c r="AG162" s="806" t="s">
        <v>100</v>
      </c>
      <c r="AH162" s="730">
        <f>33*36/1.12</f>
        <v>1060.7142857142856</v>
      </c>
      <c r="AI162" s="730">
        <f>AH162*AF162</f>
        <v>57278.57142857142</v>
      </c>
      <c r="AJ162" s="731">
        <v>130</v>
      </c>
      <c r="AK162" s="731">
        <f>AJ162*AF162</f>
        <v>7020</v>
      </c>
    </row>
    <row r="163" spans="1:50" s="224" customFormat="1" x14ac:dyDescent="0.25">
      <c r="A163" s="350"/>
      <c r="B163" s="317"/>
      <c r="C163" s="318">
        <v>5</v>
      </c>
      <c r="D163" s="83" t="s">
        <v>138</v>
      </c>
      <c r="E163" s="242">
        <v>3</v>
      </c>
      <c r="F163" s="242">
        <v>3</v>
      </c>
      <c r="G163" s="77" t="s">
        <v>283</v>
      </c>
      <c r="H163" s="74">
        <f>1620/1.05</f>
        <v>1542.8571428571429</v>
      </c>
      <c r="I163" s="74">
        <f>F163*H163</f>
        <v>4628.5714285714284</v>
      </c>
      <c r="J163" s="74">
        <v>210</v>
      </c>
      <c r="K163" s="74">
        <f t="shared" ref="K163:K164" si="129">F163*J163</f>
        <v>630</v>
      </c>
      <c r="L163" s="72">
        <f t="shared" ref="L163:L164" si="130">I163+K163</f>
        <v>5258.5714285714284</v>
      </c>
      <c r="M163" s="74">
        <f t="shared" ref="M163:M164" si="131">X163/$S$217*$S$218</f>
        <v>2059.6930302538703</v>
      </c>
      <c r="N163" s="74">
        <f t="shared" ref="N163:N164" si="132">Y163/$S$217*$S$218</f>
        <v>280.34710689566566</v>
      </c>
      <c r="O163" s="72">
        <f t="shared" si="122"/>
        <v>2340.0401371495359</v>
      </c>
      <c r="P163" s="205">
        <f t="shared" si="123"/>
        <v>7020.1204114486081</v>
      </c>
      <c r="Q163" s="272">
        <f>L163/$P$264*$P$272</f>
        <v>7322.8326828697809</v>
      </c>
      <c r="R163" s="439">
        <f t="shared" si="124"/>
        <v>-302.71227142117277</v>
      </c>
      <c r="S163" s="273"/>
      <c r="T163" s="74">
        <f>1620/1.05</f>
        <v>1542.8571428571429</v>
      </c>
      <c r="U163" s="273"/>
      <c r="W163" s="273"/>
      <c r="X163" s="839">
        <v>2140.960045199392</v>
      </c>
      <c r="Y163" s="839">
        <v>291.40845059658386</v>
      </c>
      <c r="Z163" s="839"/>
      <c r="AA163" s="273"/>
      <c r="AB163" s="931" t="s">
        <v>376</v>
      </c>
      <c r="AC163" s="931"/>
      <c r="AD163" s="931"/>
      <c r="AE163" s="729">
        <f>4*4</f>
        <v>16</v>
      </c>
      <c r="AF163" s="806">
        <v>16</v>
      </c>
      <c r="AG163" s="732" t="s">
        <v>283</v>
      </c>
      <c r="AH163" s="730">
        <v>160</v>
      </c>
      <c r="AI163" s="730">
        <f>AH163*AF163</f>
        <v>2560</v>
      </c>
      <c r="AJ163" s="731">
        <v>35</v>
      </c>
      <c r="AK163" s="731">
        <f>AJ163*AF163</f>
        <v>560</v>
      </c>
    </row>
    <row r="164" spans="1:50" s="224" customFormat="1" x14ac:dyDescent="0.25">
      <c r="A164" s="350"/>
      <c r="B164" s="412"/>
      <c r="C164" s="318">
        <v>6</v>
      </c>
      <c r="D164" s="83" t="s">
        <v>139</v>
      </c>
      <c r="E164" s="242">
        <v>44</v>
      </c>
      <c r="F164" s="242">
        <v>44</v>
      </c>
      <c r="G164" s="77" t="s">
        <v>283</v>
      </c>
      <c r="H164" s="74">
        <f>3500/1.05</f>
        <v>3333.333333333333</v>
      </c>
      <c r="I164" s="74">
        <f>F164*H164</f>
        <v>146666.66666666666</v>
      </c>
      <c r="J164" s="74">
        <v>210</v>
      </c>
      <c r="K164" s="74">
        <f t="shared" si="129"/>
        <v>9240</v>
      </c>
      <c r="L164" s="72">
        <f t="shared" si="130"/>
        <v>155906.66666666666</v>
      </c>
      <c r="M164" s="74">
        <f t="shared" si="131"/>
        <v>4449.9540777089787</v>
      </c>
      <c r="N164" s="74">
        <f t="shared" si="132"/>
        <v>280.34710689566566</v>
      </c>
      <c r="O164" s="72">
        <f t="shared" si="122"/>
        <v>4730.3011846046447</v>
      </c>
      <c r="P164" s="205">
        <f t="shared" si="123"/>
        <v>208133.25212260438</v>
      </c>
      <c r="Q164" s="272">
        <f>L164/$P$264*$P$272</f>
        <v>217108.0966858913</v>
      </c>
      <c r="R164" s="439">
        <f t="shared" si="124"/>
        <v>-8974.8445632869261</v>
      </c>
      <c r="S164" s="273"/>
      <c r="T164" s="74">
        <f>3500/1.05</f>
        <v>3333.333333333333</v>
      </c>
      <c r="W164" s="273"/>
      <c r="X164" s="839">
        <v>4625.530961850538</v>
      </c>
      <c r="Y164" s="839">
        <v>291.40845059658386</v>
      </c>
      <c r="Z164" s="839"/>
      <c r="AA164" s="273"/>
      <c r="AB164" s="931" t="s">
        <v>377</v>
      </c>
      <c r="AC164" s="931"/>
      <c r="AD164" s="931"/>
      <c r="AE164" s="729">
        <v>58</v>
      </c>
      <c r="AF164" s="806">
        <v>60</v>
      </c>
      <c r="AG164" s="732" t="s">
        <v>101</v>
      </c>
      <c r="AH164" s="730">
        <v>65</v>
      </c>
      <c r="AI164" s="730">
        <f>AH164*AF164</f>
        <v>3900</v>
      </c>
      <c r="AJ164" s="731">
        <v>65</v>
      </c>
      <c r="AK164" s="731">
        <f>AJ164*AF164</f>
        <v>3900</v>
      </c>
    </row>
    <row r="165" spans="1:50" s="224" customFormat="1" x14ac:dyDescent="0.25">
      <c r="A165" s="350"/>
      <c r="B165" s="317"/>
      <c r="C165" s="318"/>
      <c r="D165" s="83" t="s">
        <v>140</v>
      </c>
      <c r="E165" s="242"/>
      <c r="F165" s="242"/>
      <c r="G165" s="75"/>
      <c r="H165" s="74"/>
      <c r="I165" s="74"/>
      <c r="J165" s="74"/>
      <c r="K165" s="74"/>
      <c r="L165" s="72"/>
      <c r="M165" s="74"/>
      <c r="N165" s="74"/>
      <c r="O165" s="72"/>
      <c r="P165" s="205"/>
      <c r="Q165" s="272"/>
      <c r="R165" s="439"/>
      <c r="S165" s="273"/>
      <c r="T165" s="74"/>
      <c r="V165" s="806"/>
      <c r="W165" s="806"/>
      <c r="X165" s="841"/>
      <c r="Y165" s="841"/>
      <c r="Z165" s="841"/>
      <c r="AA165" s="806"/>
      <c r="AB165" s="931" t="s">
        <v>378</v>
      </c>
      <c r="AC165" s="931"/>
      <c r="AD165" s="931"/>
      <c r="AE165" s="806">
        <v>1</v>
      </c>
      <c r="AF165" s="806">
        <v>1</v>
      </c>
      <c r="AG165" s="806" t="s">
        <v>301</v>
      </c>
      <c r="AH165" s="730">
        <v>2000</v>
      </c>
      <c r="AI165" s="730">
        <f>AH165*AF165</f>
        <v>2000</v>
      </c>
      <c r="AJ165" s="731">
        <v>500</v>
      </c>
      <c r="AK165" s="731">
        <f>AJ165*AF165</f>
        <v>500</v>
      </c>
    </row>
    <row r="166" spans="1:50" s="224" customFormat="1" x14ac:dyDescent="0.25">
      <c r="A166" s="350"/>
      <c r="B166" s="317"/>
      <c r="C166" s="318">
        <v>7</v>
      </c>
      <c r="D166" s="83" t="s">
        <v>412</v>
      </c>
      <c r="E166" s="242">
        <v>25</v>
      </c>
      <c r="F166" s="302">
        <v>25</v>
      </c>
      <c r="G166" s="77" t="s">
        <v>283</v>
      </c>
      <c r="H166" s="74">
        <f>3100/1.05</f>
        <v>2952.3809523809523</v>
      </c>
      <c r="I166" s="74">
        <f>F166*H166</f>
        <v>73809.523809523802</v>
      </c>
      <c r="J166" s="74">
        <v>210</v>
      </c>
      <c r="K166" s="74">
        <f t="shared" ref="K166:K179" si="133">F166*J166</f>
        <v>5250</v>
      </c>
      <c r="L166" s="72">
        <f t="shared" ref="L166:L179" si="134">I166+K166</f>
        <v>79059.523809523802</v>
      </c>
      <c r="M166" s="74">
        <f t="shared" ref="M166:M167" si="135">X166/$S$217*$S$218</f>
        <v>3941.3878973993819</v>
      </c>
      <c r="N166" s="74">
        <f t="shared" ref="N166:N167" si="136">Y166/$S$217*$S$218</f>
        <v>280.34710689566566</v>
      </c>
      <c r="O166" s="72">
        <f t="shared" si="122"/>
        <v>4221.7350042950475</v>
      </c>
      <c r="P166" s="205">
        <f t="shared" si="123"/>
        <v>105543.37510737618</v>
      </c>
      <c r="Q166" s="272">
        <f>L166/$P$264*$P$272</f>
        <v>110094.47579221727</v>
      </c>
      <c r="R166" s="439">
        <f t="shared" si="124"/>
        <v>-4551.1006848410907</v>
      </c>
      <c r="S166" s="273"/>
      <c r="T166" s="74">
        <f>3100/1.05</f>
        <v>2952.3809523809523</v>
      </c>
      <c r="W166" s="225"/>
      <c r="X166" s="839">
        <v>4096.8988519247623</v>
      </c>
      <c r="Y166" s="839">
        <v>291.40845059658386</v>
      </c>
      <c r="Z166" s="839"/>
      <c r="AA166" s="225"/>
      <c r="AB166" s="931" t="s">
        <v>379</v>
      </c>
      <c r="AC166" s="931"/>
      <c r="AD166" s="931"/>
      <c r="AE166" s="806">
        <v>1</v>
      </c>
      <c r="AF166" s="806">
        <v>1</v>
      </c>
      <c r="AG166" s="806" t="s">
        <v>301</v>
      </c>
      <c r="AH166" s="730">
        <v>2000</v>
      </c>
      <c r="AI166" s="730">
        <f>AH166*AF166</f>
        <v>2000</v>
      </c>
      <c r="AJ166" s="731">
        <v>1000</v>
      </c>
      <c r="AK166" s="731">
        <f>AJ166*AF166</f>
        <v>1000</v>
      </c>
      <c r="AO166" s="904" t="s">
        <v>350</v>
      </c>
      <c r="AP166" s="904"/>
      <c r="AQ166" s="904"/>
      <c r="AR166" s="794" t="s">
        <v>243</v>
      </c>
      <c r="AS166" s="794" t="s">
        <v>244</v>
      </c>
      <c r="AT166" s="794" t="s">
        <v>245</v>
      </c>
      <c r="AU166" s="123" t="s">
        <v>246</v>
      </c>
      <c r="AV166" s="196" t="s">
        <v>247</v>
      </c>
      <c r="AW166" s="794" t="s">
        <v>248</v>
      </c>
      <c r="AX166" s="212" t="s">
        <v>249</v>
      </c>
    </row>
    <row r="167" spans="1:50" s="224" customFormat="1" x14ac:dyDescent="0.25">
      <c r="A167" s="350"/>
      <c r="B167" s="317"/>
      <c r="C167" s="318">
        <v>8</v>
      </c>
      <c r="D167" s="83" t="s">
        <v>286</v>
      </c>
      <c r="E167" s="242">
        <v>4</v>
      </c>
      <c r="F167" s="302">
        <v>4</v>
      </c>
      <c r="G167" s="77" t="s">
        <v>283</v>
      </c>
      <c r="H167" s="74">
        <f>2400/1.05</f>
        <v>2285.7142857142858</v>
      </c>
      <c r="I167" s="74">
        <f>F167*H167</f>
        <v>9142.8571428571431</v>
      </c>
      <c r="J167" s="74">
        <v>210</v>
      </c>
      <c r="K167" s="74">
        <f t="shared" si="133"/>
        <v>840</v>
      </c>
      <c r="L167" s="72">
        <f t="shared" si="134"/>
        <v>9982.8571428571431</v>
      </c>
      <c r="M167" s="74">
        <f t="shared" si="135"/>
        <v>3051.3970818575858</v>
      </c>
      <c r="N167" s="74">
        <f t="shared" si="136"/>
        <v>280.34710689566566</v>
      </c>
      <c r="O167" s="72">
        <f t="shared" si="122"/>
        <v>3331.7441887532514</v>
      </c>
      <c r="P167" s="205">
        <f t="shared" si="123"/>
        <v>13326.976755013005</v>
      </c>
      <c r="Q167" s="272">
        <f>L167/$P$264*$P$272</f>
        <v>13901.644875820164</v>
      </c>
      <c r="R167" s="439">
        <f t="shared" si="124"/>
        <v>-574.66812080715863</v>
      </c>
      <c r="S167" s="273"/>
      <c r="T167" s="74">
        <f>2400/1.05</f>
        <v>2285.7142857142858</v>
      </c>
      <c r="W167" s="225"/>
      <c r="X167" s="839">
        <v>3171.7926595546546</v>
      </c>
      <c r="Y167" s="839">
        <v>291.40845059658386</v>
      </c>
      <c r="Z167" s="839"/>
      <c r="AA167" s="225"/>
      <c r="AB167" s="225"/>
      <c r="AC167" s="225"/>
      <c r="AD167" s="225"/>
      <c r="AE167" s="225"/>
      <c r="AF167" s="225"/>
      <c r="AG167" s="225"/>
      <c r="AH167" s="225"/>
      <c r="AI167" s="733">
        <f>SUM(AI153:AI166)</f>
        <v>310570.11993355479</v>
      </c>
      <c r="AJ167" s="734"/>
      <c r="AK167" s="735">
        <f>SUM(AK153:AK166)</f>
        <v>40781</v>
      </c>
      <c r="AO167" s="878" t="s">
        <v>250</v>
      </c>
      <c r="AP167" s="878"/>
      <c r="AQ167" s="878"/>
      <c r="AR167" s="124" t="s">
        <v>251</v>
      </c>
      <c r="AS167" s="793">
        <v>2.77</v>
      </c>
      <c r="AT167" s="793">
        <v>3</v>
      </c>
      <c r="AU167" s="123">
        <f>400/1.07</f>
        <v>373.83177570093454</v>
      </c>
      <c r="AV167" s="196">
        <f>AU167*AT167</f>
        <v>1121.4953271028037</v>
      </c>
      <c r="AW167" s="793">
        <v>71.7</v>
      </c>
      <c r="AX167" s="219">
        <f>AW167*AT167</f>
        <v>215.10000000000002</v>
      </c>
    </row>
    <row r="168" spans="1:50" s="224" customFormat="1" x14ac:dyDescent="0.25">
      <c r="A168" s="350"/>
      <c r="B168" s="317"/>
      <c r="C168" s="318"/>
      <c r="D168" s="83"/>
      <c r="E168" s="242"/>
      <c r="F168" s="302"/>
      <c r="G168" s="77"/>
      <c r="H168" s="74"/>
      <c r="I168" s="74"/>
      <c r="J168" s="74"/>
      <c r="K168" s="74"/>
      <c r="L168" s="72"/>
      <c r="M168" s="74"/>
      <c r="N168" s="74"/>
      <c r="O168" s="72"/>
      <c r="P168" s="205"/>
      <c r="Q168" s="272"/>
      <c r="R168" s="439"/>
      <c r="S168" s="273"/>
      <c r="X168" s="839"/>
      <c r="Y168" s="839"/>
      <c r="Z168" s="839"/>
      <c r="AO168" s="878" t="s">
        <v>252</v>
      </c>
      <c r="AP168" s="878"/>
      <c r="AQ168" s="878"/>
      <c r="AR168" s="124" t="s">
        <v>253</v>
      </c>
      <c r="AS168" s="793">
        <v>0.25</v>
      </c>
      <c r="AT168" s="793">
        <v>0.25</v>
      </c>
      <c r="AU168" s="123">
        <f>AF31</f>
        <v>279.41176470588238</v>
      </c>
      <c r="AV168" s="196">
        <f>AU168*AT168</f>
        <v>69.852941176470594</v>
      </c>
      <c r="AW168" s="793"/>
      <c r="AX168" s="219">
        <f>AW168*AT168</f>
        <v>0</v>
      </c>
    </row>
    <row r="169" spans="1:50" s="224" customFormat="1" x14ac:dyDescent="0.25">
      <c r="A169" s="350"/>
      <c r="B169" s="412" t="s">
        <v>320</v>
      </c>
      <c r="C169" s="413" t="s">
        <v>420</v>
      </c>
      <c r="D169" s="316"/>
      <c r="E169" s="244"/>
      <c r="F169" s="302"/>
      <c r="G169" s="75"/>
      <c r="H169" s="440">
        <v>0.87</v>
      </c>
      <c r="I169" s="74"/>
      <c r="J169" s="440">
        <v>0.85</v>
      </c>
      <c r="K169" s="74"/>
      <c r="L169" s="74"/>
      <c r="M169" s="74"/>
      <c r="N169" s="74"/>
      <c r="O169" s="72"/>
      <c r="P169" s="205"/>
      <c r="Q169" s="272"/>
      <c r="R169" s="439"/>
      <c r="S169" s="273"/>
      <c r="X169" s="839"/>
      <c r="Y169" s="839"/>
      <c r="Z169" s="839"/>
      <c r="AO169" s="878" t="s">
        <v>254</v>
      </c>
      <c r="AP169" s="878"/>
      <c r="AQ169" s="878"/>
      <c r="AR169" s="124" t="s">
        <v>255</v>
      </c>
      <c r="AS169" s="793">
        <v>0.25</v>
      </c>
      <c r="AT169" s="793">
        <v>0.35</v>
      </c>
      <c r="AU169" s="123">
        <f>AF32</f>
        <v>34.905660377358487</v>
      </c>
      <c r="AV169" s="196">
        <f>AU169*AT169</f>
        <v>12.216981132075469</v>
      </c>
      <c r="AW169" s="793"/>
      <c r="AX169" s="219">
        <f>AW169*AT169</f>
        <v>0</v>
      </c>
    </row>
    <row r="170" spans="1:50" s="224" customFormat="1" x14ac:dyDescent="0.25">
      <c r="A170" s="350"/>
      <c r="B170" s="317"/>
      <c r="C170" s="318">
        <v>1</v>
      </c>
      <c r="D170" s="83" t="s">
        <v>421</v>
      </c>
      <c r="E170" s="242">
        <v>2284</v>
      </c>
      <c r="F170" s="242">
        <v>2450</v>
      </c>
      <c r="G170" s="77" t="s">
        <v>100</v>
      </c>
      <c r="H170" s="74">
        <f>T170/$H$169</f>
        <v>17.241379310344829</v>
      </c>
      <c r="I170" s="74">
        <f>F170*H170</f>
        <v>42241.379310344833</v>
      </c>
      <c r="J170" s="74">
        <f>W170/$J$169</f>
        <v>5.882352941176471</v>
      </c>
      <c r="K170" s="74">
        <f t="shared" si="133"/>
        <v>14411.764705882353</v>
      </c>
      <c r="L170" s="72">
        <f t="shared" si="134"/>
        <v>56653.14401622719</v>
      </c>
      <c r="M170" s="74">
        <f t="shared" ref="M170:M179" si="137">X170/$S$217*$S$218</f>
        <v>23.01700385021886</v>
      </c>
      <c r="N170" s="74">
        <f t="shared" ref="N170:N179" si="138">Y170/$S$217*$S$218</f>
        <v>7.8528601371334936</v>
      </c>
      <c r="O170" s="72">
        <f t="shared" si="122"/>
        <v>30.869863987352353</v>
      </c>
      <c r="P170" s="205">
        <f t="shared" si="123"/>
        <v>75631.16676901326</v>
      </c>
      <c r="Q170" s="272">
        <f t="shared" ref="Q170:Q179" si="139">L170/$P$264*$P$272</f>
        <v>78892.43309224394</v>
      </c>
      <c r="R170" s="439">
        <f t="shared" si="124"/>
        <v>-3261.2663232306804</v>
      </c>
      <c r="S170" s="273"/>
      <c r="T170" s="74">
        <v>15</v>
      </c>
      <c r="U170" s="273"/>
      <c r="V170" s="273"/>
      <c r="W170" s="74">
        <v>5</v>
      </c>
      <c r="X170" s="840">
        <v>23.925160147502783</v>
      </c>
      <c r="Y170" s="840">
        <v>8.1627016973833033</v>
      </c>
      <c r="Z170" s="840"/>
      <c r="AO170" s="878" t="s">
        <v>256</v>
      </c>
      <c r="AP170" s="878"/>
      <c r="AQ170" s="878"/>
      <c r="AR170" s="124" t="s">
        <v>257</v>
      </c>
      <c r="AS170" s="793">
        <v>1</v>
      </c>
      <c r="AT170" s="793">
        <v>1</v>
      </c>
      <c r="AU170" s="123">
        <v>0</v>
      </c>
      <c r="AV170" s="196">
        <f>AU170*AT170</f>
        <v>0</v>
      </c>
      <c r="AW170" s="793">
        <v>0</v>
      </c>
      <c r="AX170" s="219">
        <f>AW170*AT170</f>
        <v>0</v>
      </c>
    </row>
    <row r="171" spans="1:50" s="224" customFormat="1" x14ac:dyDescent="0.25">
      <c r="A171" s="350"/>
      <c r="B171" s="317"/>
      <c r="C171" s="318">
        <v>2</v>
      </c>
      <c r="D171" s="83" t="s">
        <v>422</v>
      </c>
      <c r="E171" s="242">
        <v>6464</v>
      </c>
      <c r="F171" s="242">
        <v>6880</v>
      </c>
      <c r="G171" s="77" t="s">
        <v>100</v>
      </c>
      <c r="H171" s="74">
        <f>T171/$H$169</f>
        <v>25.287356321839081</v>
      </c>
      <c r="I171" s="74">
        <f t="shared" ref="I171:I179" si="140">F171*H171</f>
        <v>173977.01149425289</v>
      </c>
      <c r="J171" s="74">
        <f>W171/$J$169</f>
        <v>8.2352941176470598</v>
      </c>
      <c r="K171" s="74">
        <f t="shared" si="133"/>
        <v>56658.823529411769</v>
      </c>
      <c r="L171" s="72">
        <f t="shared" si="134"/>
        <v>230635.83502366467</v>
      </c>
      <c r="M171" s="74">
        <f t="shared" si="137"/>
        <v>33.758272313654324</v>
      </c>
      <c r="N171" s="74">
        <f t="shared" si="138"/>
        <v>10.994004191986891</v>
      </c>
      <c r="O171" s="72">
        <f t="shared" si="122"/>
        <v>44.752276505641213</v>
      </c>
      <c r="P171" s="205">
        <f t="shared" si="123"/>
        <v>307895.66235881153</v>
      </c>
      <c r="Q171" s="272">
        <f t="shared" si="139"/>
        <v>321172.32854837767</v>
      </c>
      <c r="R171" s="439">
        <f t="shared" si="124"/>
        <v>-13276.666189566138</v>
      </c>
      <c r="S171" s="273"/>
      <c r="T171" s="74">
        <v>22</v>
      </c>
      <c r="U171" s="273"/>
      <c r="V171" s="273"/>
      <c r="W171" s="74">
        <v>7</v>
      </c>
      <c r="X171" s="840">
        <v>35.090234883004079</v>
      </c>
      <c r="Y171" s="840">
        <v>11.427782376336625</v>
      </c>
      <c r="Z171" s="840"/>
      <c r="AO171" s="126"/>
      <c r="AP171" s="126"/>
      <c r="AQ171" s="126"/>
      <c r="AR171" s="126"/>
      <c r="AS171" s="793"/>
      <c r="AT171" s="793"/>
      <c r="AU171" s="123"/>
      <c r="AV171" s="212">
        <f>SUM(AV167:AV170)</f>
        <v>1203.5652494113497</v>
      </c>
      <c r="AW171" s="794"/>
      <c r="AX171" s="212">
        <f>SUM(AX167:AX170)</f>
        <v>215.10000000000002</v>
      </c>
    </row>
    <row r="172" spans="1:50" s="224" customFormat="1" x14ac:dyDescent="0.25">
      <c r="A172" s="350"/>
      <c r="B172" s="317"/>
      <c r="C172" s="318">
        <v>3</v>
      </c>
      <c r="D172" s="83" t="s">
        <v>423</v>
      </c>
      <c r="E172" s="242">
        <v>1087</v>
      </c>
      <c r="F172" s="242">
        <v>1215</v>
      </c>
      <c r="G172" s="77" t="s">
        <v>100</v>
      </c>
      <c r="H172" s="74">
        <f t="shared" ref="H172:H179" si="141">T172/$H$169</f>
        <v>37.931034482758619</v>
      </c>
      <c r="I172" s="74">
        <f t="shared" si="140"/>
        <v>46086.206896551725</v>
      </c>
      <c r="J172" s="74">
        <f t="shared" ref="J172:J179" si="142">W172/$J$169</f>
        <v>18.823529411764707</v>
      </c>
      <c r="K172" s="74">
        <f t="shared" si="133"/>
        <v>22870.588235294119</v>
      </c>
      <c r="L172" s="72">
        <f t="shared" si="134"/>
        <v>68956.795131845836</v>
      </c>
      <c r="M172" s="74">
        <f t="shared" si="137"/>
        <v>50.637408470481482</v>
      </c>
      <c r="N172" s="74">
        <f t="shared" si="138"/>
        <v>25.129152438827177</v>
      </c>
      <c r="O172" s="72">
        <f t="shared" si="122"/>
        <v>75.766560909308652</v>
      </c>
      <c r="P172" s="205">
        <f t="shared" si="123"/>
        <v>92056.371504810013</v>
      </c>
      <c r="Q172" s="272">
        <f t="shared" si="139"/>
        <v>96025.903604511157</v>
      </c>
      <c r="R172" s="439">
        <f t="shared" si="124"/>
        <v>-3969.532099701144</v>
      </c>
      <c r="S172" s="273"/>
      <c r="T172" s="74">
        <v>33</v>
      </c>
      <c r="U172" s="273"/>
      <c r="V172" s="273"/>
      <c r="W172" s="74">
        <v>16</v>
      </c>
      <c r="X172" s="840">
        <v>52.635352324506115</v>
      </c>
      <c r="Y172" s="840">
        <v>26.120645431626567</v>
      </c>
      <c r="Z172" s="840"/>
      <c r="AO172" s="273"/>
      <c r="AP172" s="273"/>
      <c r="AQ172" s="273"/>
      <c r="AR172" s="273"/>
      <c r="AS172" s="273"/>
      <c r="AT172" s="273"/>
      <c r="AU172" s="273"/>
      <c r="AW172" s="273"/>
    </row>
    <row r="173" spans="1:50" s="224" customFormat="1" x14ac:dyDescent="0.25">
      <c r="A173" s="350"/>
      <c r="B173" s="317"/>
      <c r="C173" s="318">
        <v>4</v>
      </c>
      <c r="D173" s="83" t="s">
        <v>430</v>
      </c>
      <c r="E173" s="242">
        <v>1771</v>
      </c>
      <c r="F173" s="242">
        <v>1880</v>
      </c>
      <c r="G173" s="77" t="s">
        <v>100</v>
      </c>
      <c r="H173" s="74">
        <f t="shared" si="141"/>
        <v>60.919540229885058</v>
      </c>
      <c r="I173" s="74">
        <f t="shared" si="140"/>
        <v>114528.7356321839</v>
      </c>
      <c r="J173" s="74">
        <f t="shared" si="142"/>
        <v>18.823529411764707</v>
      </c>
      <c r="K173" s="74">
        <f t="shared" si="133"/>
        <v>35388.23529411765</v>
      </c>
      <c r="L173" s="72">
        <f t="shared" si="134"/>
        <v>149916.97092630155</v>
      </c>
      <c r="M173" s="74">
        <f t="shared" si="137"/>
        <v>81.326746937439964</v>
      </c>
      <c r="N173" s="74">
        <f t="shared" si="138"/>
        <v>25.129152438827177</v>
      </c>
      <c r="O173" s="72">
        <f t="shared" si="122"/>
        <v>106.45589937626714</v>
      </c>
      <c r="P173" s="205">
        <f t="shared" si="123"/>
        <v>200137.09082738223</v>
      </c>
      <c r="Q173" s="272">
        <f t="shared" si="139"/>
        <v>208767.13558575709</v>
      </c>
      <c r="R173" s="439">
        <f t="shared" si="124"/>
        <v>-8630.044758374861</v>
      </c>
      <c r="S173" s="273"/>
      <c r="T173" s="74">
        <v>53</v>
      </c>
      <c r="U173" s="273"/>
      <c r="V173" s="273"/>
      <c r="W173" s="74">
        <v>16</v>
      </c>
      <c r="X173" s="840">
        <v>84.535565854509841</v>
      </c>
      <c r="Y173" s="840">
        <v>26.120645431626567</v>
      </c>
      <c r="Z173" s="840"/>
      <c r="AO173" s="273"/>
      <c r="AP173" s="273"/>
      <c r="AQ173" s="273"/>
      <c r="AR173" s="273"/>
      <c r="AS173" s="273"/>
      <c r="AT173" s="273"/>
      <c r="AU173" s="273"/>
      <c r="AW173" s="273"/>
    </row>
    <row r="174" spans="1:50" s="224" customFormat="1" x14ac:dyDescent="0.25">
      <c r="A174" s="350"/>
      <c r="B174" s="317"/>
      <c r="C174" s="318">
        <v>5</v>
      </c>
      <c r="D174" s="83" t="s">
        <v>424</v>
      </c>
      <c r="E174" s="242">
        <v>21</v>
      </c>
      <c r="F174" s="242">
        <v>23</v>
      </c>
      <c r="G174" s="77" t="s">
        <v>100</v>
      </c>
      <c r="H174" s="74">
        <f t="shared" si="141"/>
        <v>95.402298850574709</v>
      </c>
      <c r="I174" s="74">
        <f t="shared" si="140"/>
        <v>2194.2528735632181</v>
      </c>
      <c r="J174" s="74">
        <f t="shared" si="142"/>
        <v>29.411764705882355</v>
      </c>
      <c r="K174" s="74">
        <f t="shared" si="133"/>
        <v>676.47058823529414</v>
      </c>
      <c r="L174" s="72">
        <f t="shared" si="134"/>
        <v>2870.7234617985123</v>
      </c>
      <c r="M174" s="74">
        <f t="shared" si="137"/>
        <v>127.36075463787766</v>
      </c>
      <c r="N174" s="74">
        <f t="shared" si="138"/>
        <v>39.264300685667465</v>
      </c>
      <c r="O174" s="72">
        <f t="shared" si="122"/>
        <v>166.62505532354513</v>
      </c>
      <c r="P174" s="205">
        <f t="shared" si="123"/>
        <v>3832.3762724415378</v>
      </c>
      <c r="Q174" s="272">
        <f t="shared" si="139"/>
        <v>3997.6308917895835</v>
      </c>
      <c r="R174" s="439">
        <f t="shared" si="124"/>
        <v>-165.25461934804571</v>
      </c>
      <c r="S174" s="273"/>
      <c r="T174" s="74">
        <v>83</v>
      </c>
      <c r="U174" s="273"/>
      <c r="V174" s="273"/>
      <c r="W174" s="74">
        <v>25</v>
      </c>
      <c r="X174" s="840">
        <v>132.38588614951539</v>
      </c>
      <c r="Y174" s="840">
        <v>40.813508486916511</v>
      </c>
      <c r="Z174" s="840"/>
      <c r="AO174" s="900" t="s">
        <v>351</v>
      </c>
      <c r="AP174" s="900"/>
      <c r="AQ174" s="900"/>
      <c r="AR174" s="794" t="s">
        <v>243</v>
      </c>
      <c r="AS174" s="794" t="s">
        <v>244</v>
      </c>
      <c r="AT174" s="794" t="s">
        <v>245</v>
      </c>
      <c r="AU174" s="123" t="s">
        <v>246</v>
      </c>
      <c r="AV174" s="196" t="s">
        <v>247</v>
      </c>
      <c r="AW174" s="794" t="s">
        <v>248</v>
      </c>
      <c r="AX174" s="212" t="s">
        <v>249</v>
      </c>
    </row>
    <row r="175" spans="1:50" s="224" customFormat="1" x14ac:dyDescent="0.25">
      <c r="A175" s="350"/>
      <c r="B175" s="319"/>
      <c r="C175" s="318">
        <v>6</v>
      </c>
      <c r="D175" s="83" t="s">
        <v>425</v>
      </c>
      <c r="E175" s="242">
        <v>24</v>
      </c>
      <c r="F175" s="242">
        <v>27</v>
      </c>
      <c r="G175" s="77" t="s">
        <v>100</v>
      </c>
      <c r="H175" s="74">
        <f t="shared" si="141"/>
        <v>149.42528735632183</v>
      </c>
      <c r="I175" s="74">
        <f t="shared" si="140"/>
        <v>4034.4827586206893</v>
      </c>
      <c r="J175" s="74">
        <f t="shared" si="142"/>
        <v>45.882352941176471</v>
      </c>
      <c r="K175" s="74">
        <f t="shared" si="133"/>
        <v>1238.8235294117646</v>
      </c>
      <c r="L175" s="72">
        <f t="shared" si="134"/>
        <v>5273.3062880324542</v>
      </c>
      <c r="M175" s="74">
        <f t="shared" si="137"/>
        <v>199.48070003523006</v>
      </c>
      <c r="N175" s="74">
        <f t="shared" si="138"/>
        <v>61.252309069641242</v>
      </c>
      <c r="O175" s="72">
        <f t="shared" si="122"/>
        <v>260.73300910487131</v>
      </c>
      <c r="P175" s="205">
        <f t="shared" si="123"/>
        <v>7039.7912458315259</v>
      </c>
      <c r="Q175" s="272">
        <f t="shared" si="139"/>
        <v>7343.3517367429358</v>
      </c>
      <c r="R175" s="439">
        <f t="shared" si="124"/>
        <v>-303.56049091140994</v>
      </c>
      <c r="S175" s="273"/>
      <c r="T175" s="74">
        <v>130</v>
      </c>
      <c r="U175" s="273"/>
      <c r="V175" s="273"/>
      <c r="W175" s="74">
        <v>39</v>
      </c>
      <c r="X175" s="840">
        <v>207.3513879450241</v>
      </c>
      <c r="Y175" s="840">
        <v>63.669073239589757</v>
      </c>
      <c r="Z175" s="840"/>
      <c r="AO175" s="878" t="s">
        <v>352</v>
      </c>
      <c r="AP175" s="878"/>
      <c r="AQ175" s="878"/>
      <c r="AR175" s="124" t="s">
        <v>251</v>
      </c>
      <c r="AS175" s="793">
        <v>8.33</v>
      </c>
      <c r="AT175" s="793">
        <v>9</v>
      </c>
      <c r="AU175" s="123">
        <f>130/1.06</f>
        <v>122.64150943396226</v>
      </c>
      <c r="AV175" s="196">
        <f>AU175*AT175</f>
        <v>1103.7735849056603</v>
      </c>
      <c r="AW175" s="793">
        <f>AH132</f>
        <v>23.9</v>
      </c>
      <c r="AX175" s="219">
        <f>AW175*AT175</f>
        <v>215.1</v>
      </c>
    </row>
    <row r="176" spans="1:50" s="224" customFormat="1" x14ac:dyDescent="0.25">
      <c r="A176" s="350"/>
      <c r="B176" s="317"/>
      <c r="C176" s="318">
        <v>7</v>
      </c>
      <c r="D176" s="83" t="s">
        <v>426</v>
      </c>
      <c r="E176" s="242">
        <v>9</v>
      </c>
      <c r="F176" s="242">
        <v>11</v>
      </c>
      <c r="G176" s="77" t="s">
        <v>100</v>
      </c>
      <c r="H176" s="74">
        <f t="shared" si="141"/>
        <v>218.39080459770116</v>
      </c>
      <c r="I176" s="74">
        <f t="shared" si="140"/>
        <v>2402.2988505747126</v>
      </c>
      <c r="J176" s="74">
        <f t="shared" si="142"/>
        <v>67.058823529411768</v>
      </c>
      <c r="K176" s="74">
        <f t="shared" si="133"/>
        <v>737.64705882352951</v>
      </c>
      <c r="L176" s="72">
        <f t="shared" si="134"/>
        <v>3139.9459093982423</v>
      </c>
      <c r="M176" s="74">
        <f t="shared" si="137"/>
        <v>291.54871543610551</v>
      </c>
      <c r="N176" s="74">
        <f t="shared" si="138"/>
        <v>89.522605563321804</v>
      </c>
      <c r="O176" s="72">
        <f t="shared" si="122"/>
        <v>381.07132099942731</v>
      </c>
      <c r="P176" s="205">
        <f t="shared" si="123"/>
        <v>4191.7845309937002</v>
      </c>
      <c r="Q176" s="272">
        <f t="shared" si="139"/>
        <v>4372.5370740150247</v>
      </c>
      <c r="R176" s="439">
        <f t="shared" si="124"/>
        <v>-180.75254302132453</v>
      </c>
      <c r="S176" s="273"/>
      <c r="T176" s="74">
        <v>190</v>
      </c>
      <c r="U176" s="273"/>
      <c r="V176" s="273"/>
      <c r="W176" s="74">
        <v>57</v>
      </c>
      <c r="X176" s="840">
        <v>303.05202853503522</v>
      </c>
      <c r="Y176" s="840">
        <v>93.054799350169645</v>
      </c>
      <c r="Z176" s="840"/>
      <c r="AO176" s="878" t="s">
        <v>252</v>
      </c>
      <c r="AP176" s="878"/>
      <c r="AQ176" s="878"/>
      <c r="AR176" s="124" t="s">
        <v>253</v>
      </c>
      <c r="AS176" s="793">
        <v>0.25</v>
      </c>
      <c r="AT176" s="793">
        <v>0.25</v>
      </c>
      <c r="AU176" s="123">
        <f>260/1.06</f>
        <v>245.28301886792451</v>
      </c>
      <c r="AV176" s="196">
        <f>AU176*AT176</f>
        <v>61.320754716981128</v>
      </c>
      <c r="AW176" s="793"/>
      <c r="AX176" s="219">
        <f>AW176*AT176</f>
        <v>0</v>
      </c>
    </row>
    <row r="177" spans="1:50" s="224" customFormat="1" x14ac:dyDescent="0.25">
      <c r="A177" s="350"/>
      <c r="B177" s="317"/>
      <c r="C177" s="318">
        <v>8</v>
      </c>
      <c r="D177" s="83" t="s">
        <v>427</v>
      </c>
      <c r="E177" s="242">
        <v>34</v>
      </c>
      <c r="F177" s="242">
        <v>47</v>
      </c>
      <c r="G177" s="77" t="s">
        <v>100</v>
      </c>
      <c r="H177" s="74">
        <f t="shared" si="141"/>
        <v>356.32183908045977</v>
      </c>
      <c r="I177" s="74">
        <f t="shared" si="140"/>
        <v>16747.126436781607</v>
      </c>
      <c r="J177" s="74">
        <f t="shared" si="142"/>
        <v>109.41176470588236</v>
      </c>
      <c r="K177" s="74">
        <f t="shared" si="133"/>
        <v>5142.3529411764712</v>
      </c>
      <c r="L177" s="72">
        <f t="shared" si="134"/>
        <v>21889.47937795808</v>
      </c>
      <c r="M177" s="74">
        <f t="shared" si="137"/>
        <v>475.68474623785636</v>
      </c>
      <c r="N177" s="74">
        <f t="shared" si="138"/>
        <v>146.06319855068296</v>
      </c>
      <c r="O177" s="72">
        <f t="shared" si="122"/>
        <v>621.74794478853937</v>
      </c>
      <c r="P177" s="205">
        <f t="shared" si="123"/>
        <v>29222.153405061352</v>
      </c>
      <c r="Q177" s="272">
        <f t="shared" si="139"/>
        <v>30482.232137989911</v>
      </c>
      <c r="R177" s="439">
        <f t="shared" si="124"/>
        <v>-1260.0787329285595</v>
      </c>
      <c r="S177" s="273"/>
      <c r="T177" s="74">
        <v>310</v>
      </c>
      <c r="U177" s="273"/>
      <c r="V177" s="273"/>
      <c r="W177" s="74">
        <v>93</v>
      </c>
      <c r="X177" s="840">
        <v>494.45330971505751</v>
      </c>
      <c r="Y177" s="840">
        <v>151.82625157132941</v>
      </c>
      <c r="Z177" s="840"/>
      <c r="AO177" s="878" t="s">
        <v>254</v>
      </c>
      <c r="AP177" s="878"/>
      <c r="AQ177" s="878"/>
      <c r="AR177" s="124" t="s">
        <v>255</v>
      </c>
      <c r="AS177" s="793">
        <v>0.25</v>
      </c>
      <c r="AT177" s="793">
        <v>0.35</v>
      </c>
      <c r="AU177" s="123">
        <f>37/1.06</f>
        <v>34.905660377358487</v>
      </c>
      <c r="AV177" s="196">
        <f>AU177*AT177</f>
        <v>12.216981132075469</v>
      </c>
      <c r="AW177" s="793"/>
      <c r="AX177" s="219">
        <f>AW177*AT177</f>
        <v>0</v>
      </c>
    </row>
    <row r="178" spans="1:50" s="224" customFormat="1" x14ac:dyDescent="0.25">
      <c r="A178" s="350"/>
      <c r="B178" s="317"/>
      <c r="C178" s="318">
        <v>9</v>
      </c>
      <c r="D178" s="83" t="s">
        <v>428</v>
      </c>
      <c r="E178" s="242">
        <v>27</v>
      </c>
      <c r="F178" s="242">
        <v>37</v>
      </c>
      <c r="G178" s="77" t="s">
        <v>100</v>
      </c>
      <c r="H178" s="74">
        <f t="shared" si="141"/>
        <v>1018.3908045977012</v>
      </c>
      <c r="I178" s="74">
        <f t="shared" si="140"/>
        <v>37680.45977011494</v>
      </c>
      <c r="J178" s="74">
        <f t="shared" si="142"/>
        <v>311.76470588235293</v>
      </c>
      <c r="K178" s="74">
        <f t="shared" si="133"/>
        <v>11535.294117647058</v>
      </c>
      <c r="L178" s="72">
        <f t="shared" si="134"/>
        <v>49215.753887761995</v>
      </c>
      <c r="M178" s="74">
        <f t="shared" si="137"/>
        <v>1359.5376940862602</v>
      </c>
      <c r="N178" s="74">
        <f t="shared" si="138"/>
        <v>416.20158726807512</v>
      </c>
      <c r="O178" s="72">
        <f t="shared" si="122"/>
        <v>1775.7392813543354</v>
      </c>
      <c r="P178" s="205">
        <f t="shared" si="123"/>
        <v>65702.353410110416</v>
      </c>
      <c r="Q178" s="272">
        <f t="shared" si="139"/>
        <v>68535.482683228824</v>
      </c>
      <c r="R178" s="439">
        <f t="shared" si="124"/>
        <v>-2833.1292731184076</v>
      </c>
      <c r="S178" s="273"/>
      <c r="T178" s="74">
        <v>886</v>
      </c>
      <c r="U178" s="273"/>
      <c r="V178" s="273"/>
      <c r="W178" s="74">
        <v>265</v>
      </c>
      <c r="X178" s="840">
        <v>1413.1794593791642</v>
      </c>
      <c r="Y178" s="840">
        <v>432.62318996131501</v>
      </c>
      <c r="Z178" s="840"/>
      <c r="AO178" s="878" t="s">
        <v>256</v>
      </c>
      <c r="AP178" s="878"/>
      <c r="AQ178" s="878"/>
      <c r="AR178" s="124" t="s">
        <v>257</v>
      </c>
      <c r="AS178" s="793">
        <v>1</v>
      </c>
      <c r="AT178" s="793">
        <v>1</v>
      </c>
      <c r="AU178" s="123">
        <v>0</v>
      </c>
      <c r="AV178" s="196">
        <f>AU178*AT178</f>
        <v>0</v>
      </c>
      <c r="AW178" s="793">
        <v>0</v>
      </c>
      <c r="AX178" s="219">
        <f>AW178*AT178</f>
        <v>0</v>
      </c>
    </row>
    <row r="179" spans="1:50" s="224" customFormat="1" x14ac:dyDescent="0.25">
      <c r="A179" s="350"/>
      <c r="B179" s="317"/>
      <c r="C179" s="318">
        <v>10</v>
      </c>
      <c r="D179" s="83" t="s">
        <v>429</v>
      </c>
      <c r="E179" s="242">
        <v>102</v>
      </c>
      <c r="F179" s="242">
        <v>125</v>
      </c>
      <c r="G179" s="77" t="s">
        <v>100</v>
      </c>
      <c r="H179" s="74">
        <f t="shared" si="141"/>
        <v>1650.5747126436781</v>
      </c>
      <c r="I179" s="74">
        <f t="shared" si="140"/>
        <v>206321.83908045976</v>
      </c>
      <c r="J179" s="74">
        <f t="shared" si="142"/>
        <v>505.88235294117646</v>
      </c>
      <c r="K179" s="74">
        <f t="shared" si="133"/>
        <v>63235.294117647056</v>
      </c>
      <c r="L179" s="72">
        <f t="shared" si="134"/>
        <v>269557.13319810684</v>
      </c>
      <c r="M179" s="74">
        <f t="shared" si="137"/>
        <v>2203.4945019276183</v>
      </c>
      <c r="N179" s="74">
        <f t="shared" si="138"/>
        <v>675.34597179348032</v>
      </c>
      <c r="O179" s="72">
        <f t="shared" si="122"/>
        <v>2878.8404737210985</v>
      </c>
      <c r="P179" s="205">
        <f t="shared" si="123"/>
        <v>359855.05921513733</v>
      </c>
      <c r="Q179" s="272">
        <f t="shared" si="139"/>
        <v>375372.24923081929</v>
      </c>
      <c r="R179" s="439">
        <f t="shared" si="124"/>
        <v>-15517.190015681961</v>
      </c>
      <c r="S179" s="273"/>
      <c r="T179" s="74">
        <v>1436</v>
      </c>
      <c r="U179" s="273"/>
      <c r="V179" s="273"/>
      <c r="W179" s="74">
        <v>430</v>
      </c>
      <c r="X179" s="840">
        <v>2290.4353314542664</v>
      </c>
      <c r="Y179" s="840">
        <v>701.992345974964</v>
      </c>
      <c r="Z179" s="840"/>
      <c r="AO179" s="126"/>
      <c r="AP179" s="126"/>
      <c r="AQ179" s="126"/>
      <c r="AR179" s="126"/>
      <c r="AS179" s="793"/>
      <c r="AT179" s="793"/>
      <c r="AU179" s="123"/>
      <c r="AV179" s="212">
        <f>SUM(AV175:AV178)</f>
        <v>1177.3113207547169</v>
      </c>
      <c r="AW179" s="794"/>
      <c r="AX179" s="212">
        <f>SUM(AX175:AX178)</f>
        <v>215.1</v>
      </c>
    </row>
    <row r="180" spans="1:50" s="224" customFormat="1" x14ac:dyDescent="0.25">
      <c r="A180" s="350"/>
      <c r="B180" s="317"/>
      <c r="C180" s="318"/>
      <c r="D180" s="83"/>
      <c r="E180" s="242"/>
      <c r="F180" s="242"/>
      <c r="G180" s="77"/>
      <c r="H180" s="74"/>
      <c r="I180" s="74"/>
      <c r="J180" s="74"/>
      <c r="K180" s="74"/>
      <c r="L180" s="72"/>
      <c r="M180" s="74"/>
      <c r="N180" s="74"/>
      <c r="O180" s="72"/>
      <c r="P180" s="205"/>
      <c r="Q180" s="272"/>
      <c r="R180" s="439"/>
      <c r="S180" s="273"/>
      <c r="T180" s="74"/>
      <c r="U180" s="273"/>
      <c r="V180" s="273"/>
      <c r="W180" s="74"/>
      <c r="X180" s="840"/>
      <c r="Y180" s="840"/>
      <c r="Z180" s="840"/>
      <c r="AA180" s="805"/>
      <c r="AB180" s="805"/>
      <c r="AC180" s="805"/>
      <c r="AD180" s="805"/>
      <c r="AE180" s="805"/>
      <c r="AF180" s="805"/>
      <c r="AG180" s="805"/>
      <c r="AH180" s="805"/>
      <c r="AI180" s="737"/>
      <c r="AJ180" s="687"/>
      <c r="AK180" s="687"/>
      <c r="AL180" s="687"/>
      <c r="AM180" s="687"/>
      <c r="AN180" s="687"/>
      <c r="AO180" s="273"/>
      <c r="AP180" s="273"/>
      <c r="AQ180" s="273"/>
      <c r="AR180" s="273"/>
      <c r="AS180" s="273"/>
      <c r="AT180" s="273"/>
      <c r="AU180" s="273"/>
      <c r="AW180" s="273"/>
    </row>
    <row r="181" spans="1:50" s="224" customFormat="1" x14ac:dyDescent="0.25">
      <c r="A181" s="350"/>
      <c r="B181" s="412" t="s">
        <v>321</v>
      </c>
      <c r="C181" s="413" t="s">
        <v>431</v>
      </c>
      <c r="D181" s="316"/>
      <c r="E181" s="244"/>
      <c r="F181" s="302"/>
      <c r="G181" s="75"/>
      <c r="H181" s="74"/>
      <c r="I181" s="74"/>
      <c r="J181" s="74"/>
      <c r="K181" s="74"/>
      <c r="L181" s="74"/>
      <c r="M181" s="74"/>
      <c r="N181" s="74"/>
      <c r="O181" s="72"/>
      <c r="P181" s="205"/>
      <c r="Q181" s="272"/>
      <c r="R181" s="439"/>
      <c r="S181" s="273"/>
      <c r="T181" s="74"/>
      <c r="W181" s="74"/>
      <c r="X181" s="840"/>
      <c r="Y181" s="840"/>
      <c r="Z181" s="840"/>
      <c r="AO181" s="273"/>
      <c r="AP181" s="273"/>
      <c r="AQ181" s="273"/>
      <c r="AR181" s="273"/>
      <c r="AS181" s="273"/>
      <c r="AT181" s="273"/>
      <c r="AU181" s="273"/>
      <c r="AW181" s="273"/>
    </row>
    <row r="182" spans="1:50" s="224" customFormat="1" x14ac:dyDescent="0.25">
      <c r="A182" s="350"/>
      <c r="B182" s="317"/>
      <c r="C182" s="318">
        <v>1</v>
      </c>
      <c r="D182" s="83" t="s">
        <v>432</v>
      </c>
      <c r="E182" s="242">
        <v>24</v>
      </c>
      <c r="F182" s="242">
        <v>24</v>
      </c>
      <c r="G182" s="77" t="s">
        <v>28</v>
      </c>
      <c r="H182" s="74">
        <f t="shared" ref="H182:H188" si="143">T182/$H$169</f>
        <v>108.04597701149426</v>
      </c>
      <c r="I182" s="74">
        <f>F182*H182</f>
        <v>2593.1034482758623</v>
      </c>
      <c r="J182" s="74">
        <f t="shared" ref="J182:J188" si="144">W182/$J$169</f>
        <v>44.705882352941181</v>
      </c>
      <c r="K182" s="74">
        <f t="shared" ref="K182:K188" si="145">F182*J182</f>
        <v>1072.9411764705883</v>
      </c>
      <c r="L182" s="72">
        <f t="shared" ref="L182:L188" si="146">I182+K182</f>
        <v>3666.0446247464506</v>
      </c>
      <c r="M182" s="74">
        <f t="shared" ref="M182:M188" si="147">X182/$S$217*$S$218</f>
        <v>144.23989079470482</v>
      </c>
      <c r="N182" s="74">
        <f t="shared" ref="N182:N188" si="148">Y182/$S$217*$S$218</f>
        <v>59.68173704221455</v>
      </c>
      <c r="O182" s="72">
        <f t="shared" si="122"/>
        <v>203.92162783691936</v>
      </c>
      <c r="P182" s="205">
        <f t="shared" si="123"/>
        <v>4894.1190680860645</v>
      </c>
      <c r="Q182" s="272">
        <f t="shared" ref="Q182:Q188" si="149">L182/$P$264*$P$272</f>
        <v>5105.1567444897237</v>
      </c>
      <c r="R182" s="439">
        <f t="shared" si="124"/>
        <v>-211.03767640365913</v>
      </c>
      <c r="S182" s="273"/>
      <c r="T182" s="74">
        <v>94</v>
      </c>
      <c r="U182" s="273"/>
      <c r="V182" s="273"/>
      <c r="W182" s="74">
        <v>38</v>
      </c>
      <c r="X182" s="840">
        <v>149.93100359101743</v>
      </c>
      <c r="Y182" s="840">
        <v>62.036532900113102</v>
      </c>
      <c r="Z182" s="840"/>
      <c r="AO182" s="900" t="s">
        <v>351</v>
      </c>
      <c r="AP182" s="900"/>
      <c r="AQ182" s="900"/>
      <c r="AR182" s="794" t="s">
        <v>243</v>
      </c>
      <c r="AS182" s="794" t="s">
        <v>244</v>
      </c>
      <c r="AT182" s="794" t="s">
        <v>245</v>
      </c>
      <c r="AU182" s="123" t="s">
        <v>246</v>
      </c>
      <c r="AV182" s="123" t="s">
        <v>247</v>
      </c>
      <c r="AW182" s="794" t="s">
        <v>248</v>
      </c>
      <c r="AX182" s="794" t="s">
        <v>249</v>
      </c>
    </row>
    <row r="183" spans="1:50" s="224" customFormat="1" x14ac:dyDescent="0.25">
      <c r="A183" s="350"/>
      <c r="B183" s="317"/>
      <c r="C183" s="318">
        <v>2</v>
      </c>
      <c r="D183" s="83" t="s">
        <v>433</v>
      </c>
      <c r="E183" s="242">
        <v>6</v>
      </c>
      <c r="F183" s="242">
        <v>6</v>
      </c>
      <c r="G183" s="77" t="s">
        <v>28</v>
      </c>
      <c r="H183" s="74">
        <f t="shared" si="143"/>
        <v>163.2183908045977</v>
      </c>
      <c r="I183" s="74">
        <f t="shared" ref="I183:I185" si="150">F183*H183</f>
        <v>979.31034482758628</v>
      </c>
      <c r="J183" s="74">
        <f t="shared" si="144"/>
        <v>52.941176470588239</v>
      </c>
      <c r="K183" s="74">
        <f t="shared" si="145"/>
        <v>317.64705882352945</v>
      </c>
      <c r="L183" s="72">
        <f t="shared" si="146"/>
        <v>1296.9574036511158</v>
      </c>
      <c r="M183" s="74">
        <f t="shared" si="147"/>
        <v>217.89430311540519</v>
      </c>
      <c r="N183" s="74">
        <f t="shared" si="148"/>
        <v>70.675741234201439</v>
      </c>
      <c r="O183" s="72">
        <f t="shared" si="122"/>
        <v>288.57004434960663</v>
      </c>
      <c r="P183" s="205">
        <f t="shared" si="123"/>
        <v>1731.4202660976398</v>
      </c>
      <c r="Q183" s="272">
        <f t="shared" si="149"/>
        <v>1806.0802620544493</v>
      </c>
      <c r="R183" s="439">
        <f t="shared" si="124"/>
        <v>-74.659995956809553</v>
      </c>
      <c r="S183" s="273"/>
      <c r="T183" s="74">
        <v>142</v>
      </c>
      <c r="U183" s="273"/>
      <c r="V183" s="273"/>
      <c r="W183" s="74">
        <v>45</v>
      </c>
      <c r="X183" s="840">
        <v>226.49151606302635</v>
      </c>
      <c r="Y183" s="840">
        <v>73.464315276449724</v>
      </c>
      <c r="Z183" s="840"/>
      <c r="AO183" s="878" t="s">
        <v>353</v>
      </c>
      <c r="AP183" s="878"/>
      <c r="AQ183" s="878"/>
      <c r="AR183" s="124" t="s">
        <v>251</v>
      </c>
      <c r="AS183" s="793">
        <v>8.33</v>
      </c>
      <c r="AT183" s="793">
        <v>9</v>
      </c>
      <c r="AU183" s="123">
        <f>143/1.06</f>
        <v>134.90566037735849</v>
      </c>
      <c r="AV183" s="123">
        <f>AU183*AT183</f>
        <v>1214.1509433962265</v>
      </c>
      <c r="AW183" s="793">
        <f>AW175</f>
        <v>23.9</v>
      </c>
      <c r="AX183" s="219">
        <f>AW183*AT183</f>
        <v>215.1</v>
      </c>
    </row>
    <row r="184" spans="1:50" s="224" customFormat="1" x14ac:dyDescent="0.25">
      <c r="A184" s="350"/>
      <c r="B184" s="317"/>
      <c r="C184" s="318">
        <v>3</v>
      </c>
      <c r="D184" s="83" t="s">
        <v>434</v>
      </c>
      <c r="E184" s="242">
        <v>3</v>
      </c>
      <c r="F184" s="242">
        <v>3</v>
      </c>
      <c r="G184" s="77" t="s">
        <v>28</v>
      </c>
      <c r="H184" s="74">
        <f t="shared" si="143"/>
        <v>235.63218390804599</v>
      </c>
      <c r="I184" s="74">
        <f t="shared" si="150"/>
        <v>706.89655172413791</v>
      </c>
      <c r="J184" s="74">
        <f t="shared" si="144"/>
        <v>72.941176470588232</v>
      </c>
      <c r="K184" s="74">
        <f t="shared" si="145"/>
        <v>218.8235294117647</v>
      </c>
      <c r="L184" s="72">
        <f t="shared" si="146"/>
        <v>925.72008113590255</v>
      </c>
      <c r="M184" s="74">
        <f t="shared" si="147"/>
        <v>314.56571928632439</v>
      </c>
      <c r="N184" s="74">
        <f t="shared" si="148"/>
        <v>97.375465700455308</v>
      </c>
      <c r="O184" s="72">
        <f t="shared" si="122"/>
        <v>411.94118498677972</v>
      </c>
      <c r="P184" s="205">
        <f t="shared" si="123"/>
        <v>1235.8235549603392</v>
      </c>
      <c r="Q184" s="272">
        <f t="shared" si="149"/>
        <v>1289.1130903916317</v>
      </c>
      <c r="R184" s="439">
        <f t="shared" si="124"/>
        <v>-53.289535431292506</v>
      </c>
      <c r="S184" s="273"/>
      <c r="T184" s="74">
        <v>205</v>
      </c>
      <c r="U184" s="273"/>
      <c r="V184" s="273"/>
      <c r="W184" s="74">
        <v>62</v>
      </c>
      <c r="X184" s="840">
        <v>326.97718868253804</v>
      </c>
      <c r="Y184" s="840">
        <v>101.21750104755294</v>
      </c>
      <c r="Z184" s="840"/>
      <c r="AA184" s="273"/>
      <c r="AB184" s="273"/>
      <c r="AC184" s="273"/>
      <c r="AD184" s="273"/>
      <c r="AE184" s="273"/>
      <c r="AF184" s="273"/>
      <c r="AH184" s="273"/>
      <c r="AJ184" s="738"/>
      <c r="AO184" s="878" t="s">
        <v>252</v>
      </c>
      <c r="AP184" s="878"/>
      <c r="AQ184" s="878"/>
      <c r="AR184" s="124" t="s">
        <v>253</v>
      </c>
      <c r="AS184" s="793">
        <v>0.25</v>
      </c>
      <c r="AT184" s="793">
        <v>0.25</v>
      </c>
      <c r="AU184" s="123">
        <f>260/1.06</f>
        <v>245.28301886792451</v>
      </c>
      <c r="AV184" s="123">
        <f>AU184*AT184</f>
        <v>61.320754716981128</v>
      </c>
      <c r="AW184" s="793"/>
      <c r="AX184" s="219">
        <f>AW184*AT184</f>
        <v>0</v>
      </c>
    </row>
    <row r="185" spans="1:50" s="224" customFormat="1" x14ac:dyDescent="0.25">
      <c r="A185" s="350"/>
      <c r="B185" s="317"/>
      <c r="C185" s="318">
        <v>4</v>
      </c>
      <c r="D185" s="83" t="s">
        <v>435</v>
      </c>
      <c r="E185" s="242">
        <v>4</v>
      </c>
      <c r="F185" s="242">
        <v>4</v>
      </c>
      <c r="G185" s="77" t="s">
        <v>28</v>
      </c>
      <c r="H185" s="74">
        <f t="shared" si="143"/>
        <v>168.9655172413793</v>
      </c>
      <c r="I185" s="74">
        <f t="shared" si="150"/>
        <v>675.86206896551721</v>
      </c>
      <c r="J185" s="74">
        <f t="shared" si="144"/>
        <v>51.764705882352942</v>
      </c>
      <c r="K185" s="74">
        <f t="shared" si="145"/>
        <v>207.05882352941177</v>
      </c>
      <c r="L185" s="72">
        <f t="shared" si="146"/>
        <v>882.92089249492892</v>
      </c>
      <c r="M185" s="74">
        <f t="shared" si="147"/>
        <v>225.56663773214478</v>
      </c>
      <c r="N185" s="74">
        <f t="shared" si="148"/>
        <v>69.105169206774733</v>
      </c>
      <c r="O185" s="72">
        <f t="shared" si="122"/>
        <v>294.67180693891953</v>
      </c>
      <c r="P185" s="205">
        <f t="shared" si="123"/>
        <v>1178.6872277556781</v>
      </c>
      <c r="Q185" s="272">
        <f t="shared" si="149"/>
        <v>1229.5130066735385</v>
      </c>
      <c r="R185" s="439">
        <f t="shared" si="124"/>
        <v>-50.825778917860362</v>
      </c>
      <c r="S185" s="273"/>
      <c r="T185" s="74">
        <v>147</v>
      </c>
      <c r="U185" s="273"/>
      <c r="V185" s="273"/>
      <c r="W185" s="74">
        <v>44</v>
      </c>
      <c r="X185" s="840">
        <v>234.46656944552726</v>
      </c>
      <c r="Y185" s="840">
        <v>71.831774936973062</v>
      </c>
      <c r="Z185" s="840"/>
      <c r="AA185" s="273"/>
      <c r="AB185" s="273"/>
      <c r="AC185" s="273"/>
      <c r="AD185" s="273"/>
      <c r="AE185" s="273"/>
      <c r="AF185" s="273"/>
      <c r="AH185" s="273"/>
      <c r="AO185" s="878" t="s">
        <v>254</v>
      </c>
      <c r="AP185" s="878"/>
      <c r="AQ185" s="878"/>
      <c r="AR185" s="124" t="s">
        <v>255</v>
      </c>
      <c r="AS185" s="793">
        <v>0.25</v>
      </c>
      <c r="AT185" s="793">
        <v>0.35</v>
      </c>
      <c r="AU185" s="123">
        <f>37/1.06</f>
        <v>34.905660377358487</v>
      </c>
      <c r="AV185" s="123">
        <f>AU185*AT185</f>
        <v>12.216981132075469</v>
      </c>
      <c r="AW185" s="793"/>
      <c r="AX185" s="219">
        <f>AW185*AT185</f>
        <v>0</v>
      </c>
    </row>
    <row r="186" spans="1:50" s="224" customFormat="1" x14ac:dyDescent="0.25">
      <c r="A186" s="350"/>
      <c r="B186" s="317"/>
      <c r="C186" s="318">
        <v>5</v>
      </c>
      <c r="D186" s="83" t="s">
        <v>436</v>
      </c>
      <c r="E186" s="242">
        <v>104</v>
      </c>
      <c r="F186" s="242">
        <v>104</v>
      </c>
      <c r="G186" s="77" t="s">
        <v>28</v>
      </c>
      <c r="H186" s="74">
        <f t="shared" si="143"/>
        <v>275.86206896551727</v>
      </c>
      <c r="I186" s="74">
        <f>F186*H186</f>
        <v>28689.655172413797</v>
      </c>
      <c r="J186" s="74">
        <f t="shared" si="144"/>
        <v>84.705882352941174</v>
      </c>
      <c r="K186" s="74">
        <f t="shared" si="145"/>
        <v>8809.4117647058829</v>
      </c>
      <c r="L186" s="72">
        <f t="shared" si="146"/>
        <v>37499.066937119678</v>
      </c>
      <c r="M186" s="74">
        <f t="shared" si="147"/>
        <v>368.27206160350175</v>
      </c>
      <c r="N186" s="74">
        <f t="shared" si="148"/>
        <v>113.08118597472229</v>
      </c>
      <c r="O186" s="72">
        <f t="shared" si="122"/>
        <v>481.35324757822406</v>
      </c>
      <c r="P186" s="205">
        <f t="shared" si="123"/>
        <v>50060.737748135303</v>
      </c>
      <c r="Q186" s="272">
        <f t="shared" si="149"/>
        <v>52219.390127949773</v>
      </c>
      <c r="R186" s="439">
        <f t="shared" si="124"/>
        <v>-2158.6523798144699</v>
      </c>
      <c r="S186" s="273"/>
      <c r="T186" s="74">
        <v>240</v>
      </c>
      <c r="U186" s="273"/>
      <c r="V186" s="273"/>
      <c r="W186" s="74">
        <v>72</v>
      </c>
      <c r="X186" s="840">
        <v>382.80256236004453</v>
      </c>
      <c r="Y186" s="840">
        <v>117.54290444231955</v>
      </c>
      <c r="Z186" s="840"/>
      <c r="AO186" s="878" t="s">
        <v>256</v>
      </c>
      <c r="AP186" s="878"/>
      <c r="AQ186" s="878"/>
      <c r="AR186" s="124" t="s">
        <v>257</v>
      </c>
      <c r="AS186" s="793">
        <v>1</v>
      </c>
      <c r="AT186" s="793">
        <v>1</v>
      </c>
      <c r="AU186" s="123">
        <f>BA108</f>
        <v>0</v>
      </c>
      <c r="AV186" s="123">
        <f>AU186*AT186</f>
        <v>0</v>
      </c>
      <c r="AW186" s="793"/>
      <c r="AX186" s="219">
        <f>AW186*AT186</f>
        <v>0</v>
      </c>
    </row>
    <row r="187" spans="1:50" s="224" customFormat="1" x14ac:dyDescent="0.25">
      <c r="A187" s="350"/>
      <c r="B187" s="317"/>
      <c r="C187" s="318">
        <v>6</v>
      </c>
      <c r="D187" s="83" t="s">
        <v>437</v>
      </c>
      <c r="E187" s="242">
        <v>5</v>
      </c>
      <c r="F187" s="242">
        <v>5</v>
      </c>
      <c r="G187" s="77" t="s">
        <v>28</v>
      </c>
      <c r="H187" s="74">
        <f t="shared" si="143"/>
        <v>180.45977011494253</v>
      </c>
      <c r="I187" s="74">
        <f t="shared" ref="I187:I188" si="151">F187*H187</f>
        <v>902.29885057471267</v>
      </c>
      <c r="J187" s="74">
        <f t="shared" si="144"/>
        <v>55.294117647058826</v>
      </c>
      <c r="K187" s="74">
        <f t="shared" si="145"/>
        <v>276.47058823529414</v>
      </c>
      <c r="L187" s="72">
        <f t="shared" si="146"/>
        <v>1178.7694388100067</v>
      </c>
      <c r="M187" s="74">
        <f t="shared" si="147"/>
        <v>240.91130696562405</v>
      </c>
      <c r="N187" s="74">
        <f t="shared" si="148"/>
        <v>73.816885289054824</v>
      </c>
      <c r="O187" s="72">
        <f t="shared" si="122"/>
        <v>314.7281922546789</v>
      </c>
      <c r="P187" s="205">
        <f t="shared" si="123"/>
        <v>1573.6409612733946</v>
      </c>
      <c r="Q187" s="272">
        <f t="shared" si="149"/>
        <v>1641.4974084379764</v>
      </c>
      <c r="R187" s="439">
        <f t="shared" si="124"/>
        <v>-67.856447164581823</v>
      </c>
      <c r="S187" s="273"/>
      <c r="T187" s="74">
        <v>157</v>
      </c>
      <c r="U187" s="273"/>
      <c r="V187" s="273"/>
      <c r="W187" s="74">
        <v>47</v>
      </c>
      <c r="X187" s="840">
        <v>250.41667621052912</v>
      </c>
      <c r="Y187" s="840">
        <v>76.729395955403049</v>
      </c>
      <c r="Z187" s="840"/>
      <c r="AO187" s="126"/>
      <c r="AP187" s="126"/>
      <c r="AQ187" s="126"/>
      <c r="AR187" s="126"/>
      <c r="AS187" s="793"/>
      <c r="AT187" s="793"/>
      <c r="AU187" s="123"/>
      <c r="AV187" s="212">
        <f>SUM(AV183:AV186)</f>
        <v>1287.6886792452831</v>
      </c>
      <c r="AW187" s="794"/>
      <c r="AX187" s="212">
        <f>SUM(AX183:AX186)</f>
        <v>215.1</v>
      </c>
    </row>
    <row r="188" spans="1:50" s="224" customFormat="1" x14ac:dyDescent="0.25">
      <c r="A188" s="350"/>
      <c r="B188" s="317"/>
      <c r="C188" s="318">
        <v>7</v>
      </c>
      <c r="D188" s="83" t="s">
        <v>438</v>
      </c>
      <c r="E188" s="242">
        <v>10</v>
      </c>
      <c r="F188" s="242">
        <v>10</v>
      </c>
      <c r="G188" s="77" t="s">
        <v>28</v>
      </c>
      <c r="H188" s="74">
        <f t="shared" si="143"/>
        <v>758.62068965517244</v>
      </c>
      <c r="I188" s="74">
        <f t="shared" si="151"/>
        <v>7586.2068965517246</v>
      </c>
      <c r="J188" s="74">
        <f t="shared" si="144"/>
        <v>155.29411764705884</v>
      </c>
      <c r="K188" s="74">
        <f t="shared" si="145"/>
        <v>1552.9411764705883</v>
      </c>
      <c r="L188" s="72">
        <f t="shared" si="146"/>
        <v>9139.148073022312</v>
      </c>
      <c r="M188" s="74">
        <f t="shared" si="147"/>
        <v>1012.7481694096297</v>
      </c>
      <c r="N188" s="74">
        <f t="shared" si="148"/>
        <v>207.31550762032421</v>
      </c>
      <c r="O188" s="72">
        <f t="shared" si="122"/>
        <v>1220.0636770299539</v>
      </c>
      <c r="P188" s="205">
        <f t="shared" si="123"/>
        <v>12200.636770299538</v>
      </c>
      <c r="Q188" s="272">
        <f t="shared" si="149"/>
        <v>12726.73636020101</v>
      </c>
      <c r="R188" s="439">
        <f t="shared" si="124"/>
        <v>-526.09958990147243</v>
      </c>
      <c r="S188" s="273"/>
      <c r="T188" s="74">
        <v>660</v>
      </c>
      <c r="U188" s="273"/>
      <c r="V188" s="273"/>
      <c r="W188" s="74">
        <v>132</v>
      </c>
      <c r="X188" s="840">
        <v>1052.7070464901224</v>
      </c>
      <c r="Y188" s="840">
        <v>215.49532481091919</v>
      </c>
      <c r="Z188" s="840"/>
      <c r="AA188" s="273"/>
      <c r="AB188" s="273"/>
      <c r="AC188" s="273"/>
      <c r="AD188" s="273"/>
      <c r="AE188" s="273"/>
      <c r="AF188" s="273"/>
      <c r="AH188" s="273"/>
      <c r="AJ188" s="738"/>
      <c r="AO188" s="338"/>
      <c r="AP188" s="338"/>
      <c r="AQ188" s="339"/>
      <c r="AR188" s="340"/>
      <c r="AS188" s="340"/>
      <c r="AT188" s="340"/>
      <c r="AU188" s="341"/>
      <c r="AV188" s="792"/>
      <c r="AW188" s="342"/>
      <c r="AX188" s="212"/>
    </row>
    <row r="189" spans="1:50" s="224" customFormat="1" x14ac:dyDescent="0.25">
      <c r="A189" s="350"/>
      <c r="B189" s="317"/>
      <c r="C189" s="318"/>
      <c r="D189" s="83"/>
      <c r="E189" s="242"/>
      <c r="F189" s="242"/>
      <c r="G189" s="77"/>
      <c r="H189" s="74"/>
      <c r="I189" s="74"/>
      <c r="J189" s="74"/>
      <c r="K189" s="74"/>
      <c r="L189" s="72"/>
      <c r="M189" s="74"/>
      <c r="N189" s="74"/>
      <c r="O189" s="72"/>
      <c r="P189" s="205"/>
      <c r="Q189" s="272"/>
      <c r="R189" s="439"/>
      <c r="S189" s="273"/>
      <c r="U189" s="273"/>
      <c r="V189" s="273"/>
      <c r="W189" s="74"/>
      <c r="X189" s="840"/>
      <c r="Y189" s="840"/>
      <c r="Z189" s="840"/>
      <c r="AA189" s="273"/>
      <c r="AB189" s="273"/>
      <c r="AC189" s="273"/>
      <c r="AD189" s="273"/>
      <c r="AE189" s="273"/>
      <c r="AF189" s="273"/>
      <c r="AH189" s="273"/>
      <c r="AJ189" s="738"/>
      <c r="AO189" s="905"/>
      <c r="AP189" s="905"/>
      <c r="AQ189" s="797"/>
      <c r="AR189" s="336"/>
      <c r="AS189" s="336"/>
      <c r="AT189" s="344"/>
      <c r="AU189" s="345"/>
      <c r="AV189" s="337"/>
      <c r="AW189" s="342"/>
      <c r="AX189" s="220"/>
    </row>
    <row r="190" spans="1:50" s="224" customFormat="1" x14ac:dyDescent="0.25">
      <c r="A190" s="350"/>
      <c r="B190" s="412" t="s">
        <v>439</v>
      </c>
      <c r="C190" s="413" t="s">
        <v>454</v>
      </c>
      <c r="D190" s="316"/>
      <c r="E190" s="244"/>
      <c r="F190" s="244"/>
      <c r="G190" s="75"/>
      <c r="H190" s="440">
        <v>0.87</v>
      </c>
      <c r="I190" s="74"/>
      <c r="J190" s="74"/>
      <c r="K190" s="74"/>
      <c r="L190" s="74"/>
      <c r="M190" s="74"/>
      <c r="N190" s="74"/>
      <c r="O190" s="72"/>
      <c r="P190" s="205"/>
      <c r="Q190" s="272"/>
      <c r="R190" s="439"/>
      <c r="S190" s="273"/>
      <c r="W190" s="74"/>
      <c r="X190" s="840"/>
      <c r="Y190" s="840"/>
      <c r="Z190" s="840"/>
      <c r="AO190" s="905"/>
      <c r="AP190" s="905"/>
      <c r="AQ190" s="797"/>
      <c r="AR190" s="336"/>
      <c r="AS190" s="336"/>
      <c r="AT190" s="344"/>
      <c r="AU190" s="345"/>
      <c r="AV190" s="337"/>
      <c r="AW190" s="342"/>
      <c r="AX190" s="220"/>
    </row>
    <row r="191" spans="1:50" s="224" customFormat="1" x14ac:dyDescent="0.25">
      <c r="A191" s="350"/>
      <c r="B191" s="317"/>
      <c r="C191" s="318">
        <v>1</v>
      </c>
      <c r="D191" s="83" t="s">
        <v>440</v>
      </c>
      <c r="E191" s="242">
        <v>1</v>
      </c>
      <c r="F191" s="242">
        <v>1</v>
      </c>
      <c r="G191" s="77" t="s">
        <v>55</v>
      </c>
      <c r="H191" s="74">
        <f>T191/$H$190</f>
        <v>20235.632183908045</v>
      </c>
      <c r="I191" s="74">
        <f>F191*H191</f>
        <v>20235.632183908045</v>
      </c>
      <c r="J191" s="74">
        <f t="shared" ref="J191:J195" si="152">W191/$J$169</f>
        <v>4117.6470588235297</v>
      </c>
      <c r="K191" s="74">
        <f t="shared" ref="K191:K204" si="153">F191*J191</f>
        <v>4117.6470588235297</v>
      </c>
      <c r="L191" s="72">
        <f t="shared" ref="L191:L204" si="154">I191+K191</f>
        <v>24353.279242731573</v>
      </c>
      <c r="M191" s="74">
        <f t="shared" ref="M191:M195" si="155">X191/$S$217*$S$218</f>
        <v>27014.290185540194</v>
      </c>
      <c r="N191" s="74">
        <f t="shared" ref="N191:N195" si="156">Y191/$S$217*$S$218</f>
        <v>5497.0020959934454</v>
      </c>
      <c r="O191" s="72">
        <f t="shared" si="122"/>
        <v>32511.292281533639</v>
      </c>
      <c r="P191" s="205">
        <f t="shared" si="123"/>
        <v>32511.292281533639</v>
      </c>
      <c r="Q191" s="272">
        <f>L191/$P$264*$P$272</f>
        <v>33913.200875199749</v>
      </c>
      <c r="R191" s="439">
        <f t="shared" si="124"/>
        <v>-1401.9085936661104</v>
      </c>
      <c r="S191" s="273"/>
      <c r="T191" s="74">
        <f>17605</f>
        <v>17605</v>
      </c>
      <c r="U191" s="273"/>
      <c r="V191" s="273"/>
      <c r="W191" s="74">
        <v>3500</v>
      </c>
      <c r="X191" s="840">
        <v>28080.162959785765</v>
      </c>
      <c r="Y191" s="840">
        <v>5713.8911881683125</v>
      </c>
      <c r="Z191" s="840"/>
      <c r="AO191" s="126"/>
      <c r="AP191" s="126"/>
      <c r="AQ191" s="126"/>
      <c r="AR191" s="126"/>
      <c r="AS191" s="126"/>
      <c r="AT191" s="126"/>
      <c r="AU191" s="346"/>
      <c r="AV191" s="337"/>
      <c r="AW191" s="342"/>
      <c r="AX191" s="212"/>
    </row>
    <row r="192" spans="1:50" s="224" customFormat="1" x14ac:dyDescent="0.25">
      <c r="A192" s="350"/>
      <c r="B192" s="317"/>
      <c r="C192" s="318">
        <v>2</v>
      </c>
      <c r="D192" s="83" t="s">
        <v>441</v>
      </c>
      <c r="E192" s="242">
        <v>1</v>
      </c>
      <c r="F192" s="242">
        <v>1</v>
      </c>
      <c r="G192" s="77" t="s">
        <v>55</v>
      </c>
      <c r="H192" s="74">
        <f t="shared" ref="H192:H203" si="157">T192/$H$190</f>
        <v>24827.586206896551</v>
      </c>
      <c r="I192" s="74">
        <f t="shared" ref="I192:I194" si="158">F192*H192</f>
        <v>24827.586206896551</v>
      </c>
      <c r="J192" s="74">
        <f t="shared" si="152"/>
        <v>5882.3529411764712</v>
      </c>
      <c r="K192" s="74">
        <f t="shared" si="153"/>
        <v>5882.3529411764712</v>
      </c>
      <c r="L192" s="72">
        <f t="shared" si="154"/>
        <v>30709.939148073023</v>
      </c>
      <c r="M192" s="74">
        <f t="shared" si="155"/>
        <v>33144.485544315154</v>
      </c>
      <c r="N192" s="74">
        <f t="shared" si="156"/>
        <v>7852.8601371334926</v>
      </c>
      <c r="O192" s="72">
        <f t="shared" si="122"/>
        <v>40997.345681448649</v>
      </c>
      <c r="P192" s="205">
        <f t="shared" si="123"/>
        <v>40997.345681448649</v>
      </c>
      <c r="Q192" s="272">
        <f>L192/$P$264*$P$272</f>
        <v>42765.178554120052</v>
      </c>
      <c r="R192" s="439">
        <f t="shared" si="124"/>
        <v>-1767.8328726714026</v>
      </c>
      <c r="S192" s="273"/>
      <c r="T192" s="74">
        <f>21600</f>
        <v>21600</v>
      </c>
      <c r="U192" s="273"/>
      <c r="V192" s="273"/>
      <c r="W192" s="74">
        <v>5000</v>
      </c>
      <c r="X192" s="840">
        <v>34452.230612404004</v>
      </c>
      <c r="Y192" s="840">
        <v>8162.7016973833024</v>
      </c>
      <c r="Z192" s="840"/>
      <c r="AO192" s="126"/>
      <c r="AP192" s="126"/>
      <c r="AQ192" s="126"/>
      <c r="AR192" s="126"/>
      <c r="AS192" s="126"/>
      <c r="AT192" s="126"/>
      <c r="AU192" s="127"/>
      <c r="AV192" s="213"/>
      <c r="AW192" s="126"/>
      <c r="AX192" s="219"/>
    </row>
    <row r="193" spans="1:50" s="224" customFormat="1" x14ac:dyDescent="0.25">
      <c r="A193" s="350"/>
      <c r="B193" s="317"/>
      <c r="C193" s="318">
        <v>3</v>
      </c>
      <c r="D193" s="83" t="s">
        <v>442</v>
      </c>
      <c r="E193" s="242">
        <v>1</v>
      </c>
      <c r="F193" s="242">
        <v>1</v>
      </c>
      <c r="G193" s="77" t="s">
        <v>55</v>
      </c>
      <c r="H193" s="74">
        <f t="shared" si="157"/>
        <v>24827.586206896551</v>
      </c>
      <c r="I193" s="74">
        <f t="shared" si="158"/>
        <v>24827.586206896551</v>
      </c>
      <c r="J193" s="74">
        <f t="shared" si="152"/>
        <v>5882.3529411764712</v>
      </c>
      <c r="K193" s="74">
        <f t="shared" si="153"/>
        <v>5882.3529411764712</v>
      </c>
      <c r="L193" s="72">
        <f t="shared" si="154"/>
        <v>30709.939148073023</v>
      </c>
      <c r="M193" s="74">
        <f t="shared" si="155"/>
        <v>33144.485544315154</v>
      </c>
      <c r="N193" s="74">
        <f t="shared" si="156"/>
        <v>7852.8601371334926</v>
      </c>
      <c r="O193" s="72">
        <f t="shared" si="122"/>
        <v>40997.345681448649</v>
      </c>
      <c r="P193" s="205">
        <f t="shared" si="123"/>
        <v>40997.345681448649</v>
      </c>
      <c r="Q193" s="272">
        <f>L193/$P$264*$P$272</f>
        <v>42765.178554120052</v>
      </c>
      <c r="R193" s="439">
        <f t="shared" si="124"/>
        <v>-1767.8328726714026</v>
      </c>
      <c r="S193" s="273"/>
      <c r="T193" s="74">
        <f>21600</f>
        <v>21600</v>
      </c>
      <c r="U193" s="273"/>
      <c r="V193" s="273"/>
      <c r="W193" s="74">
        <v>5000</v>
      </c>
      <c r="X193" s="840">
        <v>34452.230612404004</v>
      </c>
      <c r="Y193" s="840">
        <v>8162.7016973833024</v>
      </c>
      <c r="Z193" s="840"/>
      <c r="AA193" s="273"/>
      <c r="AB193" s="273"/>
      <c r="AC193" s="273"/>
      <c r="AD193" s="273"/>
      <c r="AE193" s="273"/>
      <c r="AF193" s="273"/>
      <c r="AH193" s="273"/>
      <c r="AJ193" s="738"/>
      <c r="AO193" s="880" t="s">
        <v>267</v>
      </c>
      <c r="AP193" s="880"/>
      <c r="AQ193" s="141" t="s">
        <v>243</v>
      </c>
      <c r="AR193" s="141" t="s">
        <v>244</v>
      </c>
      <c r="AS193" s="141" t="s">
        <v>245</v>
      </c>
      <c r="AT193" s="141" t="s">
        <v>246</v>
      </c>
      <c r="AU193" s="141" t="s">
        <v>247</v>
      </c>
      <c r="AV193" s="216" t="s">
        <v>248</v>
      </c>
      <c r="AW193" s="141" t="s">
        <v>249</v>
      </c>
      <c r="AX193" s="219"/>
    </row>
    <row r="194" spans="1:50" s="224" customFormat="1" x14ac:dyDescent="0.25">
      <c r="A194" s="350"/>
      <c r="B194" s="317"/>
      <c r="C194" s="318">
        <v>4</v>
      </c>
      <c r="D194" s="83" t="s">
        <v>443</v>
      </c>
      <c r="E194" s="242">
        <v>1</v>
      </c>
      <c r="F194" s="242">
        <v>1</v>
      </c>
      <c r="G194" s="77" t="s">
        <v>55</v>
      </c>
      <c r="H194" s="74">
        <f t="shared" si="157"/>
        <v>25280.459770114943</v>
      </c>
      <c r="I194" s="74">
        <f t="shared" si="158"/>
        <v>25280.459770114943</v>
      </c>
      <c r="J194" s="74">
        <f t="shared" si="152"/>
        <v>4117.6470588235297</v>
      </c>
      <c r="K194" s="74">
        <f t="shared" si="153"/>
        <v>4117.6470588235297</v>
      </c>
      <c r="L194" s="72">
        <f t="shared" si="154"/>
        <v>29398.106828938471</v>
      </c>
      <c r="M194" s="74">
        <f t="shared" si="155"/>
        <v>33749.065512114234</v>
      </c>
      <c r="N194" s="74">
        <f t="shared" si="156"/>
        <v>5497.0020959934454</v>
      </c>
      <c r="O194" s="72">
        <f t="shared" si="122"/>
        <v>39246.067608107682</v>
      </c>
      <c r="P194" s="205">
        <f t="shared" si="123"/>
        <v>39246.067608107682</v>
      </c>
      <c r="Q194" s="272">
        <f>L194/$P$264*$P$272</f>
        <v>40938.384202937668</v>
      </c>
      <c r="R194" s="439">
        <f t="shared" si="124"/>
        <v>-1692.3165948299866</v>
      </c>
      <c r="S194" s="273"/>
      <c r="T194" s="74">
        <f>21994</f>
        <v>21994</v>
      </c>
      <c r="U194" s="273"/>
      <c r="V194" s="273"/>
      <c r="W194" s="74">
        <v>3500</v>
      </c>
      <c r="X194" s="840">
        <v>35080.664818945079</v>
      </c>
      <c r="Y194" s="840">
        <v>5713.8911881683125</v>
      </c>
      <c r="Z194" s="840"/>
      <c r="AA194" s="273"/>
      <c r="AB194" s="273"/>
      <c r="AC194" s="273"/>
      <c r="AD194" s="273"/>
      <c r="AE194" s="273"/>
      <c r="AF194" s="273"/>
      <c r="AH194" s="273"/>
      <c r="AO194" s="739"/>
      <c r="AP194" s="791" t="s">
        <v>265</v>
      </c>
      <c r="AQ194" s="791" t="s">
        <v>268</v>
      </c>
      <c r="AR194" s="791">
        <v>8.0000000000000002E-3</v>
      </c>
      <c r="AS194" s="791">
        <v>0.01</v>
      </c>
      <c r="AT194" s="791">
        <v>1000</v>
      </c>
      <c r="AU194" s="791">
        <f>AT194*AS194</f>
        <v>10</v>
      </c>
      <c r="AV194" s="144">
        <v>600</v>
      </c>
      <c r="AW194" s="791">
        <f>AV194*AS194</f>
        <v>6</v>
      </c>
      <c r="AX194" s="219"/>
    </row>
    <row r="195" spans="1:50" s="224" customFormat="1" x14ac:dyDescent="0.25">
      <c r="A195" s="350"/>
      <c r="B195" s="317"/>
      <c r="C195" s="318">
        <v>5</v>
      </c>
      <c r="D195" s="83" t="s">
        <v>444</v>
      </c>
      <c r="E195" s="242">
        <v>1</v>
      </c>
      <c r="F195" s="242">
        <v>1</v>
      </c>
      <c r="G195" s="77" t="s">
        <v>55</v>
      </c>
      <c r="H195" s="74">
        <f t="shared" si="157"/>
        <v>49827.586206896551</v>
      </c>
      <c r="I195" s="74">
        <f>F195*H195</f>
        <v>49827.586206896551</v>
      </c>
      <c r="J195" s="74">
        <f t="shared" si="152"/>
        <v>5882.3529411764712</v>
      </c>
      <c r="K195" s="74">
        <f t="shared" si="153"/>
        <v>5882.3529411764712</v>
      </c>
      <c r="L195" s="72">
        <f t="shared" si="154"/>
        <v>55709.939148073019</v>
      </c>
      <c r="M195" s="74">
        <f t="shared" si="155"/>
        <v>66519.141127132491</v>
      </c>
      <c r="N195" s="74">
        <f t="shared" si="156"/>
        <v>7852.8601371334926</v>
      </c>
      <c r="O195" s="72">
        <f t="shared" si="122"/>
        <v>74372.001264265986</v>
      </c>
      <c r="P195" s="205">
        <f t="shared" si="123"/>
        <v>74372.001264265986</v>
      </c>
      <c r="Q195" s="272">
        <f>L195/$P$264*$P$272</f>
        <v>77578.971531631905</v>
      </c>
      <c r="R195" s="439">
        <f t="shared" si="124"/>
        <v>-3206.9702673659194</v>
      </c>
      <c r="S195" s="273"/>
      <c r="T195" s="74">
        <f>43350</f>
        <v>43350</v>
      </c>
      <c r="U195" s="273"/>
      <c r="V195" s="273"/>
      <c r="W195" s="74">
        <v>5000</v>
      </c>
      <c r="X195" s="840">
        <v>69143.712826283037</v>
      </c>
      <c r="Y195" s="840">
        <v>8162.7016973833024</v>
      </c>
      <c r="Z195" s="840"/>
      <c r="AO195" s="739"/>
      <c r="AP195" s="791" t="s">
        <v>264</v>
      </c>
      <c r="AQ195" s="791" t="s">
        <v>253</v>
      </c>
      <c r="AR195" s="791">
        <v>0.14399999999999999</v>
      </c>
      <c r="AS195" s="791">
        <v>0.17</v>
      </c>
      <c r="AT195" s="144">
        <f>230/1.075</f>
        <v>213.95348837209303</v>
      </c>
      <c r="AU195" s="144">
        <f>AT195*AS195</f>
        <v>36.372093023255822</v>
      </c>
      <c r="AV195" s="144">
        <v>150</v>
      </c>
      <c r="AW195" s="791">
        <f>AV195*AS195</f>
        <v>25.500000000000004</v>
      </c>
      <c r="AX195" s="212"/>
    </row>
    <row r="196" spans="1:50" s="224" customFormat="1" x14ac:dyDescent="0.25">
      <c r="A196" s="350"/>
      <c r="B196" s="317"/>
      <c r="C196" s="318"/>
      <c r="D196" s="83" t="s">
        <v>445</v>
      </c>
      <c r="E196" s="242"/>
      <c r="F196" s="242"/>
      <c r="G196" s="77"/>
      <c r="H196" s="74"/>
      <c r="I196" s="74"/>
      <c r="J196" s="74"/>
      <c r="K196" s="74"/>
      <c r="L196" s="72"/>
      <c r="M196" s="74"/>
      <c r="N196" s="74"/>
      <c r="O196" s="72"/>
      <c r="P196" s="205"/>
      <c r="Q196" s="272"/>
      <c r="R196" s="439"/>
      <c r="S196" s="273"/>
      <c r="T196" s="74"/>
      <c r="U196" s="273"/>
      <c r="V196" s="273"/>
      <c r="W196" s="74"/>
      <c r="X196" s="840"/>
      <c r="Y196" s="840"/>
      <c r="Z196" s="840"/>
      <c r="AO196" s="739"/>
      <c r="AP196" s="791" t="s">
        <v>269</v>
      </c>
      <c r="AQ196" s="791" t="s">
        <v>253</v>
      </c>
      <c r="AR196" s="791">
        <v>5</v>
      </c>
      <c r="AS196" s="791">
        <v>5</v>
      </c>
      <c r="AT196" s="437">
        <f>50/1.05</f>
        <v>47.61904761904762</v>
      </c>
      <c r="AU196" s="437">
        <f>AT196*AS196</f>
        <v>238.0952380952381</v>
      </c>
      <c r="AV196" s="144">
        <v>20</v>
      </c>
      <c r="AW196" s="791">
        <f>AV196*AS196</f>
        <v>100</v>
      </c>
      <c r="AX196" s="220"/>
    </row>
    <row r="197" spans="1:50" s="224" customFormat="1" x14ac:dyDescent="0.25">
      <c r="A197" s="350"/>
      <c r="B197" s="317"/>
      <c r="C197" s="318">
        <v>6</v>
      </c>
      <c r="D197" s="83" t="s">
        <v>446</v>
      </c>
      <c r="E197" s="242">
        <v>2</v>
      </c>
      <c r="F197" s="242">
        <v>2</v>
      </c>
      <c r="G197" s="77" t="s">
        <v>28</v>
      </c>
      <c r="H197" s="74">
        <f t="shared" si="157"/>
        <v>1206.8965517241379</v>
      </c>
      <c r="I197" s="74">
        <f t="shared" ref="I197:I198" si="159">F197*H197</f>
        <v>2413.7931034482758</v>
      </c>
      <c r="J197" s="74">
        <f t="shared" ref="J197:J204" si="160">W197/$J$169</f>
        <v>305.88235294117646</v>
      </c>
      <c r="K197" s="74">
        <f t="shared" si="153"/>
        <v>611.76470588235293</v>
      </c>
      <c r="L197" s="72">
        <f t="shared" si="154"/>
        <v>3025.5578093306285</v>
      </c>
      <c r="M197" s="74">
        <f t="shared" ref="M197:M204" si="161">X197/$S$217*$S$218</f>
        <v>1611.1902695153199</v>
      </c>
      <c r="N197" s="74">
        <f t="shared" ref="N197:N204" si="162">Y197/$S$217*$S$218</f>
        <v>408.3487271309416</v>
      </c>
      <c r="O197" s="72">
        <f t="shared" si="122"/>
        <v>2019.5389966462615</v>
      </c>
      <c r="P197" s="205">
        <f t="shared" si="123"/>
        <v>4039.0779932925229</v>
      </c>
      <c r="Q197" s="272">
        <f t="shared" ref="Q197:Q204" si="163">L197/$P$264*$P$272</f>
        <v>4213.245728621232</v>
      </c>
      <c r="R197" s="439">
        <f t="shared" si="124"/>
        <v>-174.16773532870911</v>
      </c>
      <c r="S197" s="273"/>
      <c r="T197" s="74">
        <v>1050</v>
      </c>
      <c r="U197" s="273"/>
      <c r="V197" s="273"/>
      <c r="W197" s="74">
        <v>260</v>
      </c>
      <c r="X197" s="840">
        <v>1674.7612103251947</v>
      </c>
      <c r="Y197" s="840">
        <v>424.46048826393172</v>
      </c>
      <c r="Z197" s="840"/>
      <c r="AA197" s="273"/>
      <c r="AB197" s="273"/>
      <c r="AC197" s="273"/>
      <c r="AD197" s="273"/>
      <c r="AE197" s="273"/>
      <c r="AF197" s="273"/>
      <c r="AH197" s="273"/>
      <c r="AJ197" s="738"/>
      <c r="AO197" s="739"/>
      <c r="AP197" s="145"/>
      <c r="AQ197" s="145"/>
      <c r="AR197" s="145"/>
      <c r="AS197" s="145"/>
      <c r="AT197" s="145"/>
      <c r="AU197" s="216">
        <f>SUM(AU194:AU196)</f>
        <v>284.46733111849392</v>
      </c>
      <c r="AV197" s="217"/>
      <c r="AW197" s="740">
        <f>SUM(AW194:AW196)</f>
        <v>131.5</v>
      </c>
      <c r="AX197" s="220"/>
    </row>
    <row r="198" spans="1:50" s="224" customFormat="1" x14ac:dyDescent="0.25">
      <c r="A198" s="350"/>
      <c r="B198" s="317"/>
      <c r="C198" s="318">
        <v>7</v>
      </c>
      <c r="D198" s="83" t="s">
        <v>447</v>
      </c>
      <c r="E198" s="242">
        <v>2</v>
      </c>
      <c r="F198" s="242">
        <v>2</v>
      </c>
      <c r="G198" s="77" t="s">
        <v>28</v>
      </c>
      <c r="H198" s="74">
        <f t="shared" si="157"/>
        <v>1206.8965517241379</v>
      </c>
      <c r="I198" s="74">
        <f t="shared" si="159"/>
        <v>2413.7931034482758</v>
      </c>
      <c r="J198" s="74">
        <f t="shared" si="160"/>
        <v>305.88235294117646</v>
      </c>
      <c r="K198" s="74">
        <f t="shared" si="153"/>
        <v>611.76470588235293</v>
      </c>
      <c r="L198" s="72">
        <f t="shared" si="154"/>
        <v>3025.5578093306285</v>
      </c>
      <c r="M198" s="74">
        <f t="shared" si="161"/>
        <v>1611.1902695153199</v>
      </c>
      <c r="N198" s="74">
        <f t="shared" si="162"/>
        <v>408.3487271309416</v>
      </c>
      <c r="O198" s="72">
        <f t="shared" si="122"/>
        <v>2019.5389966462615</v>
      </c>
      <c r="P198" s="205">
        <f t="shared" si="123"/>
        <v>4039.0779932925229</v>
      </c>
      <c r="Q198" s="272">
        <f t="shared" si="163"/>
        <v>4213.245728621232</v>
      </c>
      <c r="R198" s="439">
        <f t="shared" si="124"/>
        <v>-174.16773532870911</v>
      </c>
      <c r="S198" s="273"/>
      <c r="T198" s="74">
        <v>1050</v>
      </c>
      <c r="U198" s="273"/>
      <c r="V198" s="273"/>
      <c r="W198" s="74">
        <v>260</v>
      </c>
      <c r="X198" s="840">
        <v>1674.7612103251947</v>
      </c>
      <c r="Y198" s="840">
        <v>424.46048826393172</v>
      </c>
      <c r="Z198" s="840"/>
      <c r="AA198" s="273"/>
      <c r="AB198" s="273"/>
      <c r="AC198" s="273"/>
      <c r="AD198" s="273"/>
      <c r="AE198" s="273"/>
      <c r="AF198" s="273"/>
      <c r="AH198" s="273"/>
      <c r="AO198" s="126"/>
      <c r="AP198" s="126"/>
      <c r="AQ198" s="126"/>
      <c r="AR198" s="126"/>
      <c r="AS198" s="126"/>
      <c r="AT198" s="126"/>
      <c r="AU198" s="127"/>
      <c r="AV198" s="213"/>
      <c r="AW198" s="126"/>
      <c r="AX198" s="220"/>
    </row>
    <row r="199" spans="1:50" s="224" customFormat="1" x14ac:dyDescent="0.25">
      <c r="A199" s="350"/>
      <c r="B199" s="317"/>
      <c r="C199" s="318">
        <v>8</v>
      </c>
      <c r="D199" s="83" t="s">
        <v>448</v>
      </c>
      <c r="E199" s="242">
        <v>9</v>
      </c>
      <c r="F199" s="242">
        <v>9</v>
      </c>
      <c r="G199" s="77" t="s">
        <v>28</v>
      </c>
      <c r="H199" s="74">
        <f t="shared" si="157"/>
        <v>1206.8965517241379</v>
      </c>
      <c r="I199" s="74">
        <f>F199*H199</f>
        <v>10862.068965517241</v>
      </c>
      <c r="J199" s="74">
        <f t="shared" si="160"/>
        <v>305.88235294117646</v>
      </c>
      <c r="K199" s="74">
        <f t="shared" si="153"/>
        <v>2752.9411764705883</v>
      </c>
      <c r="L199" s="72">
        <f t="shared" si="154"/>
        <v>13615.01014198783</v>
      </c>
      <c r="M199" s="74">
        <f t="shared" si="161"/>
        <v>1611.1902695153199</v>
      </c>
      <c r="N199" s="74">
        <f t="shared" si="162"/>
        <v>408.3487271309416</v>
      </c>
      <c r="O199" s="72">
        <f t="shared" si="122"/>
        <v>2019.5389966462615</v>
      </c>
      <c r="P199" s="205">
        <f t="shared" si="123"/>
        <v>18175.850969816354</v>
      </c>
      <c r="Q199" s="272">
        <f t="shared" si="163"/>
        <v>18959.605778795551</v>
      </c>
      <c r="R199" s="439">
        <f t="shared" si="124"/>
        <v>-783.75480897919624</v>
      </c>
      <c r="S199" s="273"/>
      <c r="T199" s="74">
        <v>1050</v>
      </c>
      <c r="U199" s="273"/>
      <c r="V199" s="273"/>
      <c r="W199" s="74">
        <v>260</v>
      </c>
      <c r="X199" s="840">
        <v>1674.7612103251947</v>
      </c>
      <c r="Y199" s="840">
        <v>424.46048826393172</v>
      </c>
      <c r="Z199" s="840"/>
      <c r="AO199" s="880" t="s">
        <v>275</v>
      </c>
      <c r="AP199" s="880"/>
      <c r="AQ199" s="141" t="s">
        <v>243</v>
      </c>
      <c r="AR199" s="141" t="s">
        <v>244</v>
      </c>
      <c r="AS199" s="141" t="s">
        <v>245</v>
      </c>
      <c r="AT199" s="141" t="s">
        <v>246</v>
      </c>
      <c r="AU199" s="141" t="s">
        <v>247</v>
      </c>
      <c r="AV199" s="216" t="s">
        <v>248</v>
      </c>
      <c r="AW199" s="141" t="s">
        <v>249</v>
      </c>
      <c r="AX199" s="220"/>
    </row>
    <row r="200" spans="1:50" s="224" customFormat="1" x14ac:dyDescent="0.25">
      <c r="A200" s="350"/>
      <c r="B200" s="317"/>
      <c r="C200" s="318">
        <v>9</v>
      </c>
      <c r="D200" s="83" t="s">
        <v>449</v>
      </c>
      <c r="E200" s="242">
        <v>5</v>
      </c>
      <c r="F200" s="242">
        <v>5</v>
      </c>
      <c r="G200" s="77" t="s">
        <v>28</v>
      </c>
      <c r="H200" s="74">
        <f t="shared" si="157"/>
        <v>3333.3333333333335</v>
      </c>
      <c r="I200" s="74">
        <f t="shared" ref="I200:I204" si="164">F200*H200</f>
        <v>16666.666666666668</v>
      </c>
      <c r="J200" s="74">
        <f t="shared" si="160"/>
        <v>470.58823529411768</v>
      </c>
      <c r="K200" s="74">
        <f t="shared" si="153"/>
        <v>2352.9411764705883</v>
      </c>
      <c r="L200" s="72">
        <f t="shared" si="154"/>
        <v>19019.607843137255</v>
      </c>
      <c r="M200" s="74">
        <f t="shared" si="161"/>
        <v>4449.9540777089787</v>
      </c>
      <c r="N200" s="74">
        <f t="shared" si="162"/>
        <v>628.22881097067943</v>
      </c>
      <c r="O200" s="72">
        <f t="shared" si="122"/>
        <v>5078.1828886796584</v>
      </c>
      <c r="P200" s="205">
        <f t="shared" si="123"/>
        <v>25390.914443398291</v>
      </c>
      <c r="Q200" s="272">
        <f t="shared" si="163"/>
        <v>26485.787598577652</v>
      </c>
      <c r="R200" s="439">
        <f t="shared" si="124"/>
        <v>-1094.8731551793608</v>
      </c>
      <c r="S200" s="273"/>
      <c r="T200" s="74">
        <v>2900</v>
      </c>
      <c r="U200" s="273"/>
      <c r="V200" s="273"/>
      <c r="W200" s="74">
        <v>400</v>
      </c>
      <c r="X200" s="840">
        <v>4625.530961850538</v>
      </c>
      <c r="Y200" s="840">
        <v>653.01613579066418</v>
      </c>
      <c r="Z200" s="840"/>
      <c r="AO200" s="891" t="s">
        <v>276</v>
      </c>
      <c r="AP200" s="891"/>
      <c r="AQ200" s="791" t="s">
        <v>100</v>
      </c>
      <c r="AR200" s="791">
        <v>26</v>
      </c>
      <c r="AS200" s="791">
        <f>5*6</f>
        <v>30</v>
      </c>
      <c r="AT200" s="144">
        <f>270/1.05</f>
        <v>257.14285714285711</v>
      </c>
      <c r="AU200" s="144">
        <f t="shared" ref="AU200:AU209" si="165">AT200*AS200</f>
        <v>7714.2857142857138</v>
      </c>
      <c r="AV200" s="144">
        <v>150</v>
      </c>
      <c r="AW200" s="144">
        <f t="shared" ref="AW200:AW209" si="166">AV200*AS200</f>
        <v>4500</v>
      </c>
      <c r="AX200" s="220"/>
    </row>
    <row r="201" spans="1:50" s="224" customFormat="1" x14ac:dyDescent="0.25">
      <c r="A201" s="350"/>
      <c r="B201" s="317"/>
      <c r="C201" s="318">
        <v>10</v>
      </c>
      <c r="D201" s="83" t="s">
        <v>451</v>
      </c>
      <c r="E201" s="242">
        <v>240</v>
      </c>
      <c r="F201" s="242">
        <v>247</v>
      </c>
      <c r="G201" s="77" t="s">
        <v>453</v>
      </c>
      <c r="H201" s="74">
        <f t="shared" si="157"/>
        <v>31.781344350866043</v>
      </c>
      <c r="I201" s="74">
        <f t="shared" si="164"/>
        <v>7849.9920546639123</v>
      </c>
      <c r="J201" s="74">
        <f t="shared" si="160"/>
        <v>12.941176470588236</v>
      </c>
      <c r="K201" s="74">
        <f t="shared" si="153"/>
        <v>3196.4705882352941</v>
      </c>
      <c r="L201" s="72">
        <f t="shared" si="154"/>
        <v>11046.462642899207</v>
      </c>
      <c r="M201" s="74">
        <f t="shared" si="161"/>
        <v>42.42765686676286</v>
      </c>
      <c r="N201" s="74">
        <f t="shared" si="162"/>
        <v>17.276292301693683</v>
      </c>
      <c r="O201" s="72">
        <f t="shared" si="122"/>
        <v>59.703949168456546</v>
      </c>
      <c r="P201" s="205">
        <f t="shared" si="123"/>
        <v>14746.875444608768</v>
      </c>
      <c r="Q201" s="272">
        <f t="shared" si="163"/>
        <v>15382.770543348461</v>
      </c>
      <c r="R201" s="439">
        <f t="shared" si="124"/>
        <v>-635.89509873969291</v>
      </c>
      <c r="S201" s="273"/>
      <c r="T201" s="74">
        <f>30/1.085</f>
        <v>27.649769585253456</v>
      </c>
      <c r="U201" s="273"/>
      <c r="V201" s="273"/>
      <c r="W201" s="74">
        <v>11</v>
      </c>
      <c r="X201" s="840">
        <v>44.101677691249364</v>
      </c>
      <c r="Y201" s="840">
        <v>17.957943734243266</v>
      </c>
      <c r="Z201" s="840"/>
      <c r="AO201" s="891" t="s">
        <v>277</v>
      </c>
      <c r="AP201" s="891"/>
      <c r="AQ201" s="791" t="s">
        <v>283</v>
      </c>
      <c r="AR201" s="791">
        <v>10</v>
      </c>
      <c r="AS201" s="791">
        <v>10</v>
      </c>
      <c r="AT201" s="144">
        <v>250</v>
      </c>
      <c r="AU201" s="144">
        <f t="shared" si="165"/>
        <v>2500</v>
      </c>
      <c r="AV201" s="144">
        <v>65</v>
      </c>
      <c r="AW201" s="144">
        <f t="shared" si="166"/>
        <v>650</v>
      </c>
      <c r="AX201" s="220"/>
    </row>
    <row r="202" spans="1:50" s="224" customFormat="1" x14ac:dyDescent="0.25">
      <c r="A202" s="350"/>
      <c r="B202" s="317"/>
      <c r="C202" s="318">
        <v>11</v>
      </c>
      <c r="D202" s="83" t="s">
        <v>450</v>
      </c>
      <c r="E202" s="242">
        <v>240</v>
      </c>
      <c r="F202" s="242">
        <v>247</v>
      </c>
      <c r="G202" s="77" t="s">
        <v>283</v>
      </c>
      <c r="H202" s="74">
        <f t="shared" si="157"/>
        <v>18.390804597701148</v>
      </c>
      <c r="I202" s="74">
        <f t="shared" si="164"/>
        <v>4542.5287356321833</v>
      </c>
      <c r="J202" s="74">
        <f t="shared" si="160"/>
        <v>7.0588235294117645</v>
      </c>
      <c r="K202" s="74">
        <f t="shared" si="153"/>
        <v>1743.5294117647059</v>
      </c>
      <c r="L202" s="72">
        <f t="shared" si="154"/>
        <v>6286.0581473968887</v>
      </c>
      <c r="M202" s="74">
        <f t="shared" si="161"/>
        <v>24.551470773566781</v>
      </c>
      <c r="N202" s="74">
        <f t="shared" si="162"/>
        <v>9.4234321645601913</v>
      </c>
      <c r="O202" s="72">
        <f t="shared" si="122"/>
        <v>33.974902938126974</v>
      </c>
      <c r="P202" s="205">
        <f t="shared" si="123"/>
        <v>8391.8010257173628</v>
      </c>
      <c r="Q202" s="272">
        <f t="shared" si="163"/>
        <v>8753.6610795230808</v>
      </c>
      <c r="R202" s="439">
        <f t="shared" si="124"/>
        <v>-361.86005380571805</v>
      </c>
      <c r="S202" s="273"/>
      <c r="T202" s="74">
        <v>16</v>
      </c>
      <c r="U202" s="273"/>
      <c r="V202" s="273"/>
      <c r="W202" s="74">
        <v>6</v>
      </c>
      <c r="X202" s="840">
        <v>25.520170824002967</v>
      </c>
      <c r="Y202" s="840">
        <v>9.7952420368599622</v>
      </c>
      <c r="Z202" s="840"/>
      <c r="AO202" s="891" t="s">
        <v>278</v>
      </c>
      <c r="AP202" s="891"/>
      <c r="AQ202" s="791" t="s">
        <v>283</v>
      </c>
      <c r="AR202" s="791">
        <v>10</v>
      </c>
      <c r="AS202" s="791">
        <v>10</v>
      </c>
      <c r="AT202" s="144">
        <v>280</v>
      </c>
      <c r="AU202" s="144">
        <f t="shared" si="165"/>
        <v>2800</v>
      </c>
      <c r="AV202" s="144">
        <v>70</v>
      </c>
      <c r="AW202" s="144">
        <f t="shared" si="166"/>
        <v>700</v>
      </c>
      <c r="AX202" s="220"/>
    </row>
    <row r="203" spans="1:50" s="224" customFormat="1" x14ac:dyDescent="0.25">
      <c r="A203" s="350"/>
      <c r="B203" s="317"/>
      <c r="C203" s="318">
        <v>12</v>
      </c>
      <c r="D203" s="83" t="s">
        <v>452</v>
      </c>
      <c r="E203" s="242">
        <v>95</v>
      </c>
      <c r="F203" s="242">
        <v>100</v>
      </c>
      <c r="G203" s="77" t="s">
        <v>283</v>
      </c>
      <c r="H203" s="74">
        <f t="shared" si="157"/>
        <v>28.735632183908045</v>
      </c>
      <c r="I203" s="74">
        <f t="shared" si="164"/>
        <v>2873.5632183908046</v>
      </c>
      <c r="J203" s="74">
        <f t="shared" si="160"/>
        <v>10.588235294117647</v>
      </c>
      <c r="K203" s="74">
        <f t="shared" si="153"/>
        <v>1058.8235294117646</v>
      </c>
      <c r="L203" s="72">
        <f t="shared" si="154"/>
        <v>3932.3867478025695</v>
      </c>
      <c r="M203" s="74">
        <f t="shared" si="161"/>
        <v>38.361673083698093</v>
      </c>
      <c r="N203" s="74">
        <f t="shared" si="162"/>
        <v>14.135148246840286</v>
      </c>
      <c r="O203" s="72">
        <f t="shared" si="122"/>
        <v>52.496821330538381</v>
      </c>
      <c r="P203" s="205">
        <f t="shared" si="123"/>
        <v>5249.6821330538378</v>
      </c>
      <c r="Q203" s="272">
        <f t="shared" si="163"/>
        <v>5476.0519258203922</v>
      </c>
      <c r="R203" s="439">
        <f t="shared" si="124"/>
        <v>-226.36979276655438</v>
      </c>
      <c r="S203" s="273"/>
      <c r="T203" s="74">
        <v>25</v>
      </c>
      <c r="U203" s="273"/>
      <c r="V203" s="273"/>
      <c r="W203" s="74">
        <v>9</v>
      </c>
      <c r="X203" s="840">
        <v>39.875266912504635</v>
      </c>
      <c r="Y203" s="840">
        <v>14.692863055289944</v>
      </c>
      <c r="Z203" s="840"/>
      <c r="AO203" s="933" t="s">
        <v>280</v>
      </c>
      <c r="AP203" s="933"/>
      <c r="AQ203" s="791" t="s">
        <v>101</v>
      </c>
      <c r="AR203" s="791">
        <f>4.5*1.2</f>
        <v>5.3999999999999995</v>
      </c>
      <c r="AS203" s="791">
        <v>6</v>
      </c>
      <c r="AT203" s="144">
        <v>160</v>
      </c>
      <c r="AU203" s="144">
        <f t="shared" si="165"/>
        <v>960</v>
      </c>
      <c r="AV203" s="144">
        <v>145</v>
      </c>
      <c r="AW203" s="144">
        <f t="shared" si="166"/>
        <v>870</v>
      </c>
      <c r="AX203" s="220"/>
    </row>
    <row r="204" spans="1:50" s="224" customFormat="1" x14ac:dyDescent="0.25">
      <c r="A204" s="350"/>
      <c r="B204" s="317"/>
      <c r="C204" s="318">
        <v>13</v>
      </c>
      <c r="D204" s="83" t="s">
        <v>524</v>
      </c>
      <c r="E204" s="242">
        <v>2</v>
      </c>
      <c r="F204" s="242">
        <v>2</v>
      </c>
      <c r="G204" s="77" t="s">
        <v>525</v>
      </c>
      <c r="H204" s="74">
        <f>16000/1.05</f>
        <v>15238.095238095237</v>
      </c>
      <c r="I204" s="74">
        <f t="shared" si="164"/>
        <v>30476.190476190473</v>
      </c>
      <c r="J204" s="74">
        <f t="shared" si="160"/>
        <v>7058.8235294117649</v>
      </c>
      <c r="K204" s="74">
        <f t="shared" si="153"/>
        <v>14117.64705882353</v>
      </c>
      <c r="L204" s="72">
        <f t="shared" si="154"/>
        <v>44593.837535014005</v>
      </c>
      <c r="M204" s="74">
        <f t="shared" si="161"/>
        <v>20342.647212383901</v>
      </c>
      <c r="N204" s="74">
        <f t="shared" si="162"/>
        <v>9423.4321645601904</v>
      </c>
      <c r="O204" s="72">
        <f t="shared" si="122"/>
        <v>29766.079376944093</v>
      </c>
      <c r="P204" s="205">
        <f t="shared" si="123"/>
        <v>59532.158753888187</v>
      </c>
      <c r="Q204" s="272">
        <f t="shared" si="163"/>
        <v>62099.225120671021</v>
      </c>
      <c r="R204" s="439">
        <f t="shared" si="124"/>
        <v>-2567.0663667828339</v>
      </c>
      <c r="S204" s="273"/>
      <c r="T204" s="74">
        <v>25</v>
      </c>
      <c r="U204" s="273"/>
      <c r="V204" s="273"/>
      <c r="W204" s="74">
        <f>6000</f>
        <v>6000</v>
      </c>
      <c r="X204" s="840">
        <v>21145.284397031028</v>
      </c>
      <c r="Y204" s="840">
        <v>9795.2420368599614</v>
      </c>
      <c r="Z204" s="840"/>
      <c r="AO204" s="933" t="s">
        <v>280</v>
      </c>
      <c r="AP204" s="933"/>
      <c r="AQ204" s="791" t="s">
        <v>101</v>
      </c>
      <c r="AR204" s="791">
        <f>4.5*1.2</f>
        <v>5.3999999999999995</v>
      </c>
      <c r="AS204" s="791">
        <v>6</v>
      </c>
      <c r="AT204" s="144">
        <v>160</v>
      </c>
      <c r="AU204" s="144">
        <f t="shared" si="165"/>
        <v>960</v>
      </c>
      <c r="AV204" s="144">
        <v>145</v>
      </c>
      <c r="AW204" s="144">
        <f t="shared" si="166"/>
        <v>870</v>
      </c>
      <c r="AX204" s="220"/>
    </row>
    <row r="205" spans="1:50" s="224" customFormat="1" x14ac:dyDescent="0.25">
      <c r="A205" s="350"/>
      <c r="B205" s="317"/>
      <c r="C205" s="318"/>
      <c r="D205" s="83"/>
      <c r="E205" s="242"/>
      <c r="F205" s="242"/>
      <c r="G205" s="77"/>
      <c r="H205" s="74"/>
      <c r="I205" s="74"/>
      <c r="J205" s="74"/>
      <c r="K205" s="74"/>
      <c r="L205" s="72"/>
      <c r="M205" s="74"/>
      <c r="N205" s="74"/>
      <c r="O205" s="72"/>
      <c r="P205" s="205"/>
      <c r="Q205" s="272"/>
      <c r="R205" s="439"/>
      <c r="S205" s="273"/>
      <c r="U205" s="273"/>
      <c r="V205" s="273"/>
      <c r="W205" s="74"/>
      <c r="X205" s="840"/>
      <c r="Y205" s="840"/>
      <c r="Z205" s="840"/>
      <c r="AA205" s="273"/>
      <c r="AB205" s="273"/>
      <c r="AC205" s="273"/>
      <c r="AD205" s="273"/>
      <c r="AE205" s="273"/>
      <c r="AF205" s="273"/>
      <c r="AH205" s="273"/>
      <c r="AJ205" s="738"/>
      <c r="AO205" s="933" t="s">
        <v>285</v>
      </c>
      <c r="AP205" s="933"/>
      <c r="AQ205" s="791" t="s">
        <v>100</v>
      </c>
      <c r="AR205" s="791">
        <v>26</v>
      </c>
      <c r="AS205" s="791">
        <v>32</v>
      </c>
      <c r="AT205" s="441">
        <v>90</v>
      </c>
      <c r="AU205" s="144">
        <f t="shared" si="165"/>
        <v>2880</v>
      </c>
      <c r="AV205" s="441">
        <v>90</v>
      </c>
      <c r="AW205" s="144">
        <f t="shared" si="166"/>
        <v>2880</v>
      </c>
      <c r="AX205" s="220"/>
    </row>
    <row r="206" spans="1:50" s="224" customFormat="1" x14ac:dyDescent="0.25">
      <c r="A206" s="350"/>
      <c r="B206" s="412" t="s">
        <v>329</v>
      </c>
      <c r="C206" s="413" t="s">
        <v>458</v>
      </c>
      <c r="D206" s="316"/>
      <c r="E206" s="244"/>
      <c r="F206" s="244"/>
      <c r="G206" s="75"/>
      <c r="H206" s="74"/>
      <c r="I206" s="74"/>
      <c r="J206" s="74"/>
      <c r="K206" s="74"/>
      <c r="L206" s="74"/>
      <c r="M206" s="74"/>
      <c r="N206" s="74"/>
      <c r="O206" s="72"/>
      <c r="P206" s="205"/>
      <c r="Q206" s="272"/>
      <c r="R206" s="439"/>
      <c r="S206" s="273"/>
      <c r="W206" s="74"/>
      <c r="X206" s="840"/>
      <c r="Y206" s="840"/>
      <c r="Z206" s="840"/>
      <c r="AO206" s="933" t="s">
        <v>279</v>
      </c>
      <c r="AP206" s="933"/>
      <c r="AQ206" s="791" t="s">
        <v>266</v>
      </c>
      <c r="AR206" s="791">
        <f>4.5*1.2*0.15+(4.5*0.3*0.1)*2</f>
        <v>1.0799999999999998</v>
      </c>
      <c r="AS206" s="791">
        <v>1.25</v>
      </c>
      <c r="AT206" s="441">
        <f>3800/1.05</f>
        <v>3619.0476190476188</v>
      </c>
      <c r="AU206" s="144">
        <f t="shared" si="165"/>
        <v>4523.8095238095239</v>
      </c>
      <c r="AV206" s="441">
        <v>800</v>
      </c>
      <c r="AW206" s="144">
        <f t="shared" si="166"/>
        <v>1000</v>
      </c>
      <c r="AX206" s="220"/>
    </row>
    <row r="207" spans="1:50" s="224" customFormat="1" x14ac:dyDescent="0.25">
      <c r="A207" s="350"/>
      <c r="B207" s="317"/>
      <c r="C207" s="318">
        <v>1</v>
      </c>
      <c r="D207" s="83" t="s">
        <v>459</v>
      </c>
      <c r="E207" s="242">
        <v>1337</v>
      </c>
      <c r="F207" s="242">
        <v>1446</v>
      </c>
      <c r="G207" s="77" t="s">
        <v>100</v>
      </c>
      <c r="H207" s="74">
        <f>10</f>
        <v>10</v>
      </c>
      <c r="I207" s="74">
        <f>F207*H207</f>
        <v>14460</v>
      </c>
      <c r="J207" s="74">
        <f t="shared" ref="J207:J215" si="167">W207/$J$169</f>
        <v>4.7058823529411766</v>
      </c>
      <c r="K207" s="74">
        <f t="shared" ref="K207:K215" si="168">F207*J207</f>
        <v>6804.7058823529414</v>
      </c>
      <c r="L207" s="72">
        <f t="shared" ref="L207:L215" si="169">I207+K207</f>
        <v>21264.705882352941</v>
      </c>
      <c r="M207" s="74">
        <f t="shared" ref="M207:M215" si="170">X207/$S$217*$S$218</f>
        <v>13.349862233126936</v>
      </c>
      <c r="N207" s="74">
        <f t="shared" ref="N207:N215" si="171">Y207/$S$217*$S$218</f>
        <v>6.2822881097067942</v>
      </c>
      <c r="O207" s="72">
        <f t="shared" si="122"/>
        <v>19.632150342833732</v>
      </c>
      <c r="P207" s="205">
        <f t="shared" si="123"/>
        <v>28388.089395737577</v>
      </c>
      <c r="Q207" s="272">
        <f t="shared" ref="Q207:Q242" si="172">L207/$P$264*$P$272</f>
        <v>29612.202732636557</v>
      </c>
      <c r="R207" s="439">
        <f t="shared" si="124"/>
        <v>-1224.1133368989795</v>
      </c>
      <c r="S207" s="273"/>
      <c r="U207" s="273"/>
      <c r="V207" s="273"/>
      <c r="W207" s="74">
        <v>4</v>
      </c>
      <c r="X207" s="840">
        <v>13.876592885551613</v>
      </c>
      <c r="Y207" s="840">
        <v>6.5301613579066418</v>
      </c>
      <c r="Z207" s="840"/>
      <c r="AO207" s="933" t="s">
        <v>282</v>
      </c>
      <c r="AP207" s="933"/>
      <c r="AQ207" s="791" t="s">
        <v>284</v>
      </c>
      <c r="AR207" s="173">
        <f>(5*12+23*1.2+16)*0.616</f>
        <v>63.817599999999999</v>
      </c>
      <c r="AS207" s="791">
        <v>75</v>
      </c>
      <c r="AT207" s="441">
        <f>33/1.05</f>
        <v>31.428571428571427</v>
      </c>
      <c r="AU207" s="144">
        <f t="shared" si="165"/>
        <v>2357.1428571428569</v>
      </c>
      <c r="AV207" s="441">
        <v>12</v>
      </c>
      <c r="AW207" s="144">
        <f t="shared" si="166"/>
        <v>900</v>
      </c>
      <c r="AX207" s="220"/>
    </row>
    <row r="208" spans="1:50" s="224" customFormat="1" x14ac:dyDescent="0.25">
      <c r="A208" s="350"/>
      <c r="B208" s="317"/>
      <c r="C208" s="318">
        <v>2</v>
      </c>
      <c r="D208" s="83" t="s">
        <v>460</v>
      </c>
      <c r="E208" s="242">
        <v>1113</v>
      </c>
      <c r="F208" s="242">
        <v>1320</v>
      </c>
      <c r="G208" s="77" t="s">
        <v>100</v>
      </c>
      <c r="H208" s="74">
        <f>25</f>
        <v>25</v>
      </c>
      <c r="I208" s="74">
        <f t="shared" ref="I208:I210" si="173">F208*H208</f>
        <v>33000</v>
      </c>
      <c r="J208" s="74">
        <f t="shared" si="167"/>
        <v>10.588235294117647</v>
      </c>
      <c r="K208" s="74">
        <f t="shared" si="168"/>
        <v>13976.470588235294</v>
      </c>
      <c r="L208" s="72">
        <f t="shared" si="169"/>
        <v>46976.470588235294</v>
      </c>
      <c r="M208" s="74">
        <f t="shared" si="170"/>
        <v>33.37465558281734</v>
      </c>
      <c r="N208" s="74">
        <f t="shared" si="171"/>
        <v>14.135148246840286</v>
      </c>
      <c r="O208" s="72">
        <f t="shared" si="122"/>
        <v>47.509803829657628</v>
      </c>
      <c r="P208" s="205">
        <f t="shared" si="123"/>
        <v>62712.941055148069</v>
      </c>
      <c r="Q208" s="272">
        <f t="shared" si="172"/>
        <v>65417.164874919938</v>
      </c>
      <c r="R208" s="439">
        <f t="shared" si="124"/>
        <v>-2704.2238197718689</v>
      </c>
      <c r="S208" s="273"/>
      <c r="U208" s="273"/>
      <c r="V208" s="273"/>
      <c r="W208" s="74">
        <v>9</v>
      </c>
      <c r="X208" s="840">
        <v>34.691482213879034</v>
      </c>
      <c r="Y208" s="840">
        <v>14.692863055289944</v>
      </c>
      <c r="Z208" s="840"/>
      <c r="AO208" s="933" t="s">
        <v>281</v>
      </c>
      <c r="AP208" s="933"/>
      <c r="AQ208" s="791" t="s">
        <v>101</v>
      </c>
      <c r="AR208" s="791">
        <f>0.3*4.5*2</f>
        <v>2.6999999999999997</v>
      </c>
      <c r="AS208" s="791">
        <v>3</v>
      </c>
      <c r="AT208" s="441">
        <v>220</v>
      </c>
      <c r="AU208" s="144">
        <f t="shared" si="165"/>
        <v>660</v>
      </c>
      <c r="AV208" s="441">
        <v>200</v>
      </c>
      <c r="AW208" s="144">
        <f t="shared" si="166"/>
        <v>600</v>
      </c>
      <c r="AX208" s="220"/>
    </row>
    <row r="209" spans="1:49" s="224" customFormat="1" x14ac:dyDescent="0.25">
      <c r="A209" s="350"/>
      <c r="B209" s="317"/>
      <c r="C209" s="318">
        <v>3</v>
      </c>
      <c r="D209" s="83" t="s">
        <v>461</v>
      </c>
      <c r="E209" s="242">
        <v>33</v>
      </c>
      <c r="F209" s="242">
        <v>33</v>
      </c>
      <c r="G209" s="77" t="s">
        <v>28</v>
      </c>
      <c r="H209" s="74">
        <f>258</f>
        <v>258</v>
      </c>
      <c r="I209" s="74">
        <f t="shared" si="173"/>
        <v>8514</v>
      </c>
      <c r="J209" s="74">
        <f t="shared" si="167"/>
        <v>117.64705882352942</v>
      </c>
      <c r="K209" s="74">
        <f t="shared" si="168"/>
        <v>3882.3529411764707</v>
      </c>
      <c r="L209" s="72">
        <f t="shared" si="169"/>
        <v>12396.35294117647</v>
      </c>
      <c r="M209" s="74">
        <f t="shared" si="170"/>
        <v>344.42644561467495</v>
      </c>
      <c r="N209" s="74">
        <f t="shared" si="171"/>
        <v>157.05720274266986</v>
      </c>
      <c r="O209" s="72">
        <f t="shared" si="122"/>
        <v>501.4836483573448</v>
      </c>
      <c r="P209" s="205">
        <f t="shared" si="123"/>
        <v>16548.960395792379</v>
      </c>
      <c r="Q209" s="272">
        <f t="shared" si="172"/>
        <v>17262.562598811517</v>
      </c>
      <c r="R209" s="439">
        <f t="shared" si="124"/>
        <v>-713.60220301913796</v>
      </c>
      <c r="S209" s="273"/>
      <c r="U209" s="273"/>
      <c r="V209" s="273"/>
      <c r="W209" s="74">
        <v>100</v>
      </c>
      <c r="X209" s="840">
        <v>358.01609644723163</v>
      </c>
      <c r="Y209" s="840">
        <v>163.25403394766604</v>
      </c>
      <c r="Z209" s="840"/>
      <c r="AA209" s="273"/>
      <c r="AB209" s="273"/>
      <c r="AC209" s="273"/>
      <c r="AD209" s="273"/>
      <c r="AE209" s="273"/>
      <c r="AF209" s="273"/>
      <c r="AH209" s="273"/>
      <c r="AJ209" s="738"/>
      <c r="AO209" s="933" t="s">
        <v>379</v>
      </c>
      <c r="AP209" s="933"/>
      <c r="AQ209" s="791" t="s">
        <v>301</v>
      </c>
      <c r="AR209" s="791">
        <v>1</v>
      </c>
      <c r="AS209" s="791">
        <v>1</v>
      </c>
      <c r="AT209" s="441">
        <v>1000</v>
      </c>
      <c r="AU209" s="144">
        <f t="shared" si="165"/>
        <v>1000</v>
      </c>
      <c r="AV209" s="441">
        <v>800</v>
      </c>
      <c r="AW209" s="144">
        <f t="shared" si="166"/>
        <v>800</v>
      </c>
    </row>
    <row r="210" spans="1:49" s="224" customFormat="1" x14ac:dyDescent="0.25">
      <c r="A210" s="350"/>
      <c r="B210" s="317"/>
      <c r="C210" s="318">
        <v>4</v>
      </c>
      <c r="D210" s="83" t="s">
        <v>462</v>
      </c>
      <c r="E210" s="242">
        <v>33</v>
      </c>
      <c r="F210" s="242">
        <v>33</v>
      </c>
      <c r="G210" s="77" t="s">
        <v>28</v>
      </c>
      <c r="H210" s="74">
        <f>456</f>
        <v>456</v>
      </c>
      <c r="I210" s="74">
        <f t="shared" si="173"/>
        <v>15048</v>
      </c>
      <c r="J210" s="74">
        <f t="shared" si="167"/>
        <v>117.64705882352942</v>
      </c>
      <c r="K210" s="74">
        <f t="shared" si="168"/>
        <v>3882.3529411764707</v>
      </c>
      <c r="L210" s="72">
        <f t="shared" si="169"/>
        <v>18930.352941176472</v>
      </c>
      <c r="M210" s="74">
        <f t="shared" si="170"/>
        <v>608.75371783058824</v>
      </c>
      <c r="N210" s="74">
        <f t="shared" si="171"/>
        <v>157.05720274266986</v>
      </c>
      <c r="O210" s="72">
        <f t="shared" si="122"/>
        <v>765.81092057325804</v>
      </c>
      <c r="P210" s="205">
        <f t="shared" si="123"/>
        <v>25271.760378917515</v>
      </c>
      <c r="Q210" s="272">
        <f t="shared" si="172"/>
        <v>26361.495531414017</v>
      </c>
      <c r="R210" s="439">
        <f t="shared" si="124"/>
        <v>-1089.7351524965015</v>
      </c>
      <c r="S210" s="273"/>
      <c r="U210" s="273"/>
      <c r="V210" s="273"/>
      <c r="W210" s="74">
        <v>100</v>
      </c>
      <c r="X210" s="840">
        <v>632.77263558115351</v>
      </c>
      <c r="Y210" s="840">
        <v>163.25403394766604</v>
      </c>
      <c r="Z210" s="840"/>
      <c r="AA210" s="273"/>
      <c r="AB210" s="273"/>
      <c r="AC210" s="273"/>
      <c r="AD210" s="273"/>
      <c r="AE210" s="273"/>
      <c r="AF210" s="273"/>
      <c r="AH210" s="273"/>
      <c r="AO210" s="273"/>
      <c r="AP210" s="273"/>
      <c r="AQ210" s="273"/>
      <c r="AR210" s="273"/>
      <c r="AS210" s="273"/>
      <c r="AT210" s="273"/>
      <c r="AU210" s="216">
        <f>SUM(AU200:AU209)</f>
        <v>26355.238095238092</v>
      </c>
      <c r="AV210" s="273"/>
      <c r="AW210" s="216">
        <f>SUM(AW200:AW209)</f>
        <v>13770</v>
      </c>
    </row>
    <row r="211" spans="1:49" s="224" customFormat="1" x14ac:dyDescent="0.25">
      <c r="A211" s="350"/>
      <c r="B211" s="317"/>
      <c r="C211" s="318">
        <v>1</v>
      </c>
      <c r="D211" s="83" t="s">
        <v>463</v>
      </c>
      <c r="E211" s="242">
        <v>1</v>
      </c>
      <c r="F211" s="242">
        <v>1</v>
      </c>
      <c r="G211" s="77" t="s">
        <v>251</v>
      </c>
      <c r="H211" s="74">
        <f>4500</f>
        <v>4500</v>
      </c>
      <c r="I211" s="74">
        <f>F211*H211</f>
        <v>4500</v>
      </c>
      <c r="J211" s="74">
        <f t="shared" si="167"/>
        <v>1058.8235294117646</v>
      </c>
      <c r="K211" s="74">
        <f t="shared" si="168"/>
        <v>1058.8235294117646</v>
      </c>
      <c r="L211" s="72">
        <f t="shared" si="169"/>
        <v>5558.8235294117649</v>
      </c>
      <c r="M211" s="74">
        <f t="shared" si="170"/>
        <v>6007.4380049071215</v>
      </c>
      <c r="N211" s="74">
        <f t="shared" si="171"/>
        <v>1413.5148246840286</v>
      </c>
      <c r="O211" s="72">
        <f t="shared" si="122"/>
        <v>7420.9528295911496</v>
      </c>
      <c r="P211" s="205">
        <f t="shared" si="123"/>
        <v>7420.9528295911496</v>
      </c>
      <c r="Q211" s="272">
        <f t="shared" si="172"/>
        <v>7740.9492620585206</v>
      </c>
      <c r="R211" s="439">
        <f t="shared" si="124"/>
        <v>-319.99643246737105</v>
      </c>
      <c r="S211" s="273"/>
      <c r="U211" s="273"/>
      <c r="V211" s="273"/>
      <c r="W211" s="74">
        <v>900</v>
      </c>
      <c r="X211" s="840">
        <v>6244.4667984982261</v>
      </c>
      <c r="Y211" s="840">
        <v>1469.2863055289943</v>
      </c>
      <c r="Z211" s="840"/>
    </row>
    <row r="212" spans="1:49" s="224" customFormat="1" x14ac:dyDescent="0.25">
      <c r="A212" s="350"/>
      <c r="B212" s="317"/>
      <c r="C212" s="318">
        <v>2</v>
      </c>
      <c r="D212" s="83" t="s">
        <v>464</v>
      </c>
      <c r="E212" s="242">
        <v>1</v>
      </c>
      <c r="F212" s="242">
        <v>1</v>
      </c>
      <c r="G212" s="77" t="s">
        <v>251</v>
      </c>
      <c r="H212" s="74">
        <f>15000</f>
        <v>15000</v>
      </c>
      <c r="I212" s="74">
        <f t="shared" ref="I212:I214" si="174">F212*H212</f>
        <v>15000</v>
      </c>
      <c r="J212" s="74">
        <f t="shared" si="167"/>
        <v>3529.4117647058824</v>
      </c>
      <c r="K212" s="74">
        <f t="shared" si="168"/>
        <v>3529.4117647058824</v>
      </c>
      <c r="L212" s="72">
        <f t="shared" si="169"/>
        <v>18529.411764705881</v>
      </c>
      <c r="M212" s="74">
        <f t="shared" si="170"/>
        <v>20024.793349690404</v>
      </c>
      <c r="N212" s="74">
        <f t="shared" si="171"/>
        <v>4711.7160822800952</v>
      </c>
      <c r="O212" s="72">
        <f t="shared" si="122"/>
        <v>24736.509431970499</v>
      </c>
      <c r="P212" s="205">
        <f t="shared" si="123"/>
        <v>24736.509431970499</v>
      </c>
      <c r="Q212" s="272">
        <f t="shared" si="172"/>
        <v>25803.164206861733</v>
      </c>
      <c r="R212" s="439">
        <f t="shared" si="124"/>
        <v>-1066.6547748912344</v>
      </c>
      <c r="S212" s="273"/>
      <c r="U212" s="273"/>
      <c r="V212" s="273"/>
      <c r="W212" s="74">
        <v>3000</v>
      </c>
      <c r="X212" s="840">
        <v>20814.889328327419</v>
      </c>
      <c r="Y212" s="840">
        <v>4897.6210184299807</v>
      </c>
      <c r="Z212" s="840"/>
    </row>
    <row r="213" spans="1:49" s="224" customFormat="1" x14ac:dyDescent="0.25">
      <c r="A213" s="350"/>
      <c r="B213" s="317"/>
      <c r="C213" s="318">
        <v>3</v>
      </c>
      <c r="D213" s="83" t="s">
        <v>465</v>
      </c>
      <c r="E213" s="242">
        <v>1</v>
      </c>
      <c r="F213" s="242">
        <v>1</v>
      </c>
      <c r="G213" s="77" t="s">
        <v>243</v>
      </c>
      <c r="H213" s="74">
        <f>12000</f>
        <v>12000</v>
      </c>
      <c r="I213" s="74">
        <f t="shared" si="174"/>
        <v>12000</v>
      </c>
      <c r="J213" s="74">
        <f t="shared" si="167"/>
        <v>529.41176470588232</v>
      </c>
      <c r="K213" s="74">
        <f t="shared" si="168"/>
        <v>529.41176470588232</v>
      </c>
      <c r="L213" s="72">
        <f t="shared" si="169"/>
        <v>12529.411764705883</v>
      </c>
      <c r="M213" s="74">
        <f t="shared" si="170"/>
        <v>16019.834679752321</v>
      </c>
      <c r="N213" s="74">
        <f t="shared" si="171"/>
        <v>706.75741234201428</v>
      </c>
      <c r="O213" s="72">
        <f t="shared" si="122"/>
        <v>16726.592092094335</v>
      </c>
      <c r="P213" s="205">
        <f t="shared" si="123"/>
        <v>16726.592092094335</v>
      </c>
      <c r="Q213" s="272">
        <f t="shared" si="172"/>
        <v>17447.853892258889</v>
      </c>
      <c r="R213" s="439">
        <f t="shared" si="124"/>
        <v>-721.26180016455328</v>
      </c>
      <c r="S213" s="273"/>
      <c r="U213" s="273"/>
      <c r="V213" s="273"/>
      <c r="W213" s="74">
        <v>450</v>
      </c>
      <c r="X213" s="840">
        <v>16651.911462661934</v>
      </c>
      <c r="Y213" s="840">
        <v>734.64315276449713</v>
      </c>
      <c r="Z213" s="840"/>
      <c r="AA213" s="273"/>
      <c r="AB213" s="273"/>
      <c r="AC213" s="273"/>
      <c r="AD213" s="273"/>
      <c r="AE213" s="273"/>
      <c r="AF213" s="273"/>
      <c r="AH213" s="273"/>
      <c r="AJ213" s="738">
        <f>AH226*2+AH244*3</f>
        <v>40999</v>
      </c>
    </row>
    <row r="214" spans="1:49" s="224" customFormat="1" x14ac:dyDescent="0.25">
      <c r="A214" s="350"/>
      <c r="B214" s="317"/>
      <c r="C214" s="318">
        <v>4</v>
      </c>
      <c r="D214" s="83" t="s">
        <v>466</v>
      </c>
      <c r="E214" s="242">
        <v>2</v>
      </c>
      <c r="F214" s="242">
        <v>2</v>
      </c>
      <c r="G214" s="77" t="s">
        <v>283</v>
      </c>
      <c r="H214" s="74">
        <f>5612</f>
        <v>5612</v>
      </c>
      <c r="I214" s="74">
        <f t="shared" si="174"/>
        <v>11224</v>
      </c>
      <c r="J214" s="74">
        <f t="shared" si="167"/>
        <v>2352.9411764705883</v>
      </c>
      <c r="K214" s="74">
        <f t="shared" si="168"/>
        <v>4705.8823529411766</v>
      </c>
      <c r="L214" s="72">
        <f t="shared" si="169"/>
        <v>15929.882352941177</v>
      </c>
      <c r="M214" s="74">
        <f t="shared" si="170"/>
        <v>7491.942685230837</v>
      </c>
      <c r="N214" s="74">
        <f t="shared" si="171"/>
        <v>3141.1440548533974</v>
      </c>
      <c r="O214" s="72">
        <f t="shared" si="122"/>
        <v>10633.086740084234</v>
      </c>
      <c r="P214" s="205">
        <f t="shared" si="123"/>
        <v>21266.173480168469</v>
      </c>
      <c r="Q214" s="272">
        <f t="shared" si="172"/>
        <v>22183.185055656548</v>
      </c>
      <c r="R214" s="439">
        <f t="shared" si="124"/>
        <v>-917.01157548807896</v>
      </c>
      <c r="S214" s="273"/>
      <c r="U214" s="273"/>
      <c r="V214" s="273"/>
      <c r="W214" s="74">
        <v>2000</v>
      </c>
      <c r="X214" s="840">
        <v>7787.5439273715656</v>
      </c>
      <c r="Y214" s="840">
        <v>3265.0806789533212</v>
      </c>
      <c r="Z214" s="840"/>
      <c r="AA214" s="273"/>
      <c r="AB214" s="273"/>
      <c r="AC214" s="273"/>
      <c r="AD214" s="273"/>
      <c r="AE214" s="273"/>
      <c r="AF214" s="273"/>
      <c r="AH214" s="273"/>
    </row>
    <row r="215" spans="1:49" s="224" customFormat="1" x14ac:dyDescent="0.25">
      <c r="A215" s="350"/>
      <c r="B215" s="317"/>
      <c r="C215" s="318">
        <v>5</v>
      </c>
      <c r="D215" s="83" t="s">
        <v>467</v>
      </c>
      <c r="E215" s="242">
        <v>1</v>
      </c>
      <c r="F215" s="242">
        <v>1</v>
      </c>
      <c r="G215" s="77" t="s">
        <v>301</v>
      </c>
      <c r="H215" s="74">
        <f>(7500+7000)/1.075</f>
        <v>13488.372093023256</v>
      </c>
      <c r="I215" s="74">
        <f>F215*H215</f>
        <v>13488.372093023256</v>
      </c>
      <c r="J215" s="74">
        <f t="shared" si="167"/>
        <v>8823.5294117647063</v>
      </c>
      <c r="K215" s="74">
        <f t="shared" si="168"/>
        <v>8823.5294117647063</v>
      </c>
      <c r="L215" s="72">
        <f t="shared" si="169"/>
        <v>22311.901504787962</v>
      </c>
      <c r="M215" s="74">
        <f t="shared" si="170"/>
        <v>18006.790919101451</v>
      </c>
      <c r="N215" s="74">
        <f t="shared" si="171"/>
        <v>11779.290205700239</v>
      </c>
      <c r="O215" s="72">
        <f t="shared" si="122"/>
        <v>29786.081124801691</v>
      </c>
      <c r="P215" s="205">
        <f t="shared" si="123"/>
        <v>29786.081124801691</v>
      </c>
      <c r="Q215" s="272">
        <f t="shared" si="172"/>
        <v>31070.476796892941</v>
      </c>
      <c r="R215" s="439">
        <f t="shared" si="124"/>
        <v>-1284.3956720912502</v>
      </c>
      <c r="S215" s="273"/>
      <c r="U215" s="273"/>
      <c r="V215" s="273"/>
      <c r="W215" s="74">
        <f>2500+5000</f>
        <v>7500</v>
      </c>
      <c r="X215" s="840">
        <v>18717.264822371944</v>
      </c>
      <c r="Y215" s="840">
        <v>12244.052546074954</v>
      </c>
      <c r="Z215" s="840"/>
      <c r="AA215" s="805" t="s">
        <v>7</v>
      </c>
      <c r="AB215" s="805" t="s">
        <v>6</v>
      </c>
      <c r="AC215" s="805" t="s">
        <v>5</v>
      </c>
      <c r="AD215" s="934" t="s">
        <v>380</v>
      </c>
      <c r="AE215" s="934"/>
      <c r="AF215" s="934"/>
      <c r="AG215" s="934" t="s">
        <v>381</v>
      </c>
      <c r="AH215" s="934"/>
      <c r="AI215" s="737"/>
      <c r="AJ215" s="687"/>
      <c r="AK215" s="687"/>
      <c r="AL215" s="687"/>
      <c r="AM215" s="687"/>
      <c r="AN215" s="687" t="s">
        <v>397</v>
      </c>
      <c r="AO215" s="687" t="s">
        <v>398</v>
      </c>
    </row>
    <row r="216" spans="1:49" s="273" customFormat="1" ht="15.75" thickBot="1" x14ac:dyDescent="0.3">
      <c r="A216" s="350"/>
      <c r="B216" s="317"/>
      <c r="C216" s="318"/>
      <c r="D216" s="83"/>
      <c r="E216" s="242"/>
      <c r="F216" s="302"/>
      <c r="G216" s="75"/>
      <c r="H216" s="74"/>
      <c r="I216" s="74"/>
      <c r="J216" s="74"/>
      <c r="K216" s="74"/>
      <c r="L216" s="74"/>
      <c r="M216" s="72"/>
      <c r="N216" s="72"/>
      <c r="O216" s="72"/>
      <c r="P216" s="205"/>
      <c r="Q216" s="272">
        <f t="shared" si="172"/>
        <v>0</v>
      </c>
      <c r="R216" s="439"/>
      <c r="T216" s="224"/>
      <c r="W216" s="760" t="s">
        <v>400</v>
      </c>
      <c r="X216" s="760"/>
      <c r="Y216" s="760"/>
      <c r="Z216" s="760"/>
      <c r="AA216" s="805"/>
      <c r="AB216" s="805"/>
      <c r="AC216" s="805"/>
      <c r="AD216" s="805"/>
      <c r="AE216" s="805"/>
      <c r="AF216" s="805"/>
      <c r="AG216" s="805"/>
      <c r="AH216" s="805"/>
      <c r="AI216" s="686"/>
      <c r="AJ216" s="686">
        <v>0.6</v>
      </c>
      <c r="AK216" s="688">
        <v>1.8</v>
      </c>
      <c r="AL216" s="687">
        <f>AJ216*AK216</f>
        <v>1.08</v>
      </c>
      <c r="AM216" s="688">
        <f>AJ216+AK216</f>
        <v>2.4</v>
      </c>
      <c r="AN216" s="687">
        <v>0.6</v>
      </c>
      <c r="AO216" s="687">
        <v>0.15</v>
      </c>
    </row>
    <row r="217" spans="1:49" s="234" customFormat="1" ht="15.75" thickBot="1" x14ac:dyDescent="0.3">
      <c r="A217" s="308"/>
      <c r="B217" s="910" t="s">
        <v>345</v>
      </c>
      <c r="C217" s="911"/>
      <c r="D217" s="912"/>
      <c r="E217" s="309"/>
      <c r="F217" s="310"/>
      <c r="G217" s="311"/>
      <c r="H217" s="312"/>
      <c r="I217" s="313">
        <f>SUM(I156:I216)</f>
        <v>1400979.8978094275</v>
      </c>
      <c r="J217" s="312"/>
      <c r="K217" s="313">
        <f>SUM(K156:K216)</f>
        <v>364281.76470588241</v>
      </c>
      <c r="L217" s="313">
        <f>SUM(L156:L216)</f>
        <v>1765261.6625153099</v>
      </c>
      <c r="M217" s="312"/>
      <c r="N217" s="312"/>
      <c r="O217" s="313"/>
      <c r="P217" s="315">
        <f>SUM(P156:P216)</f>
        <v>2356600.0000000014</v>
      </c>
      <c r="Q217" s="272">
        <f t="shared" si="172"/>
        <v>2458218.1627978566</v>
      </c>
      <c r="R217" s="439">
        <f t="shared" ref="R217" si="175">P217-Q217</f>
        <v>-101618.16279785521</v>
      </c>
      <c r="S217" s="211">
        <v>2449581.7427196959</v>
      </c>
      <c r="T217" s="443"/>
      <c r="U217" s="275"/>
      <c r="V217" s="276"/>
      <c r="W217" s="799" t="s">
        <v>9</v>
      </c>
      <c r="X217" s="829"/>
      <c r="Y217" s="829"/>
      <c r="Z217" s="829"/>
      <c r="AA217" s="799" t="s">
        <v>382</v>
      </c>
      <c r="AB217" s="369">
        <f>+AB220*1.2</f>
        <v>2.2680000000000002</v>
      </c>
      <c r="AC217" s="370" t="s">
        <v>383</v>
      </c>
      <c r="AD217" s="371" t="s">
        <v>384</v>
      </c>
      <c r="AE217" s="372">
        <v>2300</v>
      </c>
      <c r="AF217" s="370" t="s">
        <v>385</v>
      </c>
      <c r="AG217" s="373" t="s">
        <v>384</v>
      </c>
      <c r="AH217" s="374">
        <f>AB217*AE217</f>
        <v>5216.4000000000005</v>
      </c>
      <c r="AI217" s="386"/>
      <c r="AJ217" s="385">
        <v>0.15</v>
      </c>
      <c r="AK217" s="385">
        <v>1.8</v>
      </c>
      <c r="AL217" s="385">
        <f>AJ217*AK217</f>
        <v>0.27</v>
      </c>
      <c r="AM217" s="387">
        <f t="shared" ref="AM217" si="176">AJ217+AK217</f>
        <v>1.95</v>
      </c>
      <c r="AN217" s="385">
        <v>1.8</v>
      </c>
      <c r="AO217" s="385">
        <v>0.6</v>
      </c>
      <c r="AP217" s="282"/>
    </row>
    <row r="218" spans="1:49" s="273" customFormat="1" ht="15.75" x14ac:dyDescent="0.25">
      <c r="A218" s="809" t="s">
        <v>346</v>
      </c>
      <c r="B218" s="810" t="s">
        <v>356</v>
      </c>
      <c r="C218" s="811"/>
      <c r="D218" s="83"/>
      <c r="E218" s="242"/>
      <c r="F218" s="302"/>
      <c r="G218" s="75"/>
      <c r="H218" s="74"/>
      <c r="I218" s="74"/>
      <c r="J218" s="74"/>
      <c r="K218" s="74"/>
      <c r="L218" s="74"/>
      <c r="M218" s="72"/>
      <c r="N218" s="72"/>
      <c r="O218" s="72"/>
      <c r="P218" s="205"/>
      <c r="Q218" s="272">
        <f t="shared" si="172"/>
        <v>0</v>
      </c>
      <c r="R218" s="439"/>
      <c r="S218" s="733">
        <v>2356600</v>
      </c>
      <c r="T218" s="224"/>
      <c r="W218" s="681"/>
      <c r="X218" s="681"/>
      <c r="Y218" s="681"/>
      <c r="Z218" s="681"/>
      <c r="AA218" s="682"/>
      <c r="AB218" s="683"/>
      <c r="AC218" s="683"/>
      <c r="AD218" s="741"/>
      <c r="AE218" s="683"/>
      <c r="AF218" s="684" t="s">
        <v>386</v>
      </c>
      <c r="AG218" s="684" t="s">
        <v>384</v>
      </c>
      <c r="AH218" s="750">
        <f>SUM(AH217:AH217)</f>
        <v>5216.4000000000005</v>
      </c>
      <c r="AI218" s="686"/>
      <c r="AJ218" s="687">
        <v>0.15</v>
      </c>
      <c r="AK218" s="687">
        <v>0.6</v>
      </c>
      <c r="AL218" s="687">
        <f>AJ218*AK218</f>
        <v>0.09</v>
      </c>
      <c r="AM218" s="688">
        <f>AJ218+AK218</f>
        <v>0.75</v>
      </c>
      <c r="AN218" s="687">
        <v>0.15</v>
      </c>
      <c r="AO218" s="687">
        <v>1.8</v>
      </c>
    </row>
    <row r="219" spans="1:49" s="273" customFormat="1" x14ac:dyDescent="0.25">
      <c r="A219" s="350"/>
      <c r="B219" s="412" t="s">
        <v>319</v>
      </c>
      <c r="C219" s="413" t="s">
        <v>403</v>
      </c>
      <c r="D219" s="83"/>
      <c r="E219" s="242"/>
      <c r="F219" s="242"/>
      <c r="G219" s="77"/>
      <c r="H219" s="74"/>
      <c r="I219" s="74"/>
      <c r="J219" s="74"/>
      <c r="K219" s="74"/>
      <c r="L219" s="72"/>
      <c r="M219" s="74"/>
      <c r="N219" s="74"/>
      <c r="O219" s="72"/>
      <c r="P219" s="205"/>
      <c r="Q219" s="272">
        <f t="shared" si="172"/>
        <v>0</v>
      </c>
      <c r="R219" s="439"/>
      <c r="S219" s="273">
        <f>S218-S217</f>
        <v>-92981.742719695903</v>
      </c>
      <c r="T219" s="224"/>
      <c r="W219" s="681"/>
      <c r="X219" s="681"/>
      <c r="Y219" s="681"/>
      <c r="Z219" s="681"/>
      <c r="AA219" s="682"/>
      <c r="AB219" s="683"/>
      <c r="AC219" s="683"/>
      <c r="AD219" s="741"/>
      <c r="AE219" s="683"/>
      <c r="AF219" s="684"/>
      <c r="AG219" s="684"/>
      <c r="AH219" s="742"/>
      <c r="AI219" s="686"/>
      <c r="AJ219" s="687">
        <v>0.15</v>
      </c>
      <c r="AK219" s="687">
        <v>0.6</v>
      </c>
      <c r="AL219" s="687">
        <f>AJ219*AK219</f>
        <v>0.09</v>
      </c>
      <c r="AM219" s="688">
        <f>AJ219+AK219</f>
        <v>0.75</v>
      </c>
      <c r="AN219" s="687"/>
      <c r="AO219" s="687">
        <v>0.6</v>
      </c>
    </row>
    <row r="220" spans="1:49" s="273" customFormat="1" x14ac:dyDescent="0.25">
      <c r="A220" s="350"/>
      <c r="B220" s="317"/>
      <c r="C220" s="318">
        <v>1</v>
      </c>
      <c r="D220" s="83" t="s">
        <v>404</v>
      </c>
      <c r="E220" s="242">
        <v>10</v>
      </c>
      <c r="F220" s="242">
        <v>10</v>
      </c>
      <c r="G220" s="77" t="s">
        <v>28</v>
      </c>
      <c r="H220" s="74"/>
      <c r="I220" s="74">
        <f t="shared" ref="I220:I232" si="177">F220*H220</f>
        <v>0</v>
      </c>
      <c r="J220" s="74">
        <f>750+100</f>
        <v>850</v>
      </c>
      <c r="K220" s="74">
        <f t="shared" ref="K220:K232" si="178">F220*J220</f>
        <v>8500</v>
      </c>
      <c r="L220" s="72">
        <f t="shared" ref="L220:L232" si="179">I220+K220</f>
        <v>8500</v>
      </c>
      <c r="M220" s="74">
        <f t="shared" ref="M220:M242" si="180">H220/$P$264*$P$272</f>
        <v>0</v>
      </c>
      <c r="N220" s="74">
        <f t="shared" ref="N220:N242" si="181">J220/$P$264*$P$272</f>
        <v>1183.6689612354035</v>
      </c>
      <c r="O220" s="72">
        <f t="shared" ref="O220:O242" si="182">N220+M220</f>
        <v>1183.6689612354035</v>
      </c>
      <c r="P220" s="205">
        <f t="shared" ref="P220:P242" si="183">O220*F220</f>
        <v>11836.689612354035</v>
      </c>
      <c r="Q220" s="272">
        <f t="shared" si="172"/>
        <v>11836.689612354032</v>
      </c>
      <c r="R220" s="439">
        <f t="shared" ref="R220:R242" si="184">P220-Q220</f>
        <v>0</v>
      </c>
      <c r="T220" s="224"/>
      <c r="W220" s="805" t="s">
        <v>10</v>
      </c>
      <c r="X220" s="835"/>
      <c r="Y220" s="835"/>
      <c r="Z220" s="835"/>
      <c r="AA220" s="743" t="s">
        <v>387</v>
      </c>
      <c r="AB220" s="744">
        <f>AL224</f>
        <v>1.8900000000000003</v>
      </c>
      <c r="AC220" s="683" t="s">
        <v>383</v>
      </c>
      <c r="AD220" s="741" t="s">
        <v>384</v>
      </c>
      <c r="AE220" s="745">
        <v>400</v>
      </c>
      <c r="AF220" s="683" t="s">
        <v>385</v>
      </c>
      <c r="AG220" s="684" t="s">
        <v>384</v>
      </c>
      <c r="AH220" s="742">
        <f t="shared" ref="AH220:AH224" si="185">AB220*AE220</f>
        <v>756.00000000000011</v>
      </c>
      <c r="AI220" s="686"/>
      <c r="AJ220" s="687">
        <v>0.2</v>
      </c>
      <c r="AK220" s="687">
        <v>1.8</v>
      </c>
      <c r="AL220" s="687">
        <f>AJ220*AK220</f>
        <v>0.36000000000000004</v>
      </c>
      <c r="AM220" s="688">
        <f>AJ220+AK220</f>
        <v>2</v>
      </c>
      <c r="AN220" s="687"/>
      <c r="AO220" s="687">
        <v>0.2</v>
      </c>
    </row>
    <row r="221" spans="1:49" s="273" customFormat="1" x14ac:dyDescent="0.25">
      <c r="A221" s="350"/>
      <c r="B221" s="317"/>
      <c r="C221" s="318">
        <v>2</v>
      </c>
      <c r="D221" s="83" t="s">
        <v>405</v>
      </c>
      <c r="E221" s="242">
        <v>3</v>
      </c>
      <c r="F221" s="242">
        <v>3</v>
      </c>
      <c r="G221" s="77" t="s">
        <v>28</v>
      </c>
      <c r="H221" s="74"/>
      <c r="I221" s="74">
        <f>F221*H221</f>
        <v>0</v>
      </c>
      <c r="J221" s="74">
        <f>750+100</f>
        <v>850</v>
      </c>
      <c r="K221" s="74">
        <f>F221*J221</f>
        <v>2550</v>
      </c>
      <c r="L221" s="72">
        <f>I221+K221</f>
        <v>2550</v>
      </c>
      <c r="M221" s="74">
        <f t="shared" si="180"/>
        <v>0</v>
      </c>
      <c r="N221" s="74">
        <f t="shared" si="181"/>
        <v>1183.6689612354035</v>
      </c>
      <c r="O221" s="72">
        <f t="shared" si="182"/>
        <v>1183.6689612354035</v>
      </c>
      <c r="P221" s="205">
        <f t="shared" si="183"/>
        <v>3551.0068837062104</v>
      </c>
      <c r="Q221" s="272">
        <f t="shared" si="172"/>
        <v>3551.0068837062099</v>
      </c>
      <c r="R221" s="439">
        <f t="shared" si="184"/>
        <v>0</v>
      </c>
      <c r="T221" s="224"/>
      <c r="W221" s="805"/>
      <c r="X221" s="835"/>
      <c r="Y221" s="835"/>
      <c r="Z221" s="835"/>
      <c r="AA221" s="743" t="s">
        <v>388</v>
      </c>
      <c r="AB221" s="744">
        <f>AM224</f>
        <v>7.85</v>
      </c>
      <c r="AC221" s="683" t="s">
        <v>383</v>
      </c>
      <c r="AD221" s="741"/>
      <c r="AE221" s="745">
        <v>100</v>
      </c>
      <c r="AF221" s="683" t="s">
        <v>385</v>
      </c>
      <c r="AG221" s="684"/>
      <c r="AH221" s="742">
        <f t="shared" si="185"/>
        <v>785</v>
      </c>
      <c r="AI221" s="686"/>
      <c r="AJ221" s="687"/>
      <c r="AK221" s="687"/>
      <c r="AL221" s="687"/>
      <c r="AM221" s="688"/>
      <c r="AN221" s="687"/>
      <c r="AO221" s="687"/>
    </row>
    <row r="222" spans="1:49" s="273" customFormat="1" x14ac:dyDescent="0.25">
      <c r="A222" s="350"/>
      <c r="B222" s="317"/>
      <c r="C222" s="318">
        <v>3</v>
      </c>
      <c r="D222" s="83" t="s">
        <v>406</v>
      </c>
      <c r="E222" s="242">
        <v>7</v>
      </c>
      <c r="F222" s="242">
        <v>7</v>
      </c>
      <c r="G222" s="77" t="s">
        <v>28</v>
      </c>
      <c r="H222" s="74"/>
      <c r="I222" s="74">
        <f t="shared" si="177"/>
        <v>0</v>
      </c>
      <c r="J222" s="74">
        <f>600+100</f>
        <v>700</v>
      </c>
      <c r="K222" s="74">
        <f t="shared" si="178"/>
        <v>4900</v>
      </c>
      <c r="L222" s="72">
        <f t="shared" si="179"/>
        <v>4900</v>
      </c>
      <c r="M222" s="74">
        <f t="shared" si="180"/>
        <v>0</v>
      </c>
      <c r="N222" s="74">
        <f t="shared" si="181"/>
        <v>974.78620337033215</v>
      </c>
      <c r="O222" s="72">
        <f t="shared" si="182"/>
        <v>974.78620337033215</v>
      </c>
      <c r="P222" s="205">
        <f t="shared" si="183"/>
        <v>6823.5034235923249</v>
      </c>
      <c r="Q222" s="272">
        <f t="shared" si="172"/>
        <v>6823.5034235923258</v>
      </c>
      <c r="R222" s="439">
        <f t="shared" si="184"/>
        <v>0</v>
      </c>
      <c r="T222" s="224"/>
      <c r="W222" s="805"/>
      <c r="X222" s="835"/>
      <c r="Y222" s="835"/>
      <c r="Z222" s="835"/>
      <c r="AA222" s="743" t="s">
        <v>389</v>
      </c>
      <c r="AB222" s="744">
        <f>AN224</f>
        <v>2.5499999999999998</v>
      </c>
      <c r="AC222" s="683" t="s">
        <v>100</v>
      </c>
      <c r="AD222" s="741"/>
      <c r="AE222" s="745">
        <v>400</v>
      </c>
      <c r="AF222" s="746" t="s">
        <v>390</v>
      </c>
      <c r="AG222" s="684"/>
      <c r="AH222" s="742">
        <f t="shared" si="185"/>
        <v>1019.9999999999999</v>
      </c>
      <c r="AI222" s="686"/>
      <c r="AJ222" s="687"/>
      <c r="AK222" s="687"/>
      <c r="AL222" s="687"/>
      <c r="AM222" s="688"/>
      <c r="AN222" s="687"/>
      <c r="AO222" s="687"/>
    </row>
    <row r="223" spans="1:49" s="273" customFormat="1" x14ac:dyDescent="0.25">
      <c r="A223" s="350"/>
      <c r="B223" s="317"/>
      <c r="C223" s="318">
        <v>4</v>
      </c>
      <c r="D223" s="83" t="s">
        <v>407</v>
      </c>
      <c r="E223" s="242">
        <v>7</v>
      </c>
      <c r="F223" s="242">
        <v>7</v>
      </c>
      <c r="G223" s="77" t="s">
        <v>28</v>
      </c>
      <c r="H223" s="74"/>
      <c r="I223" s="74">
        <f t="shared" si="177"/>
        <v>0</v>
      </c>
      <c r="J223" s="74">
        <f>300+100</f>
        <v>400</v>
      </c>
      <c r="K223" s="74">
        <f t="shared" si="178"/>
        <v>2800</v>
      </c>
      <c r="L223" s="72">
        <f t="shared" si="179"/>
        <v>2800</v>
      </c>
      <c r="M223" s="74">
        <f t="shared" si="180"/>
        <v>0</v>
      </c>
      <c r="N223" s="74">
        <f t="shared" si="181"/>
        <v>557.02068764018975</v>
      </c>
      <c r="O223" s="72">
        <f t="shared" si="182"/>
        <v>557.02068764018975</v>
      </c>
      <c r="P223" s="205">
        <f t="shared" si="183"/>
        <v>3899.1448134813281</v>
      </c>
      <c r="Q223" s="272">
        <f t="shared" si="172"/>
        <v>3899.1448134813286</v>
      </c>
      <c r="R223" s="439">
        <f t="shared" si="184"/>
        <v>0</v>
      </c>
      <c r="T223" s="224"/>
      <c r="W223" s="805"/>
      <c r="X223" s="835"/>
      <c r="Y223" s="835"/>
      <c r="Z223" s="835"/>
      <c r="AA223" s="743" t="s">
        <v>391</v>
      </c>
      <c r="AB223" s="744">
        <f>AO224</f>
        <v>3.35</v>
      </c>
      <c r="AC223" s="683" t="s">
        <v>100</v>
      </c>
      <c r="AD223" s="741"/>
      <c r="AE223" s="745">
        <v>400</v>
      </c>
      <c r="AF223" s="746" t="s">
        <v>390</v>
      </c>
      <c r="AG223" s="684"/>
      <c r="AH223" s="742">
        <f t="shared" si="185"/>
        <v>1340</v>
      </c>
      <c r="AI223" s="686"/>
      <c r="AJ223" s="687"/>
      <c r="AK223" s="687"/>
      <c r="AL223" s="687"/>
      <c r="AM223" s="688"/>
      <c r="AN223" s="687"/>
      <c r="AO223" s="687"/>
    </row>
    <row r="224" spans="1:49" s="273" customFormat="1" x14ac:dyDescent="0.25">
      <c r="A224" s="350"/>
      <c r="B224" s="317"/>
      <c r="C224" s="318">
        <v>5</v>
      </c>
      <c r="D224" s="83" t="s">
        <v>523</v>
      </c>
      <c r="E224" s="242">
        <v>2</v>
      </c>
      <c r="F224" s="242">
        <v>2</v>
      </c>
      <c r="G224" s="77" t="s">
        <v>28</v>
      </c>
      <c r="H224" s="74">
        <f>4000/1.07</f>
        <v>3738.3177570093458</v>
      </c>
      <c r="I224" s="74">
        <f t="shared" si="177"/>
        <v>7476.6355140186915</v>
      </c>
      <c r="J224" s="74">
        <f>400+100</f>
        <v>500</v>
      </c>
      <c r="K224" s="74">
        <f t="shared" si="178"/>
        <v>1000</v>
      </c>
      <c r="L224" s="72">
        <f t="shared" si="179"/>
        <v>8476.6355140186915</v>
      </c>
      <c r="M224" s="74">
        <f t="shared" si="180"/>
        <v>5205.8008190671944</v>
      </c>
      <c r="N224" s="74">
        <f t="shared" si="181"/>
        <v>696.27585955023733</v>
      </c>
      <c r="O224" s="72">
        <f t="shared" si="182"/>
        <v>5902.0766786174318</v>
      </c>
      <c r="P224" s="205">
        <f t="shared" si="183"/>
        <v>11804.153357234864</v>
      </c>
      <c r="Q224" s="272">
        <f t="shared" si="172"/>
        <v>11804.153357234862</v>
      </c>
      <c r="R224" s="439">
        <f t="shared" si="184"/>
        <v>0</v>
      </c>
      <c r="T224" s="224"/>
      <c r="W224" s="805"/>
      <c r="X224" s="835"/>
      <c r="Y224" s="835"/>
      <c r="Z224" s="835"/>
      <c r="AA224" s="743" t="s">
        <v>392</v>
      </c>
      <c r="AB224" s="747">
        <v>2</v>
      </c>
      <c r="AC224" s="683" t="s">
        <v>393</v>
      </c>
      <c r="AD224" s="684"/>
      <c r="AE224" s="745">
        <v>500</v>
      </c>
      <c r="AF224" s="746" t="s">
        <v>394</v>
      </c>
      <c r="AG224" s="684"/>
      <c r="AH224" s="748">
        <f t="shared" si="185"/>
        <v>1000</v>
      </c>
      <c r="AI224" s="686"/>
      <c r="AJ224" s="687"/>
      <c r="AK224" s="687"/>
      <c r="AL224" s="749">
        <f>SUM(AL216:AL220)</f>
        <v>1.8900000000000003</v>
      </c>
      <c r="AM224" s="749">
        <f>SUM(AM216:AM220)</f>
        <v>7.85</v>
      </c>
      <c r="AN224" s="749">
        <f>SUM(AN216:AN219)</f>
        <v>2.5499999999999998</v>
      </c>
      <c r="AO224" s="749">
        <f>SUM(AO216:AO220)</f>
        <v>3.35</v>
      </c>
    </row>
    <row r="225" spans="1:51" s="273" customFormat="1" x14ac:dyDescent="0.25">
      <c r="A225" s="350"/>
      <c r="B225" s="317"/>
      <c r="C225" s="318">
        <v>6</v>
      </c>
      <c r="D225" s="83" t="s">
        <v>409</v>
      </c>
      <c r="E225" s="242">
        <v>2</v>
      </c>
      <c r="F225" s="242">
        <v>2</v>
      </c>
      <c r="G225" s="77" t="s">
        <v>28</v>
      </c>
      <c r="H225" s="74"/>
      <c r="I225" s="74">
        <f t="shared" si="177"/>
        <v>0</v>
      </c>
      <c r="J225" s="74">
        <f>400+100</f>
        <v>500</v>
      </c>
      <c r="K225" s="74">
        <f t="shared" si="178"/>
        <v>1000</v>
      </c>
      <c r="L225" s="72">
        <f t="shared" si="179"/>
        <v>1000</v>
      </c>
      <c r="M225" s="74">
        <f t="shared" si="180"/>
        <v>0</v>
      </c>
      <c r="N225" s="74">
        <f t="shared" si="181"/>
        <v>696.27585955023733</v>
      </c>
      <c r="O225" s="72">
        <f t="shared" si="182"/>
        <v>696.27585955023733</v>
      </c>
      <c r="P225" s="205">
        <f t="shared" si="183"/>
        <v>1392.5517191004747</v>
      </c>
      <c r="Q225" s="272">
        <f t="shared" si="172"/>
        <v>1392.5517191004747</v>
      </c>
      <c r="R225" s="439">
        <f t="shared" si="184"/>
        <v>0</v>
      </c>
      <c r="T225" s="224"/>
      <c r="W225" s="681"/>
      <c r="X225" s="681"/>
      <c r="Y225" s="681"/>
      <c r="Z225" s="681"/>
      <c r="AA225" s="682"/>
      <c r="AB225" s="683"/>
      <c r="AC225" s="683"/>
      <c r="AD225" s="684"/>
      <c r="AE225" s="683"/>
      <c r="AF225" s="684" t="s">
        <v>395</v>
      </c>
      <c r="AG225" s="684" t="s">
        <v>384</v>
      </c>
      <c r="AH225" s="750">
        <f>SUM(AH220:AH224)</f>
        <v>4901</v>
      </c>
      <c r="AI225" s="686"/>
      <c r="AJ225" s="687"/>
      <c r="AK225" s="687"/>
      <c r="AL225" s="687"/>
      <c r="AM225" s="688"/>
      <c r="AN225" s="687"/>
      <c r="AO225" s="687"/>
    </row>
    <row r="226" spans="1:51" s="273" customFormat="1" ht="15.75" thickBot="1" x14ac:dyDescent="0.3">
      <c r="A226" s="350"/>
      <c r="B226" s="317"/>
      <c r="C226" s="318">
        <v>7</v>
      </c>
      <c r="D226" s="83" t="s">
        <v>410</v>
      </c>
      <c r="E226" s="242">
        <v>2</v>
      </c>
      <c r="F226" s="242">
        <v>2</v>
      </c>
      <c r="G226" s="77" t="s">
        <v>28</v>
      </c>
      <c r="H226" s="74"/>
      <c r="I226" s="74">
        <f t="shared" si="177"/>
        <v>0</v>
      </c>
      <c r="J226" s="74">
        <f>200+100</f>
        <v>300</v>
      </c>
      <c r="K226" s="74">
        <f t="shared" si="178"/>
        <v>600</v>
      </c>
      <c r="L226" s="72">
        <f t="shared" si="179"/>
        <v>600</v>
      </c>
      <c r="M226" s="74">
        <f t="shared" si="180"/>
        <v>0</v>
      </c>
      <c r="N226" s="74">
        <f t="shared" si="181"/>
        <v>417.7655157301424</v>
      </c>
      <c r="O226" s="72">
        <f t="shared" si="182"/>
        <v>417.7655157301424</v>
      </c>
      <c r="P226" s="205">
        <f t="shared" si="183"/>
        <v>835.53103146028479</v>
      </c>
      <c r="Q226" s="272">
        <f t="shared" si="172"/>
        <v>835.53103146028479</v>
      </c>
      <c r="R226" s="439">
        <f t="shared" si="184"/>
        <v>0</v>
      </c>
      <c r="T226" s="224"/>
      <c r="W226" s="681"/>
      <c r="X226" s="681"/>
      <c r="Y226" s="681"/>
      <c r="Z226" s="681"/>
      <c r="AA226" s="682"/>
      <c r="AB226" s="683"/>
      <c r="AC226" s="683"/>
      <c r="AD226" s="684"/>
      <c r="AE226" s="683"/>
      <c r="AF226" s="684" t="s">
        <v>396</v>
      </c>
      <c r="AG226" s="684" t="s">
        <v>384</v>
      </c>
      <c r="AH226" s="685">
        <f>AH218+AH225</f>
        <v>10117.400000000001</v>
      </c>
      <c r="AI226" s="686"/>
      <c r="AJ226" s="687"/>
      <c r="AK226" s="687"/>
      <c r="AL226" s="687"/>
      <c r="AM226" s="688"/>
      <c r="AN226" s="687"/>
      <c r="AO226" s="687"/>
      <c r="AR226" s="814" t="s">
        <v>548</v>
      </c>
      <c r="AS226" s="815"/>
      <c r="AT226" s="815"/>
      <c r="AU226" s="815"/>
      <c r="AV226" s="815"/>
      <c r="AW226" s="815"/>
      <c r="AX226" s="815"/>
      <c r="AY226" s="815"/>
    </row>
    <row r="227" spans="1:51" s="273" customFormat="1" ht="15.75" thickTop="1" x14ac:dyDescent="0.25">
      <c r="A227" s="350"/>
      <c r="B227" s="317"/>
      <c r="C227" s="318">
        <v>8</v>
      </c>
      <c r="D227" s="83" t="s">
        <v>358</v>
      </c>
      <c r="E227" s="242">
        <v>10</v>
      </c>
      <c r="F227" s="242">
        <v>10</v>
      </c>
      <c r="G227" s="77" t="s">
        <v>28</v>
      </c>
      <c r="H227" s="74"/>
      <c r="I227" s="74">
        <f t="shared" si="177"/>
        <v>0</v>
      </c>
      <c r="J227" s="74">
        <f>250+100</f>
        <v>350</v>
      </c>
      <c r="K227" s="74">
        <f t="shared" si="178"/>
        <v>3500</v>
      </c>
      <c r="L227" s="72">
        <f t="shared" si="179"/>
        <v>3500</v>
      </c>
      <c r="M227" s="74">
        <f t="shared" si="180"/>
        <v>0</v>
      </c>
      <c r="N227" s="74">
        <f t="shared" si="181"/>
        <v>487.39310168516607</v>
      </c>
      <c r="O227" s="72">
        <f t="shared" si="182"/>
        <v>487.39310168516607</v>
      </c>
      <c r="P227" s="205">
        <f t="shared" si="183"/>
        <v>4873.9310168516604</v>
      </c>
      <c r="Q227" s="272">
        <f t="shared" si="172"/>
        <v>4873.9310168516604</v>
      </c>
      <c r="R227" s="439">
        <f t="shared" si="184"/>
        <v>0</v>
      </c>
      <c r="T227" s="224"/>
      <c r="W227" s="751"/>
      <c r="X227" s="751"/>
      <c r="Y227" s="751"/>
      <c r="Z227" s="751"/>
      <c r="AA227" s="752"/>
      <c r="AB227" s="753"/>
      <c r="AC227" s="753"/>
      <c r="AD227" s="754"/>
      <c r="AE227" s="753"/>
      <c r="AF227" s="754"/>
      <c r="AG227" s="754"/>
      <c r="AH227" s="742"/>
      <c r="AI227" s="755"/>
      <c r="AJ227" s="756"/>
      <c r="AK227" s="756"/>
      <c r="AL227" s="756"/>
      <c r="AM227" s="757"/>
      <c r="AN227" s="756"/>
      <c r="AO227" s="756"/>
      <c r="AR227" s="815"/>
      <c r="AS227" s="815" t="s">
        <v>243</v>
      </c>
      <c r="AT227" s="815" t="s">
        <v>244</v>
      </c>
      <c r="AU227" s="815" t="s">
        <v>245</v>
      </c>
      <c r="AV227" s="815" t="s">
        <v>246</v>
      </c>
      <c r="AW227" s="815" t="s">
        <v>247</v>
      </c>
      <c r="AX227" s="815" t="s">
        <v>248</v>
      </c>
      <c r="AY227" s="815" t="s">
        <v>249</v>
      </c>
    </row>
    <row r="228" spans="1:51" s="273" customFormat="1" x14ac:dyDescent="0.25">
      <c r="A228" s="350"/>
      <c r="B228" s="317"/>
      <c r="C228" s="318">
        <v>9</v>
      </c>
      <c r="D228" s="83" t="s">
        <v>468</v>
      </c>
      <c r="E228" s="242">
        <v>12</v>
      </c>
      <c r="F228" s="242">
        <v>12</v>
      </c>
      <c r="G228" s="77" t="s">
        <v>28</v>
      </c>
      <c r="H228" s="74">
        <f>550/1.05</f>
        <v>523.80952380952374</v>
      </c>
      <c r="I228" s="74">
        <f t="shared" si="177"/>
        <v>6285.7142857142844</v>
      </c>
      <c r="J228" s="74">
        <f>150+100</f>
        <v>250</v>
      </c>
      <c r="K228" s="74">
        <f t="shared" si="178"/>
        <v>3000</v>
      </c>
      <c r="L228" s="72">
        <f t="shared" si="179"/>
        <v>9285.7142857142844</v>
      </c>
      <c r="M228" s="74">
        <f t="shared" si="180"/>
        <v>729.43185286215316</v>
      </c>
      <c r="N228" s="74">
        <f t="shared" si="181"/>
        <v>348.13792977511866</v>
      </c>
      <c r="O228" s="72">
        <f t="shared" si="182"/>
        <v>1077.5697826372718</v>
      </c>
      <c r="P228" s="205">
        <f t="shared" si="183"/>
        <v>12930.837391647263</v>
      </c>
      <c r="Q228" s="272">
        <f t="shared" si="172"/>
        <v>12930.837391647261</v>
      </c>
      <c r="R228" s="439">
        <f t="shared" si="184"/>
        <v>0</v>
      </c>
      <c r="T228" s="224"/>
      <c r="W228" s="758"/>
      <c r="X228" s="758"/>
      <c r="Y228" s="758"/>
      <c r="Z228" s="758"/>
      <c r="AA228" s="759"/>
      <c r="AB228" s="759"/>
      <c r="AC228" s="759"/>
      <c r="AD228" s="759"/>
      <c r="AE228" s="759"/>
      <c r="AF228" s="759"/>
      <c r="AG228" s="759"/>
      <c r="AH228" s="759"/>
      <c r="AI228" s="755"/>
      <c r="AJ228" s="755"/>
      <c r="AK228" s="757"/>
      <c r="AL228" s="756"/>
      <c r="AM228" s="757"/>
      <c r="AN228" s="756"/>
      <c r="AO228" s="756"/>
      <c r="AQ228" s="958" t="s">
        <v>531</v>
      </c>
      <c r="AR228" s="958"/>
      <c r="AS228" s="815" t="s">
        <v>266</v>
      </c>
      <c r="AT228" s="815">
        <f>(6.1*1.8*2.5)</f>
        <v>27.450000000000003</v>
      </c>
      <c r="AU228" s="815">
        <v>28</v>
      </c>
      <c r="AV228" s="815">
        <v>30</v>
      </c>
      <c r="AW228" s="815">
        <f>AV228*AU228</f>
        <v>840</v>
      </c>
      <c r="AX228" s="815">
        <v>350</v>
      </c>
      <c r="AY228" s="815">
        <f>AX228*AU228</f>
        <v>9800</v>
      </c>
    </row>
    <row r="229" spans="1:51" s="273" customFormat="1" x14ac:dyDescent="0.25">
      <c r="A229" s="350"/>
      <c r="B229" s="317"/>
      <c r="C229" s="318">
        <v>10</v>
      </c>
      <c r="D229" s="83" t="s">
        <v>470</v>
      </c>
      <c r="E229" s="242">
        <v>2</v>
      </c>
      <c r="F229" s="242">
        <v>2</v>
      </c>
      <c r="G229" s="77" t="s">
        <v>28</v>
      </c>
      <c r="H229" s="74">
        <f>6000/1.05</f>
        <v>5714.2857142857138</v>
      </c>
      <c r="I229" s="74">
        <f t="shared" si="177"/>
        <v>11428.571428571428</v>
      </c>
      <c r="J229" s="74">
        <v>1500</v>
      </c>
      <c r="K229" s="74">
        <f t="shared" si="178"/>
        <v>3000</v>
      </c>
      <c r="L229" s="72">
        <f t="shared" si="179"/>
        <v>14428.571428571428</v>
      </c>
      <c r="M229" s="74">
        <f t="shared" si="180"/>
        <v>7957.4383948598534</v>
      </c>
      <c r="N229" s="74">
        <f t="shared" si="181"/>
        <v>2088.8275786507115</v>
      </c>
      <c r="O229" s="72">
        <f t="shared" si="182"/>
        <v>10046.265973510564</v>
      </c>
      <c r="P229" s="205">
        <f t="shared" si="183"/>
        <v>20092.531947021129</v>
      </c>
      <c r="Q229" s="272">
        <f t="shared" si="172"/>
        <v>20092.531947021133</v>
      </c>
      <c r="R229" s="439">
        <f t="shared" si="184"/>
        <v>0</v>
      </c>
      <c r="T229" s="224"/>
      <c r="AI229" s="737"/>
      <c r="AJ229" s="687"/>
      <c r="AK229" s="687"/>
      <c r="AL229" s="687"/>
      <c r="AM229" s="687"/>
      <c r="AN229" s="687" t="s">
        <v>397</v>
      </c>
      <c r="AO229" s="687" t="s">
        <v>398</v>
      </c>
      <c r="AQ229" s="958" t="s">
        <v>279</v>
      </c>
      <c r="AR229" s="958"/>
      <c r="AS229" s="815" t="s">
        <v>266</v>
      </c>
      <c r="AT229" s="815">
        <f>(6.1*0.15*2)+((6.1+1.8)*2*0.15*2.3)+(1.5*2.3*0.15)</f>
        <v>7.7984999999999989</v>
      </c>
      <c r="AU229" s="815">
        <v>8</v>
      </c>
      <c r="AV229" s="815">
        <f>3450/1.04</f>
        <v>3317.3076923076924</v>
      </c>
      <c r="AW229" s="815">
        <f t="shared" ref="AW229:AW233" si="186">AV229*AU229</f>
        <v>26538.461538461539</v>
      </c>
      <c r="AX229" s="815">
        <v>650</v>
      </c>
      <c r="AY229" s="815">
        <f t="shared" ref="AY229:AY233" si="187">AX229*AU229</f>
        <v>5200</v>
      </c>
    </row>
    <row r="230" spans="1:51" s="273" customFormat="1" x14ac:dyDescent="0.25">
      <c r="A230" s="350"/>
      <c r="B230" s="317"/>
      <c r="C230" s="318">
        <v>11</v>
      </c>
      <c r="D230" s="83" t="s">
        <v>467</v>
      </c>
      <c r="E230" s="242">
        <v>1</v>
      </c>
      <c r="F230" s="242">
        <v>1</v>
      </c>
      <c r="G230" s="77" t="s">
        <v>301</v>
      </c>
      <c r="H230" s="74">
        <v>10000</v>
      </c>
      <c r="I230" s="74">
        <f t="shared" si="177"/>
        <v>10000</v>
      </c>
      <c r="J230" s="74">
        <v>4000</v>
      </c>
      <c r="K230" s="74">
        <f t="shared" si="178"/>
        <v>4000</v>
      </c>
      <c r="L230" s="72">
        <f t="shared" si="179"/>
        <v>14000</v>
      </c>
      <c r="M230" s="74">
        <f t="shared" si="180"/>
        <v>13925.517191004747</v>
      </c>
      <c r="N230" s="74">
        <f t="shared" si="181"/>
        <v>5570.2068764018986</v>
      </c>
      <c r="O230" s="72">
        <f t="shared" si="182"/>
        <v>19495.724067406645</v>
      </c>
      <c r="P230" s="205">
        <f t="shared" si="183"/>
        <v>19495.724067406645</v>
      </c>
      <c r="Q230" s="272">
        <f t="shared" si="172"/>
        <v>19495.724067406642</v>
      </c>
      <c r="R230" s="439">
        <f t="shared" si="184"/>
        <v>0</v>
      </c>
      <c r="T230" s="224"/>
      <c r="W230" s="805" t="s">
        <v>4</v>
      </c>
      <c r="X230" s="835"/>
      <c r="Y230" s="835"/>
      <c r="Z230" s="835"/>
      <c r="AA230" s="805" t="s">
        <v>7</v>
      </c>
      <c r="AB230" s="805" t="s">
        <v>6</v>
      </c>
      <c r="AC230" s="805" t="s">
        <v>5</v>
      </c>
      <c r="AD230" s="934" t="s">
        <v>380</v>
      </c>
      <c r="AE230" s="934"/>
      <c r="AF230" s="934"/>
      <c r="AG230" s="934" t="s">
        <v>381</v>
      </c>
      <c r="AH230" s="934"/>
      <c r="AI230" s="737"/>
      <c r="AJ230" s="687"/>
      <c r="AK230" s="687"/>
      <c r="AL230" s="687"/>
      <c r="AM230" s="687"/>
      <c r="AN230" s="687"/>
      <c r="AO230" s="687"/>
      <c r="AQ230" s="958" t="s">
        <v>281</v>
      </c>
      <c r="AR230" s="958"/>
      <c r="AS230" s="815" t="s">
        <v>101</v>
      </c>
      <c r="AT230" s="815">
        <f>(((6.1+1.8)*2*2.5)+((1+1.5)*2*2.3)+((2.5+1.5)*2*2.3)+((2+1.5)*2*2.3)+((1+2.5+2)*1.5))*0.85</f>
        <v>79.6875</v>
      </c>
      <c r="AU230" s="815">
        <v>80</v>
      </c>
      <c r="AV230" s="815">
        <f>200/1.04</f>
        <v>192.30769230769229</v>
      </c>
      <c r="AW230" s="815">
        <f t="shared" si="186"/>
        <v>15384.615384615383</v>
      </c>
      <c r="AX230" s="815">
        <v>200</v>
      </c>
      <c r="AY230" s="815">
        <f t="shared" si="187"/>
        <v>16000</v>
      </c>
    </row>
    <row r="231" spans="1:51" s="273" customFormat="1" x14ac:dyDescent="0.25">
      <c r="A231" s="350"/>
      <c r="B231" s="317"/>
      <c r="C231" s="318">
        <v>12</v>
      </c>
      <c r="D231" s="83" t="s">
        <v>528</v>
      </c>
      <c r="E231" s="242">
        <v>2</v>
      </c>
      <c r="F231" s="242">
        <v>2</v>
      </c>
      <c r="G231" s="77" t="s">
        <v>28</v>
      </c>
      <c r="H231" s="74">
        <f>(7000+2000)/1.03</f>
        <v>8737.8640776699031</v>
      </c>
      <c r="I231" s="74">
        <f t="shared" si="177"/>
        <v>17475.728155339806</v>
      </c>
      <c r="J231" s="74">
        <v>2000</v>
      </c>
      <c r="K231" s="74">
        <f t="shared" si="178"/>
        <v>4000</v>
      </c>
      <c r="L231" s="72">
        <f t="shared" si="179"/>
        <v>21475.728155339806</v>
      </c>
      <c r="M231" s="74">
        <f t="shared" si="180"/>
        <v>12167.927642625506</v>
      </c>
      <c r="N231" s="74">
        <f t="shared" si="181"/>
        <v>2785.1034382009493</v>
      </c>
      <c r="O231" s="72">
        <f t="shared" si="182"/>
        <v>14953.031080826455</v>
      </c>
      <c r="P231" s="205">
        <f t="shared" si="183"/>
        <v>29906.06216165291</v>
      </c>
      <c r="Q231" s="272">
        <f t="shared" si="172"/>
        <v>29906.06216165291</v>
      </c>
      <c r="R231" s="439">
        <f t="shared" si="184"/>
        <v>0</v>
      </c>
      <c r="T231" s="224"/>
      <c r="W231" s="805" t="s">
        <v>4</v>
      </c>
      <c r="X231" s="835"/>
      <c r="Y231" s="835"/>
      <c r="Z231" s="835"/>
      <c r="AA231" s="805" t="s">
        <v>7</v>
      </c>
      <c r="AB231" s="805" t="s">
        <v>6</v>
      </c>
      <c r="AC231" s="805" t="s">
        <v>5</v>
      </c>
      <c r="AD231" s="934" t="s">
        <v>380</v>
      </c>
      <c r="AE231" s="934"/>
      <c r="AF231" s="934"/>
      <c r="AG231" s="934" t="s">
        <v>381</v>
      </c>
      <c r="AH231" s="934"/>
      <c r="AI231" s="737"/>
      <c r="AJ231" s="687"/>
      <c r="AK231" s="687"/>
      <c r="AL231" s="687"/>
      <c r="AM231" s="687"/>
      <c r="AN231" s="687"/>
      <c r="AO231" s="687"/>
      <c r="AQ231" s="958" t="s">
        <v>282</v>
      </c>
      <c r="AR231" s="958"/>
      <c r="AS231" s="815" t="s">
        <v>255</v>
      </c>
      <c r="AT231" s="815">
        <f>AT229*135</f>
        <v>1052.7974999999999</v>
      </c>
      <c r="AU231" s="815">
        <f>AT231*1.05</f>
        <v>1105.437375</v>
      </c>
      <c r="AV231" s="815">
        <f>33/1.04</f>
        <v>31.73076923076923</v>
      </c>
      <c r="AW231" s="815">
        <f t="shared" si="186"/>
        <v>35076.378245192303</v>
      </c>
      <c r="AX231" s="815">
        <v>8</v>
      </c>
      <c r="AY231" s="815">
        <f t="shared" si="187"/>
        <v>8843.4989999999998</v>
      </c>
    </row>
    <row r="232" spans="1:51" s="273" customFormat="1" x14ac:dyDescent="0.25">
      <c r="A232" s="350"/>
      <c r="B232" s="819"/>
      <c r="C232" s="820">
        <v>13</v>
      </c>
      <c r="D232" s="170" t="s">
        <v>546</v>
      </c>
      <c r="E232" s="242">
        <v>1</v>
      </c>
      <c r="F232" s="242">
        <v>1</v>
      </c>
      <c r="G232" s="77" t="s">
        <v>243</v>
      </c>
      <c r="H232" s="328">
        <f>AW234</f>
        <v>83300.993629807694</v>
      </c>
      <c r="I232" s="74">
        <f t="shared" si="177"/>
        <v>83300.993629807694</v>
      </c>
      <c r="J232" s="328">
        <f>AY234</f>
        <v>42343.498999999996</v>
      </c>
      <c r="K232" s="74">
        <f t="shared" si="178"/>
        <v>42343.498999999996</v>
      </c>
      <c r="L232" s="72">
        <f t="shared" si="179"/>
        <v>125644.49262980769</v>
      </c>
      <c r="M232" s="74">
        <f t="shared" si="180"/>
        <v>116000.94188196638</v>
      </c>
      <c r="N232" s="74">
        <f t="shared" si="181"/>
        <v>58965.512325179217</v>
      </c>
      <c r="O232" s="72">
        <f t="shared" si="182"/>
        <v>174966.45420714561</v>
      </c>
      <c r="P232" s="205">
        <f t="shared" si="183"/>
        <v>174966.45420714561</v>
      </c>
      <c r="Q232" s="272">
        <f t="shared" si="172"/>
        <v>174966.45420714561</v>
      </c>
      <c r="R232" s="439">
        <f t="shared" si="184"/>
        <v>0</v>
      </c>
      <c r="T232" s="224"/>
      <c r="W232" s="805" t="s">
        <v>4</v>
      </c>
      <c r="X232" s="835"/>
      <c r="Y232" s="835"/>
      <c r="Z232" s="835"/>
      <c r="AA232" s="805" t="s">
        <v>7</v>
      </c>
      <c r="AB232" s="805" t="s">
        <v>6</v>
      </c>
      <c r="AC232" s="805" t="s">
        <v>5</v>
      </c>
      <c r="AD232" s="934" t="s">
        <v>380</v>
      </c>
      <c r="AE232" s="934"/>
      <c r="AF232" s="934"/>
      <c r="AG232" s="934" t="s">
        <v>381</v>
      </c>
      <c r="AH232" s="934"/>
      <c r="AI232" s="737"/>
      <c r="AJ232" s="687"/>
      <c r="AK232" s="687"/>
      <c r="AL232" s="687"/>
      <c r="AM232" s="687"/>
      <c r="AN232" s="687"/>
      <c r="AO232" s="687"/>
      <c r="AQ232" s="958" t="s">
        <v>532</v>
      </c>
      <c r="AR232" s="958"/>
      <c r="AS232" s="815" t="s">
        <v>55</v>
      </c>
      <c r="AT232" s="815">
        <v>3</v>
      </c>
      <c r="AU232" s="815">
        <v>3</v>
      </c>
      <c r="AV232" s="815">
        <f>1200/1.04</f>
        <v>1153.8461538461538</v>
      </c>
      <c r="AW232" s="815">
        <f t="shared" si="186"/>
        <v>3461.5384615384614</v>
      </c>
      <c r="AX232" s="815">
        <v>500</v>
      </c>
      <c r="AY232" s="815">
        <f t="shared" si="187"/>
        <v>1500</v>
      </c>
    </row>
    <row r="233" spans="1:51" s="273" customFormat="1" x14ac:dyDescent="0.25">
      <c r="A233" s="350"/>
      <c r="B233" s="317"/>
      <c r="C233" s="318"/>
      <c r="D233" s="83"/>
      <c r="E233" s="242"/>
      <c r="F233" s="302"/>
      <c r="G233" s="77"/>
      <c r="H233" s="74"/>
      <c r="I233" s="74"/>
      <c r="J233" s="74"/>
      <c r="K233" s="74"/>
      <c r="L233" s="74"/>
      <c r="M233" s="74"/>
      <c r="N233" s="74"/>
      <c r="O233" s="72"/>
      <c r="P233" s="205"/>
      <c r="Q233" s="272"/>
      <c r="R233" s="439"/>
      <c r="T233" s="224"/>
      <c r="W233" s="760" t="s">
        <v>399</v>
      </c>
      <c r="X233" s="760"/>
      <c r="Y233" s="760"/>
      <c r="Z233" s="760"/>
      <c r="AA233" s="805"/>
      <c r="AB233" s="805"/>
      <c r="AC233" s="805"/>
      <c r="AD233" s="805"/>
      <c r="AE233" s="805"/>
      <c r="AF233" s="805"/>
      <c r="AG233" s="805"/>
      <c r="AH233" s="805"/>
      <c r="AI233" s="686"/>
      <c r="AJ233" s="686">
        <v>0.6</v>
      </c>
      <c r="AK233" s="688">
        <v>1</v>
      </c>
      <c r="AL233" s="687">
        <f>AJ233*AK233</f>
        <v>0.6</v>
      </c>
      <c r="AM233" s="688">
        <f>AJ233+AK233</f>
        <v>1.6</v>
      </c>
      <c r="AN233" s="687">
        <v>0.6</v>
      </c>
      <c r="AO233" s="687">
        <v>0.15</v>
      </c>
      <c r="AQ233" s="958" t="s">
        <v>379</v>
      </c>
      <c r="AR233" s="958"/>
      <c r="AS233" s="815" t="s">
        <v>301</v>
      </c>
      <c r="AT233" s="815">
        <v>1</v>
      </c>
      <c r="AU233" s="815">
        <v>1</v>
      </c>
      <c r="AV233" s="815">
        <v>2000</v>
      </c>
      <c r="AW233" s="815">
        <f t="shared" si="186"/>
        <v>2000</v>
      </c>
      <c r="AX233" s="815">
        <v>1000</v>
      </c>
      <c r="AY233" s="815">
        <f t="shared" si="187"/>
        <v>1000</v>
      </c>
    </row>
    <row r="234" spans="1:51" s="273" customFormat="1" x14ac:dyDescent="0.25">
      <c r="A234" s="350"/>
      <c r="B234" s="412" t="s">
        <v>320</v>
      </c>
      <c r="C234" s="413" t="s">
        <v>355</v>
      </c>
      <c r="D234" s="83"/>
      <c r="E234" s="242"/>
      <c r="F234" s="242"/>
      <c r="G234" s="77"/>
      <c r="H234" s="74"/>
      <c r="I234" s="74"/>
      <c r="J234" s="74"/>
      <c r="K234" s="74"/>
      <c r="L234" s="72"/>
      <c r="M234" s="74"/>
      <c r="N234" s="74"/>
      <c r="O234" s="72"/>
      <c r="P234" s="205"/>
      <c r="Q234" s="272"/>
      <c r="R234" s="439"/>
      <c r="T234" s="224"/>
      <c r="W234" s="805" t="s">
        <v>9</v>
      </c>
      <c r="X234" s="835"/>
      <c r="Y234" s="835"/>
      <c r="Z234" s="835"/>
      <c r="AA234" s="805" t="s">
        <v>382</v>
      </c>
      <c r="AB234" s="761">
        <f>+AB238*1.2</f>
        <v>1.548</v>
      </c>
      <c r="AC234" s="683" t="s">
        <v>383</v>
      </c>
      <c r="AD234" s="741" t="s">
        <v>384</v>
      </c>
      <c r="AE234" s="745">
        <v>2300</v>
      </c>
      <c r="AF234" s="683" t="s">
        <v>385</v>
      </c>
      <c r="AG234" s="684" t="s">
        <v>384</v>
      </c>
      <c r="AH234" s="748">
        <f>AB234*AE234</f>
        <v>3560.4</v>
      </c>
      <c r="AI234" s="686"/>
      <c r="AJ234" s="687">
        <v>0.15</v>
      </c>
      <c r="AK234" s="687">
        <v>1</v>
      </c>
      <c r="AL234" s="687">
        <f>AJ234*AK234</f>
        <v>0.15</v>
      </c>
      <c r="AM234" s="688">
        <f t="shared" ref="AM234" si="188">AJ234+AK234</f>
        <v>1.1499999999999999</v>
      </c>
      <c r="AN234" s="687">
        <v>1</v>
      </c>
      <c r="AO234" s="687">
        <v>0.6</v>
      </c>
      <c r="AR234" s="815"/>
      <c r="AS234" s="815"/>
      <c r="AT234" s="815"/>
      <c r="AU234" s="815"/>
      <c r="AV234" s="815"/>
      <c r="AW234" s="816">
        <f>SUM(AW228:AW233)</f>
        <v>83300.993629807694</v>
      </c>
      <c r="AX234" s="815"/>
      <c r="AY234" s="816">
        <f>SUM(AY228:AY233)</f>
        <v>42343.498999999996</v>
      </c>
    </row>
    <row r="235" spans="1:51" s="273" customFormat="1" x14ac:dyDescent="0.25">
      <c r="A235" s="350"/>
      <c r="B235" s="412"/>
      <c r="C235" s="318">
        <v>1</v>
      </c>
      <c r="D235" s="83" t="s">
        <v>549</v>
      </c>
      <c r="E235" s="242">
        <v>5</v>
      </c>
      <c r="F235" s="242">
        <v>5</v>
      </c>
      <c r="G235" s="77" t="s">
        <v>283</v>
      </c>
      <c r="H235" s="74"/>
      <c r="I235" s="74">
        <f t="shared" ref="I235:I242" si="189">F235*H235</f>
        <v>0</v>
      </c>
      <c r="J235" s="74">
        <v>1000</v>
      </c>
      <c r="K235" s="74">
        <f t="shared" ref="K235:K242" si="190">F235*J235</f>
        <v>5000</v>
      </c>
      <c r="L235" s="72">
        <f t="shared" ref="L235:L242" si="191">I235+K235</f>
        <v>5000</v>
      </c>
      <c r="M235" s="74">
        <f t="shared" si="180"/>
        <v>0</v>
      </c>
      <c r="N235" s="74">
        <f t="shared" si="181"/>
        <v>1392.5517191004747</v>
      </c>
      <c r="O235" s="72">
        <f t="shared" si="182"/>
        <v>1392.5517191004747</v>
      </c>
      <c r="P235" s="205">
        <f t="shared" si="183"/>
        <v>6962.7585955023733</v>
      </c>
      <c r="Q235" s="272">
        <f t="shared" si="172"/>
        <v>6962.7585955023733</v>
      </c>
      <c r="R235" s="439">
        <f t="shared" si="184"/>
        <v>0</v>
      </c>
      <c r="T235" s="224"/>
      <c r="W235" s="805"/>
      <c r="X235" s="835"/>
      <c r="Y235" s="835"/>
      <c r="Z235" s="835"/>
      <c r="AA235" s="805"/>
      <c r="AB235" s="761"/>
      <c r="AC235" s="683"/>
      <c r="AD235" s="741"/>
      <c r="AE235" s="745"/>
      <c r="AF235" s="683"/>
      <c r="AG235" s="684"/>
      <c r="AH235" s="742"/>
      <c r="AI235" s="686"/>
      <c r="AJ235" s="687"/>
      <c r="AK235" s="687"/>
      <c r="AL235" s="687"/>
      <c r="AM235" s="688"/>
      <c r="AN235" s="687"/>
      <c r="AO235" s="687"/>
    </row>
    <row r="236" spans="1:51" s="273" customFormat="1" x14ac:dyDescent="0.25">
      <c r="A236" s="350"/>
      <c r="B236" s="317"/>
      <c r="C236" s="318">
        <v>2</v>
      </c>
      <c r="D236" s="83" t="s">
        <v>361</v>
      </c>
      <c r="E236" s="242">
        <v>10</v>
      </c>
      <c r="F236" s="242">
        <v>10</v>
      </c>
      <c r="G236" s="77" t="s">
        <v>283</v>
      </c>
      <c r="H236" s="74"/>
      <c r="I236" s="74">
        <f t="shared" si="189"/>
        <v>0</v>
      </c>
      <c r="J236" s="74">
        <f>150+100</f>
        <v>250</v>
      </c>
      <c r="K236" s="74">
        <f t="shared" si="190"/>
        <v>2500</v>
      </c>
      <c r="L236" s="72">
        <f t="shared" si="191"/>
        <v>2500</v>
      </c>
      <c r="M236" s="74">
        <f t="shared" si="180"/>
        <v>0</v>
      </c>
      <c r="N236" s="74">
        <f t="shared" si="181"/>
        <v>348.13792977511866</v>
      </c>
      <c r="O236" s="72">
        <f t="shared" si="182"/>
        <v>348.13792977511866</v>
      </c>
      <c r="P236" s="205">
        <f t="shared" si="183"/>
        <v>3481.3792977511866</v>
      </c>
      <c r="Q236" s="272">
        <f t="shared" si="172"/>
        <v>3481.3792977511866</v>
      </c>
      <c r="R236" s="439">
        <f t="shared" si="184"/>
        <v>0</v>
      </c>
      <c r="T236" s="224"/>
      <c r="V236" s="287"/>
      <c r="W236" s="681"/>
      <c r="X236" s="681"/>
      <c r="Y236" s="681"/>
      <c r="Z236" s="681"/>
      <c r="AA236" s="682"/>
      <c r="AB236" s="683"/>
      <c r="AC236" s="683"/>
      <c r="AD236" s="741"/>
      <c r="AE236" s="683"/>
      <c r="AF236" s="684" t="s">
        <v>386</v>
      </c>
      <c r="AG236" s="684" t="s">
        <v>384</v>
      </c>
      <c r="AH236" s="750">
        <f>SUM(AH234:AH234)</f>
        <v>3560.4</v>
      </c>
      <c r="AI236" s="686"/>
      <c r="AJ236" s="687">
        <v>0.15</v>
      </c>
      <c r="AK236" s="687">
        <v>0.6</v>
      </c>
      <c r="AL236" s="687">
        <f>AJ236*AK236</f>
        <v>0.09</v>
      </c>
      <c r="AM236" s="688">
        <f>AJ236+AK236</f>
        <v>0.75</v>
      </c>
      <c r="AN236" s="687">
        <v>0.15</v>
      </c>
      <c r="AO236" s="687">
        <v>1</v>
      </c>
    </row>
    <row r="237" spans="1:51" s="273" customFormat="1" x14ac:dyDescent="0.25">
      <c r="A237" s="350"/>
      <c r="B237" s="317"/>
      <c r="C237" s="318">
        <v>3</v>
      </c>
      <c r="D237" s="83" t="s">
        <v>517</v>
      </c>
      <c r="E237" s="242">
        <v>1</v>
      </c>
      <c r="F237" s="242">
        <v>1</v>
      </c>
      <c r="G237" s="77" t="s">
        <v>55</v>
      </c>
      <c r="H237" s="74">
        <f>4200/1.085</f>
        <v>3870.9677419354839</v>
      </c>
      <c r="I237" s="74">
        <f t="shared" si="189"/>
        <v>3870.9677419354839</v>
      </c>
      <c r="J237" s="74">
        <f>600+100</f>
        <v>700</v>
      </c>
      <c r="K237" s="74">
        <f t="shared" si="190"/>
        <v>700</v>
      </c>
      <c r="L237" s="72">
        <f t="shared" si="191"/>
        <v>4570.9677419354839</v>
      </c>
      <c r="M237" s="74">
        <f t="shared" si="180"/>
        <v>5390.5227836147405</v>
      </c>
      <c r="N237" s="74">
        <f t="shared" si="181"/>
        <v>974.78620337033215</v>
      </c>
      <c r="O237" s="72">
        <f t="shared" si="182"/>
        <v>6365.3089869850728</v>
      </c>
      <c r="P237" s="205">
        <f t="shared" si="183"/>
        <v>6365.3089869850728</v>
      </c>
      <c r="Q237" s="272">
        <f t="shared" si="172"/>
        <v>6365.3089869850719</v>
      </c>
      <c r="R237" s="439">
        <f t="shared" si="184"/>
        <v>0</v>
      </c>
      <c r="T237" s="224"/>
      <c r="V237" s="287"/>
      <c r="W237" s="681"/>
      <c r="X237" s="681"/>
      <c r="Y237" s="681"/>
      <c r="Z237" s="681"/>
      <c r="AA237" s="682"/>
      <c r="AB237" s="683"/>
      <c r="AC237" s="683"/>
      <c r="AD237" s="741"/>
      <c r="AE237" s="683"/>
      <c r="AF237" s="684"/>
      <c r="AG237" s="684"/>
      <c r="AH237" s="742"/>
      <c r="AI237" s="686"/>
      <c r="AJ237" s="687">
        <v>0.15</v>
      </c>
      <c r="AK237" s="687">
        <v>0.6</v>
      </c>
      <c r="AL237" s="687">
        <f>AJ237*AK237</f>
        <v>0.09</v>
      </c>
      <c r="AM237" s="688">
        <f>AJ237+AK237</f>
        <v>0.75</v>
      </c>
      <c r="AN237" s="687"/>
      <c r="AO237" s="687">
        <v>0.6</v>
      </c>
    </row>
    <row r="238" spans="1:51" s="273" customFormat="1" x14ac:dyDescent="0.25">
      <c r="A238" s="350"/>
      <c r="B238" s="317"/>
      <c r="C238" s="318">
        <v>4</v>
      </c>
      <c r="D238" s="83" t="s">
        <v>518</v>
      </c>
      <c r="E238" s="242">
        <v>7</v>
      </c>
      <c r="F238" s="242">
        <v>7</v>
      </c>
      <c r="G238" s="77" t="s">
        <v>28</v>
      </c>
      <c r="H238" s="74">
        <f>AH286</f>
        <v>2337.1111111111113</v>
      </c>
      <c r="I238" s="74">
        <f t="shared" si="189"/>
        <v>16359.777777777779</v>
      </c>
      <c r="J238" s="74">
        <v>1200</v>
      </c>
      <c r="K238" s="74">
        <f t="shared" si="190"/>
        <v>8400</v>
      </c>
      <c r="L238" s="72">
        <f t="shared" si="191"/>
        <v>24759.777777777781</v>
      </c>
      <c r="M238" s="74">
        <f t="shared" si="180"/>
        <v>3254.5480955065977</v>
      </c>
      <c r="N238" s="74">
        <f t="shared" si="181"/>
        <v>1671.0620629205696</v>
      </c>
      <c r="O238" s="72">
        <f t="shared" si="182"/>
        <v>4925.6101584271673</v>
      </c>
      <c r="P238" s="205">
        <f t="shared" si="183"/>
        <v>34479.271108990171</v>
      </c>
      <c r="Q238" s="272">
        <f t="shared" si="172"/>
        <v>34479.271108990171</v>
      </c>
      <c r="R238" s="439">
        <f t="shared" si="184"/>
        <v>0</v>
      </c>
      <c r="T238" s="224"/>
      <c r="V238" s="287"/>
      <c r="W238" s="805" t="s">
        <v>10</v>
      </c>
      <c r="X238" s="835"/>
      <c r="Y238" s="835"/>
      <c r="Z238" s="835"/>
      <c r="AA238" s="743" t="s">
        <v>387</v>
      </c>
      <c r="AB238" s="744">
        <f>AL243</f>
        <v>1.29</v>
      </c>
      <c r="AC238" s="683" t="s">
        <v>383</v>
      </c>
      <c r="AD238" s="741" t="s">
        <v>384</v>
      </c>
      <c r="AE238" s="745">
        <v>400</v>
      </c>
      <c r="AF238" s="683" t="s">
        <v>385</v>
      </c>
      <c r="AG238" s="684" t="s">
        <v>384</v>
      </c>
      <c r="AH238" s="742">
        <f t="shared" ref="AH238:AH241" si="192">AB238*AE238</f>
        <v>516</v>
      </c>
      <c r="AI238" s="686"/>
      <c r="AJ238" s="687">
        <v>0.2</v>
      </c>
      <c r="AK238" s="687">
        <v>1.8</v>
      </c>
      <c r="AL238" s="687">
        <f>AJ238*AK238</f>
        <v>0.36000000000000004</v>
      </c>
      <c r="AM238" s="688">
        <f>AJ238+AK238</f>
        <v>2</v>
      </c>
      <c r="AN238" s="687"/>
      <c r="AO238" s="687">
        <v>0.2</v>
      </c>
    </row>
    <row r="239" spans="1:51" s="273" customFormat="1" x14ac:dyDescent="0.25">
      <c r="A239" s="350"/>
      <c r="B239" s="317"/>
      <c r="C239" s="318">
        <v>5</v>
      </c>
      <c r="D239" s="83" t="s">
        <v>519</v>
      </c>
      <c r="E239" s="242">
        <v>2</v>
      </c>
      <c r="F239" s="242">
        <v>2</v>
      </c>
      <c r="G239" s="77" t="s">
        <v>283</v>
      </c>
      <c r="H239" s="74">
        <v>3000</v>
      </c>
      <c r="I239" s="74">
        <f t="shared" si="189"/>
        <v>6000</v>
      </c>
      <c r="J239" s="74">
        <f>350+100</f>
        <v>450</v>
      </c>
      <c r="K239" s="74">
        <f t="shared" si="190"/>
        <v>900</v>
      </c>
      <c r="L239" s="72">
        <f t="shared" si="191"/>
        <v>6900</v>
      </c>
      <c r="M239" s="74">
        <f t="shared" si="180"/>
        <v>4177.6551573014231</v>
      </c>
      <c r="N239" s="74">
        <f t="shared" si="181"/>
        <v>626.64827359521348</v>
      </c>
      <c r="O239" s="72">
        <f t="shared" si="182"/>
        <v>4804.3034308966362</v>
      </c>
      <c r="P239" s="205">
        <f t="shared" si="183"/>
        <v>9608.6068617932724</v>
      </c>
      <c r="Q239" s="272">
        <f t="shared" si="172"/>
        <v>9608.6068617932742</v>
      </c>
      <c r="R239" s="439">
        <f t="shared" si="184"/>
        <v>0</v>
      </c>
      <c r="T239" s="224"/>
      <c r="V239" s="287"/>
      <c r="W239" s="805"/>
      <c r="X239" s="835"/>
      <c r="Y239" s="835"/>
      <c r="Z239" s="835"/>
      <c r="AA239" s="743" t="s">
        <v>388</v>
      </c>
      <c r="AB239" s="744">
        <f>AM243</f>
        <v>6.25</v>
      </c>
      <c r="AC239" s="683" t="s">
        <v>383</v>
      </c>
      <c r="AD239" s="741"/>
      <c r="AE239" s="745">
        <v>100</v>
      </c>
      <c r="AF239" s="683" t="s">
        <v>385</v>
      </c>
      <c r="AG239" s="684"/>
      <c r="AH239" s="742">
        <f t="shared" si="192"/>
        <v>625</v>
      </c>
      <c r="AI239" s="686"/>
      <c r="AJ239" s="687"/>
      <c r="AK239" s="687"/>
      <c r="AL239" s="687"/>
      <c r="AM239" s="688"/>
      <c r="AN239" s="687"/>
      <c r="AO239" s="687"/>
    </row>
    <row r="240" spans="1:51" s="273" customFormat="1" x14ac:dyDescent="0.25">
      <c r="A240" s="350"/>
      <c r="B240" s="317"/>
      <c r="C240" s="318">
        <v>6</v>
      </c>
      <c r="D240" s="83" t="s">
        <v>520</v>
      </c>
      <c r="E240" s="242">
        <v>2</v>
      </c>
      <c r="F240" s="242">
        <v>2</v>
      </c>
      <c r="G240" s="77" t="s">
        <v>283</v>
      </c>
      <c r="H240" s="74">
        <v>3500</v>
      </c>
      <c r="I240" s="74">
        <f t="shared" si="189"/>
        <v>7000</v>
      </c>
      <c r="J240" s="74">
        <f>350+100</f>
        <v>450</v>
      </c>
      <c r="K240" s="74">
        <f t="shared" si="190"/>
        <v>900</v>
      </c>
      <c r="L240" s="72">
        <f t="shared" si="191"/>
        <v>7900</v>
      </c>
      <c r="M240" s="74">
        <f t="shared" si="180"/>
        <v>4873.9310168516604</v>
      </c>
      <c r="N240" s="74">
        <f t="shared" si="181"/>
        <v>626.64827359521348</v>
      </c>
      <c r="O240" s="72">
        <f t="shared" si="182"/>
        <v>5500.5792904468735</v>
      </c>
      <c r="P240" s="205">
        <f t="shared" si="183"/>
        <v>11001.158580893747</v>
      </c>
      <c r="Q240" s="272">
        <f t="shared" si="172"/>
        <v>11001.158580893749</v>
      </c>
      <c r="R240" s="439">
        <f t="shared" si="184"/>
        <v>0</v>
      </c>
      <c r="T240" s="224"/>
      <c r="V240" s="287"/>
      <c r="W240" s="805"/>
      <c r="X240" s="835"/>
      <c r="Y240" s="835"/>
      <c r="Z240" s="835"/>
      <c r="AA240" s="743" t="s">
        <v>389</v>
      </c>
      <c r="AB240" s="744">
        <f>AN243</f>
        <v>1.75</v>
      </c>
      <c r="AC240" s="683" t="s">
        <v>100</v>
      </c>
      <c r="AD240" s="741"/>
      <c r="AE240" s="745">
        <v>400</v>
      </c>
      <c r="AF240" s="746" t="s">
        <v>390</v>
      </c>
      <c r="AG240" s="684"/>
      <c r="AH240" s="742">
        <f t="shared" si="192"/>
        <v>700</v>
      </c>
      <c r="AI240" s="686"/>
      <c r="AJ240" s="687"/>
      <c r="AK240" s="687"/>
      <c r="AL240" s="687"/>
      <c r="AM240" s="688"/>
      <c r="AN240" s="687"/>
      <c r="AO240" s="687"/>
    </row>
    <row r="241" spans="1:51" s="273" customFormat="1" x14ac:dyDescent="0.25">
      <c r="A241" s="350"/>
      <c r="B241" s="317"/>
      <c r="C241" s="318">
        <v>7</v>
      </c>
      <c r="D241" s="83" t="s">
        <v>360</v>
      </c>
      <c r="E241" s="242">
        <f>35.04+6</f>
        <v>41.04</v>
      </c>
      <c r="F241" s="242">
        <v>42</v>
      </c>
      <c r="G241" s="77" t="s">
        <v>100</v>
      </c>
      <c r="H241" s="74">
        <f>(480/2.4)/1.075</f>
        <v>186.04651162790699</v>
      </c>
      <c r="I241" s="74">
        <f t="shared" si="189"/>
        <v>7813.9534883720935</v>
      </c>
      <c r="J241" s="74">
        <f>65+100</f>
        <v>165</v>
      </c>
      <c r="K241" s="74">
        <f t="shared" si="190"/>
        <v>6930</v>
      </c>
      <c r="L241" s="72">
        <f t="shared" si="191"/>
        <v>14743.953488372093</v>
      </c>
      <c r="M241" s="74">
        <f t="shared" si="180"/>
        <v>259.07938960008829</v>
      </c>
      <c r="N241" s="74">
        <f t="shared" si="181"/>
        <v>229.77103365157828</v>
      </c>
      <c r="O241" s="72">
        <f t="shared" si="182"/>
        <v>488.8504232516666</v>
      </c>
      <c r="P241" s="205">
        <f t="shared" si="183"/>
        <v>20531.717776569996</v>
      </c>
      <c r="Q241" s="272">
        <f t="shared" si="172"/>
        <v>20531.717776569996</v>
      </c>
      <c r="R241" s="439">
        <f t="shared" si="184"/>
        <v>0</v>
      </c>
      <c r="T241" s="224"/>
      <c r="V241" s="287"/>
      <c r="W241" s="805"/>
      <c r="X241" s="835"/>
      <c r="Y241" s="835"/>
      <c r="Z241" s="835"/>
      <c r="AA241" s="743" t="s">
        <v>391</v>
      </c>
      <c r="AB241" s="744">
        <f>AO243</f>
        <v>2.5500000000000003</v>
      </c>
      <c r="AC241" s="683" t="s">
        <v>100</v>
      </c>
      <c r="AD241" s="741"/>
      <c r="AE241" s="745">
        <v>400</v>
      </c>
      <c r="AF241" s="746" t="s">
        <v>390</v>
      </c>
      <c r="AG241" s="684"/>
      <c r="AH241" s="742">
        <f t="shared" si="192"/>
        <v>1020.0000000000001</v>
      </c>
      <c r="AI241" s="686"/>
      <c r="AJ241" s="687"/>
      <c r="AK241" s="687"/>
      <c r="AL241" s="687"/>
      <c r="AM241" s="688"/>
      <c r="AN241" s="687"/>
      <c r="AO241" s="687"/>
    </row>
    <row r="242" spans="1:51" s="273" customFormat="1" x14ac:dyDescent="0.25">
      <c r="A242" s="350"/>
      <c r="B242" s="317"/>
      <c r="C242" s="318">
        <v>8</v>
      </c>
      <c r="D242" s="83" t="s">
        <v>411</v>
      </c>
      <c r="E242" s="242">
        <f>0.6*2</f>
        <v>1.2</v>
      </c>
      <c r="F242" s="242">
        <v>2.4</v>
      </c>
      <c r="G242" s="77" t="s">
        <v>100</v>
      </c>
      <c r="H242" s="74">
        <f>1850/1.075</f>
        <v>1720.9302325581396</v>
      </c>
      <c r="I242" s="74">
        <f t="shared" si="189"/>
        <v>4130.2325581395344</v>
      </c>
      <c r="J242" s="74">
        <f>160+100</f>
        <v>260</v>
      </c>
      <c r="K242" s="74">
        <f t="shared" si="190"/>
        <v>624</v>
      </c>
      <c r="L242" s="72">
        <f t="shared" si="191"/>
        <v>4754.2325581395344</v>
      </c>
      <c r="M242" s="74">
        <f t="shared" si="180"/>
        <v>2396.4843538008167</v>
      </c>
      <c r="N242" s="74">
        <f t="shared" si="181"/>
        <v>362.06344696612337</v>
      </c>
      <c r="O242" s="72">
        <f t="shared" si="182"/>
        <v>2758.5478007669399</v>
      </c>
      <c r="P242" s="205">
        <f t="shared" si="183"/>
        <v>6620.5147218406555</v>
      </c>
      <c r="Q242" s="272">
        <f t="shared" si="172"/>
        <v>6620.5147218406555</v>
      </c>
      <c r="R242" s="439">
        <f t="shared" si="184"/>
        <v>0</v>
      </c>
      <c r="T242" s="224"/>
      <c r="V242" s="287"/>
      <c r="W242" s="805"/>
      <c r="X242" s="835"/>
      <c r="Y242" s="835"/>
      <c r="Z242" s="835"/>
      <c r="AA242" s="743" t="s">
        <v>392</v>
      </c>
      <c r="AB242" s="747">
        <v>1</v>
      </c>
      <c r="AC242" s="683" t="s">
        <v>393</v>
      </c>
      <c r="AD242" s="684"/>
      <c r="AE242" s="745">
        <v>500</v>
      </c>
      <c r="AF242" s="746" t="s">
        <v>394</v>
      </c>
      <c r="AG242" s="684"/>
      <c r="AH242" s="748">
        <f>AB242*AE242</f>
        <v>500</v>
      </c>
      <c r="AI242" s="686"/>
      <c r="AJ242" s="687"/>
      <c r="AK242" s="687"/>
      <c r="AL242" s="749"/>
      <c r="AM242" s="749"/>
      <c r="AN242" s="749"/>
      <c r="AO242" s="749"/>
    </row>
    <row r="243" spans="1:51" s="273" customFormat="1" hidden="1" x14ac:dyDescent="0.25">
      <c r="A243" s="350"/>
      <c r="B243" s="317"/>
      <c r="C243" s="318"/>
      <c r="D243" s="83"/>
      <c r="E243" s="242"/>
      <c r="F243" s="242"/>
      <c r="G243" s="77"/>
      <c r="H243" s="74"/>
      <c r="I243" s="74"/>
      <c r="J243" s="74"/>
      <c r="K243" s="74"/>
      <c r="L243" s="72"/>
      <c r="M243" s="74"/>
      <c r="N243" s="74"/>
      <c r="O243" s="72"/>
      <c r="P243" s="205"/>
      <c r="Q243" s="272"/>
      <c r="R243" s="439"/>
      <c r="T243" s="224"/>
      <c r="V243" s="287"/>
      <c r="W243" s="805"/>
      <c r="X243" s="835"/>
      <c r="Y243" s="835"/>
      <c r="Z243" s="835"/>
      <c r="AF243" s="684" t="s">
        <v>395</v>
      </c>
      <c r="AG243" s="684" t="s">
        <v>384</v>
      </c>
      <c r="AH243" s="750">
        <f>SUM(AH238:AH242)</f>
        <v>3361</v>
      </c>
      <c r="AI243" s="686"/>
      <c r="AJ243" s="687"/>
      <c r="AK243" s="687"/>
      <c r="AL243" s="749">
        <f>SUM(AL233:AL238)</f>
        <v>1.29</v>
      </c>
      <c r="AM243" s="749">
        <f>SUM(AM233:AM238)</f>
        <v>6.25</v>
      </c>
      <c r="AN243" s="749">
        <f>SUM(AN233:AN237)</f>
        <v>1.75</v>
      </c>
      <c r="AO243" s="749">
        <f>SUM(AO233:AO238)</f>
        <v>2.5500000000000003</v>
      </c>
    </row>
    <row r="244" spans="1:51" s="273" customFormat="1" ht="15.75" thickBot="1" x14ac:dyDescent="0.3">
      <c r="A244" s="350"/>
      <c r="B244" s="317"/>
      <c r="C244" s="318"/>
      <c r="D244" s="83"/>
      <c r="E244" s="242"/>
      <c r="F244" s="242"/>
      <c r="G244" s="77"/>
      <c r="H244" s="74"/>
      <c r="I244" s="74"/>
      <c r="J244" s="74"/>
      <c r="K244" s="74"/>
      <c r="L244" s="72"/>
      <c r="M244" s="74"/>
      <c r="N244" s="74"/>
      <c r="O244" s="72"/>
      <c r="P244" s="205"/>
      <c r="Q244" s="272">
        <f>L244/$P$264*$P$272</f>
        <v>0</v>
      </c>
      <c r="R244" s="439"/>
      <c r="T244" s="224"/>
      <c r="V244" s="287"/>
      <c r="W244" s="681"/>
      <c r="X244" s="681"/>
      <c r="Y244" s="681"/>
      <c r="Z244" s="681"/>
      <c r="AA244" s="682"/>
      <c r="AB244" s="683"/>
      <c r="AC244" s="683"/>
      <c r="AD244" s="684"/>
      <c r="AE244" s="683"/>
      <c r="AF244" s="684" t="s">
        <v>396</v>
      </c>
      <c r="AG244" s="684" t="s">
        <v>384</v>
      </c>
      <c r="AH244" s="685">
        <f>AH236+AH243</f>
        <v>6921.4</v>
      </c>
      <c r="AI244" s="686"/>
      <c r="AJ244" s="687"/>
      <c r="AK244" s="687"/>
      <c r="AL244" s="687"/>
      <c r="AM244" s="688"/>
      <c r="AN244" s="687"/>
      <c r="AO244" s="687"/>
    </row>
    <row r="245" spans="1:51" s="234" customFormat="1" ht="16.5" thickTop="1" thickBot="1" x14ac:dyDescent="0.3">
      <c r="A245" s="308"/>
      <c r="B245" s="910" t="s">
        <v>348</v>
      </c>
      <c r="C245" s="911"/>
      <c r="D245" s="912"/>
      <c r="E245" s="309"/>
      <c r="F245" s="310"/>
      <c r="G245" s="311"/>
      <c r="H245" s="312"/>
      <c r="I245" s="313">
        <f>SUM(I218:I244)</f>
        <v>181142.57457967679</v>
      </c>
      <c r="J245" s="312"/>
      <c r="K245" s="313">
        <f>SUM(K218:K244)</f>
        <v>107147.499</v>
      </c>
      <c r="L245" s="313">
        <f>SUM(L218:L244)</f>
        <v>288290.0735796768</v>
      </c>
      <c r="M245" s="312"/>
      <c r="N245" s="312"/>
      <c r="O245" s="313"/>
      <c r="P245" s="315">
        <f>SUM(P218:P244)</f>
        <v>401458.83756298124</v>
      </c>
      <c r="Q245" s="272">
        <f>L245/$P$264*$P$272</f>
        <v>401458.83756298124</v>
      </c>
      <c r="R245" s="439">
        <f t="shared" ref="R245" si="193">P245-Q245</f>
        <v>0</v>
      </c>
      <c r="T245" s="443"/>
      <c r="U245" s="275"/>
      <c r="V245" s="402"/>
      <c r="W245" s="375"/>
      <c r="X245" s="375"/>
      <c r="Y245" s="375"/>
      <c r="Z245" s="375"/>
      <c r="AA245" s="376"/>
      <c r="AB245" s="370"/>
      <c r="AC245" s="370"/>
      <c r="AI245" s="386"/>
      <c r="AJ245" s="385"/>
      <c r="AK245" s="385"/>
      <c r="AL245" s="385"/>
      <c r="AM245" s="387"/>
      <c r="AN245" s="385"/>
      <c r="AO245" s="385"/>
      <c r="AP245" s="282"/>
      <c r="AR245" s="354"/>
      <c r="AS245" s="354"/>
      <c r="AT245" s="354"/>
      <c r="AU245" s="354"/>
      <c r="AV245" s="354"/>
      <c r="AW245" s="817"/>
      <c r="AX245" s="817"/>
      <c r="AY245" s="817"/>
    </row>
    <row r="246" spans="1:51" s="1" customFormat="1" x14ac:dyDescent="0.25">
      <c r="A246" s="500"/>
      <c r="B246" s="501"/>
      <c r="C246" s="293"/>
      <c r="D246" s="502"/>
      <c r="E246" s="503"/>
      <c r="F246" s="504"/>
      <c r="G246" s="504"/>
      <c r="H246" s="504"/>
      <c r="I246" s="504"/>
      <c r="J246" s="504"/>
      <c r="K246" s="504"/>
      <c r="L246" s="504"/>
      <c r="M246" s="504"/>
      <c r="N246" s="504"/>
      <c r="O246" s="504"/>
      <c r="P246" s="505"/>
      <c r="Q246" s="272"/>
      <c r="R246" s="439"/>
      <c r="V246" s="211"/>
      <c r="W246" s="506"/>
      <c r="X246" s="506"/>
      <c r="Y246" s="506"/>
      <c r="Z246" s="506"/>
      <c r="AA246" s="507"/>
      <c r="AB246" s="508"/>
      <c r="AC246" s="508"/>
      <c r="AD246" s="509"/>
      <c r="AE246" s="508"/>
      <c r="AF246" s="510"/>
      <c r="AG246" s="510"/>
      <c r="AH246" s="511"/>
      <c r="AI246" s="508"/>
      <c r="AJ246" s="512"/>
      <c r="AK246" s="512"/>
      <c r="AL246" s="512"/>
      <c r="AM246" s="512"/>
      <c r="AN246" s="512"/>
      <c r="AO246" s="512"/>
    </row>
    <row r="247" spans="1:51" s="287" customFormat="1" ht="20.25" customHeight="1" thickBot="1" x14ac:dyDescent="0.3">
      <c r="A247" s="329"/>
      <c r="B247" s="901" t="s">
        <v>347</v>
      </c>
      <c r="C247" s="902"/>
      <c r="D247" s="903"/>
      <c r="E247" s="330"/>
      <c r="F247" s="331"/>
      <c r="G247" s="332"/>
      <c r="H247" s="795"/>
      <c r="I247" s="795">
        <f>I245+I217+I155+I35</f>
        <v>5309806.7462022593</v>
      </c>
      <c r="J247" s="795"/>
      <c r="K247" s="795">
        <f>K245+K217+K155+K35</f>
        <v>1843692.8642372577</v>
      </c>
      <c r="L247" s="795">
        <f>L245+L217+L155+L35</f>
        <v>7153499.6104395175</v>
      </c>
      <c r="M247" s="922">
        <f>P245+P217+P155+P35</f>
        <v>9860000.0173042677</v>
      </c>
      <c r="N247" s="922"/>
      <c r="O247" s="922"/>
      <c r="P247" s="923"/>
      <c r="Q247" s="272">
        <f t="shared" ref="Q247" si="194">L247/$P$264*$P$272</f>
        <v>9961618.1801021248</v>
      </c>
      <c r="R247" s="439">
        <f>M247-Q247</f>
        <v>-101618.16279785708</v>
      </c>
      <c r="T247" s="443"/>
      <c r="V247" s="446"/>
      <c r="W247" s="447"/>
      <c r="X247" s="447"/>
      <c r="Y247" s="447"/>
      <c r="Z247" s="447"/>
      <c r="AA247" s="448"/>
      <c r="AB247" s="448"/>
      <c r="AC247" s="448"/>
      <c r="AD247" s="448"/>
      <c r="AE247" s="448"/>
      <c r="AF247" s="448"/>
      <c r="AG247" s="448"/>
      <c r="AH247" s="448"/>
      <c r="AI247" s="449"/>
      <c r="AJ247" s="449"/>
      <c r="AK247" s="450"/>
      <c r="AL247" s="451"/>
      <c r="AM247" s="450"/>
      <c r="AN247" s="451"/>
      <c r="AO247" s="451"/>
    </row>
    <row r="248" spans="1:51" s="528" customFormat="1" x14ac:dyDescent="0.25">
      <c r="A248" s="521"/>
      <c r="B248" s="526"/>
      <c r="C248" s="527"/>
      <c r="E248" s="529"/>
      <c r="F248" s="530"/>
      <c r="G248" s="521"/>
      <c r="H248" s="522"/>
      <c r="I248" s="522"/>
      <c r="J248" s="522"/>
      <c r="K248" s="522"/>
      <c r="L248" s="522"/>
      <c r="M248" s="523"/>
      <c r="N248" s="523"/>
      <c r="O248" s="523"/>
      <c r="P248" s="523"/>
      <c r="Q248" s="523"/>
      <c r="R248" s="523"/>
      <c r="T248" s="523"/>
      <c r="V248" s="531"/>
      <c r="W248" s="798" t="s">
        <v>4</v>
      </c>
      <c r="X248" s="828"/>
      <c r="Y248" s="828"/>
      <c r="Z248" s="828"/>
      <c r="AA248" s="798" t="s">
        <v>7</v>
      </c>
      <c r="AB248" s="798" t="s">
        <v>6</v>
      </c>
      <c r="AC248" s="798" t="s">
        <v>5</v>
      </c>
      <c r="AD248" s="896" t="s">
        <v>380</v>
      </c>
      <c r="AE248" s="896"/>
      <c r="AF248" s="896"/>
      <c r="AG248" s="896" t="s">
        <v>381</v>
      </c>
      <c r="AH248" s="896"/>
      <c r="AI248" s="453"/>
      <c r="AJ248" s="454"/>
      <c r="AK248" s="454"/>
      <c r="AL248" s="454"/>
      <c r="AM248" s="454"/>
      <c r="AN248" s="454" t="s">
        <v>397</v>
      </c>
      <c r="AO248" s="454" t="s">
        <v>398</v>
      </c>
    </row>
    <row r="249" spans="1:51" s="528" customFormat="1" x14ac:dyDescent="0.25">
      <c r="A249" s="521"/>
      <c r="B249" s="526"/>
      <c r="C249" s="527"/>
      <c r="E249" s="529"/>
      <c r="F249" s="530"/>
      <c r="G249" s="521"/>
      <c r="H249" s="522"/>
      <c r="I249" s="522"/>
      <c r="J249" s="522"/>
      <c r="K249" s="522"/>
      <c r="L249" s="522"/>
      <c r="M249" s="523"/>
      <c r="N249" s="523"/>
      <c r="O249" s="523"/>
      <c r="P249" s="523"/>
      <c r="Q249" s="523"/>
      <c r="R249" s="523"/>
      <c r="T249" s="523"/>
      <c r="V249" s="531"/>
      <c r="W249" s="455" t="s">
        <v>401</v>
      </c>
      <c r="X249" s="455"/>
      <c r="Y249" s="455"/>
      <c r="Z249" s="455"/>
      <c r="AA249" s="798"/>
      <c r="AB249" s="798"/>
      <c r="AC249" s="798"/>
      <c r="AD249" s="798"/>
      <c r="AE249" s="798"/>
      <c r="AF249" s="798"/>
      <c r="AG249" s="798"/>
      <c r="AH249" s="798"/>
      <c r="AI249" s="456"/>
      <c r="AJ249" s="456">
        <v>0.6</v>
      </c>
      <c r="AK249" s="457">
        <v>2.25</v>
      </c>
      <c r="AL249" s="454">
        <f>AJ249*AK249</f>
        <v>1.3499999999999999</v>
      </c>
      <c r="AM249" s="457">
        <f>AJ249+AK249</f>
        <v>2.85</v>
      </c>
      <c r="AN249" s="454">
        <v>0.6</v>
      </c>
      <c r="AO249" s="454">
        <v>0.1</v>
      </c>
    </row>
    <row r="250" spans="1:51" s="528" customFormat="1" x14ac:dyDescent="0.25">
      <c r="A250" s="521"/>
      <c r="B250" s="526"/>
      <c r="C250" s="527"/>
      <c r="E250" s="529"/>
      <c r="F250" s="530"/>
      <c r="G250" s="518"/>
      <c r="H250" s="519"/>
      <c r="I250" s="519"/>
      <c r="J250" s="519"/>
      <c r="K250" s="519"/>
      <c r="L250" s="519"/>
      <c r="M250" s="520"/>
      <c r="N250" s="520"/>
      <c r="O250" s="520"/>
      <c r="P250" s="520"/>
      <c r="Q250" s="520"/>
      <c r="R250" s="520"/>
      <c r="T250" s="523"/>
      <c r="V250" s="531"/>
      <c r="W250" s="798" t="s">
        <v>9</v>
      </c>
      <c r="X250" s="828"/>
      <c r="Y250" s="828"/>
      <c r="Z250" s="828"/>
      <c r="AA250" s="798" t="s">
        <v>382</v>
      </c>
      <c r="AB250" s="458">
        <f>+AB253*1.2</f>
        <v>2.2094999999999998</v>
      </c>
      <c r="AC250" s="459" t="s">
        <v>383</v>
      </c>
      <c r="AD250" s="460" t="s">
        <v>384</v>
      </c>
      <c r="AE250" s="461">
        <v>2300</v>
      </c>
      <c r="AF250" s="459" t="s">
        <v>385</v>
      </c>
      <c r="AG250" s="462" t="s">
        <v>384</v>
      </c>
      <c r="AH250" s="463">
        <f>AB250*AE250</f>
        <v>5081.8499999999995</v>
      </c>
      <c r="AI250" s="456"/>
      <c r="AJ250" s="454">
        <v>0.1</v>
      </c>
      <c r="AK250" s="454">
        <v>2.25</v>
      </c>
      <c r="AL250" s="454">
        <f>AJ250*AK250</f>
        <v>0.22500000000000001</v>
      </c>
      <c r="AM250" s="457">
        <f t="shared" ref="AM250" si="195">AJ250+AK250</f>
        <v>2.35</v>
      </c>
      <c r="AN250" s="454">
        <v>2.25</v>
      </c>
      <c r="AO250" s="454">
        <v>0.6</v>
      </c>
    </row>
    <row r="251" spans="1:51" s="528" customFormat="1" x14ac:dyDescent="0.25">
      <c r="A251" s="521"/>
      <c r="B251" s="526"/>
      <c r="C251" s="527"/>
      <c r="E251" s="529"/>
      <c r="F251" s="530"/>
      <c r="G251" s="518"/>
      <c r="H251" s="519"/>
      <c r="Q251" s="520"/>
      <c r="R251" s="520"/>
      <c r="T251" s="523"/>
      <c r="V251" s="531"/>
      <c r="W251" s="464"/>
      <c r="X251" s="464"/>
      <c r="Y251" s="464"/>
      <c r="Z251" s="464"/>
      <c r="AA251" s="465"/>
      <c r="AB251" s="459"/>
      <c r="AC251" s="459"/>
      <c r="AD251" s="460"/>
      <c r="AE251" s="459"/>
      <c r="AF251" s="462" t="s">
        <v>386</v>
      </c>
      <c r="AG251" s="462" t="s">
        <v>384</v>
      </c>
      <c r="AH251" s="466">
        <f>SUM(AH250:AH250)</f>
        <v>5081.8499999999995</v>
      </c>
      <c r="AI251" s="456"/>
      <c r="AJ251" s="454">
        <v>0.1</v>
      </c>
      <c r="AK251" s="454">
        <v>0.6</v>
      </c>
      <c r="AL251" s="454">
        <f>AJ251*AK251</f>
        <v>0.06</v>
      </c>
      <c r="AM251" s="457">
        <f>AJ251+AK251</f>
        <v>0.7</v>
      </c>
      <c r="AN251" s="454">
        <v>0.1</v>
      </c>
      <c r="AO251" s="454">
        <v>2.25</v>
      </c>
    </row>
    <row r="252" spans="1:51" s="528" customFormat="1" ht="15.75" x14ac:dyDescent="0.25">
      <c r="A252" s="532" t="s">
        <v>18</v>
      </c>
      <c r="B252" s="533"/>
      <c r="C252" s="534"/>
      <c r="D252" s="535"/>
      <c r="E252" s="529"/>
      <c r="F252" s="530"/>
      <c r="G252" s="521"/>
      <c r="H252" s="522"/>
      <c r="Q252" s="523"/>
      <c r="R252" s="520"/>
      <c r="T252" s="523"/>
      <c r="V252" s="531"/>
      <c r="W252" s="464"/>
      <c r="X252" s="464"/>
      <c r="Y252" s="464"/>
      <c r="Z252" s="464"/>
      <c r="AA252" s="465"/>
      <c r="AB252" s="459"/>
      <c r="AC252" s="459"/>
      <c r="AD252" s="460"/>
      <c r="AE252" s="459"/>
      <c r="AF252" s="462"/>
      <c r="AG252" s="462"/>
      <c r="AH252" s="467"/>
      <c r="AI252" s="456"/>
      <c r="AJ252" s="454">
        <v>0.1</v>
      </c>
      <c r="AK252" s="454">
        <v>0.6</v>
      </c>
      <c r="AL252" s="454">
        <f>AJ252*AK252</f>
        <v>0.06</v>
      </c>
      <c r="AM252" s="457">
        <f>AJ252+AK252</f>
        <v>0.7</v>
      </c>
      <c r="AN252" s="454"/>
      <c r="AO252" s="454">
        <v>0.6</v>
      </c>
    </row>
    <row r="253" spans="1:51" s="522" customFormat="1" ht="15.75" x14ac:dyDescent="0.25">
      <c r="A253" s="536"/>
      <c r="B253" s="533"/>
      <c r="C253" s="534"/>
      <c r="D253" s="537"/>
      <c r="R253" s="519"/>
      <c r="V253" s="538"/>
      <c r="W253" s="798" t="s">
        <v>10</v>
      </c>
      <c r="X253" s="828"/>
      <c r="Y253" s="828"/>
      <c r="Z253" s="828"/>
      <c r="AA253" s="469" t="s">
        <v>387</v>
      </c>
      <c r="AB253" s="470">
        <f>AL257</f>
        <v>1.8412500000000001</v>
      </c>
      <c r="AC253" s="459" t="s">
        <v>383</v>
      </c>
      <c r="AD253" s="460" t="s">
        <v>384</v>
      </c>
      <c r="AE253" s="461">
        <v>400</v>
      </c>
      <c r="AF253" s="459" t="s">
        <v>385</v>
      </c>
      <c r="AG253" s="462" t="s">
        <v>384</v>
      </c>
      <c r="AH253" s="467">
        <f t="shared" ref="AH253:AH257" si="196">AB253*AE253</f>
        <v>736.5</v>
      </c>
      <c r="AI253" s="456"/>
      <c r="AJ253" s="454">
        <v>6.5000000000000002E-2</v>
      </c>
      <c r="AK253" s="454">
        <v>2.25</v>
      </c>
      <c r="AL253" s="454">
        <f>AJ253*AK253</f>
        <v>0.14624999999999999</v>
      </c>
      <c r="AM253" s="457">
        <f>AJ253+AK253</f>
        <v>2.3149999999999999</v>
      </c>
      <c r="AN253" s="454"/>
      <c r="AO253" s="454">
        <v>0.1</v>
      </c>
    </row>
    <row r="254" spans="1:51" s="522" customFormat="1" ht="15.75" x14ac:dyDescent="0.25">
      <c r="A254" s="532" t="s">
        <v>19</v>
      </c>
      <c r="B254" s="533"/>
      <c r="C254" s="534"/>
      <c r="D254" s="535"/>
      <c r="R254" s="519"/>
      <c r="V254" s="538"/>
      <c r="W254" s="798"/>
      <c r="X254" s="828"/>
      <c r="Y254" s="828"/>
      <c r="Z254" s="828"/>
      <c r="AA254" s="469" t="s">
        <v>388</v>
      </c>
      <c r="AB254" s="470">
        <f>AM257</f>
        <v>8.9150000000000009</v>
      </c>
      <c r="AC254" s="459" t="s">
        <v>383</v>
      </c>
      <c r="AD254" s="460"/>
      <c r="AE254" s="461">
        <v>100</v>
      </c>
      <c r="AF254" s="459" t="s">
        <v>385</v>
      </c>
      <c r="AG254" s="462"/>
      <c r="AH254" s="467">
        <f t="shared" si="196"/>
        <v>891.50000000000011</v>
      </c>
      <c r="AI254" s="456"/>
      <c r="AJ254" s="454"/>
      <c r="AK254" s="454"/>
      <c r="AL254" s="454"/>
      <c r="AM254" s="457"/>
      <c r="AN254" s="454"/>
      <c r="AO254" s="454"/>
    </row>
    <row r="255" spans="1:51" s="522" customFormat="1" ht="15.75" x14ac:dyDescent="0.25">
      <c r="A255" s="536"/>
      <c r="B255" s="533"/>
      <c r="C255" s="534"/>
      <c r="D255" s="535"/>
      <c r="R255" s="519"/>
      <c r="V255" s="538"/>
      <c r="W255" s="798"/>
      <c r="X255" s="828"/>
      <c r="Y255" s="828"/>
      <c r="Z255" s="828"/>
      <c r="AA255" s="469" t="s">
        <v>389</v>
      </c>
      <c r="AB255" s="470">
        <f>AN257</f>
        <v>2.95</v>
      </c>
      <c r="AC255" s="459" t="s">
        <v>100</v>
      </c>
      <c r="AD255" s="460"/>
      <c r="AE255" s="461">
        <v>400</v>
      </c>
      <c r="AF255" s="471" t="s">
        <v>390</v>
      </c>
      <c r="AG255" s="462"/>
      <c r="AH255" s="467">
        <f t="shared" si="196"/>
        <v>1180</v>
      </c>
      <c r="AI255" s="456"/>
      <c r="AJ255" s="454"/>
      <c r="AK255" s="454"/>
      <c r="AL255" s="454"/>
      <c r="AM255" s="457"/>
      <c r="AN255" s="454"/>
      <c r="AO255" s="454"/>
    </row>
    <row r="256" spans="1:51" s="522" customFormat="1" ht="15.75" x14ac:dyDescent="0.25">
      <c r="A256" s="536"/>
      <c r="B256" s="533"/>
      <c r="C256" s="534"/>
      <c r="D256" s="535"/>
      <c r="R256" s="519"/>
      <c r="V256" s="538"/>
      <c r="W256" s="798"/>
      <c r="X256" s="828"/>
      <c r="Y256" s="828"/>
      <c r="Z256" s="828"/>
      <c r="AA256" s="469" t="s">
        <v>391</v>
      </c>
      <c r="AB256" s="470">
        <f>AO257</f>
        <v>3.6500000000000004</v>
      </c>
      <c r="AC256" s="459" t="s">
        <v>100</v>
      </c>
      <c r="AD256" s="460"/>
      <c r="AE256" s="461">
        <v>400</v>
      </c>
      <c r="AF256" s="471" t="s">
        <v>390</v>
      </c>
      <c r="AG256" s="462"/>
      <c r="AH256" s="467">
        <f t="shared" si="196"/>
        <v>1460.0000000000002</v>
      </c>
      <c r="AI256" s="456"/>
      <c r="AJ256" s="454"/>
      <c r="AK256" s="454"/>
      <c r="AL256" s="454"/>
      <c r="AM256" s="457"/>
      <c r="AN256" s="454"/>
      <c r="AO256" s="454"/>
    </row>
    <row r="257" spans="1:41" s="522" customFormat="1" ht="15.75" x14ac:dyDescent="0.25">
      <c r="A257" s="532" t="s">
        <v>20</v>
      </c>
      <c r="B257" s="533"/>
      <c r="C257" s="534"/>
      <c r="D257" s="535"/>
      <c r="R257" s="519"/>
      <c r="V257" s="538"/>
      <c r="W257" s="798"/>
      <c r="X257" s="828"/>
      <c r="Y257" s="828"/>
      <c r="Z257" s="828"/>
      <c r="AA257" s="469" t="s">
        <v>392</v>
      </c>
      <c r="AB257" s="472">
        <v>1</v>
      </c>
      <c r="AC257" s="459" t="s">
        <v>393</v>
      </c>
      <c r="AD257" s="462"/>
      <c r="AE257" s="461">
        <v>500</v>
      </c>
      <c r="AF257" s="471" t="s">
        <v>394</v>
      </c>
      <c r="AG257" s="462"/>
      <c r="AH257" s="463">
        <f t="shared" si="196"/>
        <v>500</v>
      </c>
      <c r="AI257" s="456"/>
      <c r="AJ257" s="454"/>
      <c r="AK257" s="454"/>
      <c r="AL257" s="473">
        <f>SUM(AL249:AL253)</f>
        <v>1.8412500000000001</v>
      </c>
      <c r="AM257" s="473">
        <f>SUM(AM249:AM253)</f>
        <v>8.9150000000000009</v>
      </c>
      <c r="AN257" s="473">
        <f>SUM(AN249:AN252)</f>
        <v>2.95</v>
      </c>
      <c r="AO257" s="473">
        <f>SUM(AO249:AO253)</f>
        <v>3.6500000000000004</v>
      </c>
    </row>
    <row r="258" spans="1:41" s="522" customFormat="1" ht="15.75" x14ac:dyDescent="0.25">
      <c r="A258" s="532" t="s">
        <v>349</v>
      </c>
      <c r="B258" s="533"/>
      <c r="C258" s="534"/>
      <c r="D258" s="535"/>
      <c r="R258" s="519"/>
      <c r="V258" s="538"/>
      <c r="W258" s="464"/>
      <c r="X258" s="464"/>
      <c r="Y258" s="464"/>
      <c r="Z258" s="464"/>
      <c r="AA258" s="465"/>
      <c r="AB258" s="459"/>
      <c r="AC258" s="459"/>
      <c r="AD258" s="462"/>
      <c r="AE258" s="459"/>
      <c r="AF258" s="462" t="s">
        <v>395</v>
      </c>
      <c r="AG258" s="462" t="s">
        <v>384</v>
      </c>
      <c r="AH258" s="466">
        <f>SUM(AH253:AH257)</f>
        <v>4768</v>
      </c>
      <c r="AI258" s="456"/>
      <c r="AJ258" s="454"/>
      <c r="AK258" s="454"/>
      <c r="AL258" s="454"/>
      <c r="AM258" s="457"/>
      <c r="AN258" s="454"/>
      <c r="AO258" s="454"/>
    </row>
    <row r="259" spans="1:41" s="528" customFormat="1" ht="15.75" thickBot="1" x14ac:dyDescent="0.3">
      <c r="A259" s="521"/>
      <c r="B259" s="526"/>
      <c r="C259" s="527"/>
      <c r="E259" s="529"/>
      <c r="F259" s="530"/>
      <c r="G259" s="541"/>
      <c r="H259" s="542"/>
      <c r="Q259" s="523"/>
      <c r="R259" s="520"/>
      <c r="T259" s="523"/>
      <c r="V259" s="531"/>
      <c r="W259" s="464"/>
      <c r="X259" s="464"/>
      <c r="Y259" s="464"/>
      <c r="Z259" s="464"/>
      <c r="AA259" s="465"/>
      <c r="AB259" s="459"/>
      <c r="AC259" s="459"/>
      <c r="AD259" s="462"/>
      <c r="AE259" s="459"/>
      <c r="AF259" s="462" t="s">
        <v>396</v>
      </c>
      <c r="AG259" s="462" t="s">
        <v>384</v>
      </c>
      <c r="AH259" s="474">
        <f>AH251+AH258</f>
        <v>9849.8499999999985</v>
      </c>
      <c r="AI259" s="456"/>
      <c r="AJ259" s="454"/>
      <c r="AK259" s="454"/>
      <c r="AL259" s="454"/>
      <c r="AM259" s="457"/>
      <c r="AN259" s="454"/>
      <c r="AO259" s="454"/>
    </row>
    <row r="260" spans="1:41" s="528" customFormat="1" ht="16.5" thickTop="1" x14ac:dyDescent="0.25">
      <c r="A260" s="521"/>
      <c r="B260" s="526"/>
      <c r="C260" s="527"/>
      <c r="E260" s="529"/>
      <c r="F260" s="530"/>
      <c r="G260" s="541"/>
      <c r="H260" s="542"/>
      <c r="I260" s="542"/>
      <c r="J260" s="802"/>
      <c r="K260" s="802"/>
      <c r="L260" s="429"/>
      <c r="M260" s="428"/>
      <c r="N260" s="426"/>
      <c r="O260" s="422"/>
      <c r="P260" s="422"/>
      <c r="Q260" s="523"/>
      <c r="R260" s="520"/>
      <c r="T260" s="523"/>
      <c r="V260" s="531"/>
      <c r="W260" s="464"/>
      <c r="X260" s="464"/>
      <c r="Y260" s="464"/>
      <c r="Z260" s="464"/>
      <c r="AA260" s="465"/>
      <c r="AB260" s="459"/>
      <c r="AC260" s="459"/>
      <c r="AD260" s="462"/>
      <c r="AE260" s="459"/>
      <c r="AF260" s="462"/>
      <c r="AG260" s="462"/>
      <c r="AH260" s="467"/>
      <c r="AI260" s="456"/>
      <c r="AJ260" s="454"/>
      <c r="AK260" s="454"/>
      <c r="AL260" s="454"/>
      <c r="AM260" s="457"/>
      <c r="AN260" s="454"/>
      <c r="AO260" s="454"/>
    </row>
    <row r="261" spans="1:41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42"/>
      <c r="J261" s="802"/>
      <c r="K261" s="802"/>
      <c r="L261" s="429"/>
      <c r="M261" s="428"/>
      <c r="N261" s="426"/>
      <c r="O261" s="422"/>
      <c r="P261" s="422"/>
      <c r="Q261" s="523"/>
      <c r="R261" s="520"/>
      <c r="T261" s="523"/>
      <c r="V261" s="531"/>
      <c r="W261" s="464"/>
      <c r="X261" s="464"/>
      <c r="Y261" s="464"/>
      <c r="Z261" s="464"/>
      <c r="AA261" s="465"/>
      <c r="AB261" s="459"/>
      <c r="AC261" s="459"/>
      <c r="AD261" s="462"/>
      <c r="AE261" s="459"/>
      <c r="AF261" s="462"/>
      <c r="AG261" s="462"/>
      <c r="AH261" s="467"/>
      <c r="AI261" s="456"/>
      <c r="AJ261" s="454"/>
      <c r="AK261" s="454"/>
      <c r="AL261" s="454"/>
      <c r="AM261" s="457"/>
      <c r="AN261" s="454"/>
      <c r="AO261" s="454"/>
    </row>
    <row r="262" spans="1:41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42"/>
      <c r="J262" s="802"/>
      <c r="K262" s="802"/>
      <c r="L262" s="429"/>
      <c r="M262" s="428"/>
      <c r="N262" s="426"/>
      <c r="O262" s="422"/>
      <c r="P262" s="422"/>
      <c r="Q262" s="523"/>
      <c r="R262" s="520"/>
      <c r="T262" s="523"/>
      <c r="V262" s="531"/>
      <c r="W262" s="798" t="s">
        <v>4</v>
      </c>
      <c r="X262" s="828"/>
      <c r="Y262" s="828"/>
      <c r="Z262" s="828"/>
      <c r="AA262" s="798" t="s">
        <v>7</v>
      </c>
      <c r="AB262" s="798" t="s">
        <v>6</v>
      </c>
      <c r="AC262" s="798" t="s">
        <v>5</v>
      </c>
      <c r="AD262" s="896" t="s">
        <v>380</v>
      </c>
      <c r="AE262" s="896"/>
      <c r="AF262" s="896"/>
      <c r="AG262" s="896" t="s">
        <v>381</v>
      </c>
      <c r="AH262" s="896"/>
      <c r="AI262" s="453"/>
      <c r="AJ262" s="454"/>
      <c r="AK262" s="454"/>
      <c r="AL262" s="454"/>
      <c r="AM262" s="454"/>
      <c r="AN262" s="454" t="s">
        <v>397</v>
      </c>
      <c r="AO262" s="454" t="s">
        <v>398</v>
      </c>
    </row>
    <row r="263" spans="1:41" s="528" customFormat="1" x14ac:dyDescent="0.25">
      <c r="A263" s="19"/>
      <c r="B263" s="526"/>
      <c r="C263" s="527"/>
      <c r="E263" s="529"/>
      <c r="F263" s="530"/>
      <c r="G263" s="541"/>
      <c r="H263" s="542"/>
      <c r="I263" s="519"/>
      <c r="J263" s="519"/>
      <c r="K263" s="519"/>
      <c r="L263" s="519"/>
      <c r="M263" s="520"/>
      <c r="N263" s="520"/>
      <c r="O263" s="520"/>
      <c r="P263" s="520"/>
      <c r="Q263" s="523"/>
      <c r="R263" s="523"/>
      <c r="T263" s="523"/>
      <c r="V263" s="531"/>
      <c r="W263" s="455" t="s">
        <v>402</v>
      </c>
      <c r="X263" s="455"/>
      <c r="Y263" s="455"/>
      <c r="Z263" s="455"/>
      <c r="AA263" s="798"/>
      <c r="AB263" s="798"/>
      <c r="AC263" s="798"/>
      <c r="AD263" s="798"/>
      <c r="AE263" s="798"/>
      <c r="AF263" s="798"/>
      <c r="AG263" s="798"/>
      <c r="AH263" s="798"/>
      <c r="AI263" s="456"/>
      <c r="AJ263" s="456">
        <v>0.6</v>
      </c>
      <c r="AK263" s="457">
        <v>3.2</v>
      </c>
      <c r="AL263" s="454">
        <f>AJ263*AK263</f>
        <v>1.92</v>
      </c>
      <c r="AM263" s="457">
        <f>AJ263+AK263</f>
        <v>3.8000000000000003</v>
      </c>
      <c r="AN263" s="454">
        <v>0.6</v>
      </c>
      <c r="AO263" s="454">
        <v>0.1</v>
      </c>
    </row>
    <row r="264" spans="1:41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22"/>
      <c r="J264" s="417"/>
      <c r="K264" s="417"/>
      <c r="L264" s="801"/>
      <c r="M264" s="419"/>
      <c r="N264" s="420" t="s">
        <v>178</v>
      </c>
      <c r="O264" s="420"/>
      <c r="P264" s="420">
        <f>L247</f>
        <v>7153499.6104395175</v>
      </c>
      <c r="Q264" s="523"/>
      <c r="R264" s="523"/>
      <c r="T264" s="523"/>
      <c r="V264" s="531"/>
      <c r="W264" s="798" t="s">
        <v>9</v>
      </c>
      <c r="X264" s="828"/>
      <c r="Y264" s="828"/>
      <c r="Z264" s="828"/>
      <c r="AA264" s="798" t="s">
        <v>382</v>
      </c>
      <c r="AB264" s="458">
        <f>+AB267*1.2</f>
        <v>3.0816000000000003</v>
      </c>
      <c r="AC264" s="459" t="s">
        <v>383</v>
      </c>
      <c r="AD264" s="460" t="s">
        <v>384</v>
      </c>
      <c r="AE264" s="461">
        <v>2300</v>
      </c>
      <c r="AF264" s="459" t="s">
        <v>385</v>
      </c>
      <c r="AG264" s="462" t="s">
        <v>384</v>
      </c>
      <c r="AH264" s="463">
        <f>AB264*AE264</f>
        <v>7087.6800000000012</v>
      </c>
      <c r="AI264" s="456"/>
      <c r="AJ264" s="454">
        <v>0.1</v>
      </c>
      <c r="AK264" s="454">
        <v>3.2</v>
      </c>
      <c r="AL264" s="454">
        <f>AJ264*AK264</f>
        <v>0.32000000000000006</v>
      </c>
      <c r="AM264" s="457">
        <f t="shared" ref="AM264" si="197">AJ264+AK264</f>
        <v>3.3000000000000003</v>
      </c>
      <c r="AN264" s="454">
        <v>3.2</v>
      </c>
      <c r="AO264" s="454">
        <v>0.6</v>
      </c>
    </row>
    <row r="265" spans="1:41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22"/>
      <c r="J265" s="421"/>
      <c r="K265" s="421"/>
      <c r="L265" s="801"/>
      <c r="M265" s="420"/>
      <c r="N265" s="422"/>
      <c r="O265" s="422"/>
      <c r="P265" s="422"/>
      <c r="Q265" s="523"/>
      <c r="R265" s="523"/>
      <c r="T265" s="523"/>
      <c r="V265" s="531"/>
      <c r="W265" s="464"/>
      <c r="X265" s="464"/>
      <c r="Y265" s="464"/>
      <c r="Z265" s="464"/>
      <c r="AA265" s="465"/>
      <c r="AB265" s="459"/>
      <c r="AC265" s="459"/>
      <c r="AD265" s="460"/>
      <c r="AE265" s="459"/>
      <c r="AF265" s="462" t="s">
        <v>386</v>
      </c>
      <c r="AG265" s="462" t="s">
        <v>384</v>
      </c>
      <c r="AH265" s="466">
        <f>SUM(AH264:AH264)</f>
        <v>7087.6800000000012</v>
      </c>
      <c r="AI265" s="456"/>
      <c r="AJ265" s="454">
        <v>0.1</v>
      </c>
      <c r="AK265" s="454">
        <v>0.6</v>
      </c>
      <c r="AL265" s="454">
        <f>AJ265*AK265</f>
        <v>0.06</v>
      </c>
      <c r="AM265" s="457">
        <f>AJ265+AK265</f>
        <v>0.7</v>
      </c>
      <c r="AN265" s="454">
        <v>0.1</v>
      </c>
      <c r="AO265" s="454">
        <v>3.2</v>
      </c>
    </row>
    <row r="266" spans="1:41" s="528" customFormat="1" ht="15.75" x14ac:dyDescent="0.25">
      <c r="A266" s="521"/>
      <c r="B266" s="526"/>
      <c r="C266" s="527"/>
      <c r="E266" s="529"/>
      <c r="F266" s="530"/>
      <c r="G266" s="541"/>
      <c r="H266" s="542"/>
      <c r="I266" s="522"/>
      <c r="J266" s="921" t="s">
        <v>179</v>
      </c>
      <c r="K266" s="921"/>
      <c r="L266" s="804" t="s">
        <v>180</v>
      </c>
      <c r="M266" s="420" t="s">
        <v>181</v>
      </c>
      <c r="N266" s="424">
        <f>P264*0.03</f>
        <v>214604.98831318552</v>
      </c>
      <c r="O266" s="422"/>
      <c r="P266" s="422">
        <f>N266+P264</f>
        <v>7368104.5987527035</v>
      </c>
      <c r="Q266" s="523"/>
      <c r="R266" s="523"/>
      <c r="T266" s="523"/>
      <c r="V266" s="531"/>
      <c r="W266" s="464"/>
      <c r="X266" s="464"/>
      <c r="Y266" s="464"/>
      <c r="Z266" s="464"/>
      <c r="AA266" s="465"/>
      <c r="AB266" s="459"/>
      <c r="AC266" s="459"/>
      <c r="AD266" s="460"/>
      <c r="AE266" s="459"/>
      <c r="AF266" s="462"/>
      <c r="AG266" s="462"/>
      <c r="AH266" s="467"/>
      <c r="AI266" s="456"/>
      <c r="AJ266" s="454">
        <v>0.1</v>
      </c>
      <c r="AK266" s="454">
        <v>0.6</v>
      </c>
      <c r="AL266" s="454">
        <f>AJ266*AK266</f>
        <v>0.06</v>
      </c>
      <c r="AM266" s="457">
        <f>AJ266+AK266</f>
        <v>0.7</v>
      </c>
      <c r="AN266" s="454"/>
      <c r="AO266" s="454">
        <v>0.6</v>
      </c>
    </row>
    <row r="267" spans="1:41" s="528" customFormat="1" ht="15.75" x14ac:dyDescent="0.25">
      <c r="A267" s="521"/>
      <c r="B267" s="526"/>
      <c r="C267" s="527"/>
      <c r="E267" s="529"/>
      <c r="F267" s="530"/>
      <c r="G267" s="541"/>
      <c r="H267" s="542"/>
      <c r="I267" s="522"/>
      <c r="J267" s="921" t="s">
        <v>182</v>
      </c>
      <c r="K267" s="921"/>
      <c r="L267" s="804" t="s">
        <v>180</v>
      </c>
      <c r="M267" s="420" t="s">
        <v>183</v>
      </c>
      <c r="N267" s="424">
        <f>SUM(L266:L314)</f>
        <v>328828.34994462901</v>
      </c>
      <c r="O267" s="422"/>
      <c r="P267" s="422">
        <f>P266+N267</f>
        <v>7696932.9486973323</v>
      </c>
      <c r="Q267" s="523"/>
      <c r="R267" s="523"/>
      <c r="T267" s="523"/>
      <c r="V267" s="531"/>
      <c r="W267" s="798" t="s">
        <v>10</v>
      </c>
      <c r="X267" s="828"/>
      <c r="Y267" s="828"/>
      <c r="Z267" s="828"/>
      <c r="AA267" s="469" t="s">
        <v>387</v>
      </c>
      <c r="AB267" s="470">
        <f>AL271</f>
        <v>2.5680000000000005</v>
      </c>
      <c r="AC267" s="459" t="s">
        <v>383</v>
      </c>
      <c r="AD267" s="460" t="s">
        <v>384</v>
      </c>
      <c r="AE267" s="461">
        <v>400</v>
      </c>
      <c r="AF267" s="459" t="s">
        <v>385</v>
      </c>
      <c r="AG267" s="462" t="s">
        <v>384</v>
      </c>
      <c r="AH267" s="467">
        <f t="shared" ref="AH267:AH271" si="198">AB267*AE267</f>
        <v>1027.2000000000003</v>
      </c>
      <c r="AI267" s="456"/>
      <c r="AJ267" s="454">
        <v>6.5000000000000002E-2</v>
      </c>
      <c r="AK267" s="454">
        <v>3.2</v>
      </c>
      <c r="AL267" s="454">
        <f>AJ267*AK267</f>
        <v>0.20800000000000002</v>
      </c>
      <c r="AM267" s="457">
        <f>AJ267+AK267</f>
        <v>3.2650000000000001</v>
      </c>
      <c r="AN267" s="454"/>
      <c r="AO267" s="454">
        <v>0.1</v>
      </c>
    </row>
    <row r="268" spans="1:41" s="528" customFormat="1" ht="15.75" x14ac:dyDescent="0.25">
      <c r="A268" s="521"/>
      <c r="B268" s="526"/>
      <c r="C268" s="527"/>
      <c r="E268" s="529"/>
      <c r="F268" s="530"/>
      <c r="G268" s="541"/>
      <c r="H268" s="542"/>
      <c r="I268" s="522"/>
      <c r="J268" s="921" t="s">
        <v>184</v>
      </c>
      <c r="K268" s="921"/>
      <c r="L268" s="804" t="s">
        <v>161</v>
      </c>
      <c r="M268" s="420" t="s">
        <v>185</v>
      </c>
      <c r="N268" s="424"/>
      <c r="O268" s="422"/>
      <c r="P268" s="422">
        <f>P267+N268</f>
        <v>7696932.9486973323</v>
      </c>
      <c r="Q268" s="523"/>
      <c r="R268" s="523"/>
      <c r="T268" s="523"/>
      <c r="V268" s="531"/>
      <c r="W268" s="798"/>
      <c r="X268" s="828"/>
      <c r="Y268" s="828"/>
      <c r="Z268" s="828"/>
      <c r="AA268" s="469" t="s">
        <v>388</v>
      </c>
      <c r="AB268" s="470">
        <f>AM271</f>
        <v>11.765000000000001</v>
      </c>
      <c r="AC268" s="459" t="s">
        <v>383</v>
      </c>
      <c r="AD268" s="460"/>
      <c r="AE268" s="461">
        <v>100</v>
      </c>
      <c r="AF268" s="459" t="s">
        <v>385</v>
      </c>
      <c r="AG268" s="462"/>
      <c r="AH268" s="467">
        <f t="shared" si="198"/>
        <v>1176.5</v>
      </c>
      <c r="AI268" s="456"/>
      <c r="AJ268" s="454"/>
      <c r="AK268" s="454"/>
      <c r="AL268" s="454"/>
      <c r="AM268" s="457"/>
      <c r="AN268" s="454"/>
      <c r="AO268" s="454"/>
    </row>
    <row r="269" spans="1:41" s="528" customFormat="1" ht="15.75" x14ac:dyDescent="0.25">
      <c r="A269" s="521"/>
      <c r="B269" s="526"/>
      <c r="C269" s="527"/>
      <c r="E269" s="529"/>
      <c r="F269" s="530"/>
      <c r="G269" s="541"/>
      <c r="H269" s="542"/>
      <c r="I269" s="522"/>
      <c r="J269" s="921" t="s">
        <v>186</v>
      </c>
      <c r="K269" s="921"/>
      <c r="L269" s="804" t="s">
        <v>161</v>
      </c>
      <c r="M269" s="420" t="s">
        <v>187</v>
      </c>
      <c r="N269" s="424">
        <f>P268*0.15</f>
        <v>1154539.9423045998</v>
      </c>
      <c r="O269" s="422"/>
      <c r="P269" s="422">
        <f>P268+N269</f>
        <v>8851472.8910019323</v>
      </c>
      <c r="Q269" s="523"/>
      <c r="R269" s="523"/>
      <c r="T269" s="523"/>
      <c r="V269" s="531"/>
      <c r="W269" s="798"/>
      <c r="X269" s="828"/>
      <c r="Y269" s="828"/>
      <c r="Z269" s="828"/>
      <c r="AA269" s="469" t="s">
        <v>389</v>
      </c>
      <c r="AB269" s="470">
        <f>AN271</f>
        <v>3.9000000000000004</v>
      </c>
      <c r="AC269" s="459" t="s">
        <v>100</v>
      </c>
      <c r="AD269" s="460"/>
      <c r="AE269" s="461">
        <v>400</v>
      </c>
      <c r="AF269" s="471" t="s">
        <v>390</v>
      </c>
      <c r="AG269" s="462"/>
      <c r="AH269" s="467">
        <f t="shared" si="198"/>
        <v>1560.0000000000002</v>
      </c>
      <c r="AI269" s="456"/>
      <c r="AJ269" s="454"/>
      <c r="AK269" s="454"/>
      <c r="AL269" s="454"/>
      <c r="AM269" s="457"/>
      <c r="AN269" s="454"/>
      <c r="AO269" s="454"/>
    </row>
    <row r="270" spans="1:41" s="528" customFormat="1" ht="15.75" x14ac:dyDescent="0.25">
      <c r="A270" s="521"/>
      <c r="B270" s="526"/>
      <c r="C270" s="527"/>
      <c r="E270" s="529"/>
      <c r="F270" s="530"/>
      <c r="G270" s="541"/>
      <c r="H270" s="542"/>
      <c r="I270" s="522" t="s">
        <v>495</v>
      </c>
      <c r="J270" s="921" t="s">
        <v>188</v>
      </c>
      <c r="K270" s="921"/>
      <c r="L270" s="425"/>
      <c r="M270" s="420" t="s">
        <v>190</v>
      </c>
      <c r="N270" s="424">
        <f>P269*0.1</f>
        <v>885147.2891001933</v>
      </c>
      <c r="O270" s="422"/>
      <c r="P270" s="422">
        <f>P269+N270</f>
        <v>9736620.1801021248</v>
      </c>
      <c r="Q270" s="523"/>
      <c r="R270" s="523">
        <f>M247-P270</f>
        <v>123379.83720214292</v>
      </c>
      <c r="T270" s="523"/>
      <c r="V270" s="531"/>
      <c r="W270" s="798"/>
      <c r="X270" s="828"/>
      <c r="Y270" s="828"/>
      <c r="Z270" s="828"/>
      <c r="AA270" s="469" t="s">
        <v>391</v>
      </c>
      <c r="AB270" s="470">
        <f>AO271</f>
        <v>4.5999999999999996</v>
      </c>
      <c r="AC270" s="459" t="s">
        <v>100</v>
      </c>
      <c r="AD270" s="460"/>
      <c r="AE270" s="461">
        <v>400</v>
      </c>
      <c r="AF270" s="471" t="s">
        <v>390</v>
      </c>
      <c r="AG270" s="462"/>
      <c r="AH270" s="467">
        <f t="shared" si="198"/>
        <v>1839.9999999999998</v>
      </c>
      <c r="AI270" s="456"/>
      <c r="AJ270" s="454"/>
      <c r="AK270" s="454"/>
      <c r="AL270" s="454"/>
      <c r="AM270" s="457"/>
      <c r="AN270" s="454"/>
      <c r="AO270" s="454"/>
    </row>
    <row r="271" spans="1:41" s="528" customFormat="1" ht="15.75" x14ac:dyDescent="0.25">
      <c r="A271" s="521"/>
      <c r="B271" s="526"/>
      <c r="C271" s="527"/>
      <c r="E271" s="529"/>
      <c r="F271" s="530"/>
      <c r="G271" s="541"/>
      <c r="H271" s="542"/>
      <c r="I271" s="542"/>
      <c r="J271" s="924" t="s">
        <v>191</v>
      </c>
      <c r="K271" s="924"/>
      <c r="L271" s="429" t="s">
        <v>180</v>
      </c>
      <c r="M271" s="428"/>
      <c r="N271" s="426"/>
      <c r="O271" s="422"/>
      <c r="P271" s="422"/>
      <c r="Q271" s="523"/>
      <c r="R271" s="523"/>
      <c r="T271" s="523"/>
      <c r="V271" s="531"/>
      <c r="W271" s="798"/>
      <c r="X271" s="828"/>
      <c r="Y271" s="828"/>
      <c r="Z271" s="828"/>
      <c r="AA271" s="469" t="s">
        <v>392</v>
      </c>
      <c r="AB271" s="472">
        <v>1</v>
      </c>
      <c r="AC271" s="459" t="s">
        <v>393</v>
      </c>
      <c r="AD271" s="462"/>
      <c r="AE271" s="461">
        <v>500</v>
      </c>
      <c r="AF271" s="471" t="s">
        <v>394</v>
      </c>
      <c r="AG271" s="462"/>
      <c r="AH271" s="463">
        <f t="shared" si="198"/>
        <v>500</v>
      </c>
      <c r="AI271" s="456"/>
      <c r="AJ271" s="454"/>
      <c r="AK271" s="454"/>
      <c r="AL271" s="473">
        <f>SUM(AL263:AL267)</f>
        <v>2.5680000000000005</v>
      </c>
      <c r="AM271" s="473">
        <f>SUM(AM263:AM267)</f>
        <v>11.765000000000001</v>
      </c>
      <c r="AN271" s="473">
        <f>SUM(AN263:AN266)</f>
        <v>3.9000000000000004</v>
      </c>
      <c r="AO271" s="473">
        <f>SUM(AO263:AO267)</f>
        <v>4.5999999999999996</v>
      </c>
    </row>
    <row r="272" spans="1:41" s="528" customFormat="1" ht="15.75" x14ac:dyDescent="0.25">
      <c r="A272" s="521"/>
      <c r="B272" s="526"/>
      <c r="C272" s="527"/>
      <c r="E272" s="529"/>
      <c r="F272" s="530"/>
      <c r="G272" s="541"/>
      <c r="H272" s="542"/>
      <c r="I272" s="542"/>
      <c r="J272" s="924" t="s">
        <v>472</v>
      </c>
      <c r="K272" s="924"/>
      <c r="L272" s="429">
        <f>4*17000/1.05</f>
        <v>64761.904761904756</v>
      </c>
      <c r="M272" s="428" t="s">
        <v>193</v>
      </c>
      <c r="N272" s="426">
        <f>SUM(N266:N270)</f>
        <v>2583120.5696626077</v>
      </c>
      <c r="O272" s="427"/>
      <c r="P272" s="428">
        <f>P270+224998</f>
        <v>9961618.1801021248</v>
      </c>
      <c r="Q272" s="523"/>
      <c r="R272" s="523"/>
      <c r="T272" s="523"/>
      <c r="V272" s="531"/>
      <c r="W272" s="464"/>
      <c r="X272" s="464"/>
      <c r="Y272" s="464"/>
      <c r="Z272" s="464"/>
      <c r="AA272" s="465"/>
      <c r="AB272" s="459"/>
      <c r="AC272" s="459"/>
      <c r="AD272" s="462"/>
      <c r="AE272" s="459"/>
      <c r="AF272" s="462" t="s">
        <v>395</v>
      </c>
      <c r="AG272" s="462" t="s">
        <v>384</v>
      </c>
      <c r="AH272" s="466">
        <f>SUM(AH267:AH271)</f>
        <v>6103.7000000000007</v>
      </c>
      <c r="AI272" s="456"/>
      <c r="AJ272" s="454"/>
      <c r="AK272" s="454"/>
      <c r="AL272" s="454"/>
      <c r="AM272" s="457"/>
      <c r="AN272" s="454"/>
      <c r="AO272" s="454"/>
    </row>
    <row r="273" spans="1:41" s="528" customFormat="1" ht="16.5" thickBot="1" x14ac:dyDescent="0.3">
      <c r="A273" s="521"/>
      <c r="B273" s="526"/>
      <c r="C273" s="527"/>
      <c r="E273" s="529"/>
      <c r="F273" s="530"/>
      <c r="G273" s="541"/>
      <c r="H273" s="542"/>
      <c r="I273" s="542"/>
      <c r="J273" s="924" t="s">
        <v>194</v>
      </c>
      <c r="K273" s="924"/>
      <c r="L273" s="429">
        <v>30000</v>
      </c>
      <c r="M273" s="428" t="s">
        <v>195</v>
      </c>
      <c r="N273" s="426">
        <f>SUM(N266:N271)</f>
        <v>2583120.5696626077</v>
      </c>
      <c r="O273" s="427"/>
      <c r="P273" s="428" t="s">
        <v>547</v>
      </c>
      <c r="Q273" s="523"/>
      <c r="R273" s="523"/>
      <c r="T273" s="523"/>
      <c r="V273" s="531"/>
      <c r="W273" s="464"/>
      <c r="X273" s="464"/>
      <c r="Y273" s="464"/>
      <c r="Z273" s="464"/>
      <c r="AA273" s="465"/>
      <c r="AB273" s="459"/>
      <c r="AC273" s="459"/>
      <c r="AD273" s="462"/>
      <c r="AE273" s="459"/>
      <c r="AF273" s="462" t="s">
        <v>396</v>
      </c>
      <c r="AG273" s="462" t="s">
        <v>384</v>
      </c>
      <c r="AH273" s="474">
        <f>AH265+AH272</f>
        <v>13191.380000000001</v>
      </c>
      <c r="AI273" s="456"/>
      <c r="AJ273" s="454"/>
      <c r="AK273" s="454"/>
      <c r="AL273" s="454"/>
      <c r="AM273" s="457"/>
      <c r="AN273" s="454"/>
      <c r="AO273" s="454"/>
    </row>
    <row r="274" spans="1:41" s="528" customFormat="1" ht="16.5" thickTop="1" x14ac:dyDescent="0.25">
      <c r="A274" s="521"/>
      <c r="B274" s="526"/>
      <c r="C274" s="527"/>
      <c r="E274" s="529"/>
      <c r="F274" s="530"/>
      <c r="G274" s="541"/>
      <c r="H274" s="542"/>
      <c r="I274" s="542"/>
      <c r="J274" s="924" t="s">
        <v>196</v>
      </c>
      <c r="K274" s="924"/>
      <c r="L274" s="429">
        <v>15000</v>
      </c>
      <c r="M274" s="428"/>
      <c r="N274" s="427"/>
      <c r="O274" s="422"/>
      <c r="P274" s="420"/>
      <c r="Q274" s="523"/>
      <c r="R274" s="523"/>
      <c r="T274" s="523"/>
      <c r="V274" s="531"/>
    </row>
    <row r="275" spans="1:41" s="528" customFormat="1" ht="15.75" x14ac:dyDescent="0.25">
      <c r="A275" s="521"/>
      <c r="B275" s="526"/>
      <c r="C275" s="527"/>
      <c r="E275" s="529"/>
      <c r="F275" s="530"/>
      <c r="G275" s="521"/>
      <c r="H275" s="522"/>
      <c r="I275" s="522"/>
      <c r="J275" s="921" t="s">
        <v>197</v>
      </c>
      <c r="K275" s="921"/>
      <c r="L275" s="804">
        <v>18000</v>
      </c>
      <c r="M275" s="428"/>
      <c r="N275" s="422"/>
      <c r="O275" s="422"/>
      <c r="P275" s="422"/>
      <c r="Q275" s="523"/>
      <c r="R275" s="523"/>
      <c r="T275" s="523"/>
      <c r="V275" s="531"/>
    </row>
    <row r="276" spans="1:41" s="528" customFormat="1" ht="15.75" x14ac:dyDescent="0.25">
      <c r="A276" s="521"/>
      <c r="B276" s="526"/>
      <c r="C276" s="527"/>
      <c r="E276" s="529"/>
      <c r="F276" s="530"/>
      <c r="G276" s="521"/>
      <c r="H276" s="522"/>
      <c r="I276" s="522"/>
      <c r="J276" s="921" t="s">
        <v>198</v>
      </c>
      <c r="K276" s="921"/>
      <c r="L276" s="804">
        <f>3*6000</f>
        <v>18000</v>
      </c>
      <c r="M276" s="422"/>
      <c r="N276" s="422"/>
      <c r="O276" s="422"/>
      <c r="P276" s="422"/>
      <c r="Q276" s="523"/>
      <c r="R276" s="523"/>
      <c r="T276" s="523"/>
      <c r="V276" s="531"/>
    </row>
    <row r="277" spans="1:41" ht="15.75" x14ac:dyDescent="0.25">
      <c r="D277" s="528"/>
      <c r="E277" s="529"/>
      <c r="F277" s="530"/>
      <c r="G277" s="521"/>
      <c r="H277" s="522"/>
      <c r="I277" s="522" t="s">
        <v>494</v>
      </c>
      <c r="J277" s="921" t="s">
        <v>199</v>
      </c>
      <c r="K277" s="921"/>
      <c r="L277" s="482"/>
      <c r="M277" s="422"/>
      <c r="N277" s="422"/>
      <c r="O277" s="422"/>
      <c r="P277" s="422"/>
      <c r="Q277" s="523"/>
      <c r="R277" s="523"/>
      <c r="S277" s="528"/>
      <c r="T277" s="523"/>
      <c r="U277" s="528"/>
      <c r="V277" s="446"/>
      <c r="AG277" s="18"/>
      <c r="AI277" s="18"/>
    </row>
    <row r="278" spans="1:41" ht="15.75" x14ac:dyDescent="0.25">
      <c r="A278" s="18"/>
      <c r="B278" s="18"/>
      <c r="C278" s="18"/>
      <c r="D278" s="528"/>
      <c r="E278" s="529"/>
      <c r="F278" s="530"/>
      <c r="G278" s="521"/>
      <c r="H278" s="522"/>
      <c r="I278" s="522"/>
      <c r="J278" s="921" t="s">
        <v>200</v>
      </c>
      <c r="K278" s="921"/>
      <c r="L278" s="425">
        <f>4*10000/1.075</f>
        <v>37209.302325581397</v>
      </c>
      <c r="M278" s="422"/>
      <c r="N278" s="422"/>
      <c r="O278" s="422"/>
      <c r="P278" s="422"/>
      <c r="Q278" s="523"/>
      <c r="R278" s="523"/>
      <c r="S278" s="528"/>
      <c r="T278" s="523"/>
      <c r="U278" s="528"/>
      <c r="V278" s="446"/>
      <c r="AG278" s="18"/>
      <c r="AI278" s="18"/>
    </row>
    <row r="279" spans="1:41" ht="15.75" x14ac:dyDescent="0.25">
      <c r="A279" s="18"/>
      <c r="B279" s="18"/>
      <c r="C279" s="18"/>
      <c r="D279" s="528"/>
      <c r="E279" s="529"/>
      <c r="F279" s="530"/>
      <c r="G279" s="521"/>
      <c r="H279" s="522"/>
      <c r="I279" s="522"/>
      <c r="J279" s="921" t="s">
        <v>201</v>
      </c>
      <c r="K279" s="921"/>
      <c r="L279" s="804" t="s">
        <v>180</v>
      </c>
      <c r="M279" s="422"/>
      <c r="N279" s="422"/>
      <c r="O279" s="422"/>
      <c r="P279" s="422"/>
      <c r="Q279" s="523"/>
      <c r="V279" s="446"/>
      <c r="AG279" s="18"/>
      <c r="AI279" s="18"/>
    </row>
    <row r="280" spans="1:41" ht="15.75" x14ac:dyDescent="0.25">
      <c r="A280" s="18"/>
      <c r="B280" s="18"/>
      <c r="C280" s="18"/>
      <c r="D280" s="528"/>
      <c r="E280" s="529"/>
      <c r="F280" s="530"/>
      <c r="G280" s="521"/>
      <c r="H280" s="522"/>
      <c r="I280" s="522" t="s">
        <v>494</v>
      </c>
      <c r="J280" s="921" t="s">
        <v>202</v>
      </c>
      <c r="K280" s="921"/>
      <c r="L280" s="482"/>
      <c r="M280" s="422"/>
      <c r="N280" s="422"/>
      <c r="O280" s="422"/>
      <c r="P280" s="422"/>
      <c r="Q280" s="523"/>
      <c r="V280" s="446"/>
      <c r="AA280" s="877" t="s">
        <v>511</v>
      </c>
      <c r="AB280" s="877"/>
      <c r="AC280" s="877"/>
      <c r="AD280" s="794" t="s">
        <v>243</v>
      </c>
      <c r="AE280" s="794" t="s">
        <v>244</v>
      </c>
      <c r="AF280" s="794" t="s">
        <v>245</v>
      </c>
      <c r="AG280" s="123" t="s">
        <v>246</v>
      </c>
      <c r="AH280" s="196" t="s">
        <v>247</v>
      </c>
      <c r="AI280" s="794" t="s">
        <v>248</v>
      </c>
      <c r="AJ280" s="212" t="s">
        <v>249</v>
      </c>
    </row>
    <row r="281" spans="1:41" ht="15.75" x14ac:dyDescent="0.25">
      <c r="A281" s="18"/>
      <c r="B281" s="18"/>
      <c r="C281" s="18"/>
      <c r="D281" s="528"/>
      <c r="E281" s="529"/>
      <c r="F281" s="530"/>
      <c r="G281" s="521"/>
      <c r="H281" s="522"/>
      <c r="I281" s="522"/>
      <c r="J281" s="921" t="s">
        <v>203</v>
      </c>
      <c r="K281" s="921"/>
      <c r="L281" s="804">
        <v>16000</v>
      </c>
      <c r="M281" s="422"/>
      <c r="N281" s="422"/>
      <c r="O281" s="422"/>
      <c r="P281" s="422"/>
      <c r="Q281" s="523"/>
      <c r="V281" s="446"/>
      <c r="AA281" s="878" t="s">
        <v>512</v>
      </c>
      <c r="AB281" s="878"/>
      <c r="AC281" s="878"/>
      <c r="AD281" s="124" t="s">
        <v>513</v>
      </c>
      <c r="AE281" s="675">
        <f>(1.1*0.6)*3.28*3.28</f>
        <v>7.1005440000000002</v>
      </c>
      <c r="AF281" s="793">
        <v>8</v>
      </c>
      <c r="AG281" s="123">
        <v>200</v>
      </c>
      <c r="AH281" s="196">
        <f>AG281*AF281</f>
        <v>1600</v>
      </c>
      <c r="AI281" s="793"/>
      <c r="AJ281" s="219">
        <f>AI281*AF281</f>
        <v>0</v>
      </c>
    </row>
    <row r="282" spans="1:41" ht="15.75" x14ac:dyDescent="0.25">
      <c r="A282" s="18"/>
      <c r="B282" s="18"/>
      <c r="C282" s="18"/>
      <c r="J282" s="894" t="s">
        <v>204</v>
      </c>
      <c r="K282" s="894"/>
      <c r="L282" s="804" t="s">
        <v>180</v>
      </c>
      <c r="M282" s="422"/>
      <c r="N282" s="422"/>
      <c r="O282" s="422"/>
      <c r="P282" s="422"/>
      <c r="V282" s="446"/>
      <c r="AA282" s="878" t="s">
        <v>514</v>
      </c>
      <c r="AB282" s="878"/>
      <c r="AC282" s="878"/>
      <c r="AD282" s="124" t="s">
        <v>100</v>
      </c>
      <c r="AE282" s="793">
        <f>(1.1+0.6+1.1+0.6)</f>
        <v>3.4000000000000004</v>
      </c>
      <c r="AF282" s="793">
        <v>3.5</v>
      </c>
      <c r="AG282" s="123">
        <v>20</v>
      </c>
      <c r="AH282" s="196">
        <f>AG282*AF282</f>
        <v>70</v>
      </c>
      <c r="AI282" s="793"/>
      <c r="AJ282" s="219">
        <f>AI282*AF282</f>
        <v>0</v>
      </c>
    </row>
    <row r="283" spans="1:41" ht="15.75" x14ac:dyDescent="0.25">
      <c r="A283" s="18"/>
      <c r="B283" s="18"/>
      <c r="C283" s="18"/>
      <c r="I283" s="2" t="s">
        <v>494</v>
      </c>
      <c r="J283" s="894" t="s">
        <v>205</v>
      </c>
      <c r="K283" s="894"/>
      <c r="L283" s="482"/>
      <c r="M283" s="422"/>
      <c r="N283" s="422"/>
      <c r="O283" s="422"/>
      <c r="P283" s="422"/>
      <c r="V283" s="446"/>
      <c r="AA283" s="878" t="s">
        <v>515</v>
      </c>
      <c r="AB283" s="878"/>
      <c r="AC283" s="878"/>
      <c r="AD283" s="124" t="s">
        <v>100</v>
      </c>
      <c r="AE283" s="793">
        <f>(1.1+0.6+1.1+0.6)</f>
        <v>3.4000000000000004</v>
      </c>
      <c r="AF283" s="793">
        <v>3.5</v>
      </c>
      <c r="AG283" s="123">
        <v>16</v>
      </c>
      <c r="AH283" s="196">
        <f>AG283*AF283</f>
        <v>56</v>
      </c>
      <c r="AI283" s="793"/>
      <c r="AJ283" s="219">
        <f>AI283*AF283</f>
        <v>0</v>
      </c>
    </row>
    <row r="284" spans="1:41" ht="15.75" x14ac:dyDescent="0.25">
      <c r="A284" s="18"/>
      <c r="B284" s="18"/>
      <c r="C284" s="18"/>
      <c r="I284" s="2" t="s">
        <v>494</v>
      </c>
      <c r="J284" s="894" t="s">
        <v>206</v>
      </c>
      <c r="K284" s="894"/>
      <c r="L284" s="482"/>
      <c r="M284" s="422"/>
      <c r="N284" s="422"/>
      <c r="O284" s="422"/>
      <c r="P284" s="422"/>
      <c r="V284" s="446"/>
      <c r="AA284" s="878" t="s">
        <v>516</v>
      </c>
      <c r="AB284" s="878"/>
      <c r="AC284" s="878"/>
      <c r="AD284" s="124" t="s">
        <v>101</v>
      </c>
      <c r="AE284" s="675">
        <f>1.1*0.6</f>
        <v>0.66</v>
      </c>
      <c r="AF284" s="793">
        <v>0.8</v>
      </c>
      <c r="AG284" s="676">
        <f>400/2.88</f>
        <v>138.88888888888889</v>
      </c>
      <c r="AH284" s="196">
        <f t="shared" ref="AH284" si="199">AG284*AF284</f>
        <v>111.11111111111111</v>
      </c>
      <c r="AI284" s="793"/>
      <c r="AJ284" s="219">
        <f t="shared" ref="AJ284" si="200">AI284*AF284</f>
        <v>0</v>
      </c>
    </row>
    <row r="285" spans="1:41" ht="15.75" x14ac:dyDescent="0.25">
      <c r="A285" s="18"/>
      <c r="B285" s="18"/>
      <c r="C285" s="18"/>
      <c r="I285" s="2" t="s">
        <v>494</v>
      </c>
      <c r="J285" s="894" t="s">
        <v>473</v>
      </c>
      <c r="K285" s="894"/>
      <c r="L285" s="482"/>
      <c r="M285" s="422"/>
      <c r="N285" s="422"/>
      <c r="O285" s="422"/>
      <c r="P285" s="422"/>
      <c r="V285" s="446"/>
      <c r="AA285" s="878" t="s">
        <v>379</v>
      </c>
      <c r="AB285" s="878"/>
      <c r="AC285" s="878"/>
      <c r="AD285" s="124" t="s">
        <v>301</v>
      </c>
      <c r="AE285" s="793">
        <v>1</v>
      </c>
      <c r="AF285" s="793">
        <v>1</v>
      </c>
      <c r="AG285" s="676">
        <v>500</v>
      </c>
      <c r="AH285" s="196">
        <f>AG285*AF285</f>
        <v>500</v>
      </c>
      <c r="AI285" s="793"/>
      <c r="AJ285" s="219">
        <f>AI285*AF285</f>
        <v>0</v>
      </c>
    </row>
    <row r="286" spans="1:41" ht="15.75" x14ac:dyDescent="0.25">
      <c r="A286" s="18"/>
      <c r="B286" s="18"/>
      <c r="C286" s="18"/>
      <c r="I286" s="2" t="s">
        <v>494</v>
      </c>
      <c r="J286" s="894" t="s">
        <v>208</v>
      </c>
      <c r="K286" s="894"/>
      <c r="L286" s="482"/>
      <c r="M286" s="422"/>
      <c r="N286" s="422"/>
      <c r="O286" s="422"/>
      <c r="P286" s="422"/>
      <c r="V286" s="27"/>
      <c r="AA286" s="878"/>
      <c r="AB286" s="878"/>
      <c r="AC286" s="878"/>
      <c r="AD286" s="124"/>
      <c r="AE286" s="793"/>
      <c r="AF286" s="793"/>
      <c r="AG286" s="123"/>
      <c r="AH286" s="212">
        <f>SUM(AH281:AH285)</f>
        <v>2337.1111111111113</v>
      </c>
      <c r="AI286" s="793"/>
      <c r="AJ286" s="212">
        <f>SUM(AJ281:AJ285)</f>
        <v>0</v>
      </c>
    </row>
    <row r="287" spans="1:41" ht="15.75" x14ac:dyDescent="0.25">
      <c r="A287" s="18"/>
      <c r="B287" s="18"/>
      <c r="C287" s="18"/>
      <c r="I287" s="2" t="s">
        <v>496</v>
      </c>
      <c r="J287" s="894" t="s">
        <v>209</v>
      </c>
      <c r="K287" s="894"/>
      <c r="L287" s="482"/>
      <c r="M287" s="422"/>
      <c r="N287" s="422"/>
      <c r="O287" s="422"/>
      <c r="P287" s="422"/>
      <c r="V287" s="27"/>
      <c r="AG287" s="18"/>
      <c r="AI287" s="18"/>
    </row>
    <row r="288" spans="1:41" ht="15.75" x14ac:dyDescent="0.25">
      <c r="A288" s="18"/>
      <c r="B288" s="18"/>
      <c r="C288" s="18"/>
      <c r="J288" s="894" t="s">
        <v>474</v>
      </c>
      <c r="K288" s="894"/>
      <c r="L288" s="804">
        <v>15000</v>
      </c>
      <c r="M288" s="422"/>
      <c r="N288" s="422"/>
      <c r="O288" s="422"/>
      <c r="P288" s="422"/>
      <c r="V288" s="27"/>
      <c r="AG288" s="18"/>
      <c r="AI288" s="18"/>
    </row>
    <row r="289" spans="1:47" ht="15.75" x14ac:dyDescent="0.25">
      <c r="A289" s="18"/>
      <c r="B289" s="18"/>
      <c r="C289" s="18"/>
      <c r="I289" s="2" t="s">
        <v>494</v>
      </c>
      <c r="J289" s="894" t="s">
        <v>211</v>
      </c>
      <c r="K289" s="894"/>
      <c r="L289" s="482"/>
      <c r="M289" s="422"/>
      <c r="N289" s="422"/>
      <c r="O289" s="422"/>
      <c r="P289" s="422"/>
      <c r="V289" s="27"/>
      <c r="AG289" s="18"/>
      <c r="AI289" s="18"/>
    </row>
    <row r="290" spans="1:47" ht="15.75" x14ac:dyDescent="0.25">
      <c r="A290" s="18"/>
      <c r="B290" s="18"/>
      <c r="C290" s="18"/>
      <c r="J290" s="894" t="s">
        <v>212</v>
      </c>
      <c r="K290" s="894"/>
      <c r="L290" s="804">
        <v>15000</v>
      </c>
      <c r="M290" s="422"/>
      <c r="N290" s="422"/>
      <c r="O290" s="422"/>
      <c r="P290" s="422"/>
      <c r="V290" s="27"/>
    </row>
    <row r="291" spans="1:47" ht="15.75" x14ac:dyDescent="0.25">
      <c r="A291" s="18"/>
      <c r="B291" s="18"/>
      <c r="C291" s="18"/>
      <c r="J291" s="894" t="s">
        <v>475</v>
      </c>
      <c r="K291" s="894"/>
      <c r="L291" s="804">
        <f>4*12000/1.12</f>
        <v>42857.142857142855</v>
      </c>
      <c r="M291" s="422"/>
      <c r="N291" s="422"/>
      <c r="O291" s="422"/>
      <c r="P291" s="422"/>
      <c r="V291" s="27"/>
      <c r="AA291" s="878" t="s">
        <v>522</v>
      </c>
      <c r="AB291" s="878"/>
      <c r="AC291" s="878"/>
      <c r="AD291" s="124" t="s">
        <v>101</v>
      </c>
      <c r="AE291" s="675">
        <f>(3.2*1.5)*2+(1*1.5)*2</f>
        <v>12.600000000000001</v>
      </c>
      <c r="AF291" s="793">
        <v>13</v>
      </c>
      <c r="AG291" s="676">
        <f>375*(3.28*3.28)/1.075</f>
        <v>3752.9302325581389</v>
      </c>
      <c r="AH291" s="196">
        <f t="shared" ref="AH291" si="201">AG291*AF291</f>
        <v>48788.093023255802</v>
      </c>
      <c r="AI291" s="677">
        <f>AG291*0.35</f>
        <v>1313.5255813953486</v>
      </c>
      <c r="AJ291" s="219">
        <f t="shared" ref="AJ291" si="202">AI291*AF291</f>
        <v>17075.832558139533</v>
      </c>
    </row>
    <row r="292" spans="1:47" ht="15.75" x14ac:dyDescent="0.25">
      <c r="A292" s="18"/>
      <c r="B292" s="18"/>
      <c r="C292" s="18"/>
      <c r="J292" s="894" t="s">
        <v>214</v>
      </c>
      <c r="K292" s="894"/>
      <c r="L292" s="804" t="s">
        <v>189</v>
      </c>
      <c r="M292" s="422"/>
      <c r="N292" s="422"/>
      <c r="O292" s="422"/>
      <c r="P292" s="422"/>
      <c r="V292" s="27"/>
      <c r="W292" s="397"/>
      <c r="X292" s="397"/>
      <c r="Y292" s="397"/>
      <c r="Z292" s="397"/>
      <c r="AA292" s="878" t="s">
        <v>379</v>
      </c>
      <c r="AB292" s="878"/>
      <c r="AC292" s="878"/>
      <c r="AD292" s="124" t="s">
        <v>301</v>
      </c>
      <c r="AE292" s="793">
        <v>1</v>
      </c>
      <c r="AF292" s="793">
        <v>1</v>
      </c>
      <c r="AG292" s="676">
        <v>2000</v>
      </c>
      <c r="AH292" s="196">
        <f>AG292*AF292</f>
        <v>2000</v>
      </c>
      <c r="AI292" s="793">
        <v>1000</v>
      </c>
      <c r="AJ292" s="219">
        <f>AI292*AF292</f>
        <v>1000</v>
      </c>
      <c r="AK292" s="394"/>
      <c r="AL292" s="394"/>
      <c r="AM292" s="395"/>
      <c r="AN292" s="394"/>
      <c r="AO292" s="394"/>
    </row>
    <row r="293" spans="1:47" ht="15.75" x14ac:dyDescent="0.25">
      <c r="A293" s="18"/>
      <c r="B293" s="18"/>
      <c r="C293" s="18"/>
      <c r="J293" s="894" t="s">
        <v>476</v>
      </c>
      <c r="K293" s="894"/>
      <c r="L293" s="804">
        <v>10000</v>
      </c>
      <c r="M293" s="422"/>
      <c r="N293" s="422"/>
      <c r="O293" s="422"/>
      <c r="P293" s="422"/>
      <c r="V293" s="27"/>
      <c r="W293" s="397"/>
      <c r="X293" s="397"/>
      <c r="Y293" s="397"/>
      <c r="Z293" s="397"/>
      <c r="AG293" s="18"/>
      <c r="AH293" s="365">
        <f>SUM(AH291:AH292)</f>
        <v>50788.093023255802</v>
      </c>
      <c r="AI293" s="18"/>
      <c r="AJ293" s="365">
        <f>SUM(AJ291:AJ292)</f>
        <v>18075.832558139533</v>
      </c>
      <c r="AK293" s="394"/>
      <c r="AL293" s="394"/>
      <c r="AM293" s="395"/>
      <c r="AN293" s="394"/>
      <c r="AO293" s="394"/>
    </row>
    <row r="294" spans="1:47" ht="15.75" x14ac:dyDescent="0.25">
      <c r="J294" s="894" t="s">
        <v>477</v>
      </c>
      <c r="K294" s="894"/>
      <c r="L294" s="429"/>
      <c r="M294" s="422"/>
      <c r="N294" s="422"/>
      <c r="O294" s="422"/>
      <c r="P294" s="422"/>
      <c r="V294" s="27"/>
      <c r="W294" s="397"/>
      <c r="X294" s="397"/>
      <c r="Y294" s="397"/>
      <c r="Z294" s="397"/>
      <c r="AA294" s="400"/>
      <c r="AB294" s="404"/>
      <c r="AC294" s="391"/>
      <c r="AD294" s="392"/>
      <c r="AE294" s="399"/>
      <c r="AF294" s="403"/>
      <c r="AG294" s="392"/>
      <c r="AH294" s="378"/>
      <c r="AI294" s="393"/>
      <c r="AJ294" s="394"/>
      <c r="AK294" s="394"/>
      <c r="AL294" s="405"/>
      <c r="AM294" s="405"/>
      <c r="AN294" s="405"/>
      <c r="AO294" s="405"/>
    </row>
    <row r="295" spans="1:47" ht="15.75" x14ac:dyDescent="0.25">
      <c r="J295" s="894" t="s">
        <v>217</v>
      </c>
      <c r="K295" s="894"/>
      <c r="L295" s="429" t="s">
        <v>180</v>
      </c>
      <c r="M295" s="422"/>
      <c r="N295" s="422"/>
      <c r="O295" s="422"/>
      <c r="P295" s="422"/>
      <c r="V295" s="27"/>
      <c r="W295" s="389"/>
      <c r="X295" s="389"/>
      <c r="Y295" s="389"/>
      <c r="Z295" s="389"/>
      <c r="AA295" s="390"/>
      <c r="AB295" s="391"/>
      <c r="AC295" s="391"/>
      <c r="AD295" s="392"/>
      <c r="AE295" s="391"/>
      <c r="AF295" s="392"/>
      <c r="AG295" s="392"/>
      <c r="AH295" s="378"/>
      <c r="AI295" s="393"/>
      <c r="AJ295" s="394"/>
      <c r="AK295" s="394"/>
      <c r="AL295" s="394"/>
      <c r="AM295" s="395"/>
      <c r="AN295" s="394"/>
      <c r="AO295" s="394"/>
    </row>
    <row r="296" spans="1:47" ht="15.75" x14ac:dyDescent="0.25">
      <c r="J296" s="894" t="s">
        <v>478</v>
      </c>
      <c r="K296" s="894"/>
      <c r="L296" s="429">
        <v>3500</v>
      </c>
      <c r="M296" s="422"/>
      <c r="N296" s="422"/>
      <c r="O296" s="422"/>
      <c r="P296" s="422"/>
      <c r="V296" s="27"/>
      <c r="W296" s="389"/>
      <c r="X296" s="389"/>
      <c r="Y296" s="389"/>
      <c r="Z296" s="389"/>
      <c r="AA296" s="390"/>
      <c r="AB296" s="391"/>
      <c r="AC296" s="391"/>
      <c r="AD296" s="392"/>
      <c r="AE296" s="391"/>
      <c r="AF296" s="392"/>
      <c r="AG296" s="392"/>
      <c r="AH296" s="378"/>
      <c r="AI296" s="393"/>
      <c r="AJ296" s="394"/>
      <c r="AK296" s="394"/>
      <c r="AL296" s="394"/>
      <c r="AM296" s="395"/>
      <c r="AN296" s="394"/>
      <c r="AO296" s="394"/>
    </row>
    <row r="297" spans="1:47" ht="15.75" x14ac:dyDescent="0.25">
      <c r="J297" s="894" t="s">
        <v>219</v>
      </c>
      <c r="K297" s="894"/>
      <c r="L297" s="429" t="s">
        <v>180</v>
      </c>
      <c r="M297" s="422"/>
      <c r="N297" s="422"/>
      <c r="O297" s="422"/>
      <c r="P297" s="422"/>
      <c r="V297" s="27"/>
      <c r="W297" s="273"/>
      <c r="X297" s="273"/>
      <c r="Y297" s="273"/>
      <c r="Z297" s="273"/>
      <c r="AA297" s="273"/>
      <c r="AB297" s="273"/>
      <c r="AC297" s="273"/>
      <c r="AD297" s="273"/>
      <c r="AE297" s="273"/>
      <c r="AF297" s="273"/>
      <c r="AG297" s="224"/>
      <c r="AH297" s="273"/>
      <c r="AI297" s="224"/>
      <c r="AJ297" s="1"/>
      <c r="AK297" s="1"/>
      <c r="AL297" s="1"/>
      <c r="AM297" s="1"/>
      <c r="AN297" s="1"/>
      <c r="AO297" s="1"/>
    </row>
    <row r="298" spans="1:47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4" t="s">
        <v>220</v>
      </c>
      <c r="K298" s="894"/>
      <c r="L298" s="429">
        <v>3500</v>
      </c>
      <c r="M298" s="422"/>
      <c r="N298" s="422"/>
      <c r="O298" s="422"/>
      <c r="P298" s="422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H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</row>
    <row r="299" spans="1:47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4" t="s">
        <v>221</v>
      </c>
      <c r="K299" s="894"/>
      <c r="L299" s="429">
        <v>3500</v>
      </c>
      <c r="M299" s="422"/>
      <c r="N299" s="422"/>
      <c r="O299" s="422"/>
      <c r="P299" s="422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H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</row>
    <row r="300" spans="1:47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4" t="s">
        <v>479</v>
      </c>
      <c r="K300" s="894"/>
      <c r="L300" s="804">
        <v>0</v>
      </c>
      <c r="M300" s="422"/>
      <c r="N300" s="422"/>
      <c r="O300" s="422"/>
      <c r="P300" s="422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H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</row>
    <row r="301" spans="1:47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4" t="s">
        <v>223</v>
      </c>
      <c r="K301" s="894"/>
      <c r="L301" s="804">
        <v>12000</v>
      </c>
      <c r="M301" s="430"/>
      <c r="N301" s="422"/>
      <c r="O301" s="422"/>
      <c r="P301" s="422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H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</row>
    <row r="302" spans="1:47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/>
      <c r="J302" s="894" t="s">
        <v>480</v>
      </c>
      <c r="K302" s="894"/>
      <c r="L302" s="804" t="s">
        <v>189</v>
      </c>
      <c r="M302" s="431"/>
      <c r="N302" s="431"/>
      <c r="O302" s="431"/>
      <c r="P302" s="431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H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</row>
    <row r="303" spans="1:47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3" t="s">
        <v>481</v>
      </c>
      <c r="K303" s="893"/>
      <c r="L303" s="432">
        <v>8500</v>
      </c>
      <c r="M303" s="431"/>
      <c r="N303" s="431"/>
      <c r="O303" s="431"/>
      <c r="P303" s="431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H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</row>
    <row r="304" spans="1:47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4" t="s">
        <v>482</v>
      </c>
      <c r="K304" s="894"/>
      <c r="L304" s="804">
        <v>8500</v>
      </c>
      <c r="M304" s="431"/>
      <c r="N304" s="431"/>
      <c r="O304" s="431"/>
      <c r="P304" s="431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H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</row>
    <row r="305" spans="1:47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/>
      <c r="J305" s="895" t="s">
        <v>483</v>
      </c>
      <c r="K305" s="895"/>
      <c r="L305" s="800" t="s">
        <v>189</v>
      </c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H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</row>
    <row r="306" spans="1:47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 t="s">
        <v>494</v>
      </c>
      <c r="J306" s="895" t="s">
        <v>484</v>
      </c>
      <c r="K306" s="895"/>
      <c r="L306" s="485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H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</row>
    <row r="307" spans="1:47" s="1" customFormat="1" ht="15.75" x14ac:dyDescent="0.25">
      <c r="A307" s="19"/>
      <c r="B307" s="153"/>
      <c r="C307" s="294"/>
      <c r="D307" s="18"/>
      <c r="E307" s="60"/>
      <c r="F307" s="91"/>
      <c r="G307" s="19"/>
      <c r="H307" s="2"/>
      <c r="I307" s="2"/>
      <c r="J307" s="895" t="s">
        <v>485</v>
      </c>
      <c r="K307" s="895"/>
      <c r="L307" s="800" t="s">
        <v>189</v>
      </c>
      <c r="M307" s="434"/>
      <c r="N307" s="434"/>
      <c r="O307" s="434"/>
      <c r="P307" s="434"/>
      <c r="S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H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</row>
    <row r="308" spans="1:47" s="1" customFormat="1" ht="15.75" x14ac:dyDescent="0.25">
      <c r="A308" s="19"/>
      <c r="B308" s="153"/>
      <c r="C308" s="294"/>
      <c r="D308" s="18"/>
      <c r="E308" s="60"/>
      <c r="F308" s="91"/>
      <c r="G308" s="19"/>
      <c r="H308" s="2"/>
      <c r="I308" s="2"/>
      <c r="J308" s="895" t="s">
        <v>486</v>
      </c>
      <c r="K308" s="895"/>
      <c r="L308" s="800" t="s">
        <v>189</v>
      </c>
      <c r="M308" s="434"/>
      <c r="N308" s="434"/>
      <c r="O308" s="434"/>
      <c r="P308" s="434"/>
      <c r="S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H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</row>
    <row r="309" spans="1:47" s="1" customFormat="1" ht="15.75" x14ac:dyDescent="0.25">
      <c r="A309" s="19"/>
      <c r="B309" s="153"/>
      <c r="C309" s="294"/>
      <c r="D309" s="18"/>
      <c r="E309" s="60"/>
      <c r="F309" s="91"/>
      <c r="G309" s="19"/>
      <c r="H309" s="2"/>
      <c r="I309" s="2"/>
      <c r="J309" s="892" t="s">
        <v>222</v>
      </c>
      <c r="K309" s="892"/>
      <c r="L309" s="800">
        <v>7500</v>
      </c>
      <c r="M309" s="434"/>
      <c r="N309" s="434"/>
      <c r="O309" s="434"/>
      <c r="P309" s="434"/>
      <c r="S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H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</row>
    <row r="310" spans="1:47" s="1" customFormat="1" ht="15.75" x14ac:dyDescent="0.25">
      <c r="A310" s="19"/>
      <c r="B310" s="153"/>
      <c r="C310" s="294"/>
      <c r="D310" s="18"/>
      <c r="E310" s="60"/>
      <c r="F310" s="91"/>
      <c r="G310" s="19"/>
      <c r="H310" s="2"/>
      <c r="I310" s="2"/>
      <c r="J310" s="892" t="s">
        <v>487</v>
      </c>
      <c r="K310" s="892"/>
      <c r="L310" s="800"/>
      <c r="M310" s="434"/>
      <c r="N310" s="434"/>
      <c r="O310" s="434"/>
      <c r="P310" s="434"/>
      <c r="S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H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</row>
    <row r="311" spans="1:47" s="1" customFormat="1" ht="15.75" x14ac:dyDescent="0.25">
      <c r="A311" s="19"/>
      <c r="B311" s="153"/>
      <c r="C311" s="294"/>
      <c r="D311" s="18"/>
      <c r="E311" s="60"/>
      <c r="F311" s="91"/>
      <c r="G311" s="19"/>
      <c r="H311" s="2"/>
      <c r="I311" s="2"/>
      <c r="J311" s="892" t="s">
        <v>213</v>
      </c>
      <c r="K311" s="892"/>
      <c r="L311" s="800" t="s">
        <v>161</v>
      </c>
      <c r="M311" s="434"/>
      <c r="N311" s="434"/>
      <c r="O311" s="434"/>
      <c r="P311" s="434"/>
      <c r="S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H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</row>
    <row r="312" spans="1:47" s="1" customFormat="1" ht="15.75" x14ac:dyDescent="0.25">
      <c r="A312" s="19"/>
      <c r="B312" s="153"/>
      <c r="C312" s="294"/>
      <c r="D312" s="18"/>
      <c r="E312" s="60"/>
      <c r="F312" s="91"/>
      <c r="G312" s="19"/>
      <c r="H312" s="2"/>
      <c r="I312" s="2" t="s">
        <v>494</v>
      </c>
      <c r="J312" s="892" t="s">
        <v>488</v>
      </c>
      <c r="K312" s="892"/>
      <c r="L312" s="485"/>
      <c r="M312" s="434"/>
      <c r="N312" s="434"/>
      <c r="O312" s="434"/>
      <c r="P312" s="434"/>
      <c r="S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H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</row>
    <row r="313" spans="1:47" s="1" customFormat="1" ht="15.75" x14ac:dyDescent="0.25">
      <c r="A313" s="19"/>
      <c r="B313" s="153"/>
      <c r="C313" s="294"/>
      <c r="D313" s="18"/>
      <c r="E313" s="60"/>
      <c r="F313" s="91"/>
      <c r="G313" s="19"/>
      <c r="H313" s="2"/>
      <c r="I313" s="2"/>
      <c r="J313" s="892" t="s">
        <v>489</v>
      </c>
      <c r="K313" s="892"/>
      <c r="L313" s="800"/>
      <c r="M313" s="434"/>
      <c r="N313" s="434"/>
      <c r="O313" s="434"/>
      <c r="P313" s="434"/>
      <c r="S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H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</row>
  </sheetData>
  <mergeCells count="179">
    <mergeCell ref="AQ228:AR228"/>
    <mergeCell ref="AQ229:AR229"/>
    <mergeCell ref="AQ230:AR230"/>
    <mergeCell ref="AQ231:AR231"/>
    <mergeCell ref="AQ232:AR232"/>
    <mergeCell ref="AQ233:AR233"/>
    <mergeCell ref="AL135:AN135"/>
    <mergeCell ref="J313:K313"/>
    <mergeCell ref="AL124:AN124"/>
    <mergeCell ref="AL125:AN125"/>
    <mergeCell ref="AL126:AN126"/>
    <mergeCell ref="AL127:AN127"/>
    <mergeCell ref="AL128:AN128"/>
    <mergeCell ref="AL131:AN131"/>
    <mergeCell ref="AL132:AN132"/>
    <mergeCell ref="AL133:AN133"/>
    <mergeCell ref="AL134:AN134"/>
    <mergeCell ref="J307:K307"/>
    <mergeCell ref="J308:K308"/>
    <mergeCell ref="J309:K309"/>
    <mergeCell ref="J310:K310"/>
    <mergeCell ref="J311:K311"/>
    <mergeCell ref="J312:K312"/>
    <mergeCell ref="J301:K301"/>
    <mergeCell ref="J302:K302"/>
    <mergeCell ref="J303:K303"/>
    <mergeCell ref="J304:K304"/>
    <mergeCell ref="J305:K305"/>
    <mergeCell ref="J306:K306"/>
    <mergeCell ref="J295:K295"/>
    <mergeCell ref="J296:K296"/>
    <mergeCell ref="J297:K297"/>
    <mergeCell ref="J298:K298"/>
    <mergeCell ref="J299:K299"/>
    <mergeCell ref="J300:K300"/>
    <mergeCell ref="J291:K291"/>
    <mergeCell ref="AA291:AC291"/>
    <mergeCell ref="J292:K292"/>
    <mergeCell ref="AA292:AC292"/>
    <mergeCell ref="J293:K293"/>
    <mergeCell ref="J294:K294"/>
    <mergeCell ref="J286:K286"/>
    <mergeCell ref="AA286:AC286"/>
    <mergeCell ref="J287:K287"/>
    <mergeCell ref="J288:K288"/>
    <mergeCell ref="J289:K289"/>
    <mergeCell ref="J290:K290"/>
    <mergeCell ref="J283:K283"/>
    <mergeCell ref="AA283:AC283"/>
    <mergeCell ref="J284:K284"/>
    <mergeCell ref="AA284:AC284"/>
    <mergeCell ref="J285:K285"/>
    <mergeCell ref="AA285:AC285"/>
    <mergeCell ref="J280:K280"/>
    <mergeCell ref="AA280:AC280"/>
    <mergeCell ref="J281:K281"/>
    <mergeCell ref="AA281:AC281"/>
    <mergeCell ref="J282:K282"/>
    <mergeCell ref="AA282:AC282"/>
    <mergeCell ref="J274:K274"/>
    <mergeCell ref="J275:K275"/>
    <mergeCell ref="J276:K276"/>
    <mergeCell ref="J277:K277"/>
    <mergeCell ref="J278:K278"/>
    <mergeCell ref="J279:K279"/>
    <mergeCell ref="J268:K268"/>
    <mergeCell ref="J269:K269"/>
    <mergeCell ref="J270:K270"/>
    <mergeCell ref="J271:K271"/>
    <mergeCell ref="J272:K272"/>
    <mergeCell ref="J273:K273"/>
    <mergeCell ref="AD248:AF248"/>
    <mergeCell ref="AG248:AH248"/>
    <mergeCell ref="AD262:AF262"/>
    <mergeCell ref="AG262:AH262"/>
    <mergeCell ref="J266:K266"/>
    <mergeCell ref="J267:K267"/>
    <mergeCell ref="AD231:AF231"/>
    <mergeCell ref="AG231:AH231"/>
    <mergeCell ref="AD232:AF232"/>
    <mergeCell ref="AG232:AH232"/>
    <mergeCell ref="B245:D245"/>
    <mergeCell ref="B247:D247"/>
    <mergeCell ref="M247:P247"/>
    <mergeCell ref="AO209:AP209"/>
    <mergeCell ref="AD215:AF215"/>
    <mergeCell ref="AG215:AH215"/>
    <mergeCell ref="B217:D217"/>
    <mergeCell ref="AD230:AF230"/>
    <mergeCell ref="AG230:AH230"/>
    <mergeCell ref="AO203:AP203"/>
    <mergeCell ref="AO204:AP204"/>
    <mergeCell ref="AO205:AP205"/>
    <mergeCell ref="AO206:AP206"/>
    <mergeCell ref="AO207:AP207"/>
    <mergeCell ref="AO208:AP208"/>
    <mergeCell ref="AO190:AP190"/>
    <mergeCell ref="AO193:AP193"/>
    <mergeCell ref="AO199:AP199"/>
    <mergeCell ref="AO200:AP200"/>
    <mergeCell ref="AO201:AP201"/>
    <mergeCell ref="AO202:AP202"/>
    <mergeCell ref="AO182:AQ182"/>
    <mergeCell ref="AO183:AQ183"/>
    <mergeCell ref="AO184:AQ184"/>
    <mergeCell ref="AO185:AQ185"/>
    <mergeCell ref="AO186:AQ186"/>
    <mergeCell ref="AO189:AP189"/>
    <mergeCell ref="AO170:AQ170"/>
    <mergeCell ref="AO174:AQ174"/>
    <mergeCell ref="AO175:AQ175"/>
    <mergeCell ref="AO176:AQ176"/>
    <mergeCell ref="AO177:AQ177"/>
    <mergeCell ref="AO178:AQ178"/>
    <mergeCell ref="AB165:AD165"/>
    <mergeCell ref="AB166:AD166"/>
    <mergeCell ref="AO166:AQ166"/>
    <mergeCell ref="AO167:AQ167"/>
    <mergeCell ref="AO168:AQ168"/>
    <mergeCell ref="AO169:AQ169"/>
    <mergeCell ref="AB159:AD159"/>
    <mergeCell ref="AB160:AD160"/>
    <mergeCell ref="AB161:AD161"/>
    <mergeCell ref="AB162:AD162"/>
    <mergeCell ref="AB163:AD163"/>
    <mergeCell ref="AB164:AD164"/>
    <mergeCell ref="AB154:AD154"/>
    <mergeCell ref="B155:D155"/>
    <mergeCell ref="AB155:AD155"/>
    <mergeCell ref="AB156:AD156"/>
    <mergeCell ref="AB157:AD157"/>
    <mergeCell ref="W132:AB132"/>
    <mergeCell ref="W133:AB133"/>
    <mergeCell ref="W134:AB134"/>
    <mergeCell ref="W135:AB135"/>
    <mergeCell ref="AB151:AD151"/>
    <mergeCell ref="AB153:AD153"/>
    <mergeCell ref="W124:AB124"/>
    <mergeCell ref="W125:AB125"/>
    <mergeCell ref="W126:AB126"/>
    <mergeCell ref="W127:AB127"/>
    <mergeCell ref="W128:AB128"/>
    <mergeCell ref="W131:AB131"/>
    <mergeCell ref="W77:AB77"/>
    <mergeCell ref="W80:AB80"/>
    <mergeCell ref="W81:AB81"/>
    <mergeCell ref="W82:AB82"/>
    <mergeCell ref="W83:AB83"/>
    <mergeCell ref="W84:AB84"/>
    <mergeCell ref="W62:AB62"/>
    <mergeCell ref="W63:AB63"/>
    <mergeCell ref="W64:AB64"/>
    <mergeCell ref="W65:AB65"/>
    <mergeCell ref="W66:AB66"/>
    <mergeCell ref="W76:AB76"/>
    <mergeCell ref="W29:AB29"/>
    <mergeCell ref="W30:AB30"/>
    <mergeCell ref="W31:AB31"/>
    <mergeCell ref="W32:AB32"/>
    <mergeCell ref="W33:AB33"/>
    <mergeCell ref="W61:AB61"/>
    <mergeCell ref="A14:A15"/>
    <mergeCell ref="B14:D15"/>
    <mergeCell ref="E14:E15"/>
    <mergeCell ref="F14:F15"/>
    <mergeCell ref="G14:G15"/>
    <mergeCell ref="H14:H15"/>
    <mergeCell ref="B35:D35"/>
    <mergeCell ref="W22:AB22"/>
    <mergeCell ref="W23:AB23"/>
    <mergeCell ref="W24:AB24"/>
    <mergeCell ref="W25:AB25"/>
    <mergeCell ref="W26:AB26"/>
    <mergeCell ref="I14:I15"/>
    <mergeCell ref="J14:J15"/>
    <mergeCell ref="K14:K15"/>
    <mergeCell ref="L14:L15"/>
    <mergeCell ref="M14:O14"/>
    <mergeCell ref="P14:P15"/>
  </mergeCells>
  <printOptions horizontalCentered="1"/>
  <pageMargins left="0.25" right="0.25" top="0.5" bottom="0.5" header="0.3" footer="0.3"/>
  <pageSetup scale="65" orientation="landscape" r:id="rId1"/>
  <headerFooter>
    <oddFooter>Page &amp;P of &amp;N</oddFooter>
  </headerFooter>
  <rowBreaks count="2" manualBreakCount="2">
    <brk id="62" max="15" man="1"/>
    <brk id="155" max="1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313"/>
  <sheetViews>
    <sheetView showGridLines="0" tabSelected="1" view="pageBreakPreview" topLeftCell="D284" zoomScale="80" zoomScaleNormal="85" zoomScaleSheetLayoutView="80" workbookViewId="0">
      <selection activeCell="N19" sqref="N19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9.85546875" style="18" customWidth="1"/>
    <col min="5" max="5" width="10.85546875" style="60" hidden="1" customWidth="1" outlineLevel="1"/>
    <col min="6" max="6" width="10.140625" style="91" customWidth="1" collapsed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13.85546875" style="18" bestFit="1" customWidth="1"/>
    <col min="20" max="20" width="10.5703125" style="1" bestFit="1" customWidth="1"/>
    <col min="21" max="21" width="9.140625" style="18"/>
    <col min="22" max="22" width="4.140625" style="18" customWidth="1"/>
    <col min="23" max="26" width="20.140625" style="18" customWidth="1"/>
    <col min="27" max="27" width="20.28515625" style="18" customWidth="1"/>
    <col min="28" max="28" width="15.42578125" style="18" customWidth="1"/>
    <col min="29" max="29" width="10.7109375" style="18" customWidth="1"/>
    <col min="30" max="30" width="12.85546875" style="18" customWidth="1"/>
    <col min="31" max="32" width="10.7109375" style="18" customWidth="1"/>
    <col min="33" max="33" width="14.42578125" style="1" customWidth="1"/>
    <col min="34" max="34" width="10.7109375" style="18" customWidth="1"/>
    <col min="35" max="35" width="13.42578125" style="1" customWidth="1"/>
    <col min="36" max="36" width="10.7109375" style="18" customWidth="1"/>
    <col min="37" max="37" width="13.140625" style="18" customWidth="1"/>
    <col min="38" max="44" width="9.140625" style="18"/>
    <col min="45" max="45" width="12" style="18" customWidth="1"/>
    <col min="46" max="46" width="10" style="18" customWidth="1"/>
    <col min="47" max="47" width="14.28515625" style="18" customWidth="1"/>
    <col min="48" max="48" width="11.7109375" style="18" customWidth="1"/>
    <col min="49" max="49" width="12.42578125" style="18" customWidth="1"/>
    <col min="50" max="50" width="11" style="18" customWidth="1"/>
    <col min="51" max="51" width="12.7109375" style="18" customWidth="1"/>
    <col min="52" max="16384" width="9.140625" style="18"/>
  </cols>
  <sheetData>
    <row r="1" spans="1:47" hidden="1" x14ac:dyDescent="0.25"/>
    <row r="2" spans="1:47" hidden="1" x14ac:dyDescent="0.25"/>
    <row r="3" spans="1:47" hidden="1" x14ac:dyDescent="0.25"/>
    <row r="4" spans="1:47" hidden="1" x14ac:dyDescent="0.25"/>
    <row r="5" spans="1:47" hidden="1" x14ac:dyDescent="0.25"/>
    <row r="7" spans="1:47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G7" s="325"/>
      <c r="AI7" s="325"/>
    </row>
    <row r="8" spans="1:47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G8" s="325"/>
      <c r="AI8" s="325"/>
    </row>
    <row r="9" spans="1:47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G9" s="325"/>
      <c r="AI9" s="325"/>
    </row>
    <row r="10" spans="1:47" s="28" customFormat="1" ht="15.75" x14ac:dyDescent="0.25">
      <c r="A10" s="236" t="s">
        <v>24</v>
      </c>
      <c r="B10" s="165" t="s">
        <v>1</v>
      </c>
      <c r="C10" s="299"/>
      <c r="D10" s="812">
        <v>41902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G10" s="325"/>
      <c r="AI10" s="325"/>
    </row>
    <row r="11" spans="1:47" ht="15.75" x14ac:dyDescent="0.25">
      <c r="A11" s="235"/>
      <c r="D11" s="21"/>
      <c r="E11" s="181"/>
      <c r="AO11" s="288" t="s">
        <v>317</v>
      </c>
      <c r="AP11" s="227"/>
      <c r="AQ11" s="228"/>
      <c r="AR11" s="228"/>
      <c r="AS11" s="232">
        <f>9200000*0.3</f>
        <v>2760000</v>
      </c>
      <c r="AT11" s="228"/>
      <c r="AU11" s="227"/>
    </row>
    <row r="12" spans="1:47" hidden="1" x14ac:dyDescent="0.25">
      <c r="A12" s="235"/>
      <c r="D12" s="21"/>
      <c r="E12" s="181"/>
      <c r="T12" s="224"/>
      <c r="U12" s="273"/>
      <c r="V12" s="273"/>
      <c r="AG12" s="224"/>
      <c r="AH12" s="273"/>
      <c r="AI12" s="224"/>
      <c r="AJ12" s="273"/>
      <c r="AK12" s="273"/>
      <c r="AL12" s="273"/>
      <c r="AM12" s="273"/>
      <c r="AN12" s="273"/>
      <c r="AO12" s="227" t="s">
        <v>310</v>
      </c>
      <c r="AP12" s="227"/>
      <c r="AQ12" s="228"/>
      <c r="AR12" s="228"/>
      <c r="AS12" s="228"/>
      <c r="AT12" s="228"/>
      <c r="AU12" s="229">
        <f>AS11*0.006</f>
        <v>16560</v>
      </c>
    </row>
    <row r="13" spans="1:47" ht="15.75" thickBot="1" x14ac:dyDescent="0.3">
      <c r="T13" s="224"/>
      <c r="U13" s="273"/>
      <c r="V13" s="273"/>
      <c r="AN13" s="273"/>
      <c r="AO13" s="227" t="s">
        <v>312</v>
      </c>
      <c r="AP13" s="227"/>
      <c r="AQ13" s="228"/>
      <c r="AR13" s="228"/>
      <c r="AS13" s="228"/>
      <c r="AT13" s="228"/>
      <c r="AU13" s="229">
        <f>(AU12*0.125)+30</f>
        <v>2100</v>
      </c>
    </row>
    <row r="14" spans="1:47" s="274" customFormat="1" x14ac:dyDescent="0.25">
      <c r="A14" s="944" t="s">
        <v>4</v>
      </c>
      <c r="B14" s="946" t="s">
        <v>7</v>
      </c>
      <c r="C14" s="947"/>
      <c r="D14" s="948"/>
      <c r="E14" s="952" t="s">
        <v>81</v>
      </c>
      <c r="F14" s="954" t="s">
        <v>6</v>
      </c>
      <c r="G14" s="956" t="s">
        <v>5</v>
      </c>
      <c r="H14" s="937" t="s">
        <v>174</v>
      </c>
      <c r="I14" s="937" t="s">
        <v>175</v>
      </c>
      <c r="J14" s="937" t="s">
        <v>176</v>
      </c>
      <c r="K14" s="937" t="s">
        <v>177</v>
      </c>
      <c r="L14" s="937" t="s">
        <v>178</v>
      </c>
      <c r="M14" s="939" t="s">
        <v>8</v>
      </c>
      <c r="N14" s="940"/>
      <c r="O14" s="941"/>
      <c r="P14" s="942" t="s">
        <v>11</v>
      </c>
      <c r="Q14" s="441"/>
      <c r="R14" s="441"/>
      <c r="T14" s="441"/>
      <c r="AO14" s="285" t="s">
        <v>314</v>
      </c>
      <c r="AP14" s="285"/>
      <c r="AQ14" s="286"/>
      <c r="AR14" s="286"/>
      <c r="AS14" s="286"/>
      <c r="AT14" s="286"/>
      <c r="AU14" s="127">
        <f>AU12*0.12</f>
        <v>1987.1999999999998</v>
      </c>
    </row>
    <row r="15" spans="1:47" s="274" customFormat="1" ht="15.75" thickBot="1" x14ac:dyDescent="0.3">
      <c r="A15" s="945"/>
      <c r="B15" s="949"/>
      <c r="C15" s="950"/>
      <c r="D15" s="951"/>
      <c r="E15" s="953"/>
      <c r="F15" s="955"/>
      <c r="G15" s="957"/>
      <c r="H15" s="938"/>
      <c r="I15" s="938"/>
      <c r="J15" s="938"/>
      <c r="K15" s="938"/>
      <c r="L15" s="938"/>
      <c r="M15" s="808" t="s">
        <v>9</v>
      </c>
      <c r="N15" s="808" t="s">
        <v>10</v>
      </c>
      <c r="O15" s="808" t="s">
        <v>230</v>
      </c>
      <c r="P15" s="943"/>
      <c r="Q15" s="441"/>
      <c r="R15" s="441"/>
      <c r="T15" s="441"/>
      <c r="AO15" s="285" t="s">
        <v>299</v>
      </c>
      <c r="AP15" s="285"/>
      <c r="AQ15" s="286"/>
      <c r="AR15" s="286"/>
      <c r="AS15" s="286"/>
      <c r="AT15" s="286"/>
      <c r="AU15" s="127">
        <f>AU12*0.002</f>
        <v>33.119999999999997</v>
      </c>
    </row>
    <row r="16" spans="1:47" s="225" customFormat="1" ht="15.75" x14ac:dyDescent="0.25">
      <c r="A16" s="692" t="s">
        <v>80</v>
      </c>
      <c r="B16" s="693" t="s">
        <v>315</v>
      </c>
      <c r="C16" s="694"/>
      <c r="D16" s="516"/>
      <c r="E16" s="185"/>
      <c r="F16" s="302"/>
      <c r="G16" s="695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N16" s="278"/>
      <c r="AO16" s="285" t="s">
        <v>302</v>
      </c>
      <c r="AP16" s="285"/>
      <c r="AQ16" s="286"/>
      <c r="AR16" s="286"/>
      <c r="AS16" s="286"/>
      <c r="AT16" s="286"/>
      <c r="AU16" s="127">
        <v>200</v>
      </c>
    </row>
    <row r="17" spans="1:47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266"/>
      <c r="I17" s="72">
        <f>H17*F17</f>
        <v>0</v>
      </c>
      <c r="J17" s="266"/>
      <c r="K17" s="72">
        <f>J17*F17</f>
        <v>0</v>
      </c>
      <c r="L17" s="72">
        <f>I17+K17</f>
        <v>0</v>
      </c>
      <c r="M17" s="74">
        <f>H17/$P$264*$P$272</f>
        <v>0</v>
      </c>
      <c r="N17" s="74">
        <f>J17/$P$264*$P$272</f>
        <v>0</v>
      </c>
      <c r="O17" s="72">
        <f t="shared" ref="O17:O33" si="0">N17+M17</f>
        <v>0</v>
      </c>
      <c r="P17" s="205">
        <f t="shared" ref="P17:P33" si="1">O17*F17</f>
        <v>0</v>
      </c>
      <c r="Q17" s="272">
        <f>L17/$P$264*$P$272</f>
        <v>0</v>
      </c>
      <c r="R17" s="439">
        <f t="shared" ref="R17:R36" si="2">P17-Q17</f>
        <v>0</v>
      </c>
      <c r="S17" s="230"/>
      <c r="T17" s="439"/>
      <c r="U17" s="275"/>
      <c r="V17" s="276"/>
      <c r="AN17" s="278"/>
      <c r="AO17" s="285" t="s">
        <v>304</v>
      </c>
      <c r="AP17" s="285"/>
      <c r="AQ17" s="286"/>
      <c r="AR17" s="286"/>
      <c r="AS17" s="286"/>
      <c r="AT17" s="286"/>
      <c r="AU17" s="690">
        <f>SUM(AU12:AU16)</f>
        <v>20880.32</v>
      </c>
    </row>
    <row r="18" spans="1:47" s="225" customFormat="1" x14ac:dyDescent="0.25">
      <c r="A18" s="263"/>
      <c r="B18" s="261"/>
      <c r="C18" s="318">
        <v>2</v>
      </c>
      <c r="D18" s="516" t="s">
        <v>303</v>
      </c>
      <c r="E18" s="71">
        <v>1</v>
      </c>
      <c r="F18" s="302">
        <v>1</v>
      </c>
      <c r="G18" s="262" t="s">
        <v>301</v>
      </c>
      <c r="H18" s="266"/>
      <c r="I18" s="72">
        <f t="shared" ref="I18:I33" si="3">H18*F18</f>
        <v>0</v>
      </c>
      <c r="J18" s="266"/>
      <c r="K18" s="72">
        <f t="shared" ref="K18:K33" si="4">J18*F18</f>
        <v>0</v>
      </c>
      <c r="L18" s="72">
        <f t="shared" ref="L18:L33" si="5">I18+K18</f>
        <v>0</v>
      </c>
      <c r="M18" s="74">
        <f>H18/$P$264*$P$272</f>
        <v>0</v>
      </c>
      <c r="N18" s="74">
        <f>J18/$P$264*$P$272</f>
        <v>0</v>
      </c>
      <c r="O18" s="72">
        <f t="shared" si="0"/>
        <v>0</v>
      </c>
      <c r="P18" s="205">
        <f t="shared" si="1"/>
        <v>0</v>
      </c>
      <c r="Q18" s="272">
        <f>L18/$P$264*$P$272</f>
        <v>0</v>
      </c>
      <c r="R18" s="439">
        <f t="shared" si="2"/>
        <v>0</v>
      </c>
      <c r="S18" s="230"/>
      <c r="T18" s="439"/>
      <c r="U18" s="275"/>
      <c r="V18" s="276"/>
      <c r="AN18" s="279"/>
      <c r="AO18" s="285" t="s">
        <v>306</v>
      </c>
      <c r="AP18" s="285"/>
      <c r="AQ18" s="286"/>
      <c r="AR18" s="286"/>
      <c r="AS18" s="286"/>
      <c r="AT18" s="286"/>
      <c r="AU18" s="127"/>
    </row>
    <row r="19" spans="1:47" s="225" customFormat="1" x14ac:dyDescent="0.25">
      <c r="A19" s="263"/>
      <c r="B19" s="261"/>
      <c r="C19" s="318">
        <v>3</v>
      </c>
      <c r="D19" s="516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3"/>
        <v>5000</v>
      </c>
      <c r="J19" s="72">
        <v>10000</v>
      </c>
      <c r="K19" s="72">
        <f t="shared" si="4"/>
        <v>10000</v>
      </c>
      <c r="L19" s="72">
        <f t="shared" si="5"/>
        <v>15000</v>
      </c>
      <c r="M19" s="74">
        <f t="shared" ref="M19" si="6">H19/$P$264*$P$272</f>
        <v>6907.0816511129779</v>
      </c>
      <c r="N19" s="74">
        <f t="shared" ref="N19" si="7">J19/$P$264*$P$272</f>
        <v>13814.163302225956</v>
      </c>
      <c r="O19" s="72">
        <f t="shared" si="0"/>
        <v>20721.244953338934</v>
      </c>
      <c r="P19" s="205">
        <f t="shared" si="1"/>
        <v>20721.244953338934</v>
      </c>
      <c r="Q19" s="272">
        <f>L19/$P$264*$P$272</f>
        <v>20721.244953338934</v>
      </c>
      <c r="R19" s="439">
        <f t="shared" si="2"/>
        <v>0</v>
      </c>
      <c r="S19" s="230"/>
      <c r="T19" s="439"/>
      <c r="U19" s="275"/>
      <c r="V19" s="264"/>
      <c r="AN19" s="278"/>
      <c r="AO19" s="285"/>
      <c r="AP19" s="285"/>
      <c r="AQ19" s="286"/>
      <c r="AR19" s="286"/>
      <c r="AS19" s="286"/>
      <c r="AT19" s="286"/>
      <c r="AU19" s="127"/>
    </row>
    <row r="20" spans="1:47" s="225" customFormat="1" ht="15.75" x14ac:dyDescent="0.25">
      <c r="A20" s="263"/>
      <c r="B20" s="261"/>
      <c r="C20" s="318">
        <v>4</v>
      </c>
      <c r="D20" s="499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3"/>
        <v>0</v>
      </c>
      <c r="J20" s="566">
        <f>4*(24000+16000+16000)/1.06</f>
        <v>211320.75471698112</v>
      </c>
      <c r="K20" s="72">
        <f t="shared" si="4"/>
        <v>211320.75471698112</v>
      </c>
      <c r="L20" s="72">
        <f t="shared" si="5"/>
        <v>211320.75471698112</v>
      </c>
      <c r="M20" s="74">
        <f>H20/$P$264*$P$272</f>
        <v>0</v>
      </c>
      <c r="N20" s="74">
        <f>J20/$P$264*$P$272</f>
        <v>291921.94148100133</v>
      </c>
      <c r="O20" s="72">
        <f t="shared" si="0"/>
        <v>291921.94148100133</v>
      </c>
      <c r="P20" s="205">
        <f t="shared" si="1"/>
        <v>291921.94148100133</v>
      </c>
      <c r="Q20" s="272">
        <f>L20/$P$264*$P$272</f>
        <v>291921.94148100133</v>
      </c>
      <c r="R20" s="439">
        <f t="shared" si="2"/>
        <v>0</v>
      </c>
      <c r="S20" s="230"/>
      <c r="T20" s="439"/>
      <c r="U20" s="275"/>
      <c r="V20" s="280"/>
      <c r="AN20" s="278"/>
      <c r="AO20" s="696" t="s">
        <v>308</v>
      </c>
      <c r="AP20" s="285"/>
      <c r="AQ20" s="286"/>
      <c r="AR20" s="286"/>
      <c r="AS20" s="697">
        <f>9200000*0.3</f>
        <v>2760000</v>
      </c>
      <c r="AT20" s="286"/>
      <c r="AU20" s="127"/>
    </row>
    <row r="21" spans="1:47" s="225" customFormat="1" x14ac:dyDescent="0.25">
      <c r="A21" s="263"/>
      <c r="B21" s="261"/>
      <c r="C21" s="318">
        <v>5</v>
      </c>
      <c r="D21" s="516" t="s">
        <v>307</v>
      </c>
      <c r="E21" s="71">
        <v>1</v>
      </c>
      <c r="F21" s="302">
        <v>1</v>
      </c>
      <c r="G21" s="262" t="s">
        <v>301</v>
      </c>
      <c r="H21" s="72">
        <f>(AU17+AU26+AU33)/1.07</f>
        <v>53503.15887850467</v>
      </c>
      <c r="I21" s="72">
        <f t="shared" si="3"/>
        <v>53503.15887850467</v>
      </c>
      <c r="J21" s="72">
        <v>2500</v>
      </c>
      <c r="K21" s="72">
        <f t="shared" si="4"/>
        <v>2500</v>
      </c>
      <c r="L21" s="72">
        <f t="shared" si="5"/>
        <v>56003.15887850467</v>
      </c>
      <c r="M21" s="74">
        <f>H21/$P$264*$P$272</f>
        <v>73910.137393260404</v>
      </c>
      <c r="N21" s="74">
        <f>J21/$P$264*$P$272</f>
        <v>3453.5408255564889</v>
      </c>
      <c r="O21" s="72">
        <f t="shared" si="0"/>
        <v>77363.678218816887</v>
      </c>
      <c r="P21" s="205">
        <f t="shared" si="1"/>
        <v>77363.678218816887</v>
      </c>
      <c r="Q21" s="272">
        <f>L21/$P$264*$P$272</f>
        <v>77363.678218816887</v>
      </c>
      <c r="R21" s="439">
        <f t="shared" si="2"/>
        <v>0</v>
      </c>
      <c r="S21" s="230"/>
      <c r="T21" s="439"/>
      <c r="U21" s="275"/>
      <c r="V21" s="281"/>
      <c r="AN21" s="278"/>
      <c r="AO21" s="285" t="s">
        <v>310</v>
      </c>
      <c r="AP21" s="285"/>
      <c r="AQ21" s="286"/>
      <c r="AR21" s="286"/>
      <c r="AS21" s="286"/>
      <c r="AT21" s="286"/>
      <c r="AU21" s="127">
        <f>AS20*0.0055</f>
        <v>15180</v>
      </c>
    </row>
    <row r="22" spans="1:47" s="225" customFormat="1" x14ac:dyDescent="0.25">
      <c r="A22" s="263"/>
      <c r="B22" s="261"/>
      <c r="C22" s="318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3"/>
        <v>35000</v>
      </c>
      <c r="J22" s="72">
        <v>5000</v>
      </c>
      <c r="K22" s="72">
        <f t="shared" si="4"/>
        <v>5000</v>
      </c>
      <c r="L22" s="72">
        <f t="shared" si="5"/>
        <v>40000</v>
      </c>
      <c r="M22" s="74">
        <f>H22/$P$264*$P$272</f>
        <v>48349.571557790841</v>
      </c>
      <c r="N22" s="74">
        <f>J22/$P$264*$P$272</f>
        <v>6907.0816511129779</v>
      </c>
      <c r="O22" s="72">
        <f t="shared" si="0"/>
        <v>55256.653208903823</v>
      </c>
      <c r="P22" s="205">
        <f t="shared" si="1"/>
        <v>55256.653208903823</v>
      </c>
      <c r="Q22" s="272">
        <f>L22/$P$264*$P$272</f>
        <v>55256.653208903823</v>
      </c>
      <c r="R22" s="439">
        <f t="shared" si="2"/>
        <v>0</v>
      </c>
      <c r="S22" s="230"/>
      <c r="T22" s="442"/>
      <c r="U22" s="275"/>
      <c r="V22" s="276"/>
      <c r="W22" s="925" t="s">
        <v>292</v>
      </c>
      <c r="X22" s="925"/>
      <c r="Y22" s="925"/>
      <c r="Z22" s="925"/>
      <c r="AA22" s="925"/>
      <c r="AB22" s="925"/>
      <c r="AC22" s="586" t="s">
        <v>243</v>
      </c>
      <c r="AD22" s="586" t="s">
        <v>244</v>
      </c>
      <c r="AE22" s="586" t="s">
        <v>245</v>
      </c>
      <c r="AF22" s="587" t="s">
        <v>246</v>
      </c>
      <c r="AG22" s="588" t="s">
        <v>247</v>
      </c>
      <c r="AH22" s="586" t="s">
        <v>248</v>
      </c>
      <c r="AI22" s="589" t="s">
        <v>249</v>
      </c>
      <c r="AN22" s="278"/>
      <c r="AO22" s="285" t="s">
        <v>312</v>
      </c>
      <c r="AP22" s="285"/>
      <c r="AQ22" s="286"/>
      <c r="AR22" s="286"/>
      <c r="AS22" s="286"/>
      <c r="AT22" s="286"/>
      <c r="AU22" s="127">
        <f>(AU21*0.125)+30</f>
        <v>1927.5</v>
      </c>
    </row>
    <row r="23" spans="1:47" s="225" customFormat="1" x14ac:dyDescent="0.25">
      <c r="A23" s="263"/>
      <c r="B23" s="261"/>
      <c r="C23" s="318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3"/>
        <v>108000</v>
      </c>
      <c r="J23" s="72"/>
      <c r="K23" s="72">
        <f t="shared" si="4"/>
        <v>0</v>
      </c>
      <c r="L23" s="72">
        <f t="shared" si="5"/>
        <v>108000</v>
      </c>
      <c r="M23" s="74">
        <f>H23/$P$264*$P$272</f>
        <v>149192.96366404032</v>
      </c>
      <c r="N23" s="74">
        <f>J23/$P$264*$P$272</f>
        <v>0</v>
      </c>
      <c r="O23" s="72">
        <f t="shared" si="0"/>
        <v>149192.96366404032</v>
      </c>
      <c r="P23" s="205">
        <f t="shared" si="1"/>
        <v>149192.96366404032</v>
      </c>
      <c r="Q23" s="272">
        <f>L23/$P$264*$P$272</f>
        <v>149192.96366404032</v>
      </c>
      <c r="R23" s="439">
        <f t="shared" si="2"/>
        <v>0</v>
      </c>
      <c r="S23" s="230"/>
      <c r="T23" s="442"/>
      <c r="U23" s="275"/>
      <c r="V23" s="276"/>
      <c r="W23" s="926" t="s">
        <v>260</v>
      </c>
      <c r="X23" s="926"/>
      <c r="Y23" s="926"/>
      <c r="Z23" s="926"/>
      <c r="AA23" s="926"/>
      <c r="AB23" s="926"/>
      <c r="AC23" s="593" t="s">
        <v>251</v>
      </c>
      <c r="AD23" s="833">
        <v>4.93</v>
      </c>
      <c r="AE23" s="833">
        <v>5.15</v>
      </c>
      <c r="AF23" s="587">
        <f>154/1.06</f>
        <v>145.28301886792451</v>
      </c>
      <c r="AG23" s="588">
        <f>AF23*AE23</f>
        <v>748.20754716981128</v>
      </c>
      <c r="AH23" s="833">
        <v>18</v>
      </c>
      <c r="AI23" s="595">
        <f>AH23*AE23</f>
        <v>92.7</v>
      </c>
      <c r="AN23" s="278"/>
      <c r="AO23" s="285" t="s">
        <v>314</v>
      </c>
      <c r="AP23" s="285"/>
      <c r="AQ23" s="286"/>
      <c r="AR23" s="286"/>
      <c r="AS23" s="286"/>
      <c r="AT23" s="286"/>
      <c r="AU23" s="127">
        <f>AU21*0.12</f>
        <v>1821.6</v>
      </c>
    </row>
    <row r="24" spans="1:47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3"/>
        <v>0</v>
      </c>
      <c r="J24" s="72"/>
      <c r="K24" s="72">
        <f t="shared" si="4"/>
        <v>0</v>
      </c>
      <c r="L24" s="72">
        <f t="shared" si="5"/>
        <v>0</v>
      </c>
      <c r="M24" s="74">
        <f>H24/$P$264*$P$272</f>
        <v>0</v>
      </c>
      <c r="N24" s="74">
        <f>J24/$P$264*$P$272</f>
        <v>0</v>
      </c>
      <c r="O24" s="72">
        <f t="shared" si="0"/>
        <v>0</v>
      </c>
      <c r="P24" s="205">
        <f t="shared" si="1"/>
        <v>0</v>
      </c>
      <c r="Q24" s="272">
        <f>L24/$P$264*$P$272</f>
        <v>0</v>
      </c>
      <c r="R24" s="439">
        <f t="shared" si="2"/>
        <v>0</v>
      </c>
      <c r="S24" s="230"/>
      <c r="T24" s="442"/>
      <c r="U24" s="275"/>
      <c r="V24" s="276"/>
      <c r="W24" s="878" t="s">
        <v>261</v>
      </c>
      <c r="X24" s="878"/>
      <c r="Y24" s="878"/>
      <c r="Z24" s="878"/>
      <c r="AA24" s="878"/>
      <c r="AB24" s="878"/>
      <c r="AC24" s="124" t="s">
        <v>262</v>
      </c>
      <c r="AD24" s="823">
        <v>4.9299999999999997E-2</v>
      </c>
      <c r="AE24" s="823">
        <v>0.05</v>
      </c>
      <c r="AF24" s="123">
        <f>580/1.05</f>
        <v>552.38095238095241</v>
      </c>
      <c r="AG24" s="196">
        <f>AF24*AE24</f>
        <v>27.61904761904762</v>
      </c>
      <c r="AH24" s="823"/>
      <c r="AI24" s="219">
        <f>AH24*AE24</f>
        <v>0</v>
      </c>
      <c r="AN24" s="278"/>
      <c r="AO24" s="285" t="s">
        <v>299</v>
      </c>
      <c r="AP24" s="285"/>
      <c r="AQ24" s="286"/>
      <c r="AR24" s="286"/>
      <c r="AS24" s="286"/>
      <c r="AT24" s="286"/>
      <c r="AU24" s="127">
        <f>AU21*0.002</f>
        <v>30.36</v>
      </c>
    </row>
    <row r="25" spans="1:47" s="225" customFormat="1" x14ac:dyDescent="0.25">
      <c r="A25" s="263"/>
      <c r="B25" s="261"/>
      <c r="C25" s="318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72">
        <f>155+47*5</f>
        <v>390</v>
      </c>
      <c r="I25" s="72">
        <f t="shared" si="3"/>
        <v>514800</v>
      </c>
      <c r="J25" s="72">
        <v>76</v>
      </c>
      <c r="K25" s="72">
        <f t="shared" si="4"/>
        <v>100320</v>
      </c>
      <c r="L25" s="72">
        <f t="shared" si="5"/>
        <v>615120</v>
      </c>
      <c r="M25" s="74">
        <f>H25/$P$264*$P$272</f>
        <v>538.75236878681221</v>
      </c>
      <c r="N25" s="74">
        <f>J25/$P$264*$P$272</f>
        <v>104.98764109691726</v>
      </c>
      <c r="O25" s="72">
        <f t="shared" si="0"/>
        <v>643.7400098837295</v>
      </c>
      <c r="P25" s="205">
        <f t="shared" si="1"/>
        <v>849736.8130465229</v>
      </c>
      <c r="Q25" s="272">
        <f>L25/$P$264*$P$272</f>
        <v>849736.81304652302</v>
      </c>
      <c r="R25" s="439">
        <f t="shared" si="2"/>
        <v>0</v>
      </c>
      <c r="S25" s="230"/>
      <c r="T25" s="442"/>
      <c r="U25" s="275"/>
      <c r="V25" s="276"/>
      <c r="W25" s="878" t="str">
        <f>W65</f>
        <v>mortar (topping) included @ other item</v>
      </c>
      <c r="X25" s="878"/>
      <c r="Y25" s="878"/>
      <c r="Z25" s="878"/>
      <c r="AA25" s="878"/>
      <c r="AB25" s="878"/>
      <c r="AC25" s="124" t="s">
        <v>257</v>
      </c>
      <c r="AD25" s="823">
        <v>1</v>
      </c>
      <c r="AE25" s="823">
        <v>1</v>
      </c>
      <c r="AF25" s="123">
        <f>AF66</f>
        <v>0</v>
      </c>
      <c r="AG25" s="196">
        <f>AF25*AE25</f>
        <v>0</v>
      </c>
      <c r="AH25" s="823">
        <f>AH33</f>
        <v>0</v>
      </c>
      <c r="AI25" s="219">
        <f>AH25*AE25</f>
        <v>0</v>
      </c>
      <c r="AN25" s="278"/>
      <c r="AO25" s="285" t="s">
        <v>302</v>
      </c>
      <c r="AP25" s="285"/>
      <c r="AQ25" s="286"/>
      <c r="AR25" s="286"/>
      <c r="AS25" s="286"/>
      <c r="AT25" s="286"/>
      <c r="AU25" s="127">
        <v>200</v>
      </c>
    </row>
    <row r="26" spans="1:47" s="225" customFormat="1" x14ac:dyDescent="0.25">
      <c r="A26" s="263"/>
      <c r="B26" s="261"/>
      <c r="C26" s="318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3"/>
        <v>46601.941747572811</v>
      </c>
      <c r="J26" s="72">
        <v>4000</v>
      </c>
      <c r="K26" s="72">
        <f t="shared" si="4"/>
        <v>4000</v>
      </c>
      <c r="L26" s="72">
        <f t="shared" si="5"/>
        <v>50601.941747572811</v>
      </c>
      <c r="M26" s="74">
        <f>H26/$P$264*$P$272</f>
        <v>64376.683350179199</v>
      </c>
      <c r="N26" s="74">
        <f>J26/$P$264*$P$272</f>
        <v>5525.6653208903826</v>
      </c>
      <c r="O26" s="72">
        <f t="shared" si="0"/>
        <v>69902.348671069587</v>
      </c>
      <c r="P26" s="205">
        <f t="shared" si="1"/>
        <v>69902.348671069587</v>
      </c>
      <c r="Q26" s="272">
        <f>L26/$P$264*$P$272</f>
        <v>69902.348671069587</v>
      </c>
      <c r="R26" s="439">
        <f t="shared" si="2"/>
        <v>0</v>
      </c>
      <c r="S26" s="230"/>
      <c r="T26" s="442"/>
      <c r="U26" s="275"/>
      <c r="V26" s="276"/>
      <c r="W26" s="878"/>
      <c r="X26" s="878"/>
      <c r="Y26" s="878"/>
      <c r="Z26" s="878"/>
      <c r="AA26" s="878"/>
      <c r="AB26" s="878"/>
      <c r="AC26" s="124"/>
      <c r="AD26" s="823"/>
      <c r="AE26" s="823"/>
      <c r="AF26" s="123"/>
      <c r="AG26" s="212">
        <f>SUM(AG23:AG25)</f>
        <v>775.82659478885887</v>
      </c>
      <c r="AH26" s="823"/>
      <c r="AI26" s="212">
        <f>SUM(AI23:AI25)</f>
        <v>92.7</v>
      </c>
      <c r="AN26" s="278"/>
      <c r="AO26" s="285" t="s">
        <v>304</v>
      </c>
      <c r="AP26" s="285"/>
      <c r="AQ26" s="286"/>
      <c r="AR26" s="286"/>
      <c r="AS26" s="286"/>
      <c r="AT26" s="286"/>
      <c r="AU26" s="690">
        <f>SUM(AU20:AU25)</f>
        <v>19159.46</v>
      </c>
    </row>
    <row r="27" spans="1:47" s="225" customFormat="1" x14ac:dyDescent="0.25">
      <c r="A27" s="698"/>
      <c r="B27" s="699"/>
      <c r="C27" s="318">
        <v>11</v>
      </c>
      <c r="D27" s="516" t="s">
        <v>311</v>
      </c>
      <c r="E27" s="71">
        <v>1</v>
      </c>
      <c r="F27" s="302">
        <v>1</v>
      </c>
      <c r="G27" s="262" t="s">
        <v>301</v>
      </c>
      <c r="H27" s="72"/>
      <c r="I27" s="72">
        <f t="shared" si="3"/>
        <v>0</v>
      </c>
      <c r="J27" s="72"/>
      <c r="K27" s="72">
        <f t="shared" si="4"/>
        <v>0</v>
      </c>
      <c r="L27" s="72">
        <f t="shared" si="5"/>
        <v>0</v>
      </c>
      <c r="M27" s="74">
        <f>H27/$P$264*$P$272</f>
        <v>0</v>
      </c>
      <c r="N27" s="74">
        <f>J27/$P$264*$P$272</f>
        <v>0</v>
      </c>
      <c r="O27" s="72">
        <f t="shared" si="0"/>
        <v>0</v>
      </c>
      <c r="P27" s="205">
        <f t="shared" si="1"/>
        <v>0</v>
      </c>
      <c r="Q27" s="272">
        <f>L27/$P$264*$P$272</f>
        <v>0</v>
      </c>
      <c r="R27" s="439">
        <f t="shared" si="2"/>
        <v>0</v>
      </c>
      <c r="T27" s="224"/>
      <c r="U27" s="275"/>
      <c r="V27" s="276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24"/>
      <c r="AH27" s="273"/>
      <c r="AI27" s="224"/>
      <c r="AN27" s="278"/>
      <c r="AO27" s="285"/>
      <c r="AP27" s="285"/>
      <c r="AQ27" s="286"/>
      <c r="AR27" s="286"/>
      <c r="AS27" s="286"/>
      <c r="AT27" s="286"/>
      <c r="AU27" s="127"/>
    </row>
    <row r="28" spans="1:47" s="225" customFormat="1" ht="15.75" x14ac:dyDescent="0.25">
      <c r="A28" s="698"/>
      <c r="B28" s="699"/>
      <c r="C28" s="318">
        <v>12</v>
      </c>
      <c r="D28" s="516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3"/>
        <v>10000</v>
      </c>
      <c r="J28" s="72">
        <v>15000</v>
      </c>
      <c r="K28" s="72">
        <f t="shared" si="4"/>
        <v>15000</v>
      </c>
      <c r="L28" s="72">
        <f t="shared" si="5"/>
        <v>25000</v>
      </c>
      <c r="M28" s="74">
        <f>H28/$P$264*$P$272</f>
        <v>13814.163302225956</v>
      </c>
      <c r="N28" s="74">
        <f>J28/$P$264*$P$272</f>
        <v>20721.244953338934</v>
      </c>
      <c r="O28" s="72">
        <f t="shared" si="0"/>
        <v>34535.408255564893</v>
      </c>
      <c r="P28" s="205">
        <f t="shared" si="1"/>
        <v>34535.408255564893</v>
      </c>
      <c r="Q28" s="272">
        <f>L28/$P$264*$P$272</f>
        <v>34535.408255564886</v>
      </c>
      <c r="R28" s="439">
        <f t="shared" si="2"/>
        <v>0</v>
      </c>
      <c r="T28" s="224"/>
      <c r="U28" s="275"/>
      <c r="V28" s="276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24"/>
      <c r="AH28" s="273"/>
      <c r="AI28" s="224"/>
      <c r="AN28" s="278"/>
      <c r="AO28" s="700" t="s">
        <v>318</v>
      </c>
      <c r="AP28" s="285"/>
      <c r="AQ28" s="286"/>
      <c r="AR28" s="286"/>
      <c r="AS28" s="697">
        <f>9200000</f>
        <v>9200000</v>
      </c>
      <c r="AT28" s="286"/>
      <c r="AU28" s="127"/>
    </row>
    <row r="29" spans="1:47" s="225" customFormat="1" x14ac:dyDescent="0.25">
      <c r="A29" s="263"/>
      <c r="B29" s="261"/>
      <c r="C29" s="318">
        <v>13</v>
      </c>
      <c r="D29" s="499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3"/>
        <v>45000</v>
      </c>
      <c r="J29" s="72"/>
      <c r="K29" s="72">
        <f t="shared" si="4"/>
        <v>0</v>
      </c>
      <c r="L29" s="72">
        <f t="shared" si="5"/>
        <v>45000</v>
      </c>
      <c r="M29" s="74">
        <f>H29/$P$264*$P$272</f>
        <v>62163.734860016797</v>
      </c>
      <c r="N29" s="74">
        <f>J29/$P$264*$P$272</f>
        <v>0</v>
      </c>
      <c r="O29" s="72">
        <f t="shared" si="0"/>
        <v>62163.734860016797</v>
      </c>
      <c r="P29" s="205">
        <f t="shared" si="1"/>
        <v>62163.734860016797</v>
      </c>
      <c r="Q29" s="272">
        <f>L29/$P$264*$P$272</f>
        <v>62163.734860016797</v>
      </c>
      <c r="R29" s="439">
        <f t="shared" si="2"/>
        <v>0</v>
      </c>
      <c r="S29" s="230"/>
      <c r="T29" s="439"/>
      <c r="U29" s="275"/>
      <c r="V29" s="281"/>
      <c r="W29" s="904" t="s">
        <v>291</v>
      </c>
      <c r="X29" s="904"/>
      <c r="Y29" s="904"/>
      <c r="Z29" s="904"/>
      <c r="AA29" s="904"/>
      <c r="AB29" s="904"/>
      <c r="AC29" s="824" t="s">
        <v>243</v>
      </c>
      <c r="AD29" s="824" t="s">
        <v>244</v>
      </c>
      <c r="AE29" s="824" t="s">
        <v>245</v>
      </c>
      <c r="AF29" s="123" t="s">
        <v>246</v>
      </c>
      <c r="AG29" s="196" t="s">
        <v>247</v>
      </c>
      <c r="AH29" s="824" t="s">
        <v>248</v>
      </c>
      <c r="AI29" s="212" t="s">
        <v>249</v>
      </c>
      <c r="AN29" s="278"/>
      <c r="AO29" s="285" t="s">
        <v>310</v>
      </c>
      <c r="AP29" s="285"/>
      <c r="AQ29" s="286"/>
      <c r="AR29" s="286"/>
      <c r="AS29" s="286"/>
      <c r="AT29" s="286"/>
      <c r="AU29" s="127">
        <f>AS28*0.0015</f>
        <v>13800</v>
      </c>
    </row>
    <row r="30" spans="1:47" s="225" customFormat="1" x14ac:dyDescent="0.25">
      <c r="A30" s="263"/>
      <c r="B30" s="261"/>
      <c r="C30" s="318">
        <v>14</v>
      </c>
      <c r="D30" s="499" t="s">
        <v>498</v>
      </c>
      <c r="E30" s="71">
        <v>1</v>
      </c>
      <c r="F30" s="302">
        <v>1</v>
      </c>
      <c r="G30" s="262" t="s">
        <v>301</v>
      </c>
      <c r="H30" s="842">
        <f>4*7000/1.075</f>
        <v>26046.511627906977</v>
      </c>
      <c r="I30" s="72">
        <f t="shared" si="3"/>
        <v>26046.511627906977</v>
      </c>
      <c r="J30" s="565">
        <v>2500</v>
      </c>
      <c r="K30" s="72">
        <f t="shared" si="4"/>
        <v>2500</v>
      </c>
      <c r="L30" s="72">
        <f t="shared" si="5"/>
        <v>28546.511627906977</v>
      </c>
      <c r="M30" s="74">
        <f>H30/$P$264*$P$272</f>
        <v>35981.07650812342</v>
      </c>
      <c r="N30" s="74">
        <f>J30/$P$264*$P$272</f>
        <v>3453.5408255564889</v>
      </c>
      <c r="O30" s="72">
        <f t="shared" si="0"/>
        <v>39434.617333679911</v>
      </c>
      <c r="P30" s="205">
        <f t="shared" si="1"/>
        <v>39434.617333679911</v>
      </c>
      <c r="Q30" s="272">
        <f>L30/$P$264*$P$272</f>
        <v>39434.617333679904</v>
      </c>
      <c r="R30" s="439">
        <f t="shared" si="2"/>
        <v>0</v>
      </c>
      <c r="S30" s="230"/>
      <c r="T30" s="442"/>
      <c r="U30" s="275"/>
      <c r="V30" s="276"/>
      <c r="W30" s="878" t="s">
        <v>250</v>
      </c>
      <c r="X30" s="878"/>
      <c r="Y30" s="878"/>
      <c r="Z30" s="878"/>
      <c r="AA30" s="878"/>
      <c r="AB30" s="878"/>
      <c r="AC30" s="124" t="s">
        <v>251</v>
      </c>
      <c r="AD30" s="823">
        <v>2.77</v>
      </c>
      <c r="AE30" s="823">
        <v>2.9</v>
      </c>
      <c r="AF30" s="123">
        <f>489.5/1.06</f>
        <v>461.79245283018867</v>
      </c>
      <c r="AG30" s="196">
        <f>AF30*AE30</f>
        <v>1339.1981132075471</v>
      </c>
      <c r="AH30" s="823">
        <v>74</v>
      </c>
      <c r="AI30" s="219">
        <f>AH30*AE30</f>
        <v>214.6</v>
      </c>
      <c r="AN30" s="278"/>
      <c r="AO30" s="285" t="s">
        <v>312</v>
      </c>
      <c r="AP30" s="285"/>
      <c r="AQ30" s="286"/>
      <c r="AR30" s="286"/>
      <c r="AS30" s="286"/>
      <c r="AT30" s="286"/>
      <c r="AU30" s="127">
        <f>AU29*0.125</f>
        <v>1725</v>
      </c>
    </row>
    <row r="31" spans="1:47" s="225" customFormat="1" x14ac:dyDescent="0.25">
      <c r="A31" s="698"/>
      <c r="B31" s="699"/>
      <c r="C31" s="318">
        <v>15</v>
      </c>
      <c r="D31" s="499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3"/>
        <v>51650.485436893199</v>
      </c>
      <c r="J31" s="483">
        <f>(4*14000/1.03+20000/1.03)*0.3</f>
        <v>22135.922330097088</v>
      </c>
      <c r="K31" s="72">
        <f t="shared" si="4"/>
        <v>22135.922330097088</v>
      </c>
      <c r="L31" s="72">
        <f t="shared" si="5"/>
        <v>73786.407766990291</v>
      </c>
      <c r="M31" s="74">
        <f>H31/$P$264*$P$272</f>
        <v>71350.824046448615</v>
      </c>
      <c r="N31" s="74">
        <f>J31/$P$264*$P$272</f>
        <v>30578.924591335122</v>
      </c>
      <c r="O31" s="72">
        <f t="shared" si="0"/>
        <v>101929.74863778373</v>
      </c>
      <c r="P31" s="205">
        <f t="shared" si="1"/>
        <v>101929.74863778373</v>
      </c>
      <c r="Q31" s="272">
        <f>L31/$P$264*$P$272</f>
        <v>101929.74863778373</v>
      </c>
      <c r="R31" s="439">
        <f t="shared" si="2"/>
        <v>0</v>
      </c>
      <c r="T31" s="224"/>
      <c r="U31" s="275"/>
      <c r="V31" s="276"/>
      <c r="W31" s="878" t="s">
        <v>252</v>
      </c>
      <c r="X31" s="878"/>
      <c r="Y31" s="878"/>
      <c r="Z31" s="878"/>
      <c r="AA31" s="878"/>
      <c r="AB31" s="878"/>
      <c r="AC31" s="124" t="s">
        <v>253</v>
      </c>
      <c r="AD31" s="823">
        <v>0.25</v>
      </c>
      <c r="AE31" s="823">
        <v>0.25</v>
      </c>
      <c r="AF31" s="123">
        <f>AF133</f>
        <v>279.41176470588238</v>
      </c>
      <c r="AG31" s="196">
        <f>AF31*AE31</f>
        <v>69.852941176470594</v>
      </c>
      <c r="AH31" s="823"/>
      <c r="AI31" s="219">
        <f>AH31*AE31</f>
        <v>0</v>
      </c>
      <c r="AN31" s="278"/>
      <c r="AO31" s="285" t="s">
        <v>314</v>
      </c>
      <c r="AP31" s="285"/>
      <c r="AQ31" s="286"/>
      <c r="AR31" s="286"/>
      <c r="AS31" s="286"/>
      <c r="AT31" s="286"/>
      <c r="AU31" s="127">
        <f>AU29*0.12</f>
        <v>1656</v>
      </c>
    </row>
    <row r="32" spans="1:47" s="225" customFormat="1" x14ac:dyDescent="0.25">
      <c r="A32" s="698"/>
      <c r="B32" s="699"/>
      <c r="C32" s="318">
        <v>16</v>
      </c>
      <c r="D32" s="499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3"/>
        <v>15000</v>
      </c>
      <c r="J32" s="72">
        <f>1700*5</f>
        <v>8500</v>
      </c>
      <c r="K32" s="72">
        <f t="shared" si="4"/>
        <v>8500</v>
      </c>
      <c r="L32" s="72">
        <f t="shared" si="5"/>
        <v>23500</v>
      </c>
      <c r="M32" s="74">
        <f>H32/$P$264*$P$272</f>
        <v>20721.244953338934</v>
      </c>
      <c r="N32" s="74">
        <f>J32/$P$264*$P$272</f>
        <v>11742.03880689206</v>
      </c>
      <c r="O32" s="72">
        <f t="shared" si="0"/>
        <v>32463.283760230996</v>
      </c>
      <c r="P32" s="205">
        <f t="shared" si="1"/>
        <v>32463.283760230996</v>
      </c>
      <c r="Q32" s="272">
        <f>L32/$P$264*$P$272</f>
        <v>32463.283760230996</v>
      </c>
      <c r="R32" s="439">
        <f t="shared" si="2"/>
        <v>0</v>
      </c>
      <c r="T32" s="224"/>
      <c r="U32" s="275"/>
      <c r="V32" s="276"/>
      <c r="W32" s="878" t="s">
        <v>254</v>
      </c>
      <c r="X32" s="878"/>
      <c r="Y32" s="878"/>
      <c r="Z32" s="878"/>
      <c r="AA32" s="878"/>
      <c r="AB32" s="878"/>
      <c r="AC32" s="124" t="s">
        <v>255</v>
      </c>
      <c r="AD32" s="823">
        <v>0.25</v>
      </c>
      <c r="AE32" s="823">
        <v>0.35</v>
      </c>
      <c r="AF32" s="123">
        <f>37/1.06</f>
        <v>34.905660377358487</v>
      </c>
      <c r="AG32" s="196">
        <f>AF32*AE32</f>
        <v>12.216981132075469</v>
      </c>
      <c r="AH32" s="823"/>
      <c r="AI32" s="219">
        <f>AH32*AE32</f>
        <v>0</v>
      </c>
      <c r="AN32" s="278"/>
      <c r="AO32" s="285" t="s">
        <v>299</v>
      </c>
      <c r="AP32" s="285"/>
      <c r="AQ32" s="286"/>
      <c r="AR32" s="286"/>
      <c r="AS32" s="286"/>
      <c r="AT32" s="286"/>
      <c r="AU32" s="127">
        <f>AU29*0.002</f>
        <v>27.6</v>
      </c>
    </row>
    <row r="33" spans="1:47" s="225" customFormat="1" x14ac:dyDescent="0.25">
      <c r="A33" s="698"/>
      <c r="B33" s="699"/>
      <c r="C33" s="318">
        <v>17</v>
      </c>
      <c r="D33" s="499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3"/>
        <v>10000</v>
      </c>
      <c r="J33" s="72">
        <v>5000</v>
      </c>
      <c r="K33" s="72">
        <f t="shared" si="4"/>
        <v>5000</v>
      </c>
      <c r="L33" s="72">
        <f t="shared" si="5"/>
        <v>15000</v>
      </c>
      <c r="M33" s="74">
        <f>H33/$P$264*$P$272</f>
        <v>13814.163302225956</v>
      </c>
      <c r="N33" s="74">
        <f>J33/$P$264*$P$272</f>
        <v>6907.0816511129779</v>
      </c>
      <c r="O33" s="72">
        <f t="shared" si="0"/>
        <v>20721.244953338934</v>
      </c>
      <c r="P33" s="205">
        <f t="shared" si="1"/>
        <v>20721.244953338934</v>
      </c>
      <c r="Q33" s="272">
        <f>L33/$P$264*$P$272</f>
        <v>20721.244953338934</v>
      </c>
      <c r="R33" s="439">
        <f t="shared" si="2"/>
        <v>0</v>
      </c>
      <c r="T33" s="224"/>
      <c r="U33" s="275"/>
      <c r="V33" s="276"/>
      <c r="W33" s="878" t="s">
        <v>256</v>
      </c>
      <c r="X33" s="878"/>
      <c r="Y33" s="878"/>
      <c r="Z33" s="878"/>
      <c r="AA33" s="878"/>
      <c r="AB33" s="878"/>
      <c r="AC33" s="124" t="s">
        <v>257</v>
      </c>
      <c r="AD33" s="823">
        <v>1</v>
      </c>
      <c r="AE33" s="823">
        <v>1</v>
      </c>
      <c r="AF33" s="123">
        <v>0</v>
      </c>
      <c r="AG33" s="196">
        <f>AF33*AE33</f>
        <v>0</v>
      </c>
      <c r="AH33" s="823">
        <v>0</v>
      </c>
      <c r="AI33" s="219">
        <f>AH33*AE33</f>
        <v>0</v>
      </c>
      <c r="AN33" s="278"/>
      <c r="AO33" s="285" t="s">
        <v>304</v>
      </c>
      <c r="AP33" s="285"/>
      <c r="AQ33" s="286"/>
      <c r="AR33" s="286"/>
      <c r="AS33" s="286"/>
      <c r="AT33" s="286"/>
      <c r="AU33" s="690">
        <f>SUM(AU28:AU32)</f>
        <v>17208.599999999999</v>
      </c>
    </row>
    <row r="34" spans="1:47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>L34/$P$264*$P$272</f>
        <v>0</v>
      </c>
      <c r="R34" s="439">
        <f t="shared" si="2"/>
        <v>0</v>
      </c>
      <c r="T34" s="224"/>
      <c r="U34" s="275"/>
      <c r="V34" s="276"/>
      <c r="W34" s="126"/>
      <c r="X34" s="126"/>
      <c r="Y34" s="126"/>
      <c r="Z34" s="126"/>
      <c r="AA34" s="126"/>
      <c r="AB34" s="126"/>
      <c r="AC34" s="126"/>
      <c r="AD34" s="823"/>
      <c r="AE34" s="823"/>
      <c r="AF34" s="123"/>
      <c r="AG34" s="212">
        <f>SUM(AG30:AG33)</f>
        <v>1421.2680355160931</v>
      </c>
      <c r="AH34" s="824"/>
      <c r="AI34" s="212">
        <f>SUM(AI30:AI33)</f>
        <v>214.6</v>
      </c>
      <c r="AN34" s="278"/>
      <c r="AO34" s="225"/>
      <c r="AP34" s="225"/>
    </row>
    <row r="35" spans="1:47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920602.09769087762</v>
      </c>
      <c r="J35" s="312"/>
      <c r="K35" s="313">
        <f>SUM(K16:K34)</f>
        <v>386276.67704707815</v>
      </c>
      <c r="L35" s="313">
        <f>SUM(L16:L34)</f>
        <v>1306878.7747379558</v>
      </c>
      <c r="M35" s="312"/>
      <c r="N35" s="312"/>
      <c r="O35" s="313"/>
      <c r="P35" s="314">
        <f>SUM(P16:P34)</f>
        <v>1805343.6810443092</v>
      </c>
      <c r="Q35" s="272">
        <f>L35/$P$264*$P$272</f>
        <v>1805343.6810443089</v>
      </c>
      <c r="R35" s="439">
        <f t="shared" si="2"/>
        <v>0</v>
      </c>
      <c r="T35" s="443"/>
      <c r="U35" s="275"/>
      <c r="V35" s="276"/>
      <c r="AN35" s="278"/>
      <c r="AO35" s="225"/>
      <c r="AP35" s="282"/>
    </row>
    <row r="36" spans="1:47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>L36/$P$264*$P$272</f>
        <v>0</v>
      </c>
      <c r="R36" s="439">
        <f t="shared" si="2"/>
        <v>0</v>
      </c>
      <c r="T36" s="224"/>
      <c r="U36" s="283"/>
      <c r="V36" s="284"/>
      <c r="AN36" s="127"/>
    </row>
    <row r="37" spans="1:47" s="273" customFormat="1" x14ac:dyDescent="0.25">
      <c r="A37" s="411"/>
      <c r="B37" s="412" t="s">
        <v>319</v>
      </c>
      <c r="C37" s="413" t="s">
        <v>25</v>
      </c>
      <c r="D37" s="712"/>
      <c r="E37" s="242"/>
      <c r="F37" s="302"/>
      <c r="G37" s="75"/>
      <c r="H37" s="74"/>
      <c r="I37" s="74"/>
      <c r="J37" s="74"/>
      <c r="K37" s="74"/>
      <c r="L37" s="74"/>
      <c r="M37" s="76"/>
      <c r="N37" s="76"/>
      <c r="O37" s="76"/>
      <c r="P37" s="205"/>
      <c r="Q37" s="272">
        <f>L37/$P$264*$P$272</f>
        <v>0</v>
      </c>
      <c r="R37" s="439"/>
      <c r="T37" s="224"/>
    </row>
    <row r="38" spans="1:47" s="273" customFormat="1" x14ac:dyDescent="0.25">
      <c r="A38" s="411"/>
      <c r="B38" s="689"/>
      <c r="C38" s="318">
        <v>1</v>
      </c>
      <c r="D38" s="83" t="s">
        <v>529</v>
      </c>
      <c r="E38" s="242">
        <f>491+3.8</f>
        <v>494.8</v>
      </c>
      <c r="F38" s="302">
        <v>498</v>
      </c>
      <c r="G38" s="75" t="s">
        <v>16</v>
      </c>
      <c r="H38" s="328">
        <f>AG34</f>
        <v>1421.2680355160931</v>
      </c>
      <c r="I38" s="74">
        <f>F38*H38</f>
        <v>707791.48168701434</v>
      </c>
      <c r="J38" s="328">
        <f>AI34</f>
        <v>214.6</v>
      </c>
      <c r="K38" s="74">
        <f>F38*J38</f>
        <v>106870.8</v>
      </c>
      <c r="L38" s="74">
        <f>K38+I38</f>
        <v>814662.28168701439</v>
      </c>
      <c r="M38" s="74">
        <f>H38/$P$264*$P$272</f>
        <v>1963.3628738853185</v>
      </c>
      <c r="N38" s="74">
        <f>J38/$P$264*$P$272</f>
        <v>296.45194446576897</v>
      </c>
      <c r="O38" s="72">
        <f t="shared" ref="O38:O53" si="8">N38+M38</f>
        <v>2259.8148183510875</v>
      </c>
      <c r="P38" s="205">
        <f t="shared" ref="P38:P53" si="9">O38*F38</f>
        <v>1125387.7795388417</v>
      </c>
      <c r="Q38" s="272">
        <f>L38/$P$264*$P$272</f>
        <v>1125387.7795388419</v>
      </c>
      <c r="R38" s="439">
        <f t="shared" ref="R38:R53" si="10">P38-Q38</f>
        <v>0</v>
      </c>
      <c r="T38" s="224"/>
    </row>
    <row r="39" spans="1:47" s="273" customFormat="1" x14ac:dyDescent="0.25">
      <c r="A39" s="350"/>
      <c r="B39" s="689"/>
      <c r="C39" s="318">
        <v>2</v>
      </c>
      <c r="D39" s="83" t="s">
        <v>530</v>
      </c>
      <c r="E39" s="242">
        <f>262</f>
        <v>262</v>
      </c>
      <c r="F39" s="302">
        <v>265</v>
      </c>
      <c r="G39" s="75" t="s">
        <v>16</v>
      </c>
      <c r="H39" s="328">
        <f>AG26</f>
        <v>775.82659478885887</v>
      </c>
      <c r="I39" s="74">
        <f>F39*H39</f>
        <v>205594.0476190476</v>
      </c>
      <c r="J39" s="328">
        <v>75</v>
      </c>
      <c r="K39" s="74">
        <f t="shared" ref="K39:K47" si="11">F39*J39</f>
        <v>19875</v>
      </c>
      <c r="L39" s="74">
        <f t="shared" ref="L39:L47" si="12">K39+I39</f>
        <v>225469.0476190476</v>
      </c>
      <c r="M39" s="74">
        <f>H39/$P$264*$P$272</f>
        <v>1071.7395274623179</v>
      </c>
      <c r="N39" s="74">
        <f>J39/$P$264*$P$272</f>
        <v>103.60622476669467</v>
      </c>
      <c r="O39" s="72">
        <f t="shared" si="8"/>
        <v>1175.3457522290125</v>
      </c>
      <c r="P39" s="205">
        <f t="shared" si="9"/>
        <v>311466.62434068834</v>
      </c>
      <c r="Q39" s="272">
        <f>L39/$P$264*$P$272</f>
        <v>311466.6243406884</v>
      </c>
      <c r="R39" s="439">
        <f t="shared" si="10"/>
        <v>0</v>
      </c>
      <c r="T39" s="224"/>
    </row>
    <row r="40" spans="1:47" s="273" customFormat="1" x14ac:dyDescent="0.25">
      <c r="A40" s="350"/>
      <c r="B40" s="689"/>
      <c r="C40" s="318">
        <v>3</v>
      </c>
      <c r="D40" s="83" t="s">
        <v>533</v>
      </c>
      <c r="E40" s="242">
        <f>23.6</f>
        <v>23.6</v>
      </c>
      <c r="F40" s="302">
        <v>26</v>
      </c>
      <c r="G40" s="75" t="s">
        <v>16</v>
      </c>
      <c r="H40" s="328">
        <f>AG67</f>
        <v>402.77580466148731</v>
      </c>
      <c r="I40" s="74">
        <f t="shared" ref="I40:I47" si="13">F40*H40</f>
        <v>10472.170921198671</v>
      </c>
      <c r="J40" s="328">
        <f>AI67</f>
        <v>216</v>
      </c>
      <c r="K40" s="74">
        <f t="shared" si="11"/>
        <v>5616</v>
      </c>
      <c r="L40" s="74">
        <f t="shared" si="12"/>
        <v>16088.170921198671</v>
      </c>
      <c r="M40" s="74">
        <f>H40/$P$264*$P$272</f>
        <v>556.40107397792474</v>
      </c>
      <c r="N40" s="74">
        <f>J40/$P$264*$P$272</f>
        <v>298.38592732808064</v>
      </c>
      <c r="O40" s="72">
        <f t="shared" si="8"/>
        <v>854.78700130600532</v>
      </c>
      <c r="P40" s="205">
        <f t="shared" si="9"/>
        <v>22224.462033956137</v>
      </c>
      <c r="Q40" s="272">
        <f>L40/$P$264*$P$272</f>
        <v>22224.462033956144</v>
      </c>
      <c r="R40" s="439">
        <f t="shared" si="10"/>
        <v>0</v>
      </c>
      <c r="T40" s="224"/>
    </row>
    <row r="41" spans="1:47" s="273" customFormat="1" x14ac:dyDescent="0.25">
      <c r="A41" s="350"/>
      <c r="B41" s="689"/>
      <c r="C41" s="318">
        <v>4</v>
      </c>
      <c r="D41" s="83" t="s">
        <v>535</v>
      </c>
      <c r="E41" s="242">
        <v>7.44</v>
      </c>
      <c r="F41" s="302">
        <v>8</v>
      </c>
      <c r="G41" s="75" t="s">
        <v>16</v>
      </c>
      <c r="H41" s="328">
        <f>AG129</f>
        <v>1573.2463928967813</v>
      </c>
      <c r="I41" s="74">
        <f>F41*H41</f>
        <v>12585.971143174251</v>
      </c>
      <c r="J41" s="328">
        <f>AI129</f>
        <v>214.5</v>
      </c>
      <c r="K41" s="74">
        <f t="shared" si="11"/>
        <v>1716</v>
      </c>
      <c r="L41" s="74">
        <f t="shared" si="12"/>
        <v>14301.971143174251</v>
      </c>
      <c r="M41" s="74">
        <f>H41/$P$264*$P$272</f>
        <v>2173.3082586114074</v>
      </c>
      <c r="N41" s="74">
        <f>J41/$P$264*$P$272</f>
        <v>296.31380283274677</v>
      </c>
      <c r="O41" s="72">
        <f t="shared" si="8"/>
        <v>2469.622061444154</v>
      </c>
      <c r="P41" s="205">
        <f t="shared" si="9"/>
        <v>19756.976491553232</v>
      </c>
      <c r="Q41" s="272">
        <f>L41/$P$264*$P$272</f>
        <v>19756.976491553232</v>
      </c>
      <c r="R41" s="439">
        <f t="shared" si="10"/>
        <v>0</v>
      </c>
      <c r="T41" s="224"/>
    </row>
    <row r="42" spans="1:47" s="273" customFormat="1" x14ac:dyDescent="0.25">
      <c r="A42" s="350"/>
      <c r="B42" s="689"/>
      <c r="C42" s="318">
        <v>5</v>
      </c>
      <c r="D42" s="83" t="s">
        <v>534</v>
      </c>
      <c r="E42" s="242">
        <v>11.16</v>
      </c>
      <c r="F42" s="302">
        <v>12</v>
      </c>
      <c r="G42" s="75" t="s">
        <v>16</v>
      </c>
      <c r="H42" s="328">
        <f>AG136</f>
        <v>1167.3640399556048</v>
      </c>
      <c r="I42" s="74">
        <f t="shared" si="13"/>
        <v>14008.368479467257</v>
      </c>
      <c r="J42" s="328">
        <f>AI136</f>
        <v>215.1</v>
      </c>
      <c r="K42" s="74">
        <f t="shared" si="11"/>
        <v>2581.1999999999998</v>
      </c>
      <c r="L42" s="74">
        <f t="shared" si="12"/>
        <v>16589.568479467256</v>
      </c>
      <c r="M42" s="74">
        <f>H42/$P$264*$P$272</f>
        <v>1612.6157481092948</v>
      </c>
      <c r="N42" s="74">
        <f>J42/$P$264*$P$272</f>
        <v>297.14265263088026</v>
      </c>
      <c r="O42" s="72">
        <f t="shared" si="8"/>
        <v>1909.7584007401751</v>
      </c>
      <c r="P42" s="205">
        <f t="shared" si="9"/>
        <v>22917.100808882104</v>
      </c>
      <c r="Q42" s="272">
        <f>L42/$P$264*$P$272</f>
        <v>22917.1008088821</v>
      </c>
      <c r="R42" s="439">
        <f t="shared" si="10"/>
        <v>0</v>
      </c>
      <c r="T42" s="224"/>
    </row>
    <row r="43" spans="1:47" s="273" customFormat="1" x14ac:dyDescent="0.25">
      <c r="A43" s="350"/>
      <c r="B43" s="689"/>
      <c r="C43" s="318">
        <v>6</v>
      </c>
      <c r="D43" s="83" t="s">
        <v>536</v>
      </c>
      <c r="E43" s="242">
        <v>7.2</v>
      </c>
      <c r="F43" s="302">
        <v>8</v>
      </c>
      <c r="G43" s="75" t="s">
        <v>16</v>
      </c>
      <c r="H43" s="328">
        <f>AS129</f>
        <v>2628.4535701072882</v>
      </c>
      <c r="I43" s="74">
        <f>F43*H43</f>
        <v>21027.628560858306</v>
      </c>
      <c r="J43" s="328">
        <f>AU129</f>
        <v>214.5</v>
      </c>
      <c r="K43" s="74">
        <f t="shared" si="11"/>
        <v>1716</v>
      </c>
      <c r="L43" s="74">
        <f t="shared" si="12"/>
        <v>22743.628560858306</v>
      </c>
      <c r="M43" s="74">
        <f>H43/$P$264*$P$272</f>
        <v>3630.9886849780896</v>
      </c>
      <c r="N43" s="74">
        <f>J43/$P$264*$P$272</f>
        <v>296.31380283274677</v>
      </c>
      <c r="O43" s="72">
        <f t="shared" si="8"/>
        <v>3927.3024878108363</v>
      </c>
      <c r="P43" s="205">
        <f t="shared" si="9"/>
        <v>31418.41990248669</v>
      </c>
      <c r="Q43" s="272">
        <f>L43/$P$264*$P$272</f>
        <v>31418.419902486694</v>
      </c>
      <c r="R43" s="439">
        <f t="shared" si="10"/>
        <v>0</v>
      </c>
      <c r="T43" s="224"/>
    </row>
    <row r="44" spans="1:47" s="273" customFormat="1" x14ac:dyDescent="0.25">
      <c r="A44" s="350"/>
      <c r="B44" s="689"/>
      <c r="C44" s="318">
        <v>7</v>
      </c>
      <c r="D44" s="83" t="s">
        <v>537</v>
      </c>
      <c r="E44" s="242">
        <v>10.8</v>
      </c>
      <c r="F44" s="302">
        <v>11</v>
      </c>
      <c r="G44" s="75" t="s">
        <v>16</v>
      </c>
      <c r="H44" s="328">
        <f>AS136</f>
        <v>2011.7869034406215</v>
      </c>
      <c r="I44" s="74">
        <f t="shared" ref="I44" si="14">F44*H44</f>
        <v>22129.655937846837</v>
      </c>
      <c r="J44" s="328">
        <f>AU136</f>
        <v>215.1</v>
      </c>
      <c r="K44" s="74">
        <f t="shared" si="11"/>
        <v>2366.1</v>
      </c>
      <c r="L44" s="74">
        <f t="shared" si="12"/>
        <v>24495.755937846836</v>
      </c>
      <c r="M44" s="74">
        <f>H44/$P$264*$P$272</f>
        <v>2779.1152813408221</v>
      </c>
      <c r="N44" s="74">
        <f>J44/$P$264*$P$272</f>
        <v>297.14265263088026</v>
      </c>
      <c r="O44" s="72">
        <f t="shared" si="8"/>
        <v>3076.2579339717022</v>
      </c>
      <c r="P44" s="205">
        <f t="shared" si="9"/>
        <v>33838.837273688725</v>
      </c>
      <c r="Q44" s="272">
        <f>L44/$P$264*$P$272</f>
        <v>33838.837273688732</v>
      </c>
      <c r="R44" s="439">
        <f t="shared" si="10"/>
        <v>0</v>
      </c>
      <c r="T44" s="224"/>
    </row>
    <row r="45" spans="1:47" s="273" customFormat="1" x14ac:dyDescent="0.25">
      <c r="A45" s="350"/>
      <c r="B45" s="689"/>
      <c r="C45" s="318">
        <v>8</v>
      </c>
      <c r="D45" s="83" t="s">
        <v>44</v>
      </c>
      <c r="E45" s="242">
        <v>45.86</v>
      </c>
      <c r="F45" s="302">
        <v>48</v>
      </c>
      <c r="G45" s="75" t="s">
        <v>16</v>
      </c>
      <c r="H45" s="328">
        <v>100</v>
      </c>
      <c r="I45" s="74">
        <f t="shared" si="13"/>
        <v>4800</v>
      </c>
      <c r="J45" s="328">
        <v>100</v>
      </c>
      <c r="K45" s="74">
        <f t="shared" si="11"/>
        <v>4800</v>
      </c>
      <c r="L45" s="74">
        <f t="shared" si="12"/>
        <v>9600</v>
      </c>
      <c r="M45" s="74">
        <f>H45/$P$264*$P$272</f>
        <v>138.14163302225955</v>
      </c>
      <c r="N45" s="74">
        <f>J45/$P$264*$P$272</f>
        <v>138.14163302225955</v>
      </c>
      <c r="O45" s="72">
        <f t="shared" si="8"/>
        <v>276.28326604451911</v>
      </c>
      <c r="P45" s="205">
        <f t="shared" si="9"/>
        <v>13261.596770136917</v>
      </c>
      <c r="Q45" s="272">
        <f>L45/$P$264*$P$272</f>
        <v>13261.596770136917</v>
      </c>
      <c r="R45" s="439">
        <f t="shared" si="10"/>
        <v>0</v>
      </c>
      <c r="T45" s="224"/>
    </row>
    <row r="46" spans="1:47" s="273" customFormat="1" x14ac:dyDescent="0.25">
      <c r="A46" s="350"/>
      <c r="B46" s="689"/>
      <c r="C46" s="318">
        <v>9</v>
      </c>
      <c r="D46" s="83" t="s">
        <v>162</v>
      </c>
      <c r="E46" s="242">
        <v>238.71</v>
      </c>
      <c r="F46" s="302">
        <v>242</v>
      </c>
      <c r="G46" s="75" t="s">
        <v>16</v>
      </c>
      <c r="H46" s="328">
        <f>AV171</f>
        <v>1203.5652494113497</v>
      </c>
      <c r="I46" s="74">
        <f t="shared" si="13"/>
        <v>291262.79035754665</v>
      </c>
      <c r="J46" s="328">
        <f>AX171</f>
        <v>215.10000000000002</v>
      </c>
      <c r="K46" s="74">
        <f t="shared" si="11"/>
        <v>52054.200000000004</v>
      </c>
      <c r="L46" s="74">
        <f t="shared" si="12"/>
        <v>343316.99035754666</v>
      </c>
      <c r="M46" s="74">
        <f>H46/$P$264*$P$272</f>
        <v>1662.6246900252695</v>
      </c>
      <c r="N46" s="74">
        <f>J46/$P$264*$P$272</f>
        <v>297.14265263088032</v>
      </c>
      <c r="O46" s="72">
        <f t="shared" si="8"/>
        <v>1959.7673426561498</v>
      </c>
      <c r="P46" s="205">
        <f t="shared" si="9"/>
        <v>474263.69692278828</v>
      </c>
      <c r="Q46" s="272">
        <f>L46/$P$264*$P$272</f>
        <v>474263.69692278828</v>
      </c>
      <c r="R46" s="439">
        <f t="shared" si="10"/>
        <v>0</v>
      </c>
      <c r="T46" s="224"/>
    </row>
    <row r="47" spans="1:47" s="273" customFormat="1" x14ac:dyDescent="0.25">
      <c r="A47" s="350"/>
      <c r="B47" s="713"/>
      <c r="C47" s="318">
        <v>10</v>
      </c>
      <c r="D47" s="714" t="s">
        <v>287</v>
      </c>
      <c r="E47" s="715">
        <f>96.84+64.56+11.89</f>
        <v>173.29000000000002</v>
      </c>
      <c r="F47" s="716">
        <v>0</v>
      </c>
      <c r="G47" s="717" t="s">
        <v>16</v>
      </c>
      <c r="H47" s="192"/>
      <c r="I47" s="192">
        <f t="shared" si="13"/>
        <v>0</v>
      </c>
      <c r="J47" s="192"/>
      <c r="K47" s="192">
        <f t="shared" si="11"/>
        <v>0</v>
      </c>
      <c r="L47" s="192">
        <f t="shared" si="12"/>
        <v>0</v>
      </c>
      <c r="M47" s="74">
        <f>H47/$P$264*$P$272</f>
        <v>0</v>
      </c>
      <c r="N47" s="74">
        <f>J47/$P$264*$P$272</f>
        <v>0</v>
      </c>
      <c r="O47" s="72">
        <f t="shared" si="8"/>
        <v>0</v>
      </c>
      <c r="P47" s="305" t="s">
        <v>39</v>
      </c>
      <c r="Q47" s="272">
        <f>L47/$P$264*$P$272</f>
        <v>0</v>
      </c>
      <c r="R47" s="439" t="e">
        <f t="shared" si="10"/>
        <v>#VALUE!</v>
      </c>
      <c r="T47" s="224"/>
    </row>
    <row r="48" spans="1:47" s="273" customFormat="1" x14ac:dyDescent="0.25">
      <c r="A48" s="350"/>
      <c r="B48" s="689"/>
      <c r="C48" s="318"/>
      <c r="D48" s="83"/>
      <c r="E48" s="242"/>
      <c r="F48" s="302"/>
      <c r="G48" s="74"/>
      <c r="H48" s="74"/>
      <c r="I48" s="74"/>
      <c r="J48" s="74"/>
      <c r="K48" s="74"/>
      <c r="L48" s="74"/>
      <c r="M48" s="74"/>
      <c r="N48" s="74"/>
      <c r="O48" s="72"/>
      <c r="P48" s="205"/>
      <c r="Q48" s="272"/>
      <c r="R48" s="439"/>
      <c r="T48" s="224"/>
    </row>
    <row r="49" spans="1:47" s="273" customFormat="1" x14ac:dyDescent="0.25">
      <c r="A49" s="411"/>
      <c r="B49" s="412" t="s">
        <v>320</v>
      </c>
      <c r="C49" s="413" t="s">
        <v>83</v>
      </c>
      <c r="D49" s="712"/>
      <c r="E49" s="242"/>
      <c r="F49" s="302"/>
      <c r="G49" s="75"/>
      <c r="H49" s="74"/>
      <c r="I49" s="74"/>
      <c r="J49" s="74"/>
      <c r="K49" s="74"/>
      <c r="L49" s="74"/>
      <c r="M49" s="74"/>
      <c r="N49" s="74"/>
      <c r="O49" s="72"/>
      <c r="P49" s="205"/>
      <c r="Q49" s="272"/>
      <c r="R49" s="439"/>
      <c r="T49" s="224"/>
    </row>
    <row r="50" spans="1:47" s="273" customFormat="1" x14ac:dyDescent="0.25">
      <c r="A50" s="411"/>
      <c r="B50" s="689"/>
      <c r="C50" s="318">
        <v>1</v>
      </c>
      <c r="D50" s="83" t="s">
        <v>538</v>
      </c>
      <c r="E50" s="242">
        <v>6.24</v>
      </c>
      <c r="F50" s="302">
        <v>7</v>
      </c>
      <c r="G50" s="77" t="s">
        <v>101</v>
      </c>
      <c r="H50" s="328">
        <f>H42</f>
        <v>1167.3640399556048</v>
      </c>
      <c r="I50" s="74">
        <f>F50*H50</f>
        <v>8171.5482796892338</v>
      </c>
      <c r="J50" s="328">
        <f>J42</f>
        <v>215.1</v>
      </c>
      <c r="K50" s="74">
        <f>F50*J50</f>
        <v>1505.7</v>
      </c>
      <c r="L50" s="74">
        <f>K50+I50</f>
        <v>9677.2482796892346</v>
      </c>
      <c r="M50" s="74">
        <f>H50/$P$264*$P$272</f>
        <v>1612.6157481092948</v>
      </c>
      <c r="N50" s="74">
        <f>J50/$P$264*$P$272</f>
        <v>297.14265263088026</v>
      </c>
      <c r="O50" s="72">
        <f t="shared" si="8"/>
        <v>1909.7584007401751</v>
      </c>
      <c r="P50" s="205">
        <f t="shared" si="9"/>
        <v>13368.308805181226</v>
      </c>
      <c r="Q50" s="272">
        <f>L50/$P$264*$P$272</f>
        <v>13368.308805181228</v>
      </c>
      <c r="R50" s="439">
        <f t="shared" si="10"/>
        <v>0</v>
      </c>
      <c r="T50" s="224"/>
      <c r="AG50" s="224"/>
      <c r="AI50" s="224"/>
    </row>
    <row r="51" spans="1:47" s="273" customFormat="1" x14ac:dyDescent="0.25">
      <c r="A51" s="411"/>
      <c r="B51" s="689"/>
      <c r="C51" s="318">
        <v>2</v>
      </c>
      <c r="D51" s="83" t="s">
        <v>539</v>
      </c>
      <c r="E51" s="242">
        <v>16.04</v>
      </c>
      <c r="F51" s="302">
        <v>17</v>
      </c>
      <c r="G51" s="77" t="s">
        <v>101</v>
      </c>
      <c r="H51" s="328">
        <f>H50</f>
        <v>1167.3640399556048</v>
      </c>
      <c r="I51" s="74">
        <f t="shared" ref="I51" si="15">F51*H51</f>
        <v>19845.188679245282</v>
      </c>
      <c r="J51" s="328">
        <f>J50</f>
        <v>215.1</v>
      </c>
      <c r="K51" s="74">
        <f t="shared" ref="K51" si="16">F51*J51</f>
        <v>3656.7</v>
      </c>
      <c r="L51" s="74">
        <f t="shared" ref="L51" si="17">K51+I51</f>
        <v>23501.888679245283</v>
      </c>
      <c r="M51" s="74">
        <f>H51/$P$264*$P$272</f>
        <v>1612.6157481092948</v>
      </c>
      <c r="N51" s="74">
        <f>J51/$P$264*$P$272</f>
        <v>297.14265263088026</v>
      </c>
      <c r="O51" s="72">
        <f t="shared" si="8"/>
        <v>1909.7584007401751</v>
      </c>
      <c r="P51" s="205">
        <f t="shared" si="9"/>
        <v>32465.892812582977</v>
      </c>
      <c r="Q51" s="272">
        <f>L51/$P$264*$P$272</f>
        <v>32465.892812582984</v>
      </c>
      <c r="R51" s="439">
        <f t="shared" si="10"/>
        <v>0</v>
      </c>
      <c r="T51" s="224"/>
      <c r="AG51" s="224"/>
      <c r="AI51" s="224"/>
    </row>
    <row r="52" spans="1:47" s="273" customFormat="1" x14ac:dyDescent="0.25">
      <c r="A52" s="411"/>
      <c r="B52" s="689"/>
      <c r="C52" s="318">
        <v>3</v>
      </c>
      <c r="D52" s="83" t="s">
        <v>540</v>
      </c>
      <c r="E52" s="242">
        <v>12.18</v>
      </c>
      <c r="F52" s="302">
        <v>13</v>
      </c>
      <c r="G52" s="77" t="s">
        <v>101</v>
      </c>
      <c r="H52" s="328">
        <f>H42</f>
        <v>1167.3640399556048</v>
      </c>
      <c r="I52" s="74">
        <f>F52*H52</f>
        <v>15175.732519422862</v>
      </c>
      <c r="J52" s="328">
        <f>J42</f>
        <v>215.1</v>
      </c>
      <c r="K52" s="74">
        <f>F52*J52</f>
        <v>2796.2999999999997</v>
      </c>
      <c r="L52" s="74">
        <f>K52+I52</f>
        <v>17972.032519422861</v>
      </c>
      <c r="M52" s="74">
        <f>H52/$P$264*$P$272</f>
        <v>1612.6157481092948</v>
      </c>
      <c r="N52" s="74">
        <f>J52/$P$264*$P$272</f>
        <v>297.14265263088026</v>
      </c>
      <c r="O52" s="72">
        <f t="shared" si="8"/>
        <v>1909.7584007401751</v>
      </c>
      <c r="P52" s="205">
        <f t="shared" si="9"/>
        <v>24826.859209622278</v>
      </c>
      <c r="Q52" s="272">
        <f>L52/$P$264*$P$272</f>
        <v>24826.859209622278</v>
      </c>
      <c r="R52" s="439">
        <f t="shared" si="10"/>
        <v>0</v>
      </c>
      <c r="T52" s="224"/>
      <c r="AG52" s="224"/>
      <c r="AI52" s="224"/>
    </row>
    <row r="53" spans="1:47" s="273" customFormat="1" x14ac:dyDescent="0.25">
      <c r="A53" s="411"/>
      <c r="B53" s="689"/>
      <c r="C53" s="318">
        <v>4</v>
      </c>
      <c r="D53" s="83" t="s">
        <v>541</v>
      </c>
      <c r="E53" s="242">
        <v>28.68</v>
      </c>
      <c r="F53" s="302">
        <v>30</v>
      </c>
      <c r="G53" s="77" t="s">
        <v>101</v>
      </c>
      <c r="H53" s="328">
        <f>H52</f>
        <v>1167.3640399556048</v>
      </c>
      <c r="I53" s="74">
        <f t="shared" ref="I53" si="18">F53*H53</f>
        <v>35020.92119866814</v>
      </c>
      <c r="J53" s="328">
        <f>J52</f>
        <v>215.1</v>
      </c>
      <c r="K53" s="74">
        <f t="shared" ref="K53" si="19">F53*J53</f>
        <v>6453</v>
      </c>
      <c r="L53" s="74">
        <f t="shared" ref="L53" si="20">K53+I53</f>
        <v>41473.92119866814</v>
      </c>
      <c r="M53" s="74">
        <f>H53/$P$264*$P$272</f>
        <v>1612.6157481092948</v>
      </c>
      <c r="N53" s="74">
        <f>J53/$P$264*$P$272</f>
        <v>297.14265263088026</v>
      </c>
      <c r="O53" s="72">
        <f t="shared" si="8"/>
        <v>1909.7584007401751</v>
      </c>
      <c r="P53" s="205">
        <f t="shared" si="9"/>
        <v>57292.752022205255</v>
      </c>
      <c r="Q53" s="272">
        <f>L53/$P$264*$P$272</f>
        <v>57292.752022205255</v>
      </c>
      <c r="R53" s="439">
        <f t="shared" si="10"/>
        <v>0</v>
      </c>
      <c r="T53" s="224"/>
      <c r="AG53" s="224"/>
      <c r="AI53" s="224"/>
    </row>
    <row r="54" spans="1:47" s="273" customFormat="1" x14ac:dyDescent="0.25">
      <c r="A54" s="411"/>
      <c r="B54" s="689"/>
      <c r="C54" s="318">
        <v>5</v>
      </c>
      <c r="D54" s="83" t="s">
        <v>490</v>
      </c>
      <c r="E54" s="242">
        <f>1350+85</f>
        <v>1435</v>
      </c>
      <c r="F54" s="302">
        <v>1450</v>
      </c>
      <c r="G54" s="77" t="s">
        <v>101</v>
      </c>
      <c r="H54" s="818">
        <f>165-5</f>
        <v>160</v>
      </c>
      <c r="I54" s="74">
        <f>F54*H54</f>
        <v>232000</v>
      </c>
      <c r="J54" s="818">
        <f>165-5</f>
        <v>160</v>
      </c>
      <c r="K54" s="74">
        <f>F54*J54</f>
        <v>232000</v>
      </c>
      <c r="L54" s="74">
        <f>K54+I54</f>
        <v>464000</v>
      </c>
      <c r="M54" s="74">
        <f>H54/$P$264*$P$272</f>
        <v>221.02661283561528</v>
      </c>
      <c r="N54" s="74">
        <f>J54/$P$264*$P$272</f>
        <v>221.02661283561528</v>
      </c>
      <c r="O54" s="72">
        <f>N54+M54</f>
        <v>442.05322567123056</v>
      </c>
      <c r="P54" s="205">
        <f>O54*F54</f>
        <v>640977.17722328426</v>
      </c>
      <c r="Q54" s="272">
        <f>L54/$P$264*$P$272</f>
        <v>640977.17722328426</v>
      </c>
      <c r="R54" s="439">
        <f>P54-Q54</f>
        <v>0</v>
      </c>
    </row>
    <row r="55" spans="1:47" s="273" customFormat="1" x14ac:dyDescent="0.25">
      <c r="A55" s="411"/>
      <c r="B55" s="689"/>
      <c r="C55" s="318">
        <v>6</v>
      </c>
      <c r="D55" s="83" t="s">
        <v>491</v>
      </c>
      <c r="E55" s="242">
        <f>685+46</f>
        <v>731</v>
      </c>
      <c r="F55" s="302">
        <v>744</v>
      </c>
      <c r="G55" s="77" t="s">
        <v>101</v>
      </c>
      <c r="H55" s="818">
        <f>180-10</f>
        <v>170</v>
      </c>
      <c r="I55" s="74">
        <f>F55*H55</f>
        <v>126480</v>
      </c>
      <c r="J55" s="818">
        <f>190-5</f>
        <v>185</v>
      </c>
      <c r="K55" s="74">
        <f>F55*J55</f>
        <v>137640</v>
      </c>
      <c r="L55" s="74">
        <f>K55+I55</f>
        <v>264120</v>
      </c>
      <c r="M55" s="74">
        <f>H55/$P$264*$P$272</f>
        <v>234.84077613784126</v>
      </c>
      <c r="N55" s="74">
        <f>J55/$P$264*$P$272</f>
        <v>255.56202109118016</v>
      </c>
      <c r="O55" s="72">
        <f t="shared" ref="O55:O83" si="21">N55+M55</f>
        <v>490.40279722902142</v>
      </c>
      <c r="P55" s="205">
        <f t="shared" ref="P55:P83" si="22">O55*F55</f>
        <v>364859.68113839196</v>
      </c>
      <c r="Q55" s="272">
        <f>L55/$P$264*$P$272</f>
        <v>364859.6811383919</v>
      </c>
      <c r="R55" s="439">
        <f t="shared" ref="R55:R83" si="23">P55-Q55</f>
        <v>0</v>
      </c>
    </row>
    <row r="56" spans="1:47" s="273" customFormat="1" x14ac:dyDescent="0.25">
      <c r="A56" s="411"/>
      <c r="B56" s="689"/>
      <c r="C56" s="318">
        <v>7</v>
      </c>
      <c r="D56" s="83" t="s">
        <v>334</v>
      </c>
      <c r="E56" s="306" t="s">
        <v>39</v>
      </c>
      <c r="F56" s="302">
        <v>0</v>
      </c>
      <c r="G56" s="77"/>
      <c r="H56" s="74"/>
      <c r="I56" s="74"/>
      <c r="J56" s="74"/>
      <c r="K56" s="74"/>
      <c r="L56" s="74"/>
      <c r="M56" s="74">
        <f>H56/$P$264*$P$272</f>
        <v>0</v>
      </c>
      <c r="N56" s="74">
        <f>J56/$P$264*$P$272</f>
        <v>0</v>
      </c>
      <c r="O56" s="72">
        <f t="shared" si="21"/>
        <v>0</v>
      </c>
      <c r="P56" s="205">
        <f t="shared" si="22"/>
        <v>0</v>
      </c>
      <c r="Q56" s="272">
        <f>L56/$P$264*$P$272</f>
        <v>0</v>
      </c>
      <c r="R56" s="439">
        <f t="shared" si="23"/>
        <v>0</v>
      </c>
      <c r="T56" s="224"/>
      <c r="AG56" s="224"/>
      <c r="AI56" s="224"/>
    </row>
    <row r="57" spans="1:47" s="273" customFormat="1" x14ac:dyDescent="0.25">
      <c r="A57" s="411"/>
      <c r="B57" s="689"/>
      <c r="C57" s="318"/>
      <c r="D57" s="82"/>
      <c r="E57" s="242"/>
      <c r="F57" s="302"/>
      <c r="G57" s="75"/>
      <c r="H57" s="74"/>
      <c r="I57" s="74"/>
      <c r="J57" s="74"/>
      <c r="K57" s="74"/>
      <c r="L57" s="74"/>
      <c r="M57" s="74"/>
      <c r="N57" s="74"/>
      <c r="O57" s="72"/>
      <c r="P57" s="205"/>
      <c r="Q57" s="272"/>
      <c r="R57" s="439"/>
      <c r="T57" s="224"/>
      <c r="AG57" s="224"/>
      <c r="AI57" s="224"/>
    </row>
    <row r="58" spans="1:47" s="273" customFormat="1" x14ac:dyDescent="0.25">
      <c r="A58" s="411"/>
      <c r="B58" s="412" t="s">
        <v>321</v>
      </c>
      <c r="C58" s="413" t="s">
        <v>87</v>
      </c>
      <c r="D58" s="82"/>
      <c r="E58" s="242"/>
      <c r="F58" s="302"/>
      <c r="G58" s="75"/>
      <c r="H58" s="74"/>
      <c r="I58" s="74"/>
      <c r="J58" s="74"/>
      <c r="K58" s="74"/>
      <c r="L58" s="74"/>
      <c r="M58" s="74"/>
      <c r="N58" s="74"/>
      <c r="O58" s="72"/>
      <c r="P58" s="205"/>
      <c r="Q58" s="272"/>
      <c r="R58" s="439"/>
      <c r="T58" s="224"/>
      <c r="AG58" s="224"/>
      <c r="AI58" s="224"/>
    </row>
    <row r="59" spans="1:47" s="273" customFormat="1" x14ac:dyDescent="0.25">
      <c r="A59" s="411"/>
      <c r="B59" s="689"/>
      <c r="C59" s="318">
        <v>1</v>
      </c>
      <c r="D59" s="83" t="s">
        <v>322</v>
      </c>
      <c r="E59" s="242">
        <v>269</v>
      </c>
      <c r="F59" s="302">
        <v>273</v>
      </c>
      <c r="G59" s="77" t="s">
        <v>101</v>
      </c>
      <c r="H59" s="347">
        <f>430*0.98</f>
        <v>421.4</v>
      </c>
      <c r="I59" s="74">
        <f>F59*H59</f>
        <v>115042.2</v>
      </c>
      <c r="J59" s="74">
        <f>375*0.98</f>
        <v>367.5</v>
      </c>
      <c r="K59" s="74">
        <f t="shared" ref="K59:K60" si="24">F59*J59</f>
        <v>100327.5</v>
      </c>
      <c r="L59" s="72">
        <f t="shared" ref="L59:L60" si="25">I59+K59</f>
        <v>215369.7</v>
      </c>
      <c r="M59" s="74">
        <f>H59/$P$264*$P$272</f>
        <v>582.12884155580173</v>
      </c>
      <c r="N59" s="74">
        <f>J59/$P$264*$P$272</f>
        <v>507.67050135680387</v>
      </c>
      <c r="O59" s="72">
        <f t="shared" si="21"/>
        <v>1089.7993429126057</v>
      </c>
      <c r="P59" s="205">
        <f t="shared" si="22"/>
        <v>297515.22061514133</v>
      </c>
      <c r="Q59" s="272">
        <f>L59/$P$264*$P$272</f>
        <v>297515.22061514133</v>
      </c>
      <c r="R59" s="439">
        <f t="shared" si="23"/>
        <v>0</v>
      </c>
      <c r="T59" s="224"/>
    </row>
    <row r="60" spans="1:47" s="273" customFormat="1" ht="15" customHeight="1" x14ac:dyDescent="0.25">
      <c r="A60" s="411"/>
      <c r="B60" s="689"/>
      <c r="C60" s="318">
        <v>2</v>
      </c>
      <c r="D60" s="83" t="s">
        <v>90</v>
      </c>
      <c r="E60" s="242">
        <v>36.700000000000003</v>
      </c>
      <c r="F60" s="302">
        <v>39</v>
      </c>
      <c r="G60" s="77" t="s">
        <v>101</v>
      </c>
      <c r="H60" s="347">
        <f>(167+175)+150</f>
        <v>492</v>
      </c>
      <c r="I60" s="74">
        <f>F60*H60</f>
        <v>19188</v>
      </c>
      <c r="J60" s="74">
        <f>225+150</f>
        <v>375</v>
      </c>
      <c r="K60" s="74">
        <f t="shared" si="24"/>
        <v>14625</v>
      </c>
      <c r="L60" s="72">
        <f t="shared" si="25"/>
        <v>33813</v>
      </c>
      <c r="M60" s="74">
        <f>H60/$P$264*$P$272</f>
        <v>679.65683446951709</v>
      </c>
      <c r="N60" s="74">
        <f>J60/$P$264*$P$272</f>
        <v>518.03112383347332</v>
      </c>
      <c r="O60" s="72">
        <f t="shared" si="21"/>
        <v>1197.6879583029904</v>
      </c>
      <c r="P60" s="205">
        <f t="shared" si="22"/>
        <v>46709.830373816629</v>
      </c>
      <c r="Q60" s="272">
        <f>L60/$P$264*$P$272</f>
        <v>46709.830373816614</v>
      </c>
      <c r="R60" s="439">
        <f t="shared" si="23"/>
        <v>0</v>
      </c>
      <c r="T60" s="224"/>
      <c r="AG60" s="224"/>
      <c r="AI60" s="224"/>
      <c r="AO60" s="285"/>
      <c r="AP60" s="285"/>
      <c r="AQ60" s="286"/>
      <c r="AR60" s="286"/>
      <c r="AS60" s="286"/>
      <c r="AT60" s="286"/>
      <c r="AU60" s="127"/>
    </row>
    <row r="61" spans="1:47" s="273" customFormat="1" ht="15" customHeight="1" x14ac:dyDescent="0.25">
      <c r="A61" s="411"/>
      <c r="B61" s="689"/>
      <c r="C61" s="318"/>
      <c r="D61" s="83" t="s">
        <v>155</v>
      </c>
      <c r="E61" s="242"/>
      <c r="F61" s="302"/>
      <c r="G61" s="75"/>
      <c r="H61" s="347"/>
      <c r="I61" s="74"/>
      <c r="J61" s="74"/>
      <c r="K61" s="74"/>
      <c r="L61" s="74"/>
      <c r="M61" s="74"/>
      <c r="N61" s="74"/>
      <c r="O61" s="72"/>
      <c r="P61" s="205"/>
      <c r="Q61" s="272"/>
      <c r="R61" s="439"/>
      <c r="T61" s="224"/>
      <c r="W61" s="904" t="s">
        <v>293</v>
      </c>
      <c r="X61" s="904"/>
      <c r="Y61" s="904"/>
      <c r="Z61" s="904"/>
      <c r="AA61" s="904"/>
      <c r="AB61" s="904"/>
      <c r="AC61" s="824" t="s">
        <v>243</v>
      </c>
      <c r="AD61" s="824" t="s">
        <v>244</v>
      </c>
      <c r="AE61" s="824" t="s">
        <v>245</v>
      </c>
      <c r="AF61" s="123" t="s">
        <v>246</v>
      </c>
      <c r="AG61" s="196" t="s">
        <v>247</v>
      </c>
      <c r="AH61" s="824" t="s">
        <v>248</v>
      </c>
      <c r="AI61" s="212" t="s">
        <v>249</v>
      </c>
      <c r="AO61" s="285"/>
      <c r="AP61" s="285"/>
      <c r="AQ61" s="286"/>
      <c r="AR61" s="286"/>
      <c r="AS61" s="286"/>
      <c r="AT61" s="286"/>
      <c r="AU61" s="127"/>
    </row>
    <row r="62" spans="1:47" s="273" customFormat="1" x14ac:dyDescent="0.25">
      <c r="A62" s="411"/>
      <c r="B62" s="689"/>
      <c r="C62" s="318">
        <v>3</v>
      </c>
      <c r="D62" s="83" t="s">
        <v>92</v>
      </c>
      <c r="E62" s="242">
        <v>62</v>
      </c>
      <c r="F62" s="302">
        <v>64</v>
      </c>
      <c r="G62" s="77" t="s">
        <v>101</v>
      </c>
      <c r="H62" s="347">
        <f>((177+155)+150)*0.98</f>
        <v>472.36</v>
      </c>
      <c r="I62" s="74">
        <f>F62*H62</f>
        <v>30231.040000000001</v>
      </c>
      <c r="J62" s="74">
        <f>(225+150)*0.98</f>
        <v>367.5</v>
      </c>
      <c r="K62" s="74">
        <f t="shared" ref="K62" si="26">F62*J62</f>
        <v>23520</v>
      </c>
      <c r="L62" s="72">
        <f t="shared" ref="L62" si="27">I62+K62</f>
        <v>53751.040000000001</v>
      </c>
      <c r="M62" s="74">
        <f>H62/$P$264*$P$272</f>
        <v>652.52581774394525</v>
      </c>
      <c r="N62" s="74">
        <f>J62/$P$264*$P$272</f>
        <v>507.67050135680387</v>
      </c>
      <c r="O62" s="72">
        <f t="shared" si="21"/>
        <v>1160.1963191007492</v>
      </c>
      <c r="P62" s="205">
        <f t="shared" si="22"/>
        <v>74252.564422447947</v>
      </c>
      <c r="Q62" s="272">
        <f>L62/$P$264*$P$272</f>
        <v>74252.564422447933</v>
      </c>
      <c r="R62" s="439">
        <f t="shared" si="23"/>
        <v>0</v>
      </c>
      <c r="T62" s="224"/>
      <c r="W62" s="878" t="s">
        <v>258</v>
      </c>
      <c r="X62" s="878"/>
      <c r="Y62" s="878"/>
      <c r="Z62" s="878"/>
      <c r="AA62" s="878"/>
      <c r="AB62" s="878"/>
      <c r="AC62" s="124" t="s">
        <v>251</v>
      </c>
      <c r="AD62" s="823">
        <v>11.11</v>
      </c>
      <c r="AE62" s="823">
        <v>12</v>
      </c>
      <c r="AF62" s="123">
        <f>27.26/1.02</f>
        <v>26.725490196078432</v>
      </c>
      <c r="AG62" s="196">
        <f>AF62*AE62</f>
        <v>320.70588235294122</v>
      </c>
      <c r="AH62" s="823">
        <v>18</v>
      </c>
      <c r="AI62" s="219">
        <f>AH62*AE62</f>
        <v>216</v>
      </c>
      <c r="AO62" s="285"/>
      <c r="AP62" s="285"/>
      <c r="AQ62" s="286"/>
      <c r="AR62" s="286"/>
      <c r="AS62" s="286"/>
      <c r="AT62" s="286"/>
      <c r="AU62" s="690"/>
    </row>
    <row r="63" spans="1:47" s="273" customFormat="1" x14ac:dyDescent="0.25">
      <c r="A63" s="411"/>
      <c r="B63" s="718"/>
      <c r="C63" s="719"/>
      <c r="D63" s="83" t="s">
        <v>154</v>
      </c>
      <c r="E63" s="242"/>
      <c r="F63" s="302"/>
      <c r="G63" s="75"/>
      <c r="H63" s="74"/>
      <c r="I63" s="74"/>
      <c r="J63" s="74"/>
      <c r="K63" s="74"/>
      <c r="L63" s="74"/>
      <c r="M63" s="74"/>
      <c r="N63" s="74"/>
      <c r="O63" s="72"/>
      <c r="P63" s="205"/>
      <c r="Q63" s="272"/>
      <c r="R63" s="439"/>
      <c r="T63" s="224"/>
      <c r="W63" s="878" t="s">
        <v>252</v>
      </c>
      <c r="X63" s="878"/>
      <c r="Y63" s="878"/>
      <c r="Z63" s="878"/>
      <c r="AA63" s="878"/>
      <c r="AB63" s="878"/>
      <c r="AC63" s="124" t="s">
        <v>253</v>
      </c>
      <c r="AD63" s="823">
        <v>0.25</v>
      </c>
      <c r="AE63" s="823">
        <v>0.25</v>
      </c>
      <c r="AF63" s="123">
        <f>AF133</f>
        <v>279.41176470588238</v>
      </c>
      <c r="AG63" s="196">
        <f>AF63*AE63</f>
        <v>69.852941176470594</v>
      </c>
      <c r="AH63" s="823"/>
      <c r="AI63" s="219">
        <f t="shared" ref="AI63:AI65" si="28">AH63*AE63</f>
        <v>0</v>
      </c>
    </row>
    <row r="64" spans="1:47" s="273" customFormat="1" x14ac:dyDescent="0.25">
      <c r="A64" s="411"/>
      <c r="B64" s="689"/>
      <c r="C64" s="318">
        <v>4</v>
      </c>
      <c r="D64" s="83" t="s">
        <v>93</v>
      </c>
      <c r="E64" s="242">
        <v>252</v>
      </c>
      <c r="F64" s="302">
        <v>255</v>
      </c>
      <c r="G64" s="77" t="s">
        <v>101</v>
      </c>
      <c r="H64" s="74">
        <f>(230+185)/1.05</f>
        <v>395.23809523809524</v>
      </c>
      <c r="I64" s="74">
        <f>F64*H64</f>
        <v>100785.71428571429</v>
      </c>
      <c r="J64" s="74">
        <v>225</v>
      </c>
      <c r="K64" s="74">
        <f t="shared" ref="K64" si="29">F64*J64</f>
        <v>57375</v>
      </c>
      <c r="L64" s="72">
        <f t="shared" ref="L64" si="30">I64+K64</f>
        <v>158160.71428571429</v>
      </c>
      <c r="M64" s="74">
        <f>H64/$P$264*$P$272</f>
        <v>545.98835908797821</v>
      </c>
      <c r="N64" s="74">
        <f>J64/$P$264*$P$272</f>
        <v>310.81867430008401</v>
      </c>
      <c r="O64" s="72">
        <f t="shared" si="21"/>
        <v>856.80703338806222</v>
      </c>
      <c r="P64" s="205">
        <f t="shared" si="22"/>
        <v>218485.79351395587</v>
      </c>
      <c r="Q64" s="272">
        <f>L64/$P$264*$P$272</f>
        <v>218485.79351395587</v>
      </c>
      <c r="R64" s="439">
        <f t="shared" si="23"/>
        <v>0</v>
      </c>
      <c r="T64" s="224"/>
      <c r="W64" s="878" t="s">
        <v>254</v>
      </c>
      <c r="X64" s="878"/>
      <c r="Y64" s="878"/>
      <c r="Z64" s="878"/>
      <c r="AA64" s="878"/>
      <c r="AB64" s="878"/>
      <c r="AC64" s="124" t="s">
        <v>255</v>
      </c>
      <c r="AD64" s="823">
        <v>0.25</v>
      </c>
      <c r="AE64" s="823">
        <v>0.35</v>
      </c>
      <c r="AF64" s="123">
        <f>AF32</f>
        <v>34.905660377358487</v>
      </c>
      <c r="AG64" s="196">
        <f t="shared" ref="AG64:AG65" si="31">AF64*AE64</f>
        <v>12.216981132075469</v>
      </c>
      <c r="AH64" s="823"/>
      <c r="AI64" s="219">
        <f t="shared" si="28"/>
        <v>0</v>
      </c>
    </row>
    <row r="65" spans="1:35" s="273" customFormat="1" x14ac:dyDescent="0.25">
      <c r="A65" s="411"/>
      <c r="B65" s="718"/>
      <c r="C65" s="719"/>
      <c r="D65" s="83" t="s">
        <v>94</v>
      </c>
      <c r="E65" s="242"/>
      <c r="F65" s="302"/>
      <c r="G65" s="75"/>
      <c r="H65" s="74"/>
      <c r="I65" s="74"/>
      <c r="J65" s="74"/>
      <c r="K65" s="74"/>
      <c r="L65" s="74"/>
      <c r="M65" s="74"/>
      <c r="N65" s="74"/>
      <c r="O65" s="72"/>
      <c r="P65" s="205"/>
      <c r="Q65" s="272"/>
      <c r="R65" s="439"/>
      <c r="T65" s="224"/>
      <c r="W65" s="878" t="str">
        <f>W33</f>
        <v>mortar (topping) included @ other item</v>
      </c>
      <c r="X65" s="878"/>
      <c r="Y65" s="878"/>
      <c r="Z65" s="878"/>
      <c r="AA65" s="878"/>
      <c r="AB65" s="878"/>
      <c r="AC65" s="124" t="s">
        <v>257</v>
      </c>
      <c r="AD65" s="823">
        <v>1</v>
      </c>
      <c r="AE65" s="823">
        <v>1</v>
      </c>
      <c r="AF65" s="123">
        <f>AF33</f>
        <v>0</v>
      </c>
      <c r="AG65" s="196">
        <f t="shared" si="31"/>
        <v>0</v>
      </c>
      <c r="AH65" s="823">
        <f>AH33</f>
        <v>0</v>
      </c>
      <c r="AI65" s="219">
        <f t="shared" si="28"/>
        <v>0</v>
      </c>
    </row>
    <row r="66" spans="1:35" s="273" customFormat="1" x14ac:dyDescent="0.25">
      <c r="A66" s="411"/>
      <c r="B66" s="689"/>
      <c r="C66" s="318">
        <v>5</v>
      </c>
      <c r="D66" s="83" t="s">
        <v>160</v>
      </c>
      <c r="E66" s="720">
        <f>29.2+51.05</f>
        <v>80.25</v>
      </c>
      <c r="F66" s="721">
        <v>82</v>
      </c>
      <c r="G66" s="77" t="s">
        <v>101</v>
      </c>
      <c r="H66" s="74"/>
      <c r="I66" s="74">
        <f>F66*H66</f>
        <v>0</v>
      </c>
      <c r="J66" s="74"/>
      <c r="K66" s="74">
        <f t="shared" ref="K66:K69" si="32">F66*J66</f>
        <v>0</v>
      </c>
      <c r="L66" s="72">
        <f t="shared" ref="L66:L67" si="33">I66+K66</f>
        <v>0</v>
      </c>
      <c r="M66" s="74">
        <f>H66/$P$264*$P$272</f>
        <v>0</v>
      </c>
      <c r="N66" s="74">
        <f>J66/$P$264*$P$272</f>
        <v>0</v>
      </c>
      <c r="O66" s="72">
        <f t="shared" si="21"/>
        <v>0</v>
      </c>
      <c r="P66" s="205">
        <f t="shared" si="22"/>
        <v>0</v>
      </c>
      <c r="Q66" s="272">
        <f>L66/$P$264*$P$272</f>
        <v>0</v>
      </c>
      <c r="R66" s="439">
        <f t="shared" si="23"/>
        <v>0</v>
      </c>
      <c r="T66" s="224"/>
      <c r="W66" s="878" t="s">
        <v>259</v>
      </c>
      <c r="X66" s="878"/>
      <c r="Y66" s="878"/>
      <c r="Z66" s="878"/>
      <c r="AA66" s="878"/>
      <c r="AB66" s="878"/>
      <c r="AC66" s="124" t="s">
        <v>257</v>
      </c>
      <c r="AD66" s="823">
        <v>1</v>
      </c>
      <c r="AE66" s="823">
        <v>1</v>
      </c>
      <c r="AF66" s="123">
        <f>AF33</f>
        <v>0</v>
      </c>
      <c r="AG66" s="196">
        <f>AF66*AE66</f>
        <v>0</v>
      </c>
      <c r="AH66" s="823">
        <f>AH33</f>
        <v>0</v>
      </c>
      <c r="AI66" s="219">
        <f>AH66*AE66</f>
        <v>0</v>
      </c>
    </row>
    <row r="67" spans="1:35" s="273" customFormat="1" x14ac:dyDescent="0.25">
      <c r="A67" s="411"/>
      <c r="B67" s="689"/>
      <c r="C67" s="318">
        <v>6</v>
      </c>
      <c r="D67" s="83" t="s">
        <v>492</v>
      </c>
      <c r="E67" s="242">
        <v>61.7</v>
      </c>
      <c r="F67" s="302">
        <v>63</v>
      </c>
      <c r="G67" s="77" t="s">
        <v>100</v>
      </c>
      <c r="H67" s="74">
        <v>130</v>
      </c>
      <c r="I67" s="74">
        <f>F67*H67</f>
        <v>8190</v>
      </c>
      <c r="J67" s="74">
        <v>120</v>
      </c>
      <c r="K67" s="74">
        <f t="shared" si="32"/>
        <v>7560</v>
      </c>
      <c r="L67" s="72">
        <f t="shared" si="33"/>
        <v>15750</v>
      </c>
      <c r="M67" s="74">
        <f>H67/$P$264*$P$272</f>
        <v>179.58412292893743</v>
      </c>
      <c r="N67" s="74">
        <f>J67/$P$264*$P$272</f>
        <v>165.76995962671145</v>
      </c>
      <c r="O67" s="72">
        <f t="shared" si="21"/>
        <v>345.35408255564892</v>
      </c>
      <c r="P67" s="205">
        <f t="shared" si="22"/>
        <v>21757.307201005882</v>
      </c>
      <c r="Q67" s="272">
        <f>L67/$P$264*$P$272</f>
        <v>21757.307201005882</v>
      </c>
      <c r="R67" s="439">
        <f t="shared" si="23"/>
        <v>0</v>
      </c>
      <c r="T67" s="224"/>
      <c r="W67" s="126"/>
      <c r="X67" s="126"/>
      <c r="Y67" s="126"/>
      <c r="Z67" s="126"/>
      <c r="AA67" s="126"/>
      <c r="AB67" s="126"/>
      <c r="AC67" s="126"/>
      <c r="AD67" s="823"/>
      <c r="AE67" s="823"/>
      <c r="AF67" s="123"/>
      <c r="AG67" s="212">
        <f>SUM(AG62:AG66)</f>
        <v>402.77580466148731</v>
      </c>
      <c r="AH67" s="824"/>
      <c r="AI67" s="212">
        <f>SUM(AI62:AI66)</f>
        <v>216</v>
      </c>
    </row>
    <row r="68" spans="1:35" s="273" customFormat="1" hidden="1" x14ac:dyDescent="0.25">
      <c r="A68" s="411"/>
      <c r="B68" s="689"/>
      <c r="C68" s="318"/>
      <c r="D68" s="83"/>
      <c r="E68" s="242"/>
      <c r="F68" s="302"/>
      <c r="G68" s="75"/>
      <c r="H68" s="74"/>
      <c r="I68" s="74"/>
      <c r="J68" s="74"/>
      <c r="K68" s="74"/>
      <c r="L68" s="74"/>
      <c r="M68" s="74">
        <f>H68/$P$264*$P$272</f>
        <v>0</v>
      </c>
      <c r="N68" s="74">
        <f>J68/$P$264*$P$272</f>
        <v>0</v>
      </c>
      <c r="O68" s="72">
        <f t="shared" si="21"/>
        <v>0</v>
      </c>
      <c r="P68" s="205">
        <f t="shared" si="22"/>
        <v>0</v>
      </c>
      <c r="Q68" s="272">
        <f>L68/$P$264*$P$272</f>
        <v>0</v>
      </c>
      <c r="R68" s="439">
        <f t="shared" si="23"/>
        <v>0</v>
      </c>
      <c r="T68" s="224"/>
      <c r="AG68" s="224"/>
      <c r="AI68" s="224"/>
    </row>
    <row r="69" spans="1:35" s="273" customFormat="1" x14ac:dyDescent="0.25">
      <c r="A69" s="411"/>
      <c r="B69" s="689"/>
      <c r="C69" s="318">
        <v>7</v>
      </c>
      <c r="D69" s="83" t="s">
        <v>357</v>
      </c>
      <c r="E69" s="242">
        <v>152.9</v>
      </c>
      <c r="F69" s="302">
        <v>154</v>
      </c>
      <c r="G69" s="77" t="s">
        <v>101</v>
      </c>
      <c r="H69" s="74"/>
      <c r="I69" s="74">
        <f>F69*H69</f>
        <v>0</v>
      </c>
      <c r="J69" s="74"/>
      <c r="K69" s="74">
        <f t="shared" si="32"/>
        <v>0</v>
      </c>
      <c r="L69" s="72">
        <f t="shared" ref="L69" si="34">I69+K69</f>
        <v>0</v>
      </c>
      <c r="M69" s="74">
        <f>H69/$P$264*$P$272</f>
        <v>0</v>
      </c>
      <c r="N69" s="74">
        <f>J69/$P$264*$P$272</f>
        <v>0</v>
      </c>
      <c r="O69" s="72">
        <f t="shared" si="21"/>
        <v>0</v>
      </c>
      <c r="P69" s="305" t="s">
        <v>39</v>
      </c>
      <c r="Q69" s="272">
        <f>L69/$P$264*$P$272</f>
        <v>0</v>
      </c>
      <c r="R69" s="439" t="e">
        <f t="shared" si="23"/>
        <v>#VALUE!</v>
      </c>
      <c r="T69" s="224"/>
      <c r="AG69" s="224"/>
      <c r="AI69" s="224"/>
    </row>
    <row r="70" spans="1:35" s="273" customFormat="1" x14ac:dyDescent="0.25">
      <c r="A70" s="411"/>
      <c r="B70" s="718"/>
      <c r="C70" s="719"/>
      <c r="D70" s="83"/>
      <c r="E70" s="242"/>
      <c r="F70" s="302"/>
      <c r="G70" s="75"/>
      <c r="H70" s="74"/>
      <c r="I70" s="74"/>
      <c r="J70" s="74"/>
      <c r="K70" s="74"/>
      <c r="L70" s="74"/>
      <c r="M70" s="74"/>
      <c r="N70" s="74"/>
      <c r="O70" s="72"/>
      <c r="P70" s="205"/>
      <c r="Q70" s="272"/>
      <c r="R70" s="439"/>
      <c r="T70" s="224"/>
      <c r="AG70" s="224"/>
      <c r="AI70" s="224"/>
    </row>
    <row r="71" spans="1:35" s="273" customFormat="1" x14ac:dyDescent="0.25">
      <c r="A71" s="411"/>
      <c r="B71" s="412" t="s">
        <v>323</v>
      </c>
      <c r="C71" s="413" t="s">
        <v>26</v>
      </c>
      <c r="D71" s="82"/>
      <c r="E71" s="242"/>
      <c r="F71" s="302"/>
      <c r="G71" s="75"/>
      <c r="H71" s="74"/>
      <c r="I71" s="74"/>
      <c r="J71" s="74"/>
      <c r="K71" s="74"/>
      <c r="L71" s="74"/>
      <c r="M71" s="74"/>
      <c r="N71" s="74"/>
      <c r="O71" s="72"/>
      <c r="P71" s="205"/>
      <c r="Q71" s="272"/>
      <c r="R71" s="439"/>
      <c r="T71" s="224"/>
      <c r="AG71" s="224"/>
      <c r="AI71" s="224"/>
    </row>
    <row r="72" spans="1:35" s="273" customFormat="1" hidden="1" x14ac:dyDescent="0.25">
      <c r="A72" s="350"/>
      <c r="B72" s="317"/>
      <c r="C72" s="318">
        <v>1</v>
      </c>
      <c r="D72" s="83" t="s">
        <v>104</v>
      </c>
      <c r="E72" s="242">
        <v>3</v>
      </c>
      <c r="F72" s="302">
        <v>3</v>
      </c>
      <c r="G72" s="77" t="s">
        <v>28</v>
      </c>
      <c r="H72" s="74"/>
      <c r="I72" s="74">
        <f>F72*H72</f>
        <v>0</v>
      </c>
      <c r="J72" s="74"/>
      <c r="K72" s="74">
        <f t="shared" ref="K72" si="35">F72*J72</f>
        <v>0</v>
      </c>
      <c r="L72" s="72">
        <f t="shared" ref="L72" si="36">I72+K72</f>
        <v>0</v>
      </c>
      <c r="M72" s="74">
        <f>H72/$P$264*$P$272</f>
        <v>0</v>
      </c>
      <c r="N72" s="74">
        <f>J72/$P$264*$P$272</f>
        <v>0</v>
      </c>
      <c r="O72" s="72">
        <f t="shared" si="21"/>
        <v>0</v>
      </c>
      <c r="P72" s="205">
        <f t="shared" si="22"/>
        <v>0</v>
      </c>
      <c r="Q72" s="272">
        <f>L72/$P$264*$P$272</f>
        <v>0</v>
      </c>
      <c r="R72" s="439">
        <f t="shared" si="23"/>
        <v>0</v>
      </c>
      <c r="T72" s="224"/>
      <c r="AG72" s="224"/>
      <c r="AI72" s="224"/>
    </row>
    <row r="73" spans="1:35" s="273" customFormat="1" hidden="1" x14ac:dyDescent="0.25">
      <c r="A73" s="350"/>
      <c r="B73" s="319"/>
      <c r="C73" s="318"/>
      <c r="D73" s="83" t="s">
        <v>324</v>
      </c>
      <c r="E73" s="242"/>
      <c r="F73" s="302"/>
      <c r="G73" s="75"/>
      <c r="H73" s="74"/>
      <c r="I73" s="74"/>
      <c r="J73" s="74"/>
      <c r="K73" s="74"/>
      <c r="L73" s="74"/>
      <c r="M73" s="74">
        <f>H73/$P$264*$P$272</f>
        <v>0</v>
      </c>
      <c r="N73" s="74">
        <f>J73/$P$264*$P$272</f>
        <v>0</v>
      </c>
      <c r="O73" s="72">
        <f t="shared" si="21"/>
        <v>0</v>
      </c>
      <c r="P73" s="205">
        <f t="shared" si="22"/>
        <v>0</v>
      </c>
      <c r="Q73" s="272">
        <f>L73/$P$264*$P$272</f>
        <v>0</v>
      </c>
      <c r="R73" s="439">
        <f t="shared" si="23"/>
        <v>0</v>
      </c>
      <c r="T73" s="224"/>
    </row>
    <row r="74" spans="1:35" s="273" customFormat="1" hidden="1" x14ac:dyDescent="0.25">
      <c r="A74" s="350"/>
      <c r="B74" s="317"/>
      <c r="C74" s="318">
        <v>2</v>
      </c>
      <c r="D74" s="83" t="s">
        <v>105</v>
      </c>
      <c r="E74" s="242">
        <v>1</v>
      </c>
      <c r="F74" s="302">
        <v>1</v>
      </c>
      <c r="G74" s="77" t="s">
        <v>55</v>
      </c>
      <c r="H74" s="74"/>
      <c r="I74" s="74">
        <f>F74*H74</f>
        <v>0</v>
      </c>
      <c r="J74" s="74"/>
      <c r="K74" s="74">
        <f t="shared" ref="K74" si="37">F74*J74</f>
        <v>0</v>
      </c>
      <c r="L74" s="72">
        <f t="shared" ref="L74" si="38">I74+K74</f>
        <v>0</v>
      </c>
      <c r="M74" s="74">
        <f>H74/$P$264*$P$272</f>
        <v>0</v>
      </c>
      <c r="N74" s="74">
        <f>J74/$P$264*$P$272</f>
        <v>0</v>
      </c>
      <c r="O74" s="72">
        <f t="shared" si="21"/>
        <v>0</v>
      </c>
      <c r="P74" s="205">
        <f t="shared" si="22"/>
        <v>0</v>
      </c>
      <c r="Q74" s="272">
        <f>L74/$P$264*$P$272</f>
        <v>0</v>
      </c>
      <c r="R74" s="439">
        <f t="shared" si="23"/>
        <v>0</v>
      </c>
      <c r="T74" s="224"/>
    </row>
    <row r="75" spans="1:35" s="273" customFormat="1" hidden="1" x14ac:dyDescent="0.25">
      <c r="A75" s="350"/>
      <c r="B75" s="319"/>
      <c r="C75" s="318"/>
      <c r="D75" s="83" t="s">
        <v>325</v>
      </c>
      <c r="E75" s="242"/>
      <c r="F75" s="302"/>
      <c r="G75" s="75"/>
      <c r="H75" s="74"/>
      <c r="I75" s="74"/>
      <c r="J75" s="74"/>
      <c r="K75" s="74"/>
      <c r="L75" s="74"/>
      <c r="M75" s="74">
        <f>H75/$P$264*$P$272</f>
        <v>0</v>
      </c>
      <c r="N75" s="74">
        <f>J75/$P$264*$P$272</f>
        <v>0</v>
      </c>
      <c r="O75" s="72">
        <f t="shared" si="21"/>
        <v>0</v>
      </c>
      <c r="P75" s="205">
        <f t="shared" si="22"/>
        <v>0</v>
      </c>
      <c r="Q75" s="272">
        <f>L75/$P$264*$P$272</f>
        <v>0</v>
      </c>
      <c r="R75" s="439">
        <f t="shared" si="23"/>
        <v>0</v>
      </c>
      <c r="T75" s="224"/>
      <c r="AG75" s="224"/>
      <c r="AI75" s="224"/>
    </row>
    <row r="76" spans="1:35" s="273" customFormat="1" x14ac:dyDescent="0.25">
      <c r="A76" s="350"/>
      <c r="B76" s="317"/>
      <c r="C76" s="318">
        <v>1</v>
      </c>
      <c r="D76" s="83" t="s">
        <v>106</v>
      </c>
      <c r="E76" s="242">
        <v>2</v>
      </c>
      <c r="F76" s="302">
        <v>2</v>
      </c>
      <c r="G76" s="77" t="s">
        <v>28</v>
      </c>
      <c r="H76" s="74">
        <f>(4000+1750+1000)/1.03</f>
        <v>6553.3980582524273</v>
      </c>
      <c r="I76" s="74">
        <f t="shared" ref="I76:I81" si="39">F76*H76</f>
        <v>13106.796116504855</v>
      </c>
      <c r="J76" s="74">
        <v>700</v>
      </c>
      <c r="K76" s="74">
        <f t="shared" ref="K76:K81" si="40">F76*J76</f>
        <v>1400</v>
      </c>
      <c r="L76" s="72">
        <f t="shared" ref="L76:L81" si="41">I76+K76</f>
        <v>14506.796116504855</v>
      </c>
      <c r="M76" s="74">
        <f>H76/$P$264*$P$272</f>
        <v>9052.9710961189503</v>
      </c>
      <c r="N76" s="74">
        <f>J76/$P$264*$P$272</f>
        <v>966.99143115581683</v>
      </c>
      <c r="O76" s="72">
        <f t="shared" si="21"/>
        <v>10019.962527274767</v>
      </c>
      <c r="P76" s="205">
        <f t="shared" si="22"/>
        <v>20039.925054549534</v>
      </c>
      <c r="Q76" s="272">
        <f>L76/$P$264*$P$272</f>
        <v>20039.925054549534</v>
      </c>
      <c r="R76" s="439">
        <f t="shared" si="23"/>
        <v>0</v>
      </c>
      <c r="T76" s="224"/>
      <c r="W76" s="878" t="s">
        <v>254</v>
      </c>
      <c r="X76" s="878"/>
      <c r="Y76" s="878"/>
      <c r="Z76" s="878"/>
      <c r="AA76" s="878"/>
      <c r="AB76" s="878"/>
      <c r="AC76" s="124" t="s">
        <v>255</v>
      </c>
      <c r="AD76" s="823">
        <v>0.25</v>
      </c>
      <c r="AE76" s="823">
        <v>0.35</v>
      </c>
      <c r="AF76" s="123">
        <f>37/1.06</f>
        <v>34.905660377358487</v>
      </c>
      <c r="AG76" s="196">
        <f>AF76*AE76</f>
        <v>12.216981132075469</v>
      </c>
      <c r="AH76" s="823"/>
      <c r="AI76" s="219">
        <f>AH76*AE76</f>
        <v>0</v>
      </c>
    </row>
    <row r="77" spans="1:35" s="273" customFormat="1" x14ac:dyDescent="0.25">
      <c r="A77" s="350"/>
      <c r="B77" s="317"/>
      <c r="C77" s="318">
        <v>2</v>
      </c>
      <c r="D77" s="83" t="s">
        <v>107</v>
      </c>
      <c r="E77" s="242">
        <v>4</v>
      </c>
      <c r="F77" s="302">
        <v>4</v>
      </c>
      <c r="G77" s="77" t="s">
        <v>28</v>
      </c>
      <c r="H77" s="74">
        <f>(4000+1750+1000)/1.03</f>
        <v>6553.3980582524273</v>
      </c>
      <c r="I77" s="74">
        <f t="shared" si="39"/>
        <v>26213.592233009709</v>
      </c>
      <c r="J77" s="74">
        <f>J76</f>
        <v>700</v>
      </c>
      <c r="K77" s="74">
        <f t="shared" si="40"/>
        <v>2800</v>
      </c>
      <c r="L77" s="72">
        <f t="shared" si="41"/>
        <v>29013.592233009709</v>
      </c>
      <c r="M77" s="74">
        <f>H77/$P$264*$P$272</f>
        <v>9052.9710961189503</v>
      </c>
      <c r="N77" s="74">
        <f>J77/$P$264*$P$272</f>
        <v>966.99143115581683</v>
      </c>
      <c r="O77" s="72">
        <f t="shared" si="21"/>
        <v>10019.962527274767</v>
      </c>
      <c r="P77" s="205">
        <f t="shared" si="22"/>
        <v>40079.850109099069</v>
      </c>
      <c r="Q77" s="272">
        <f>L77/$P$264*$P$272</f>
        <v>40079.850109099069</v>
      </c>
      <c r="R77" s="439">
        <f t="shared" si="23"/>
        <v>0</v>
      </c>
      <c r="T77" s="224"/>
      <c r="W77" s="878" t="s">
        <v>256</v>
      </c>
      <c r="X77" s="878"/>
      <c r="Y77" s="878"/>
      <c r="Z77" s="878"/>
      <c r="AA77" s="878"/>
      <c r="AB77" s="878"/>
      <c r="AC77" s="124" t="s">
        <v>257</v>
      </c>
      <c r="AD77" s="823">
        <v>1</v>
      </c>
      <c r="AE77" s="823">
        <v>1</v>
      </c>
      <c r="AF77" s="123">
        <f>AQ68</f>
        <v>0</v>
      </c>
      <c r="AG77" s="196">
        <f>AF77*AE77</f>
        <v>0</v>
      </c>
      <c r="AH77" s="823"/>
      <c r="AI77" s="219">
        <f>AH77*AE77</f>
        <v>0</v>
      </c>
    </row>
    <row r="78" spans="1:35" s="273" customFormat="1" x14ac:dyDescent="0.25">
      <c r="A78" s="350"/>
      <c r="B78" s="317"/>
      <c r="C78" s="318">
        <v>3</v>
      </c>
      <c r="D78" s="83" t="s">
        <v>326</v>
      </c>
      <c r="E78" s="242">
        <v>7</v>
      </c>
      <c r="F78" s="302">
        <v>7</v>
      </c>
      <c r="G78" s="77" t="s">
        <v>28</v>
      </c>
      <c r="H78" s="74">
        <f>(6000+1750+1000)/1.03</f>
        <v>8495.1456310679605</v>
      </c>
      <c r="I78" s="74">
        <f t="shared" si="39"/>
        <v>59466.01941747572</v>
      </c>
      <c r="J78" s="74">
        <f>J77</f>
        <v>700</v>
      </c>
      <c r="K78" s="74">
        <f t="shared" si="40"/>
        <v>4900</v>
      </c>
      <c r="L78" s="72">
        <f t="shared" si="41"/>
        <v>64366.01941747572</v>
      </c>
      <c r="M78" s="74">
        <f>H78/$P$264*$P$272</f>
        <v>11735.332902376418</v>
      </c>
      <c r="N78" s="74">
        <f>J78/$P$264*$P$272</f>
        <v>966.99143115581683</v>
      </c>
      <c r="O78" s="72">
        <f t="shared" si="21"/>
        <v>12702.324333532235</v>
      </c>
      <c r="P78" s="205">
        <f t="shared" si="22"/>
        <v>88916.270334725647</v>
      </c>
      <c r="Q78" s="272">
        <f>L78/$P$264*$P$272</f>
        <v>88916.270334725647</v>
      </c>
      <c r="R78" s="439">
        <f t="shared" si="23"/>
        <v>0</v>
      </c>
      <c r="T78" s="224"/>
      <c r="W78" s="126"/>
      <c r="X78" s="126"/>
      <c r="Y78" s="126"/>
      <c r="Z78" s="126"/>
      <c r="AA78" s="126"/>
      <c r="AB78" s="126"/>
      <c r="AC78" s="126"/>
      <c r="AD78" s="823"/>
      <c r="AE78" s="823"/>
      <c r="AF78" s="123"/>
      <c r="AG78" s="212">
        <f>SUM(AG74:AG77)</f>
        <v>12.216981132075469</v>
      </c>
      <c r="AH78" s="824"/>
      <c r="AI78" s="212">
        <f>SUM(AI74:AI77)</f>
        <v>0</v>
      </c>
    </row>
    <row r="79" spans="1:35" s="273" customFormat="1" x14ac:dyDescent="0.25">
      <c r="A79" s="350"/>
      <c r="B79" s="317"/>
      <c r="C79" s="318">
        <v>4</v>
      </c>
      <c r="D79" s="83" t="s">
        <v>327</v>
      </c>
      <c r="E79" s="242">
        <v>1</v>
      </c>
      <c r="F79" s="302">
        <v>1</v>
      </c>
      <c r="G79" s="77" t="s">
        <v>55</v>
      </c>
      <c r="H79" s="74">
        <f>(6000+1750+1000)/1.03</f>
        <v>8495.1456310679605</v>
      </c>
      <c r="I79" s="74">
        <f t="shared" si="39"/>
        <v>8495.1456310679605</v>
      </c>
      <c r="J79" s="74">
        <f>J78</f>
        <v>700</v>
      </c>
      <c r="K79" s="74">
        <f t="shared" si="40"/>
        <v>700</v>
      </c>
      <c r="L79" s="72">
        <f t="shared" si="41"/>
        <v>9195.1456310679605</v>
      </c>
      <c r="M79" s="74">
        <f>H79/$P$264*$P$272</f>
        <v>11735.332902376418</v>
      </c>
      <c r="N79" s="74">
        <f>J79/$P$264*$P$272</f>
        <v>966.99143115581683</v>
      </c>
      <c r="O79" s="72">
        <f t="shared" si="21"/>
        <v>12702.324333532235</v>
      </c>
      <c r="P79" s="205">
        <f t="shared" si="22"/>
        <v>12702.324333532235</v>
      </c>
      <c r="Q79" s="272">
        <f>L79/$P$264*$P$272</f>
        <v>12702.324333532233</v>
      </c>
      <c r="R79" s="439">
        <f t="shared" si="23"/>
        <v>0</v>
      </c>
      <c r="T79" s="224"/>
      <c r="AG79" s="224"/>
      <c r="AI79" s="224"/>
    </row>
    <row r="80" spans="1:35" s="273" customFormat="1" x14ac:dyDescent="0.25">
      <c r="A80" s="350"/>
      <c r="B80" s="317"/>
      <c r="C80" s="318">
        <v>5</v>
      </c>
      <c r="D80" s="83" t="s">
        <v>328</v>
      </c>
      <c r="E80" s="242">
        <v>2</v>
      </c>
      <c r="F80" s="302">
        <v>2</v>
      </c>
      <c r="G80" s="77" t="s">
        <v>28</v>
      </c>
      <c r="H80" s="74">
        <f>(5000+1550+1000)/1.03</f>
        <v>7330.0970873786409</v>
      </c>
      <c r="I80" s="74">
        <f t="shared" si="39"/>
        <v>14660.194174757282</v>
      </c>
      <c r="J80" s="74">
        <v>650</v>
      </c>
      <c r="K80" s="74">
        <f t="shared" si="40"/>
        <v>1300</v>
      </c>
      <c r="L80" s="72">
        <f t="shared" si="41"/>
        <v>15960.194174757282</v>
      </c>
      <c r="M80" s="74">
        <f>H80/$P$264*$P$272</f>
        <v>10125.915818621939</v>
      </c>
      <c r="N80" s="74">
        <f>J80/$P$264*$P$272</f>
        <v>897.92061464468702</v>
      </c>
      <c r="O80" s="72">
        <f t="shared" si="21"/>
        <v>11023.836433266626</v>
      </c>
      <c r="P80" s="205">
        <f t="shared" si="22"/>
        <v>22047.672866533252</v>
      </c>
      <c r="Q80" s="272">
        <f>L80/$P$264*$P$272</f>
        <v>22047.672866533248</v>
      </c>
      <c r="R80" s="439">
        <f t="shared" si="23"/>
        <v>0</v>
      </c>
      <c r="T80" s="224"/>
      <c r="W80" s="904" t="s">
        <v>295</v>
      </c>
      <c r="X80" s="904"/>
      <c r="Y80" s="904"/>
      <c r="Z80" s="904"/>
      <c r="AA80" s="904"/>
      <c r="AB80" s="904"/>
      <c r="AC80" s="824" t="s">
        <v>243</v>
      </c>
      <c r="AD80" s="824" t="s">
        <v>244</v>
      </c>
      <c r="AE80" s="824" t="s">
        <v>245</v>
      </c>
      <c r="AF80" s="123" t="s">
        <v>246</v>
      </c>
      <c r="AG80" s="196" t="s">
        <v>247</v>
      </c>
      <c r="AH80" s="824" t="s">
        <v>248</v>
      </c>
      <c r="AI80" s="212" t="s">
        <v>249</v>
      </c>
    </row>
    <row r="81" spans="1:35" s="273" customFormat="1" x14ac:dyDescent="0.25">
      <c r="A81" s="350"/>
      <c r="B81" s="317"/>
      <c r="C81" s="318">
        <v>6</v>
      </c>
      <c r="D81" s="83" t="s">
        <v>111</v>
      </c>
      <c r="E81" s="242">
        <v>3</v>
      </c>
      <c r="F81" s="302">
        <v>3</v>
      </c>
      <c r="G81" s="77" t="s">
        <v>28</v>
      </c>
      <c r="H81" s="74">
        <f>8350/1.06</f>
        <v>7877.3584905660373</v>
      </c>
      <c r="I81" s="74">
        <f t="shared" si="39"/>
        <v>23632.07547169811</v>
      </c>
      <c r="J81" s="74">
        <v>700</v>
      </c>
      <c r="K81" s="74">
        <f t="shared" si="40"/>
        <v>2100</v>
      </c>
      <c r="L81" s="72">
        <f t="shared" si="41"/>
        <v>25732.07547169811</v>
      </c>
      <c r="M81" s="74">
        <f>H81/$P$264*$P$272</f>
        <v>10881.911657885541</v>
      </c>
      <c r="N81" s="74">
        <f>J81/$P$264*$P$272</f>
        <v>966.99143115581683</v>
      </c>
      <c r="O81" s="72">
        <f t="shared" si="21"/>
        <v>11848.903089041358</v>
      </c>
      <c r="P81" s="205">
        <f t="shared" si="22"/>
        <v>35546.709267124075</v>
      </c>
      <c r="Q81" s="272">
        <f>L81/$P$264*$P$272</f>
        <v>35546.709267124068</v>
      </c>
      <c r="R81" s="439">
        <f t="shared" si="23"/>
        <v>0</v>
      </c>
      <c r="T81" s="224"/>
      <c r="W81" s="878" t="s">
        <v>271</v>
      </c>
      <c r="X81" s="878"/>
      <c r="Y81" s="878"/>
      <c r="Z81" s="878"/>
      <c r="AA81" s="878"/>
      <c r="AB81" s="878"/>
      <c r="AC81" s="124" t="s">
        <v>251</v>
      </c>
      <c r="AD81" s="823">
        <v>8.33</v>
      </c>
      <c r="AE81" s="823">
        <v>9</v>
      </c>
      <c r="AF81" s="123">
        <f>143/1.02</f>
        <v>140.19607843137254</v>
      </c>
      <c r="AG81" s="196">
        <f>AF81*AE81</f>
        <v>1261.7647058823529</v>
      </c>
      <c r="AH81" s="823">
        <v>23.9</v>
      </c>
      <c r="AI81" s="219">
        <f>AH81*AE81</f>
        <v>215.1</v>
      </c>
    </row>
    <row r="82" spans="1:35" s="273" customFormat="1" x14ac:dyDescent="0.25">
      <c r="A82" s="350"/>
      <c r="B82" s="319"/>
      <c r="C82" s="318"/>
      <c r="D82" s="83" t="s">
        <v>49</v>
      </c>
      <c r="E82" s="242"/>
      <c r="F82" s="302"/>
      <c r="G82" s="75"/>
      <c r="H82" s="74"/>
      <c r="I82" s="74"/>
      <c r="J82" s="74"/>
      <c r="K82" s="74"/>
      <c r="L82" s="74"/>
      <c r="M82" s="74"/>
      <c r="N82" s="74"/>
      <c r="O82" s="72"/>
      <c r="P82" s="205"/>
      <c r="Q82" s="272"/>
      <c r="R82" s="439"/>
      <c r="T82" s="224"/>
      <c r="W82" s="878" t="s">
        <v>252</v>
      </c>
      <c r="X82" s="878"/>
      <c r="Y82" s="878"/>
      <c r="Z82" s="878"/>
      <c r="AA82" s="878"/>
      <c r="AB82" s="878"/>
      <c r="AC82" s="124" t="s">
        <v>253</v>
      </c>
      <c r="AD82" s="823">
        <v>0.25</v>
      </c>
      <c r="AE82" s="823">
        <v>0.25</v>
      </c>
      <c r="AF82" s="123">
        <f>AF75</f>
        <v>0</v>
      </c>
      <c r="AG82" s="196">
        <f>AF82*AE82</f>
        <v>0</v>
      </c>
      <c r="AH82" s="823"/>
      <c r="AI82" s="219">
        <f>AH82*AE82</f>
        <v>0</v>
      </c>
    </row>
    <row r="83" spans="1:35" s="273" customFormat="1" x14ac:dyDescent="0.25">
      <c r="A83" s="350"/>
      <c r="B83" s="317"/>
      <c r="C83" s="318">
        <v>7</v>
      </c>
      <c r="D83" s="83" t="s">
        <v>112</v>
      </c>
      <c r="E83" s="242">
        <v>1</v>
      </c>
      <c r="F83" s="302">
        <v>1</v>
      </c>
      <c r="G83" s="77" t="s">
        <v>55</v>
      </c>
      <c r="H83" s="74">
        <f>9100/1.06</f>
        <v>8584.9056603773588</v>
      </c>
      <c r="I83" s="74">
        <f>F83*H83</f>
        <v>8584.9056603773588</v>
      </c>
      <c r="J83" s="74">
        <f>J81</f>
        <v>700</v>
      </c>
      <c r="K83" s="74">
        <f t="shared" ref="K83" si="42">F83*J83</f>
        <v>700</v>
      </c>
      <c r="L83" s="72">
        <f t="shared" ref="L83" si="43">I83+K83</f>
        <v>9284.9056603773588</v>
      </c>
      <c r="M83" s="74">
        <f>H83/$P$264*$P$272</f>
        <v>11859.328872665677</v>
      </c>
      <c r="N83" s="74">
        <f>J83/$P$264*$P$272</f>
        <v>966.99143115581683</v>
      </c>
      <c r="O83" s="72">
        <f t="shared" si="21"/>
        <v>12826.320303821494</v>
      </c>
      <c r="P83" s="205">
        <f t="shared" si="22"/>
        <v>12826.320303821494</v>
      </c>
      <c r="Q83" s="272">
        <f>L83/$P$264*$P$272</f>
        <v>12826.320303821496</v>
      </c>
      <c r="R83" s="439">
        <f t="shared" si="23"/>
        <v>0</v>
      </c>
      <c r="T83" s="224"/>
      <c r="W83" s="878" t="s">
        <v>254</v>
      </c>
      <c r="X83" s="878"/>
      <c r="Y83" s="878"/>
      <c r="Z83" s="878"/>
      <c r="AA83" s="878"/>
      <c r="AB83" s="878"/>
      <c r="AC83" s="124" t="s">
        <v>255</v>
      </c>
      <c r="AD83" s="823">
        <v>0.25</v>
      </c>
      <c r="AE83" s="823">
        <v>0.35</v>
      </c>
      <c r="AF83" s="123">
        <f>37/1.06</f>
        <v>34.905660377358487</v>
      </c>
      <c r="AG83" s="196">
        <f>AF83*AE83</f>
        <v>12.216981132075469</v>
      </c>
      <c r="AH83" s="823"/>
      <c r="AI83" s="219">
        <f>AH83*AE83</f>
        <v>0</v>
      </c>
    </row>
    <row r="84" spans="1:35" s="273" customFormat="1" x14ac:dyDescent="0.25">
      <c r="A84" s="350"/>
      <c r="B84" s="319"/>
      <c r="C84" s="318"/>
      <c r="D84" s="83" t="s">
        <v>50</v>
      </c>
      <c r="E84" s="242"/>
      <c r="F84" s="302"/>
      <c r="G84" s="75"/>
      <c r="H84" s="74"/>
      <c r="I84" s="74"/>
      <c r="J84" s="74"/>
      <c r="K84" s="74"/>
      <c r="L84" s="74"/>
      <c r="M84" s="74"/>
      <c r="N84" s="74"/>
      <c r="O84" s="72"/>
      <c r="P84" s="205"/>
      <c r="Q84" s="272"/>
      <c r="R84" s="439"/>
      <c r="T84" s="224"/>
      <c r="W84" s="878" t="s">
        <v>256</v>
      </c>
      <c r="X84" s="878"/>
      <c r="Y84" s="878"/>
      <c r="Z84" s="878"/>
      <c r="AA84" s="878"/>
      <c r="AB84" s="878"/>
      <c r="AC84" s="124" t="s">
        <v>257</v>
      </c>
      <c r="AD84" s="823">
        <v>1</v>
      </c>
      <c r="AE84" s="823">
        <v>1</v>
      </c>
      <c r="AF84" s="123">
        <v>0</v>
      </c>
      <c r="AG84" s="196">
        <f>AF84*AE84</f>
        <v>0</v>
      </c>
      <c r="AH84" s="823">
        <v>0</v>
      </c>
      <c r="AI84" s="219">
        <f>AH84*AE84</f>
        <v>0</v>
      </c>
    </row>
    <row r="85" spans="1:35" s="273" customFormat="1" x14ac:dyDescent="0.25">
      <c r="A85" s="350"/>
      <c r="B85" s="319"/>
      <c r="C85" s="318"/>
      <c r="D85" s="82"/>
      <c r="E85" s="242"/>
      <c r="F85" s="302"/>
      <c r="G85" s="75"/>
      <c r="H85" s="440">
        <v>1.07</v>
      </c>
      <c r="I85" s="74"/>
      <c r="J85" s="440"/>
      <c r="K85" s="74"/>
      <c r="L85" s="74"/>
      <c r="M85" s="74"/>
      <c r="N85" s="74"/>
      <c r="O85" s="72"/>
      <c r="P85" s="205"/>
      <c r="Q85" s="272"/>
      <c r="R85" s="439"/>
      <c r="T85" s="224"/>
      <c r="AG85" s="224"/>
      <c r="AI85" s="224"/>
    </row>
    <row r="86" spans="1:35" s="273" customFormat="1" hidden="1" x14ac:dyDescent="0.25">
      <c r="A86" s="411"/>
      <c r="B86" s="412" t="s">
        <v>329</v>
      </c>
      <c r="C86" s="413" t="s">
        <v>510</v>
      </c>
      <c r="D86" s="82"/>
      <c r="E86" s="242"/>
      <c r="F86" s="302"/>
      <c r="G86" s="75"/>
      <c r="H86" s="74"/>
      <c r="I86" s="74"/>
      <c r="J86" s="74"/>
      <c r="K86" s="74"/>
      <c r="L86" s="74"/>
      <c r="M86" s="74"/>
      <c r="N86" s="74"/>
      <c r="O86" s="72"/>
      <c r="P86" s="205"/>
      <c r="Q86" s="272"/>
      <c r="R86" s="439"/>
      <c r="T86" s="224"/>
      <c r="AG86" s="224"/>
      <c r="AI86" s="224"/>
    </row>
    <row r="87" spans="1:35" s="273" customFormat="1" ht="15" hidden="1" customHeight="1" x14ac:dyDescent="0.25">
      <c r="A87" s="350"/>
      <c r="B87" s="317"/>
      <c r="C87" s="318">
        <v>1</v>
      </c>
      <c r="D87" s="84" t="s">
        <v>113</v>
      </c>
      <c r="E87" s="243">
        <v>1</v>
      </c>
      <c r="F87" s="302">
        <v>1</v>
      </c>
      <c r="G87" s="77" t="s">
        <v>55</v>
      </c>
      <c r="H87" s="72"/>
      <c r="I87" s="74">
        <f>F87*H87</f>
        <v>0</v>
      </c>
      <c r="J87" s="72"/>
      <c r="K87" s="74">
        <f t="shared" ref="K87" si="44">F87*J87</f>
        <v>0</v>
      </c>
      <c r="L87" s="72">
        <f t="shared" ref="L87" si="45">I87+K87</f>
        <v>0</v>
      </c>
      <c r="M87" s="74"/>
      <c r="N87" s="74"/>
      <c r="O87" s="72"/>
      <c r="P87" s="205"/>
      <c r="Q87" s="272"/>
      <c r="R87" s="439"/>
      <c r="S87" s="72">
        <f>278766*0.85</f>
        <v>236951.1</v>
      </c>
      <c r="T87" s="72">
        <f>278766*0.15</f>
        <v>41814.9</v>
      </c>
    </row>
    <row r="88" spans="1:35" s="273" customFormat="1" ht="15" hidden="1" customHeight="1" x14ac:dyDescent="0.25">
      <c r="A88" s="350"/>
      <c r="B88" s="319"/>
      <c r="C88" s="318"/>
      <c r="D88" s="84" t="s">
        <v>54</v>
      </c>
      <c r="E88" s="243"/>
      <c r="F88" s="302"/>
      <c r="G88" s="77"/>
      <c r="H88" s="74"/>
      <c r="I88" s="74"/>
      <c r="J88" s="74"/>
      <c r="K88" s="74"/>
      <c r="L88" s="74"/>
      <c r="M88" s="74"/>
      <c r="N88" s="74"/>
      <c r="O88" s="72"/>
      <c r="P88" s="205"/>
      <c r="Q88" s="272"/>
      <c r="R88" s="439"/>
      <c r="S88" s="74"/>
      <c r="T88" s="74"/>
    </row>
    <row r="89" spans="1:35" s="273" customFormat="1" ht="15" hidden="1" customHeight="1" x14ac:dyDescent="0.25">
      <c r="A89" s="350"/>
      <c r="B89" s="317"/>
      <c r="C89" s="318">
        <v>2</v>
      </c>
      <c r="D89" s="84" t="s">
        <v>114</v>
      </c>
      <c r="E89" s="243">
        <v>1</v>
      </c>
      <c r="F89" s="302">
        <v>1</v>
      </c>
      <c r="G89" s="77" t="s">
        <v>55</v>
      </c>
      <c r="H89" s="72"/>
      <c r="I89" s="74">
        <f>F89*H89</f>
        <v>0</v>
      </c>
      <c r="J89" s="72"/>
      <c r="K89" s="74">
        <f t="shared" ref="K89" si="46">F89*J89</f>
        <v>0</v>
      </c>
      <c r="L89" s="72">
        <f t="shared" ref="L89" si="47">I89+K89</f>
        <v>0</v>
      </c>
      <c r="M89" s="74"/>
      <c r="N89" s="74"/>
      <c r="O89" s="72"/>
      <c r="P89" s="205"/>
      <c r="Q89" s="272"/>
      <c r="R89" s="439"/>
      <c r="S89" s="72">
        <f>120447*0.85</f>
        <v>102379.95</v>
      </c>
      <c r="T89" s="72">
        <f>120447*0.15</f>
        <v>18067.05</v>
      </c>
    </row>
    <row r="90" spans="1:35" s="273" customFormat="1" ht="15" hidden="1" customHeight="1" x14ac:dyDescent="0.25">
      <c r="A90" s="350"/>
      <c r="B90" s="319"/>
      <c r="C90" s="318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4"/>
      <c r="N90" s="74"/>
      <c r="O90" s="72"/>
      <c r="P90" s="205"/>
      <c r="Q90" s="272"/>
      <c r="R90" s="439"/>
      <c r="S90" s="74"/>
      <c r="T90" s="74"/>
    </row>
    <row r="91" spans="1:35" s="273" customFormat="1" ht="15" hidden="1" customHeight="1" x14ac:dyDescent="0.25">
      <c r="A91" s="350"/>
      <c r="B91" s="317"/>
      <c r="C91" s="318">
        <v>3</v>
      </c>
      <c r="D91" s="84" t="s">
        <v>115</v>
      </c>
      <c r="E91" s="243">
        <v>1</v>
      </c>
      <c r="F91" s="302">
        <v>1</v>
      </c>
      <c r="G91" s="77" t="s">
        <v>55</v>
      </c>
      <c r="H91" s="72"/>
      <c r="I91" s="74">
        <f>F91*H91</f>
        <v>0</v>
      </c>
      <c r="J91" s="72"/>
      <c r="K91" s="74">
        <f t="shared" ref="K91" si="48">F91*J91</f>
        <v>0</v>
      </c>
      <c r="L91" s="72">
        <f t="shared" ref="L91" si="49">I91+K91</f>
        <v>0</v>
      </c>
      <c r="M91" s="74"/>
      <c r="N91" s="74"/>
      <c r="O91" s="72"/>
      <c r="P91" s="205"/>
      <c r="Q91" s="272"/>
      <c r="R91" s="439"/>
      <c r="S91" s="72">
        <f>95427.5*0.85</f>
        <v>81113.375</v>
      </c>
      <c r="T91" s="72">
        <f>95427.5*0.15</f>
        <v>14314.125</v>
      </c>
    </row>
    <row r="92" spans="1:35" s="273" customFormat="1" ht="15" hidden="1" customHeight="1" x14ac:dyDescent="0.25">
      <c r="A92" s="350"/>
      <c r="B92" s="319"/>
      <c r="C92" s="318"/>
      <c r="D92" s="84" t="s">
        <v>37</v>
      </c>
      <c r="E92" s="243"/>
      <c r="F92" s="302"/>
      <c r="G92" s="77"/>
      <c r="H92" s="74"/>
      <c r="I92" s="74"/>
      <c r="J92" s="74"/>
      <c r="K92" s="74"/>
      <c r="L92" s="74"/>
      <c r="M92" s="74"/>
      <c r="N92" s="74"/>
      <c r="O92" s="72"/>
      <c r="P92" s="205"/>
      <c r="Q92" s="272"/>
      <c r="R92" s="439"/>
      <c r="S92" s="74"/>
      <c r="T92" s="74"/>
    </row>
    <row r="93" spans="1:35" s="273" customFormat="1" ht="15" hidden="1" customHeight="1" x14ac:dyDescent="0.25">
      <c r="A93" s="350"/>
      <c r="B93" s="317"/>
      <c r="C93" s="318">
        <v>4</v>
      </c>
      <c r="D93" s="84" t="s">
        <v>116</v>
      </c>
      <c r="E93" s="243">
        <v>1</v>
      </c>
      <c r="F93" s="302">
        <v>1</v>
      </c>
      <c r="G93" s="77" t="s">
        <v>55</v>
      </c>
      <c r="H93" s="72"/>
      <c r="I93" s="74">
        <f>F93*H93</f>
        <v>0</v>
      </c>
      <c r="J93" s="72"/>
      <c r="K93" s="74">
        <f t="shared" ref="K93" si="50">F93*J93</f>
        <v>0</v>
      </c>
      <c r="L93" s="72">
        <f t="shared" ref="L93" si="51">I93+K93</f>
        <v>0</v>
      </c>
      <c r="M93" s="74"/>
      <c r="N93" s="74"/>
      <c r="O93" s="72"/>
      <c r="P93" s="205"/>
      <c r="Q93" s="272"/>
      <c r="R93" s="439"/>
      <c r="S93" s="72">
        <f>45342*0.85</f>
        <v>38540.699999999997</v>
      </c>
      <c r="T93" s="72">
        <f>45342*0.15</f>
        <v>6801.3</v>
      </c>
    </row>
    <row r="94" spans="1:35" s="273" customFormat="1" ht="15" hidden="1" customHeight="1" x14ac:dyDescent="0.25">
      <c r="A94" s="350"/>
      <c r="B94" s="319"/>
      <c r="C94" s="318"/>
      <c r="D94" s="84" t="s">
        <v>37</v>
      </c>
      <c r="E94" s="243"/>
      <c r="F94" s="302"/>
      <c r="G94" s="77"/>
      <c r="H94" s="74"/>
      <c r="I94" s="74"/>
      <c r="J94" s="74"/>
      <c r="K94" s="74"/>
      <c r="L94" s="74"/>
      <c r="M94" s="74"/>
      <c r="N94" s="74"/>
      <c r="O94" s="72"/>
      <c r="P94" s="205"/>
      <c r="Q94" s="272"/>
      <c r="R94" s="439"/>
      <c r="S94" s="74"/>
      <c r="T94" s="74"/>
    </row>
    <row r="95" spans="1:35" s="273" customFormat="1" ht="15" hidden="1" customHeight="1" x14ac:dyDescent="0.25">
      <c r="A95" s="350"/>
      <c r="B95" s="317"/>
      <c r="C95" s="318">
        <v>5</v>
      </c>
      <c r="D95" s="84" t="s">
        <v>117</v>
      </c>
      <c r="E95" s="243">
        <v>2</v>
      </c>
      <c r="F95" s="302">
        <v>2</v>
      </c>
      <c r="G95" s="77" t="s">
        <v>28</v>
      </c>
      <c r="H95" s="72"/>
      <c r="I95" s="74">
        <f>F95*H95</f>
        <v>0</v>
      </c>
      <c r="J95" s="72"/>
      <c r="K95" s="74">
        <f t="shared" ref="K95" si="52">F95*J95</f>
        <v>0</v>
      </c>
      <c r="L95" s="72">
        <f t="shared" ref="L95" si="53">I95+K95</f>
        <v>0</v>
      </c>
      <c r="M95" s="74"/>
      <c r="N95" s="74"/>
      <c r="O95" s="72"/>
      <c r="P95" s="205"/>
      <c r="Q95" s="272"/>
      <c r="R95" s="439"/>
      <c r="S95" s="74">
        <f>14025*0.85*0.9</f>
        <v>10729.125</v>
      </c>
      <c r="T95" s="74">
        <f>14025*0.15*0.9</f>
        <v>1893.375</v>
      </c>
    </row>
    <row r="96" spans="1:35" s="273" customFormat="1" ht="15" hidden="1" customHeight="1" x14ac:dyDescent="0.25">
      <c r="A96" s="350"/>
      <c r="B96" s="319"/>
      <c r="C96" s="318"/>
      <c r="D96" s="84" t="s">
        <v>38</v>
      </c>
      <c r="E96" s="243"/>
      <c r="F96" s="302"/>
      <c r="G96" s="75"/>
      <c r="H96" s="74"/>
      <c r="I96" s="74"/>
      <c r="J96" s="74"/>
      <c r="K96" s="74"/>
      <c r="L96" s="74"/>
      <c r="M96" s="74"/>
      <c r="N96" s="74"/>
      <c r="O96" s="72"/>
      <c r="P96" s="205"/>
      <c r="Q96" s="272"/>
      <c r="R96" s="439"/>
      <c r="S96" s="74"/>
      <c r="T96" s="74"/>
    </row>
    <row r="97" spans="1:20" s="273" customFormat="1" ht="15" hidden="1" customHeight="1" x14ac:dyDescent="0.25">
      <c r="A97" s="350"/>
      <c r="B97" s="317"/>
      <c r="C97" s="318">
        <v>6</v>
      </c>
      <c r="D97" s="83" t="s">
        <v>118</v>
      </c>
      <c r="E97" s="242">
        <v>2</v>
      </c>
      <c r="F97" s="302">
        <v>2</v>
      </c>
      <c r="G97" s="77" t="s">
        <v>28</v>
      </c>
      <c r="H97" s="72"/>
      <c r="I97" s="74">
        <f>F97*H97</f>
        <v>0</v>
      </c>
      <c r="J97" s="72"/>
      <c r="K97" s="74">
        <f t="shared" ref="K97" si="54">F97*J97</f>
        <v>0</v>
      </c>
      <c r="L97" s="72">
        <f t="shared" ref="L97" si="55">I97+K97</f>
        <v>0</v>
      </c>
      <c r="M97" s="74"/>
      <c r="N97" s="74"/>
      <c r="O97" s="72"/>
      <c r="P97" s="205"/>
      <c r="Q97" s="272"/>
      <c r="R97" s="439"/>
      <c r="S97" s="74">
        <f>18105*0.85*0.9</f>
        <v>13850.325000000001</v>
      </c>
      <c r="T97" s="74">
        <f>18105*0.15*0.9</f>
        <v>2444.1750000000002</v>
      </c>
    </row>
    <row r="98" spans="1:20" s="273" customFormat="1" ht="15" hidden="1" customHeight="1" x14ac:dyDescent="0.25">
      <c r="A98" s="350"/>
      <c r="B98" s="319"/>
      <c r="C98" s="318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4"/>
      <c r="N98" s="74"/>
      <c r="O98" s="72"/>
      <c r="P98" s="205"/>
      <c r="Q98" s="272"/>
      <c r="R98" s="439"/>
      <c r="S98" s="74"/>
      <c r="T98" s="74"/>
    </row>
    <row r="99" spans="1:20" s="273" customFormat="1" ht="15" hidden="1" customHeight="1" x14ac:dyDescent="0.25">
      <c r="A99" s="350"/>
      <c r="B99" s="317"/>
      <c r="C99" s="318">
        <v>7</v>
      </c>
      <c r="D99" s="83" t="s">
        <v>119</v>
      </c>
      <c r="E99" s="242">
        <v>4</v>
      </c>
      <c r="F99" s="302">
        <v>4</v>
      </c>
      <c r="G99" s="77" t="s">
        <v>28</v>
      </c>
      <c r="H99" s="72"/>
      <c r="I99" s="74">
        <f>F99*H99</f>
        <v>0</v>
      </c>
      <c r="J99" s="72"/>
      <c r="K99" s="74">
        <f t="shared" ref="K99" si="56">F99*J99</f>
        <v>0</v>
      </c>
      <c r="L99" s="72">
        <f t="shared" ref="L99" si="57">I99+K99</f>
        <v>0</v>
      </c>
      <c r="M99" s="74"/>
      <c r="N99" s="74"/>
      <c r="O99" s="72"/>
      <c r="P99" s="205"/>
      <c r="Q99" s="272"/>
      <c r="R99" s="439"/>
      <c r="S99" s="74">
        <f>9180*0.85*0.9</f>
        <v>7022.7</v>
      </c>
      <c r="T99" s="74">
        <f>9180*0.15*0.9</f>
        <v>1239.3</v>
      </c>
    </row>
    <row r="100" spans="1:20" s="273" customFormat="1" ht="15" hidden="1" customHeight="1" x14ac:dyDescent="0.25">
      <c r="A100" s="350"/>
      <c r="B100" s="319"/>
      <c r="C100" s="318"/>
      <c r="D100" s="83" t="s">
        <v>38</v>
      </c>
      <c r="E100" s="242"/>
      <c r="F100" s="302"/>
      <c r="G100" s="75"/>
      <c r="H100" s="74"/>
      <c r="I100" s="74"/>
      <c r="J100" s="74"/>
      <c r="K100" s="74"/>
      <c r="L100" s="74"/>
      <c r="M100" s="74"/>
      <c r="N100" s="74"/>
      <c r="O100" s="72"/>
      <c r="P100" s="205"/>
      <c r="Q100" s="272"/>
      <c r="R100" s="439"/>
      <c r="S100" s="74"/>
      <c r="T100" s="74"/>
    </row>
    <row r="101" spans="1:20" s="273" customFormat="1" ht="15" hidden="1" customHeight="1" x14ac:dyDescent="0.25">
      <c r="A101" s="350"/>
      <c r="B101" s="317"/>
      <c r="C101" s="318">
        <v>8</v>
      </c>
      <c r="D101" s="83" t="s">
        <v>120</v>
      </c>
      <c r="E101" s="242">
        <v>1</v>
      </c>
      <c r="F101" s="302">
        <v>1</v>
      </c>
      <c r="G101" s="77" t="s">
        <v>55</v>
      </c>
      <c r="H101" s="72"/>
      <c r="I101" s="74">
        <f>F101*H101</f>
        <v>0</v>
      </c>
      <c r="J101" s="72"/>
      <c r="K101" s="74">
        <f t="shared" ref="K101" si="58">F101*J101</f>
        <v>0</v>
      </c>
      <c r="L101" s="72">
        <f t="shared" ref="L101" si="59">I101+K101</f>
        <v>0</v>
      </c>
      <c r="M101" s="74"/>
      <c r="N101" s="74"/>
      <c r="O101" s="72"/>
      <c r="P101" s="205"/>
      <c r="Q101" s="272"/>
      <c r="R101" s="439"/>
      <c r="S101" s="74">
        <f>4590*0.85*0.9</f>
        <v>3511.35</v>
      </c>
      <c r="T101" s="74">
        <f>4590*0.15*0.9</f>
        <v>619.65</v>
      </c>
    </row>
    <row r="102" spans="1:20" s="273" customFormat="1" ht="15" hidden="1" customHeight="1" x14ac:dyDescent="0.25">
      <c r="A102" s="350"/>
      <c r="B102" s="319"/>
      <c r="C102" s="318"/>
      <c r="D102" s="83" t="s">
        <v>51</v>
      </c>
      <c r="E102" s="242"/>
      <c r="F102" s="302"/>
      <c r="G102" s="75"/>
      <c r="H102" s="74"/>
      <c r="I102" s="74"/>
      <c r="J102" s="74"/>
      <c r="K102" s="74"/>
      <c r="L102" s="74"/>
      <c r="M102" s="74"/>
      <c r="N102" s="74"/>
      <c r="O102" s="72"/>
      <c r="P102" s="205"/>
      <c r="Q102" s="272"/>
      <c r="R102" s="439"/>
      <c r="S102" s="74"/>
      <c r="T102" s="74"/>
    </row>
    <row r="103" spans="1:20" s="273" customFormat="1" ht="15" hidden="1" customHeight="1" x14ac:dyDescent="0.25">
      <c r="A103" s="350"/>
      <c r="B103" s="317"/>
      <c r="C103" s="318">
        <v>9</v>
      </c>
      <c r="D103" s="83" t="s">
        <v>121</v>
      </c>
      <c r="E103" s="242">
        <v>1</v>
      </c>
      <c r="F103" s="302">
        <v>1</v>
      </c>
      <c r="G103" s="77" t="s">
        <v>55</v>
      </c>
      <c r="H103" s="72"/>
      <c r="I103" s="74">
        <f>F103*H103</f>
        <v>0</v>
      </c>
      <c r="J103" s="72"/>
      <c r="K103" s="74">
        <f t="shared" ref="K103" si="60">F103*J103</f>
        <v>0</v>
      </c>
      <c r="L103" s="72">
        <f t="shared" ref="L103" si="61">I103+K103</f>
        <v>0</v>
      </c>
      <c r="M103" s="74"/>
      <c r="N103" s="74"/>
      <c r="O103" s="72"/>
      <c r="P103" s="205"/>
      <c r="Q103" s="272"/>
      <c r="R103" s="439"/>
      <c r="S103" s="72">
        <f>183816*0.85</f>
        <v>156243.6</v>
      </c>
      <c r="T103" s="72">
        <f>183816*0.15</f>
        <v>27572.399999999998</v>
      </c>
    </row>
    <row r="104" spans="1:20" s="273" customFormat="1" ht="15" hidden="1" customHeight="1" x14ac:dyDescent="0.25">
      <c r="A104" s="350"/>
      <c r="B104" s="319"/>
      <c r="C104" s="318"/>
      <c r="D104" s="83" t="s">
        <v>54</v>
      </c>
      <c r="E104" s="242"/>
      <c r="F104" s="302"/>
      <c r="G104" s="77"/>
      <c r="H104" s="74"/>
      <c r="I104" s="74"/>
      <c r="J104" s="74"/>
      <c r="K104" s="74"/>
      <c r="L104" s="72"/>
      <c r="M104" s="74"/>
      <c r="N104" s="74"/>
      <c r="O104" s="72"/>
      <c r="P104" s="205"/>
      <c r="Q104" s="272"/>
      <c r="R104" s="439"/>
      <c r="S104" s="74"/>
      <c r="T104" s="74"/>
    </row>
    <row r="105" spans="1:20" s="273" customFormat="1" ht="15" hidden="1" customHeight="1" x14ac:dyDescent="0.25">
      <c r="A105" s="350"/>
      <c r="B105" s="317"/>
      <c r="C105" s="318">
        <v>10</v>
      </c>
      <c r="D105" s="83" t="s">
        <v>122</v>
      </c>
      <c r="E105" s="242">
        <v>1</v>
      </c>
      <c r="F105" s="302">
        <v>1</v>
      </c>
      <c r="G105" s="77" t="s">
        <v>55</v>
      </c>
      <c r="H105" s="72"/>
      <c r="I105" s="74">
        <f>F105*H105</f>
        <v>0</v>
      </c>
      <c r="J105" s="72"/>
      <c r="K105" s="74">
        <f t="shared" ref="K105" si="62">F105*J105</f>
        <v>0</v>
      </c>
      <c r="L105" s="72">
        <f t="shared" ref="L105" si="63">I105+K105</f>
        <v>0</v>
      </c>
      <c r="M105" s="74"/>
      <c r="N105" s="74"/>
      <c r="O105" s="72"/>
      <c r="P105" s="205"/>
      <c r="Q105" s="272"/>
      <c r="R105" s="439"/>
      <c r="S105" s="72">
        <f>200214*0.85</f>
        <v>170181.9</v>
      </c>
      <c r="T105" s="72">
        <f>200214*0.15</f>
        <v>30032.1</v>
      </c>
    </row>
    <row r="106" spans="1:20" s="273" customFormat="1" ht="15" hidden="1" customHeight="1" x14ac:dyDescent="0.25">
      <c r="A106" s="350"/>
      <c r="B106" s="319"/>
      <c r="C106" s="318"/>
      <c r="D106" s="83" t="s">
        <v>37</v>
      </c>
      <c r="E106" s="242"/>
      <c r="F106" s="302"/>
      <c r="G106" s="77"/>
      <c r="H106" s="74"/>
      <c r="I106" s="74"/>
      <c r="J106" s="74"/>
      <c r="K106" s="74"/>
      <c r="L106" s="72"/>
      <c r="M106" s="74"/>
      <c r="N106" s="74"/>
      <c r="O106" s="72"/>
      <c r="P106" s="205"/>
      <c r="Q106" s="272"/>
      <c r="R106" s="439"/>
      <c r="S106" s="74"/>
      <c r="T106" s="74"/>
    </row>
    <row r="107" spans="1:20" s="273" customFormat="1" ht="15" hidden="1" customHeight="1" x14ac:dyDescent="0.25">
      <c r="A107" s="350"/>
      <c r="B107" s="317"/>
      <c r="C107" s="318">
        <v>11</v>
      </c>
      <c r="D107" s="83" t="s">
        <v>123</v>
      </c>
      <c r="E107" s="242">
        <v>24</v>
      </c>
      <c r="F107" s="302">
        <v>24</v>
      </c>
      <c r="G107" s="77" t="s">
        <v>28</v>
      </c>
      <c r="H107" s="72"/>
      <c r="I107" s="74">
        <f>F107*H107</f>
        <v>0</v>
      </c>
      <c r="J107" s="72"/>
      <c r="K107" s="74">
        <f t="shared" ref="K107" si="64">F107*J107</f>
        <v>0</v>
      </c>
      <c r="L107" s="72">
        <f t="shared" ref="L107" si="65">I107+K107</f>
        <v>0</v>
      </c>
      <c r="M107" s="74"/>
      <c r="N107" s="74"/>
      <c r="O107" s="72"/>
      <c r="P107" s="205"/>
      <c r="Q107" s="272"/>
      <c r="R107" s="439"/>
      <c r="S107" s="72">
        <f>18360*0.85</f>
        <v>15606</v>
      </c>
      <c r="T107" s="72">
        <f>18360*0.15</f>
        <v>2754</v>
      </c>
    </row>
    <row r="108" spans="1:20" s="273" customFormat="1" ht="15" hidden="1" customHeight="1" x14ac:dyDescent="0.25">
      <c r="A108" s="350"/>
      <c r="B108" s="319"/>
      <c r="C108" s="318"/>
      <c r="D108" s="83" t="s">
        <v>52</v>
      </c>
      <c r="E108" s="242"/>
      <c r="F108" s="302"/>
      <c r="G108" s="75"/>
      <c r="H108" s="74"/>
      <c r="I108" s="74"/>
      <c r="J108" s="74"/>
      <c r="K108" s="74"/>
      <c r="L108" s="72"/>
      <c r="M108" s="74"/>
      <c r="N108" s="74"/>
      <c r="O108" s="72"/>
      <c r="P108" s="205"/>
      <c r="Q108" s="272"/>
      <c r="R108" s="439"/>
      <c r="S108" s="74"/>
      <c r="T108" s="74"/>
    </row>
    <row r="109" spans="1:20" s="273" customFormat="1" ht="15" hidden="1" customHeight="1" x14ac:dyDescent="0.25">
      <c r="A109" s="350"/>
      <c r="B109" s="319"/>
      <c r="C109" s="318"/>
      <c r="D109" s="83" t="s">
        <v>58</v>
      </c>
      <c r="E109" s="242"/>
      <c r="F109" s="302"/>
      <c r="G109" s="75"/>
      <c r="H109" s="74"/>
      <c r="I109" s="74"/>
      <c r="J109" s="74"/>
      <c r="K109" s="74"/>
      <c r="L109" s="72"/>
      <c r="M109" s="74"/>
      <c r="N109" s="74"/>
      <c r="O109" s="72"/>
      <c r="P109" s="205"/>
      <c r="Q109" s="272"/>
      <c r="R109" s="439"/>
      <c r="S109" s="74"/>
      <c r="T109" s="74"/>
    </row>
    <row r="110" spans="1:20" s="273" customFormat="1" ht="15" hidden="1" customHeight="1" x14ac:dyDescent="0.25">
      <c r="A110" s="350"/>
      <c r="B110" s="317"/>
      <c r="C110" s="318">
        <v>12</v>
      </c>
      <c r="D110" s="83" t="s">
        <v>124</v>
      </c>
      <c r="E110" s="242">
        <v>1</v>
      </c>
      <c r="F110" s="302">
        <v>1</v>
      </c>
      <c r="G110" s="77" t="s">
        <v>55</v>
      </c>
      <c r="H110" s="72"/>
      <c r="I110" s="74">
        <f>F110*H110</f>
        <v>0</v>
      </c>
      <c r="J110" s="72"/>
      <c r="K110" s="74">
        <f t="shared" ref="K110" si="66">F110*J110</f>
        <v>0</v>
      </c>
      <c r="L110" s="72">
        <f t="shared" ref="L110" si="67">I110+K110</f>
        <v>0</v>
      </c>
      <c r="M110" s="74"/>
      <c r="N110" s="74"/>
      <c r="O110" s="72"/>
      <c r="P110" s="205"/>
      <c r="Q110" s="272"/>
      <c r="R110" s="439"/>
      <c r="S110" s="72">
        <f>24480*0.85</f>
        <v>20808</v>
      </c>
      <c r="T110" s="72">
        <f>24480*0.15</f>
        <v>3672</v>
      </c>
    </row>
    <row r="111" spans="1:20" s="273" customFormat="1" ht="15" hidden="1" customHeight="1" x14ac:dyDescent="0.25">
      <c r="A111" s="350"/>
      <c r="B111" s="319"/>
      <c r="C111" s="318"/>
      <c r="D111" s="83" t="s">
        <v>53</v>
      </c>
      <c r="E111" s="242"/>
      <c r="F111" s="302"/>
      <c r="G111" s="75"/>
      <c r="H111" s="74"/>
      <c r="I111" s="74"/>
      <c r="J111" s="74"/>
      <c r="K111" s="74"/>
      <c r="L111" s="72"/>
      <c r="M111" s="74"/>
      <c r="N111" s="74"/>
      <c r="O111" s="72"/>
      <c r="P111" s="205"/>
      <c r="Q111" s="272"/>
      <c r="R111" s="439"/>
      <c r="S111" s="74"/>
      <c r="T111" s="74"/>
    </row>
    <row r="112" spans="1:20" s="273" customFormat="1" ht="15" hidden="1" customHeight="1" x14ac:dyDescent="0.25">
      <c r="A112" s="722"/>
      <c r="B112" s="319"/>
      <c r="C112" s="318"/>
      <c r="D112" s="83" t="s">
        <v>59</v>
      </c>
      <c r="E112" s="242"/>
      <c r="F112" s="302"/>
      <c r="G112" s="75"/>
      <c r="H112" s="74"/>
      <c r="I112" s="74"/>
      <c r="J112" s="74"/>
      <c r="K112" s="74"/>
      <c r="L112" s="72"/>
      <c r="M112" s="74"/>
      <c r="N112" s="74"/>
      <c r="O112" s="72"/>
      <c r="P112" s="205"/>
      <c r="Q112" s="272"/>
      <c r="R112" s="439"/>
      <c r="S112" s="74"/>
      <c r="T112" s="74"/>
    </row>
    <row r="113" spans="1:47" s="273" customFormat="1" ht="15" hidden="1" customHeight="1" x14ac:dyDescent="0.25">
      <c r="A113" s="723"/>
      <c r="B113" s="317"/>
      <c r="C113" s="318">
        <v>13</v>
      </c>
      <c r="D113" s="83" t="s">
        <v>125</v>
      </c>
      <c r="E113" s="242">
        <v>1</v>
      </c>
      <c r="F113" s="302">
        <v>1</v>
      </c>
      <c r="G113" s="77" t="s">
        <v>55</v>
      </c>
      <c r="H113" s="72"/>
      <c r="I113" s="74">
        <f>F113*H113</f>
        <v>0</v>
      </c>
      <c r="J113" s="72"/>
      <c r="K113" s="74">
        <f t="shared" ref="K113" si="68">F113*J113</f>
        <v>0</v>
      </c>
      <c r="L113" s="72">
        <f t="shared" ref="L113" si="69">I113+K113</f>
        <v>0</v>
      </c>
      <c r="M113" s="74"/>
      <c r="N113" s="74"/>
      <c r="O113" s="72"/>
      <c r="P113" s="205"/>
      <c r="Q113" s="272"/>
      <c r="R113" s="439"/>
      <c r="S113" s="72">
        <f>(65520+7560+5880)*0.85</f>
        <v>67116</v>
      </c>
      <c r="T113" s="72">
        <f>(65520+7560+5880)*0.15</f>
        <v>11844</v>
      </c>
    </row>
    <row r="114" spans="1:47" s="273" customFormat="1" ht="15" hidden="1" customHeight="1" x14ac:dyDescent="0.25">
      <c r="A114" s="350"/>
      <c r="B114" s="319"/>
      <c r="C114" s="318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4"/>
      <c r="N114" s="74"/>
      <c r="O114" s="72"/>
      <c r="P114" s="205"/>
      <c r="Q114" s="272"/>
      <c r="R114" s="439"/>
      <c r="S114" s="74"/>
      <c r="T114" s="74"/>
    </row>
    <row r="115" spans="1:47" s="273" customFormat="1" ht="15" hidden="1" customHeight="1" x14ac:dyDescent="0.25">
      <c r="A115" s="350"/>
      <c r="B115" s="317"/>
      <c r="C115" s="318">
        <v>14</v>
      </c>
      <c r="D115" s="83" t="s">
        <v>126</v>
      </c>
      <c r="E115" s="242">
        <v>1</v>
      </c>
      <c r="F115" s="302">
        <v>1</v>
      </c>
      <c r="G115" s="77" t="s">
        <v>55</v>
      </c>
      <c r="H115" s="72"/>
      <c r="I115" s="74">
        <f>F115*H115</f>
        <v>0</v>
      </c>
      <c r="J115" s="72"/>
      <c r="K115" s="74">
        <f t="shared" ref="K115" si="70">F115*J115</f>
        <v>0</v>
      </c>
      <c r="L115" s="72">
        <f t="shared" ref="L115" si="71">I115+K115</f>
        <v>0</v>
      </c>
      <c r="M115" s="74"/>
      <c r="N115" s="74"/>
      <c r="O115" s="72"/>
      <c r="P115" s="205"/>
      <c r="Q115" s="272"/>
      <c r="R115" s="439"/>
      <c r="S115" s="72">
        <f>151200*0.85</f>
        <v>128520</v>
      </c>
      <c r="T115" s="72">
        <f>151200*0.15</f>
        <v>22680</v>
      </c>
    </row>
    <row r="116" spans="1:47" s="273" customFormat="1" ht="15" hidden="1" customHeight="1" x14ac:dyDescent="0.25">
      <c r="A116" s="350"/>
      <c r="B116" s="319"/>
      <c r="C116" s="318"/>
      <c r="D116" s="83" t="s">
        <v>164</v>
      </c>
      <c r="E116" s="242"/>
      <c r="F116" s="302"/>
      <c r="G116" s="75"/>
      <c r="H116" s="74"/>
      <c r="I116" s="74"/>
      <c r="J116" s="74"/>
      <c r="K116" s="74"/>
      <c r="L116" s="72"/>
      <c r="M116" s="74"/>
      <c r="N116" s="74"/>
      <c r="O116" s="72"/>
      <c r="P116" s="205"/>
      <c r="Q116" s="272"/>
      <c r="R116" s="439"/>
      <c r="S116" s="74"/>
      <c r="T116" s="74"/>
    </row>
    <row r="117" spans="1:47" s="273" customFormat="1" ht="15" hidden="1" customHeight="1" x14ac:dyDescent="0.25">
      <c r="A117" s="350"/>
      <c r="B117" s="317"/>
      <c r="C117" s="318">
        <v>15</v>
      </c>
      <c r="D117" s="83" t="s">
        <v>127</v>
      </c>
      <c r="E117" s="242">
        <v>1</v>
      </c>
      <c r="F117" s="302">
        <v>1</v>
      </c>
      <c r="G117" s="77" t="s">
        <v>55</v>
      </c>
      <c r="H117" s="72"/>
      <c r="I117" s="74">
        <f>F117*H117</f>
        <v>0</v>
      </c>
      <c r="J117" s="72"/>
      <c r="K117" s="74">
        <f t="shared" ref="K117" si="72">F117*J117</f>
        <v>0</v>
      </c>
      <c r="L117" s="72">
        <f t="shared" ref="L117" si="73">I117+K117</f>
        <v>0</v>
      </c>
      <c r="M117" s="74"/>
      <c r="N117" s="74"/>
      <c r="O117" s="72"/>
      <c r="P117" s="205"/>
      <c r="Q117" s="272"/>
      <c r="R117" s="439"/>
      <c r="S117" s="72">
        <f>80640*0.85</f>
        <v>68544</v>
      </c>
      <c r="T117" s="72">
        <f>80640*0.15</f>
        <v>12096</v>
      </c>
    </row>
    <row r="118" spans="1:47" s="273" customFormat="1" ht="15" hidden="1" customHeight="1" x14ac:dyDescent="0.25">
      <c r="A118" s="350"/>
      <c r="B118" s="319"/>
      <c r="C118" s="318"/>
      <c r="D118" s="83" t="s">
        <v>164</v>
      </c>
      <c r="E118" s="242"/>
      <c r="F118" s="302"/>
      <c r="G118" s="75"/>
      <c r="H118" s="74"/>
      <c r="I118" s="74"/>
      <c r="J118" s="74"/>
      <c r="K118" s="74"/>
      <c r="L118" s="72"/>
      <c r="M118" s="74"/>
      <c r="N118" s="74"/>
      <c r="O118" s="72"/>
      <c r="P118" s="205"/>
      <c r="Q118" s="272"/>
      <c r="R118" s="439"/>
      <c r="S118" s="74"/>
      <c r="T118" s="74"/>
    </row>
    <row r="119" spans="1:47" s="273" customFormat="1" ht="15" hidden="1" customHeight="1" x14ac:dyDescent="0.25">
      <c r="A119" s="350"/>
      <c r="B119" s="317"/>
      <c r="C119" s="318">
        <v>16</v>
      </c>
      <c r="D119" s="83" t="s">
        <v>128</v>
      </c>
      <c r="E119" s="242">
        <v>1</v>
      </c>
      <c r="F119" s="302">
        <v>1</v>
      </c>
      <c r="G119" s="77" t="s">
        <v>55</v>
      </c>
      <c r="H119" s="72"/>
      <c r="I119" s="74">
        <f>F119*H119</f>
        <v>0</v>
      </c>
      <c r="J119" s="72"/>
      <c r="K119" s="74">
        <f t="shared" ref="K119" si="74">F119*J119</f>
        <v>0</v>
      </c>
      <c r="L119" s="72">
        <f t="shared" ref="L119" si="75">I119+K119</f>
        <v>0</v>
      </c>
      <c r="M119" s="74"/>
      <c r="N119" s="74"/>
      <c r="O119" s="72"/>
      <c r="P119" s="205"/>
      <c r="Q119" s="272"/>
      <c r="R119" s="439"/>
      <c r="S119" s="72">
        <f>(27888+33600)*0.85</f>
        <v>52264.799999999996</v>
      </c>
      <c r="T119" s="72">
        <f>(27888+33600)*0.15</f>
        <v>9223.1999999999989</v>
      </c>
    </row>
    <row r="120" spans="1:47" s="273" customFormat="1" ht="15" hidden="1" customHeight="1" x14ac:dyDescent="0.25">
      <c r="A120" s="350"/>
      <c r="B120" s="319"/>
      <c r="C120" s="318"/>
      <c r="D120" s="83" t="s">
        <v>164</v>
      </c>
      <c r="E120" s="242"/>
      <c r="F120" s="302"/>
      <c r="G120" s="75"/>
      <c r="H120" s="74"/>
      <c r="I120" s="74"/>
      <c r="J120" s="74"/>
      <c r="K120" s="74"/>
      <c r="L120" s="74"/>
      <c r="M120" s="74"/>
      <c r="N120" s="74"/>
      <c r="O120" s="72"/>
      <c r="P120" s="205"/>
      <c r="Q120" s="272"/>
      <c r="R120" s="439"/>
      <c r="S120" s="74"/>
      <c r="T120" s="224"/>
    </row>
    <row r="121" spans="1:47" s="273" customFormat="1" hidden="1" x14ac:dyDescent="0.25">
      <c r="A121" s="350"/>
      <c r="B121" s="319"/>
      <c r="C121" s="318"/>
      <c r="D121" s="83"/>
      <c r="E121" s="242"/>
      <c r="F121" s="302"/>
      <c r="G121" s="75"/>
      <c r="H121" s="74"/>
      <c r="I121" s="74"/>
      <c r="J121" s="74"/>
      <c r="K121" s="74"/>
      <c r="L121" s="74"/>
      <c r="M121" s="74"/>
      <c r="N121" s="74"/>
      <c r="O121" s="72"/>
      <c r="P121" s="205"/>
      <c r="Q121" s="272"/>
      <c r="R121" s="439"/>
      <c r="T121" s="224"/>
      <c r="AG121" s="224"/>
      <c r="AI121" s="224"/>
    </row>
    <row r="122" spans="1:47" s="273" customFormat="1" x14ac:dyDescent="0.25">
      <c r="A122" s="350"/>
      <c r="B122" s="724" t="s">
        <v>330</v>
      </c>
      <c r="C122" s="725" t="s">
        <v>141</v>
      </c>
      <c r="D122" s="83"/>
      <c r="E122" s="242"/>
      <c r="F122" s="302"/>
      <c r="G122" s="75"/>
      <c r="H122" s="74"/>
      <c r="I122" s="74"/>
      <c r="J122" s="74"/>
      <c r="K122" s="74"/>
      <c r="L122" s="74"/>
      <c r="M122" s="74"/>
      <c r="N122" s="74"/>
      <c r="O122" s="72"/>
      <c r="P122" s="205"/>
      <c r="Q122" s="272"/>
      <c r="R122" s="439"/>
      <c r="T122" s="224"/>
      <c r="AG122" s="224"/>
      <c r="AI122" s="224"/>
    </row>
    <row r="123" spans="1:47" s="273" customFormat="1" x14ac:dyDescent="0.25">
      <c r="A123" s="350"/>
      <c r="B123" s="317"/>
      <c r="C123" s="318">
        <v>1</v>
      </c>
      <c r="D123" s="83" t="s">
        <v>455</v>
      </c>
      <c r="E123" s="242">
        <v>20</v>
      </c>
      <c r="F123" s="302">
        <v>20</v>
      </c>
      <c r="G123" s="77" t="s">
        <v>28</v>
      </c>
      <c r="H123" s="74">
        <f>2400/1.05</f>
        <v>2285.7142857142858</v>
      </c>
      <c r="I123" s="74">
        <f>F123*H123</f>
        <v>45714.285714285717</v>
      </c>
      <c r="J123" s="74">
        <v>350</v>
      </c>
      <c r="K123" s="74">
        <f t="shared" ref="K123:K124" si="76">F123*J123</f>
        <v>7000</v>
      </c>
      <c r="L123" s="72">
        <f t="shared" ref="L123:L124" si="77">I123+K123</f>
        <v>52714.285714285717</v>
      </c>
      <c r="M123" s="74">
        <f>H123/$P$264*$P$272</f>
        <v>3157.5230405087896</v>
      </c>
      <c r="N123" s="74">
        <f>J123/$P$264*$P$272</f>
        <v>483.49571557790841</v>
      </c>
      <c r="O123" s="72">
        <f t="shared" ref="O123:O148" si="78">N123+M123</f>
        <v>3641.018756086698</v>
      </c>
      <c r="P123" s="205">
        <f t="shared" ref="P123:P148" si="79">O123*F123</f>
        <v>72820.37512173396</v>
      </c>
      <c r="Q123" s="272">
        <f>L123/$P$264*$P$272</f>
        <v>72820.37512173396</v>
      </c>
      <c r="R123" s="439">
        <f t="shared" ref="R123:R148" si="80">P123-Q123</f>
        <v>0</v>
      </c>
      <c r="T123" s="224"/>
      <c r="AG123" s="224"/>
      <c r="AI123" s="224"/>
    </row>
    <row r="124" spans="1:47" s="273" customFormat="1" x14ac:dyDescent="0.25">
      <c r="A124" s="350"/>
      <c r="B124" s="317"/>
      <c r="C124" s="318">
        <v>2</v>
      </c>
      <c r="D124" s="83" t="s">
        <v>143</v>
      </c>
      <c r="E124" s="242">
        <f>(20-4)*3</f>
        <v>48</v>
      </c>
      <c r="F124" s="302">
        <v>48</v>
      </c>
      <c r="G124" s="77" t="s">
        <v>283</v>
      </c>
      <c r="H124" s="74">
        <f>350/1.05</f>
        <v>333.33333333333331</v>
      </c>
      <c r="I124" s="74">
        <f>F124*H124</f>
        <v>16000</v>
      </c>
      <c r="J124" s="74">
        <v>75</v>
      </c>
      <c r="K124" s="74">
        <f t="shared" si="76"/>
        <v>3600</v>
      </c>
      <c r="L124" s="72">
        <f t="shared" si="77"/>
        <v>19600</v>
      </c>
      <c r="M124" s="74">
        <f>H124/$P$264*$P$272</f>
        <v>460.47211007419844</v>
      </c>
      <c r="N124" s="74">
        <f>J124/$P$264*$P$272</f>
        <v>103.60622476669467</v>
      </c>
      <c r="O124" s="72">
        <f t="shared" si="78"/>
        <v>564.07833484089315</v>
      </c>
      <c r="P124" s="205">
        <f t="shared" si="79"/>
        <v>27075.760072362871</v>
      </c>
      <c r="Q124" s="272">
        <f>L124/$P$264*$P$272</f>
        <v>27075.760072362875</v>
      </c>
      <c r="R124" s="439">
        <f t="shared" si="80"/>
        <v>0</v>
      </c>
      <c r="T124" s="224"/>
      <c r="W124" s="904" t="s">
        <v>542</v>
      </c>
      <c r="X124" s="904"/>
      <c r="Y124" s="904"/>
      <c r="Z124" s="904"/>
      <c r="AA124" s="904"/>
      <c r="AB124" s="904"/>
      <c r="AC124" s="824" t="s">
        <v>243</v>
      </c>
      <c r="AD124" s="824" t="s">
        <v>244</v>
      </c>
      <c r="AE124" s="824" t="s">
        <v>245</v>
      </c>
      <c r="AF124" s="123" t="s">
        <v>246</v>
      </c>
      <c r="AG124" s="196" t="s">
        <v>247</v>
      </c>
      <c r="AH124" s="824" t="s">
        <v>248</v>
      </c>
      <c r="AI124" s="212" t="s">
        <v>249</v>
      </c>
      <c r="AL124" s="904" t="s">
        <v>544</v>
      </c>
      <c r="AM124" s="904"/>
      <c r="AN124" s="904"/>
      <c r="AO124" s="824" t="s">
        <v>243</v>
      </c>
      <c r="AP124" s="824" t="s">
        <v>244</v>
      </c>
      <c r="AQ124" s="824" t="s">
        <v>245</v>
      </c>
      <c r="AR124" s="123" t="s">
        <v>246</v>
      </c>
      <c r="AS124" s="196" t="s">
        <v>247</v>
      </c>
      <c r="AT124" s="824" t="s">
        <v>248</v>
      </c>
      <c r="AU124" s="212" t="s">
        <v>249</v>
      </c>
    </row>
    <row r="125" spans="1:47" s="273" customFormat="1" x14ac:dyDescent="0.25">
      <c r="A125" s="350"/>
      <c r="B125" s="319"/>
      <c r="C125" s="318"/>
      <c r="D125" s="83" t="s">
        <v>331</v>
      </c>
      <c r="E125" s="242"/>
      <c r="F125" s="302"/>
      <c r="G125" s="75"/>
      <c r="H125" s="74"/>
      <c r="I125" s="74"/>
      <c r="J125" s="74"/>
      <c r="K125" s="74"/>
      <c r="L125" s="74"/>
      <c r="M125" s="74"/>
      <c r="N125" s="74"/>
      <c r="O125" s="72"/>
      <c r="P125" s="205"/>
      <c r="Q125" s="272"/>
      <c r="R125" s="439"/>
      <c r="T125" s="224"/>
      <c r="W125" s="878" t="s">
        <v>272</v>
      </c>
      <c r="X125" s="878"/>
      <c r="Y125" s="878"/>
      <c r="Z125" s="878"/>
      <c r="AA125" s="878"/>
      <c r="AB125" s="878"/>
      <c r="AC125" s="124" t="s">
        <v>251</v>
      </c>
      <c r="AD125" s="823">
        <v>12.5</v>
      </c>
      <c r="AE125" s="823">
        <v>13</v>
      </c>
      <c r="AF125" s="123">
        <f>117/1.02</f>
        <v>114.70588235294117</v>
      </c>
      <c r="AG125" s="196">
        <f>AF125*AE125</f>
        <v>1491.1764705882354</v>
      </c>
      <c r="AH125" s="823">
        <v>16.5</v>
      </c>
      <c r="AI125" s="219">
        <f>AH125*AE125</f>
        <v>214.5</v>
      </c>
      <c r="AL125" s="878" t="s">
        <v>272</v>
      </c>
      <c r="AM125" s="878"/>
      <c r="AN125" s="878"/>
      <c r="AO125" s="124" t="s">
        <v>251</v>
      </c>
      <c r="AP125" s="823">
        <v>12.5</v>
      </c>
      <c r="AQ125" s="823">
        <v>13</v>
      </c>
      <c r="AR125" s="123">
        <f>200/1.02</f>
        <v>196.07843137254901</v>
      </c>
      <c r="AS125" s="196">
        <f>AR125*AQ125</f>
        <v>2549.0196078431372</v>
      </c>
      <c r="AT125" s="823">
        <v>16.5</v>
      </c>
      <c r="AU125" s="219">
        <f>AT125*AQ125</f>
        <v>214.5</v>
      </c>
    </row>
    <row r="126" spans="1:47" s="273" customFormat="1" x14ac:dyDescent="0.25">
      <c r="A126" s="350"/>
      <c r="B126" s="317"/>
      <c r="C126" s="318">
        <v>3</v>
      </c>
      <c r="D126" s="83" t="s">
        <v>146</v>
      </c>
      <c r="E126" s="242">
        <v>4</v>
      </c>
      <c r="F126" s="302">
        <v>4</v>
      </c>
      <c r="G126" s="77" t="s">
        <v>28</v>
      </c>
      <c r="H126" s="74">
        <f>4000/1.05</f>
        <v>3809.5238095238092</v>
      </c>
      <c r="I126" s="74">
        <f>F126*H126</f>
        <v>15238.095238095237</v>
      </c>
      <c r="J126" s="74">
        <v>400</v>
      </c>
      <c r="K126" s="74">
        <f t="shared" ref="K126:K127" si="81">F126*J126</f>
        <v>1600</v>
      </c>
      <c r="L126" s="72">
        <f t="shared" ref="L126:L127" si="82">I126+K126</f>
        <v>16838.095238095237</v>
      </c>
      <c r="M126" s="74">
        <f>H126/$P$264*$P$272</f>
        <v>5262.5384008479823</v>
      </c>
      <c r="N126" s="74">
        <f>J126/$P$264*$P$272</f>
        <v>552.56653208903822</v>
      </c>
      <c r="O126" s="72">
        <f t="shared" si="78"/>
        <v>5815.1049329370207</v>
      </c>
      <c r="P126" s="205">
        <f t="shared" si="79"/>
        <v>23260.419731748083</v>
      </c>
      <c r="Q126" s="272">
        <f>L126/$P$264*$P$272</f>
        <v>23260.419731748083</v>
      </c>
      <c r="R126" s="439">
        <f t="shared" si="80"/>
        <v>0</v>
      </c>
      <c r="T126" s="224"/>
      <c r="W126" s="878" t="s">
        <v>252</v>
      </c>
      <c r="X126" s="878"/>
      <c r="Y126" s="878"/>
      <c r="Z126" s="878"/>
      <c r="AA126" s="878"/>
      <c r="AB126" s="878"/>
      <c r="AC126" s="124" t="s">
        <v>253</v>
      </c>
      <c r="AD126" s="823">
        <v>0.25</v>
      </c>
      <c r="AE126" s="823">
        <v>0.25</v>
      </c>
      <c r="AF126" s="123">
        <f>285/1.02</f>
        <v>279.41176470588238</v>
      </c>
      <c r="AG126" s="196">
        <f>AF126*AE126</f>
        <v>69.852941176470594</v>
      </c>
      <c r="AH126" s="823"/>
      <c r="AI126" s="219">
        <f>AH126*AE126</f>
        <v>0</v>
      </c>
      <c r="AL126" s="878" t="s">
        <v>252</v>
      </c>
      <c r="AM126" s="878"/>
      <c r="AN126" s="878"/>
      <c r="AO126" s="124" t="s">
        <v>253</v>
      </c>
      <c r="AP126" s="823">
        <v>0.25</v>
      </c>
      <c r="AQ126" s="823">
        <v>0.25</v>
      </c>
      <c r="AR126" s="123">
        <f>285/1.06</f>
        <v>268.8679245283019</v>
      </c>
      <c r="AS126" s="196">
        <f>AR126*AQ126</f>
        <v>67.216981132075475</v>
      </c>
      <c r="AT126" s="823"/>
      <c r="AU126" s="219">
        <f>AT126*AQ126</f>
        <v>0</v>
      </c>
    </row>
    <row r="127" spans="1:47" s="273" customFormat="1" x14ac:dyDescent="0.25">
      <c r="A127" s="350"/>
      <c r="B127" s="317"/>
      <c r="C127" s="318">
        <v>4</v>
      </c>
      <c r="D127" s="83" t="s">
        <v>147</v>
      </c>
      <c r="E127" s="242">
        <f>4*4</f>
        <v>16</v>
      </c>
      <c r="F127" s="302">
        <v>16</v>
      </c>
      <c r="G127" s="77" t="s">
        <v>28</v>
      </c>
      <c r="H127" s="74">
        <f>750/1.05</f>
        <v>714.28571428571422</v>
      </c>
      <c r="I127" s="74">
        <f>F127*H127</f>
        <v>11428.571428571428</v>
      </c>
      <c r="J127" s="74">
        <v>75</v>
      </c>
      <c r="K127" s="74">
        <f t="shared" si="81"/>
        <v>1200</v>
      </c>
      <c r="L127" s="72">
        <f t="shared" si="82"/>
        <v>12628.571428571428</v>
      </c>
      <c r="M127" s="74">
        <f>H127/$P$264*$P$272</f>
        <v>986.72595015899674</v>
      </c>
      <c r="N127" s="74">
        <f>J127/$P$264*$P$272</f>
        <v>103.60622476669467</v>
      </c>
      <c r="O127" s="72">
        <f t="shared" si="78"/>
        <v>1090.3321749256913</v>
      </c>
      <c r="P127" s="205">
        <f t="shared" si="79"/>
        <v>17445.314798811061</v>
      </c>
      <c r="Q127" s="272">
        <f>L127/$P$264*$P$272</f>
        <v>17445.314798811061</v>
      </c>
      <c r="R127" s="439">
        <f t="shared" si="80"/>
        <v>0</v>
      </c>
      <c r="T127" s="224"/>
      <c r="W127" s="878" t="s">
        <v>254</v>
      </c>
      <c r="X127" s="878"/>
      <c r="Y127" s="878"/>
      <c r="Z127" s="878"/>
      <c r="AA127" s="878"/>
      <c r="AB127" s="878"/>
      <c r="AC127" s="124" t="s">
        <v>255</v>
      </c>
      <c r="AD127" s="823">
        <v>0.25</v>
      </c>
      <c r="AE127" s="823">
        <v>0.35</v>
      </c>
      <c r="AF127" s="123">
        <f>37/1.06</f>
        <v>34.905660377358487</v>
      </c>
      <c r="AG127" s="196">
        <f>AF127*AE127</f>
        <v>12.216981132075469</v>
      </c>
      <c r="AH127" s="823"/>
      <c r="AI127" s="219">
        <f>AH127*AE127</f>
        <v>0</v>
      </c>
      <c r="AL127" s="878" t="s">
        <v>254</v>
      </c>
      <c r="AM127" s="878"/>
      <c r="AN127" s="878"/>
      <c r="AO127" s="124" t="s">
        <v>255</v>
      </c>
      <c r="AP127" s="823">
        <v>0.25</v>
      </c>
      <c r="AQ127" s="823">
        <v>0.35</v>
      </c>
      <c r="AR127" s="123">
        <f>37/1.06</f>
        <v>34.905660377358487</v>
      </c>
      <c r="AS127" s="196">
        <f>AR127*AQ127</f>
        <v>12.216981132075469</v>
      </c>
      <c r="AT127" s="823"/>
      <c r="AU127" s="219">
        <f>AT127*AQ127</f>
        <v>0</v>
      </c>
    </row>
    <row r="128" spans="1:47" s="273" customFormat="1" x14ac:dyDescent="0.25">
      <c r="A128" s="350"/>
      <c r="B128" s="319"/>
      <c r="C128" s="318"/>
      <c r="D128" s="83"/>
      <c r="E128" s="242"/>
      <c r="F128" s="302"/>
      <c r="G128" s="75"/>
      <c r="H128" s="74"/>
      <c r="I128" s="74"/>
      <c r="J128" s="74"/>
      <c r="K128" s="74"/>
      <c r="L128" s="74"/>
      <c r="M128" s="74"/>
      <c r="N128" s="74"/>
      <c r="O128" s="72"/>
      <c r="P128" s="205"/>
      <c r="Q128" s="272"/>
      <c r="R128" s="439"/>
      <c r="T128" s="224"/>
      <c r="W128" s="878" t="s">
        <v>256</v>
      </c>
      <c r="X128" s="878"/>
      <c r="Y128" s="878"/>
      <c r="Z128" s="878"/>
      <c r="AA128" s="878"/>
      <c r="AB128" s="878"/>
      <c r="AC128" s="124" t="s">
        <v>257</v>
      </c>
      <c r="AD128" s="823">
        <v>1</v>
      </c>
      <c r="AE128" s="823">
        <v>1</v>
      </c>
      <c r="AF128" s="123">
        <f>AQ68</f>
        <v>0</v>
      </c>
      <c r="AG128" s="196">
        <f>AF128*AE128</f>
        <v>0</v>
      </c>
      <c r="AH128" s="823"/>
      <c r="AI128" s="219">
        <f>AH128*AE128</f>
        <v>0</v>
      </c>
      <c r="AL128" s="878" t="s">
        <v>256</v>
      </c>
      <c r="AM128" s="878"/>
      <c r="AN128" s="878"/>
      <c r="AO128" s="124" t="s">
        <v>257</v>
      </c>
      <c r="AP128" s="823">
        <v>1</v>
      </c>
      <c r="AQ128" s="823">
        <v>1</v>
      </c>
      <c r="AR128" s="123">
        <f>BC68</f>
        <v>0</v>
      </c>
      <c r="AS128" s="196">
        <f>AR128*AQ128</f>
        <v>0</v>
      </c>
      <c r="AT128" s="823"/>
      <c r="AU128" s="219">
        <f>AT128*AQ128</f>
        <v>0</v>
      </c>
    </row>
    <row r="129" spans="1:47" s="273" customFormat="1" x14ac:dyDescent="0.25">
      <c r="A129" s="350"/>
      <c r="B129" s="724" t="s">
        <v>332</v>
      </c>
      <c r="C129" s="725" t="s">
        <v>148</v>
      </c>
      <c r="D129" s="83"/>
      <c r="E129" s="242"/>
      <c r="F129" s="302"/>
      <c r="G129" s="75"/>
      <c r="H129" s="74"/>
      <c r="I129" s="74"/>
      <c r="J129" s="74"/>
      <c r="K129" s="74"/>
      <c r="L129" s="74"/>
      <c r="M129" s="74"/>
      <c r="N129" s="74"/>
      <c r="O129" s="72"/>
      <c r="P129" s="205"/>
      <c r="Q129" s="272"/>
      <c r="R129" s="439"/>
      <c r="T129" s="224"/>
      <c r="W129" s="126"/>
      <c r="X129" s="126"/>
      <c r="Y129" s="126"/>
      <c r="Z129" s="126"/>
      <c r="AA129" s="126"/>
      <c r="AB129" s="126"/>
      <c r="AC129" s="126"/>
      <c r="AD129" s="823"/>
      <c r="AE129" s="823"/>
      <c r="AF129" s="123"/>
      <c r="AG129" s="212">
        <f>SUM(AG125:AG128)</f>
        <v>1573.2463928967813</v>
      </c>
      <c r="AH129" s="824"/>
      <c r="AI129" s="212">
        <f>SUM(AI125:AI128)</f>
        <v>214.5</v>
      </c>
      <c r="AL129" s="126"/>
      <c r="AM129" s="126"/>
      <c r="AN129" s="126"/>
      <c r="AO129" s="126"/>
      <c r="AP129" s="823"/>
      <c r="AQ129" s="823"/>
      <c r="AR129" s="123"/>
      <c r="AS129" s="212">
        <f>SUM(AS125:AS128)</f>
        <v>2628.4535701072882</v>
      </c>
      <c r="AT129" s="824"/>
      <c r="AU129" s="212">
        <f>SUM(AU125:AU128)</f>
        <v>214.5</v>
      </c>
    </row>
    <row r="130" spans="1:47" s="273" customFormat="1" x14ac:dyDescent="0.25">
      <c r="A130" s="350"/>
      <c r="B130" s="317"/>
      <c r="C130" s="318">
        <v>1</v>
      </c>
      <c r="D130" s="83" t="s">
        <v>149</v>
      </c>
      <c r="E130" s="242">
        <v>76.8</v>
      </c>
      <c r="F130" s="302">
        <v>78</v>
      </c>
      <c r="G130" s="77" t="s">
        <v>100</v>
      </c>
      <c r="H130" s="74">
        <f>231/1.05</f>
        <v>220</v>
      </c>
      <c r="I130" s="74">
        <f t="shared" ref="I130:I136" si="83">F130*H130</f>
        <v>17160</v>
      </c>
      <c r="J130" s="74">
        <v>75</v>
      </c>
      <c r="K130" s="74">
        <f t="shared" ref="K130:K136" si="84">F130*J130</f>
        <v>5850</v>
      </c>
      <c r="L130" s="72">
        <f t="shared" ref="L130:L136" si="85">I130+K130</f>
        <v>23010</v>
      </c>
      <c r="M130" s="74">
        <f>H130/$P$264*$P$272</f>
        <v>303.91159264897101</v>
      </c>
      <c r="N130" s="74">
        <f>J130/$P$264*$P$272</f>
        <v>103.60622476669467</v>
      </c>
      <c r="O130" s="72">
        <f t="shared" si="78"/>
        <v>407.51781741566566</v>
      </c>
      <c r="P130" s="205">
        <f t="shared" si="79"/>
        <v>31786.389758421923</v>
      </c>
      <c r="Q130" s="272">
        <f>L130/$P$264*$P$272</f>
        <v>31786.389758421919</v>
      </c>
      <c r="R130" s="439">
        <f t="shared" si="80"/>
        <v>0</v>
      </c>
      <c r="T130" s="224"/>
      <c r="AG130" s="224"/>
      <c r="AI130" s="224"/>
      <c r="AS130" s="224"/>
      <c r="AU130" s="224"/>
    </row>
    <row r="131" spans="1:47" s="273" customFormat="1" x14ac:dyDescent="0.25">
      <c r="A131" s="350"/>
      <c r="B131" s="317"/>
      <c r="C131" s="318">
        <v>2</v>
      </c>
      <c r="D131" s="83" t="s">
        <v>150</v>
      </c>
      <c r="E131" s="242">
        <v>56.4</v>
      </c>
      <c r="F131" s="302">
        <v>58</v>
      </c>
      <c r="G131" s="77" t="s">
        <v>100</v>
      </c>
      <c r="H131" s="74">
        <f>140/1.05</f>
        <v>133.33333333333331</v>
      </c>
      <c r="I131" s="74">
        <f t="shared" si="83"/>
        <v>7733.3333333333321</v>
      </c>
      <c r="J131" s="74">
        <v>75</v>
      </c>
      <c r="K131" s="74">
        <f t="shared" si="84"/>
        <v>4350</v>
      </c>
      <c r="L131" s="72">
        <f t="shared" si="85"/>
        <v>12083.333333333332</v>
      </c>
      <c r="M131" s="74">
        <f>H131/$P$264*$P$272</f>
        <v>184.18884402967936</v>
      </c>
      <c r="N131" s="74">
        <f>J131/$P$264*$P$272</f>
        <v>103.60622476669467</v>
      </c>
      <c r="O131" s="72">
        <f t="shared" si="78"/>
        <v>287.79506879637404</v>
      </c>
      <c r="P131" s="205">
        <f t="shared" si="79"/>
        <v>16692.113990189693</v>
      </c>
      <c r="Q131" s="272">
        <f>L131/$P$264*$P$272</f>
        <v>16692.113990189693</v>
      </c>
      <c r="R131" s="439">
        <f t="shared" si="80"/>
        <v>0</v>
      </c>
      <c r="T131" s="224"/>
      <c r="W131" s="904" t="s">
        <v>543</v>
      </c>
      <c r="X131" s="904"/>
      <c r="Y131" s="904"/>
      <c r="Z131" s="904"/>
      <c r="AA131" s="904"/>
      <c r="AB131" s="904"/>
      <c r="AC131" s="824" t="s">
        <v>243</v>
      </c>
      <c r="AD131" s="824" t="s">
        <v>244</v>
      </c>
      <c r="AE131" s="824" t="s">
        <v>245</v>
      </c>
      <c r="AF131" s="123" t="s">
        <v>246</v>
      </c>
      <c r="AG131" s="196" t="s">
        <v>247</v>
      </c>
      <c r="AH131" s="824" t="s">
        <v>248</v>
      </c>
      <c r="AI131" s="212" t="s">
        <v>249</v>
      </c>
      <c r="AL131" s="904" t="s">
        <v>545</v>
      </c>
      <c r="AM131" s="904"/>
      <c r="AN131" s="904"/>
      <c r="AO131" s="824" t="s">
        <v>243</v>
      </c>
      <c r="AP131" s="824" t="s">
        <v>244</v>
      </c>
      <c r="AQ131" s="824" t="s">
        <v>245</v>
      </c>
      <c r="AR131" s="123" t="s">
        <v>246</v>
      </c>
      <c r="AS131" s="196" t="s">
        <v>247</v>
      </c>
      <c r="AT131" s="824" t="s">
        <v>248</v>
      </c>
      <c r="AU131" s="212" t="s">
        <v>249</v>
      </c>
    </row>
    <row r="132" spans="1:47" s="273" customFormat="1" x14ac:dyDescent="0.25">
      <c r="A132" s="350"/>
      <c r="B132" s="317"/>
      <c r="C132" s="318">
        <v>3</v>
      </c>
      <c r="D132" s="83" t="s">
        <v>354</v>
      </c>
      <c r="E132" s="242">
        <f>7.83+5.5*2</f>
        <v>18.829999999999998</v>
      </c>
      <c r="F132" s="302">
        <v>19.5</v>
      </c>
      <c r="G132" s="77" t="s">
        <v>100</v>
      </c>
      <c r="H132" s="74">
        <f>825/1.05</f>
        <v>785.71428571428567</v>
      </c>
      <c r="I132" s="74">
        <f t="shared" si="83"/>
        <v>15321.428571428571</v>
      </c>
      <c r="J132" s="74">
        <v>120</v>
      </c>
      <c r="K132" s="74">
        <f t="shared" si="84"/>
        <v>2340</v>
      </c>
      <c r="L132" s="72">
        <f t="shared" si="85"/>
        <v>17661.428571428572</v>
      </c>
      <c r="M132" s="74">
        <f>H132/$P$264*$P$272</f>
        <v>1085.3985451748965</v>
      </c>
      <c r="N132" s="74">
        <f>J132/$P$264*$P$272</f>
        <v>165.76995962671145</v>
      </c>
      <c r="O132" s="72">
        <f t="shared" si="78"/>
        <v>1251.1685048016079</v>
      </c>
      <c r="P132" s="205">
        <f t="shared" si="79"/>
        <v>24397.785843631355</v>
      </c>
      <c r="Q132" s="272">
        <f>L132/$P$264*$P$272</f>
        <v>24397.785843631358</v>
      </c>
      <c r="R132" s="439">
        <f t="shared" si="80"/>
        <v>0</v>
      </c>
      <c r="T132" s="224"/>
      <c r="W132" s="878" t="s">
        <v>271</v>
      </c>
      <c r="X132" s="878"/>
      <c r="Y132" s="878"/>
      <c r="Z132" s="878"/>
      <c r="AA132" s="878"/>
      <c r="AB132" s="878"/>
      <c r="AC132" s="124" t="s">
        <v>251</v>
      </c>
      <c r="AD132" s="823">
        <v>8.33</v>
      </c>
      <c r="AE132" s="823">
        <v>9</v>
      </c>
      <c r="AF132" s="123">
        <f>123/1.02</f>
        <v>120.58823529411764</v>
      </c>
      <c r="AG132" s="196">
        <f>AF132*AE132</f>
        <v>1085.2941176470588</v>
      </c>
      <c r="AH132" s="823">
        <v>23.9</v>
      </c>
      <c r="AI132" s="219">
        <f>AH132*AE132</f>
        <v>215.1</v>
      </c>
      <c r="AL132" s="878" t="s">
        <v>271</v>
      </c>
      <c r="AM132" s="878"/>
      <c r="AN132" s="878"/>
      <c r="AO132" s="124" t="s">
        <v>251</v>
      </c>
      <c r="AP132" s="823">
        <v>8.33</v>
      </c>
      <c r="AQ132" s="823">
        <v>9</v>
      </c>
      <c r="AR132" s="123">
        <f>219/1.02</f>
        <v>214.70588235294116</v>
      </c>
      <c r="AS132" s="196">
        <f>AR132*AQ132</f>
        <v>1932.3529411764705</v>
      </c>
      <c r="AT132" s="823">
        <v>23.9</v>
      </c>
      <c r="AU132" s="219">
        <f>AT132*AQ132</f>
        <v>215.1</v>
      </c>
    </row>
    <row r="133" spans="1:47" s="273" customFormat="1" x14ac:dyDescent="0.25">
      <c r="A133" s="350"/>
      <c r="B133" s="317"/>
      <c r="C133" s="318">
        <v>4</v>
      </c>
      <c r="D133" s="83" t="s">
        <v>297</v>
      </c>
      <c r="E133" s="306">
        <v>2</v>
      </c>
      <c r="F133" s="302">
        <v>2</v>
      </c>
      <c r="G133" s="77" t="s">
        <v>100</v>
      </c>
      <c r="H133" s="74">
        <f>1200/1.05</f>
        <v>1142.8571428571429</v>
      </c>
      <c r="I133" s="74">
        <f t="shared" si="83"/>
        <v>2285.7142857142858</v>
      </c>
      <c r="J133" s="74">
        <v>175</v>
      </c>
      <c r="K133" s="74">
        <f t="shared" si="84"/>
        <v>350</v>
      </c>
      <c r="L133" s="72">
        <f t="shared" si="85"/>
        <v>2635.7142857142858</v>
      </c>
      <c r="M133" s="74">
        <f>H133/$P$264*$P$272</f>
        <v>1578.7615202543948</v>
      </c>
      <c r="N133" s="74">
        <f>J133/$P$264*$P$272</f>
        <v>241.74785778895421</v>
      </c>
      <c r="O133" s="72">
        <f t="shared" si="78"/>
        <v>1820.509378043349</v>
      </c>
      <c r="P133" s="205">
        <f t="shared" si="79"/>
        <v>3641.018756086698</v>
      </c>
      <c r="Q133" s="272">
        <f>L133/$P$264*$P$272</f>
        <v>3641.018756086698</v>
      </c>
      <c r="R133" s="439">
        <f t="shared" si="80"/>
        <v>0</v>
      </c>
      <c r="T133" s="224"/>
      <c r="W133" s="878" t="s">
        <v>252</v>
      </c>
      <c r="X133" s="878"/>
      <c r="Y133" s="878"/>
      <c r="Z133" s="878"/>
      <c r="AA133" s="878"/>
      <c r="AB133" s="878"/>
      <c r="AC133" s="124" t="s">
        <v>253</v>
      </c>
      <c r="AD133" s="823">
        <v>0.25</v>
      </c>
      <c r="AE133" s="823">
        <v>0.25</v>
      </c>
      <c r="AF133" s="123">
        <f>AF126</f>
        <v>279.41176470588238</v>
      </c>
      <c r="AG133" s="196">
        <f>AF133*AE133</f>
        <v>69.852941176470594</v>
      </c>
      <c r="AH133" s="823"/>
      <c r="AI133" s="219">
        <f>AH133*AE133</f>
        <v>0</v>
      </c>
      <c r="AL133" s="878" t="s">
        <v>252</v>
      </c>
      <c r="AM133" s="878"/>
      <c r="AN133" s="878"/>
      <c r="AO133" s="124" t="s">
        <v>253</v>
      </c>
      <c r="AP133" s="823">
        <v>0.25</v>
      </c>
      <c r="AQ133" s="823">
        <v>0.25</v>
      </c>
      <c r="AR133" s="123">
        <f>AR126</f>
        <v>268.8679245283019</v>
      </c>
      <c r="AS133" s="196">
        <f>AR133*AQ133</f>
        <v>67.216981132075475</v>
      </c>
      <c r="AT133" s="823"/>
      <c r="AU133" s="219">
        <f>AT133*AQ133</f>
        <v>0</v>
      </c>
    </row>
    <row r="134" spans="1:47" s="273" customFormat="1" x14ac:dyDescent="0.25">
      <c r="A134" s="350"/>
      <c r="B134" s="317"/>
      <c r="C134" s="318">
        <v>5</v>
      </c>
      <c r="D134" s="83" t="s">
        <v>416</v>
      </c>
      <c r="E134" s="306" t="s">
        <v>39</v>
      </c>
      <c r="F134" s="302"/>
      <c r="G134" s="75"/>
      <c r="H134" s="74"/>
      <c r="I134" s="74">
        <f t="shared" si="83"/>
        <v>0</v>
      </c>
      <c r="J134" s="74"/>
      <c r="K134" s="74">
        <f t="shared" si="84"/>
        <v>0</v>
      </c>
      <c r="L134" s="72">
        <f t="shared" si="85"/>
        <v>0</v>
      </c>
      <c r="M134" s="74"/>
      <c r="N134" s="74"/>
      <c r="O134" s="72"/>
      <c r="P134" s="305" t="s">
        <v>39</v>
      </c>
      <c r="Q134" s="272"/>
      <c r="R134" s="439"/>
      <c r="T134" s="224"/>
      <c r="W134" s="878" t="s">
        <v>254</v>
      </c>
      <c r="X134" s="878"/>
      <c r="Y134" s="878"/>
      <c r="Z134" s="878"/>
      <c r="AA134" s="878"/>
      <c r="AB134" s="878"/>
      <c r="AC134" s="124" t="s">
        <v>255</v>
      </c>
      <c r="AD134" s="823">
        <v>0.25</v>
      </c>
      <c r="AE134" s="823">
        <v>0.35</v>
      </c>
      <c r="AF134" s="123">
        <f>37/1.06</f>
        <v>34.905660377358487</v>
      </c>
      <c r="AG134" s="196">
        <f>AF134*AE134</f>
        <v>12.216981132075469</v>
      </c>
      <c r="AH134" s="823"/>
      <c r="AI134" s="219">
        <f>AH134*AE134</f>
        <v>0</v>
      </c>
      <c r="AL134" s="878" t="s">
        <v>254</v>
      </c>
      <c r="AM134" s="878"/>
      <c r="AN134" s="878"/>
      <c r="AO134" s="124" t="s">
        <v>255</v>
      </c>
      <c r="AP134" s="823">
        <v>0.25</v>
      </c>
      <c r="AQ134" s="823">
        <v>0.35</v>
      </c>
      <c r="AR134" s="123">
        <f>37/1.06</f>
        <v>34.905660377358487</v>
      </c>
      <c r="AS134" s="196">
        <f>AR134*AQ134</f>
        <v>12.216981132075469</v>
      </c>
      <c r="AT134" s="823"/>
      <c r="AU134" s="219">
        <f>AT134*AQ134</f>
        <v>0</v>
      </c>
    </row>
    <row r="135" spans="1:47" s="224" customFormat="1" x14ac:dyDescent="0.25">
      <c r="A135" s="350"/>
      <c r="B135" s="726"/>
      <c r="C135" s="318">
        <v>6</v>
      </c>
      <c r="D135" s="83" t="s">
        <v>159</v>
      </c>
      <c r="E135" s="306" t="s">
        <v>39</v>
      </c>
      <c r="F135" s="302"/>
      <c r="G135" s="75"/>
      <c r="H135" s="74"/>
      <c r="I135" s="74">
        <f t="shared" si="83"/>
        <v>0</v>
      </c>
      <c r="J135" s="74"/>
      <c r="K135" s="74">
        <f t="shared" si="84"/>
        <v>0</v>
      </c>
      <c r="L135" s="72">
        <f t="shared" si="85"/>
        <v>0</v>
      </c>
      <c r="M135" s="74"/>
      <c r="N135" s="74"/>
      <c r="O135" s="72"/>
      <c r="P135" s="305" t="s">
        <v>39</v>
      </c>
      <c r="Q135" s="272"/>
      <c r="R135" s="439"/>
      <c r="S135" s="273"/>
      <c r="W135" s="878" t="s">
        <v>256</v>
      </c>
      <c r="X135" s="878"/>
      <c r="Y135" s="878"/>
      <c r="Z135" s="878"/>
      <c r="AA135" s="878"/>
      <c r="AB135" s="878"/>
      <c r="AC135" s="124" t="s">
        <v>257</v>
      </c>
      <c r="AD135" s="823">
        <v>1</v>
      </c>
      <c r="AE135" s="823">
        <v>1</v>
      </c>
      <c r="AF135" s="123">
        <v>0</v>
      </c>
      <c r="AG135" s="196">
        <f>AF135*AE135</f>
        <v>0</v>
      </c>
      <c r="AH135" s="823">
        <v>0</v>
      </c>
      <c r="AI135" s="219">
        <f>AH135*AE135</f>
        <v>0</v>
      </c>
      <c r="AL135" s="878" t="s">
        <v>256</v>
      </c>
      <c r="AM135" s="878"/>
      <c r="AN135" s="878"/>
      <c r="AO135" s="124" t="s">
        <v>257</v>
      </c>
      <c r="AP135" s="823">
        <v>1</v>
      </c>
      <c r="AQ135" s="823">
        <v>1</v>
      </c>
      <c r="AR135" s="123">
        <v>0</v>
      </c>
      <c r="AS135" s="196">
        <f>AR135*AQ135</f>
        <v>0</v>
      </c>
      <c r="AT135" s="823">
        <v>0</v>
      </c>
      <c r="AU135" s="219">
        <f>AT135*AQ135</f>
        <v>0</v>
      </c>
    </row>
    <row r="136" spans="1:47" s="224" customFormat="1" x14ac:dyDescent="0.25">
      <c r="A136" s="350"/>
      <c r="B136" s="726"/>
      <c r="C136" s="318">
        <v>7</v>
      </c>
      <c r="D136" s="83" t="s">
        <v>417</v>
      </c>
      <c r="E136" s="306">
        <v>7.5</v>
      </c>
      <c r="F136" s="302">
        <v>8</v>
      </c>
      <c r="G136" s="77" t="s">
        <v>101</v>
      </c>
      <c r="H136" s="566">
        <f>5878*0.85/1.075</f>
        <v>4647.7209302325582</v>
      </c>
      <c r="I136" s="74">
        <f t="shared" si="83"/>
        <v>37181.767441860466</v>
      </c>
      <c r="J136" s="566">
        <f>5878*0.15/1.075</f>
        <v>820.18604651162786</v>
      </c>
      <c r="K136" s="74">
        <f t="shared" si="84"/>
        <v>6561.4883720930229</v>
      </c>
      <c r="L136" s="72">
        <f t="shared" si="85"/>
        <v>43743.255813953489</v>
      </c>
      <c r="M136" s="74">
        <f>H136/$P$264*$P$272</f>
        <v>6420.4375913406093</v>
      </c>
      <c r="N136" s="74">
        <f>J136/$P$264*$P$272</f>
        <v>1133.0183984718719</v>
      </c>
      <c r="O136" s="72">
        <f t="shared" si="78"/>
        <v>7553.4559898124808</v>
      </c>
      <c r="P136" s="205">
        <f t="shared" si="79"/>
        <v>60427.647918499846</v>
      </c>
      <c r="Q136" s="272">
        <f>L136/$P$264*$P$272</f>
        <v>60427.647918499839</v>
      </c>
      <c r="R136" s="439">
        <f t="shared" si="80"/>
        <v>0</v>
      </c>
      <c r="S136" s="273"/>
      <c r="W136" s="126"/>
      <c r="X136" s="126"/>
      <c r="Y136" s="126"/>
      <c r="Z136" s="126"/>
      <c r="AA136" s="126"/>
      <c r="AB136" s="126"/>
      <c r="AC136" s="126"/>
      <c r="AD136" s="823"/>
      <c r="AE136" s="823"/>
      <c r="AF136" s="123"/>
      <c r="AG136" s="212">
        <f>SUM(AG132:AG135)</f>
        <v>1167.3640399556048</v>
      </c>
      <c r="AH136" s="824"/>
      <c r="AI136" s="212">
        <f>SUM(AI132:AI135)</f>
        <v>215.1</v>
      </c>
      <c r="AL136" s="126"/>
      <c r="AM136" s="126"/>
      <c r="AN136" s="126"/>
      <c r="AO136" s="126"/>
      <c r="AP136" s="823"/>
      <c r="AQ136" s="823"/>
      <c r="AR136" s="123"/>
      <c r="AS136" s="212">
        <f>SUM(AS132:AS135)</f>
        <v>2011.7869034406215</v>
      </c>
      <c r="AT136" s="824"/>
      <c r="AU136" s="212">
        <f>SUM(AU132:AU135)</f>
        <v>215.1</v>
      </c>
    </row>
    <row r="137" spans="1:47" s="224" customFormat="1" ht="15" customHeight="1" x14ac:dyDescent="0.25">
      <c r="A137" s="350"/>
      <c r="B137" s="319"/>
      <c r="C137" s="318"/>
      <c r="D137" s="82"/>
      <c r="E137" s="242"/>
      <c r="F137" s="302"/>
      <c r="G137" s="75"/>
      <c r="H137" s="74"/>
      <c r="I137" s="74"/>
      <c r="J137" s="74"/>
      <c r="K137" s="74"/>
      <c r="L137" s="74"/>
      <c r="M137" s="74"/>
      <c r="N137" s="74"/>
      <c r="O137" s="72"/>
      <c r="P137" s="205"/>
      <c r="Q137" s="272"/>
      <c r="R137" s="439"/>
      <c r="S137" s="273"/>
    </row>
    <row r="138" spans="1:47" s="273" customFormat="1" x14ac:dyDescent="0.25">
      <c r="A138" s="350"/>
      <c r="B138" s="412" t="s">
        <v>335</v>
      </c>
      <c r="C138" s="413" t="s">
        <v>413</v>
      </c>
      <c r="D138" s="83"/>
      <c r="E138" s="242"/>
      <c r="F138" s="302"/>
      <c r="G138" s="75"/>
      <c r="H138" s="74"/>
      <c r="I138" s="74"/>
      <c r="J138" s="74"/>
      <c r="K138" s="74"/>
      <c r="L138" s="74"/>
      <c r="M138" s="74"/>
      <c r="N138" s="74"/>
      <c r="O138" s="72"/>
      <c r="P138" s="205"/>
      <c r="Q138" s="272"/>
      <c r="R138" s="439"/>
    </row>
    <row r="139" spans="1:47" s="273" customFormat="1" x14ac:dyDescent="0.25">
      <c r="A139" s="350"/>
      <c r="B139" s="317"/>
      <c r="C139" s="318">
        <v>1</v>
      </c>
      <c r="D139" s="83" t="s">
        <v>414</v>
      </c>
      <c r="E139" s="242">
        <v>15.7</v>
      </c>
      <c r="F139" s="302">
        <v>16.5</v>
      </c>
      <c r="G139" s="77" t="s">
        <v>100</v>
      </c>
      <c r="H139" s="566">
        <f>152640*0.85/F139/1.075</f>
        <v>7314.6723044397468</v>
      </c>
      <c r="I139" s="74">
        <f>F139*H139</f>
        <v>120692.09302325582</v>
      </c>
      <c r="J139" s="566">
        <f>152640*0.15/F139/1.075</f>
        <v>1290.8245243128965</v>
      </c>
      <c r="K139" s="74">
        <f t="shared" ref="K139:K142" si="86">F139*J139</f>
        <v>21298.604651162794</v>
      </c>
      <c r="L139" s="72">
        <f t="shared" ref="L139:L142" si="87">I139+K139</f>
        <v>141990.69767441862</v>
      </c>
      <c r="M139" s="74">
        <f>H139/$P$264*$P$272</f>
        <v>10104.607771580009</v>
      </c>
      <c r="N139" s="74">
        <f>J139/$P$264*$P$272</f>
        <v>1783.1660773376491</v>
      </c>
      <c r="O139" s="72">
        <f t="shared" si="78"/>
        <v>11887.773848917659</v>
      </c>
      <c r="P139" s="205">
        <f t="shared" si="79"/>
        <v>196148.26850714139</v>
      </c>
      <c r="Q139" s="272">
        <f>L139/$P$264*$P$272</f>
        <v>196148.26850714142</v>
      </c>
      <c r="R139" s="439">
        <f t="shared" si="80"/>
        <v>0</v>
      </c>
    </row>
    <row r="140" spans="1:47" s="273" customFormat="1" x14ac:dyDescent="0.25">
      <c r="A140" s="350"/>
      <c r="B140" s="317"/>
      <c r="C140" s="318">
        <v>2</v>
      </c>
      <c r="D140" s="83" t="s">
        <v>415</v>
      </c>
      <c r="E140" s="242">
        <v>8.5</v>
      </c>
      <c r="F140" s="302">
        <v>9</v>
      </c>
      <c r="G140" s="77" t="s">
        <v>100</v>
      </c>
      <c r="H140" s="566">
        <f>59360*0.8/F140/1.075</f>
        <v>4908.3204134366924</v>
      </c>
      <c r="I140" s="74">
        <f>F140*H140</f>
        <v>44174.883720930229</v>
      </c>
      <c r="J140" s="566">
        <f>59360*0.2/F140/1.075</f>
        <v>1227.0801033591731</v>
      </c>
      <c r="K140" s="74">
        <f t="shared" si="86"/>
        <v>11043.720930232557</v>
      </c>
      <c r="L140" s="72">
        <f t="shared" si="87"/>
        <v>55218.604651162786</v>
      </c>
      <c r="M140" s="74">
        <f>H140/$P$264*$P$272</f>
        <v>6780.4339730863685</v>
      </c>
      <c r="N140" s="74">
        <f>J140/$P$264*$P$272</f>
        <v>1695.1084932715921</v>
      </c>
      <c r="O140" s="72">
        <f t="shared" si="78"/>
        <v>8475.5424663579615</v>
      </c>
      <c r="P140" s="205">
        <f t="shared" si="79"/>
        <v>76279.882197221654</v>
      </c>
      <c r="Q140" s="272">
        <f>L140/$P$264*$P$272</f>
        <v>76279.882197221639</v>
      </c>
      <c r="R140" s="439">
        <f t="shared" si="80"/>
        <v>0</v>
      </c>
    </row>
    <row r="141" spans="1:47" s="273" customFormat="1" x14ac:dyDescent="0.25">
      <c r="A141" s="350"/>
      <c r="B141" s="317"/>
      <c r="C141" s="318">
        <v>3</v>
      </c>
      <c r="D141" s="83" t="s">
        <v>336</v>
      </c>
      <c r="E141" s="242">
        <v>4</v>
      </c>
      <c r="F141" s="302">
        <v>4</v>
      </c>
      <c r="G141" s="77" t="s">
        <v>100</v>
      </c>
      <c r="H141" s="74">
        <f>AU210/F141</f>
        <v>6588.8095238095229</v>
      </c>
      <c r="I141" s="74">
        <f>F141*H141</f>
        <v>26355.238095238092</v>
      </c>
      <c r="J141" s="74">
        <f>AW210/F141</f>
        <v>3442.5</v>
      </c>
      <c r="K141" s="74">
        <f t="shared" si="86"/>
        <v>13770</v>
      </c>
      <c r="L141" s="72">
        <f t="shared" si="87"/>
        <v>40125.238095238092</v>
      </c>
      <c r="M141" s="74">
        <f>H141/$P$264*$P$272</f>
        <v>9101.8890729166378</v>
      </c>
      <c r="N141" s="74">
        <f>J141/$P$264*$P$272</f>
        <v>4755.525716791285</v>
      </c>
      <c r="O141" s="72">
        <f t="shared" si="78"/>
        <v>13857.414789707924</v>
      </c>
      <c r="P141" s="205">
        <f t="shared" si="79"/>
        <v>55429.659158831695</v>
      </c>
      <c r="Q141" s="272">
        <f>L141/$P$264*$P$272</f>
        <v>55429.659158831688</v>
      </c>
      <c r="R141" s="439">
        <f t="shared" si="80"/>
        <v>0</v>
      </c>
      <c r="T141" s="224"/>
      <c r="AG141" s="224"/>
      <c r="AI141" s="224"/>
    </row>
    <row r="142" spans="1:47" s="273" customFormat="1" x14ac:dyDescent="0.25">
      <c r="A142" s="350"/>
      <c r="B142" s="317"/>
      <c r="C142" s="318">
        <v>4</v>
      </c>
      <c r="D142" s="83" t="s">
        <v>337</v>
      </c>
      <c r="E142" s="242">
        <v>56</v>
      </c>
      <c r="F142" s="302">
        <v>58</v>
      </c>
      <c r="G142" s="77" t="s">
        <v>101</v>
      </c>
      <c r="H142" s="74">
        <v>185</v>
      </c>
      <c r="I142" s="74">
        <f>F142*H142</f>
        <v>10730</v>
      </c>
      <c r="J142" s="74">
        <v>185</v>
      </c>
      <c r="K142" s="74">
        <f t="shared" si="86"/>
        <v>10730</v>
      </c>
      <c r="L142" s="72">
        <f t="shared" si="87"/>
        <v>21460</v>
      </c>
      <c r="M142" s="74">
        <f>H142/$P$264*$P$272</f>
        <v>255.56202109118016</v>
      </c>
      <c r="N142" s="74">
        <f>J142/$P$264*$P$272</f>
        <v>255.56202109118016</v>
      </c>
      <c r="O142" s="72">
        <f t="shared" si="78"/>
        <v>511.12404218236031</v>
      </c>
      <c r="P142" s="205">
        <f t="shared" si="79"/>
        <v>29645.194446576897</v>
      </c>
      <c r="Q142" s="272">
        <f>L142/$P$264*$P$272</f>
        <v>29645.194446576901</v>
      </c>
      <c r="R142" s="439">
        <f t="shared" si="80"/>
        <v>0</v>
      </c>
      <c r="T142" s="224"/>
      <c r="AG142" s="224"/>
      <c r="AI142" s="224"/>
    </row>
    <row r="143" spans="1:47" s="273" customFormat="1" x14ac:dyDescent="0.25">
      <c r="A143" s="350"/>
      <c r="B143" s="724"/>
      <c r="C143" s="725"/>
      <c r="D143" s="83"/>
      <c r="E143" s="242"/>
      <c r="F143" s="302"/>
      <c r="G143" s="75"/>
      <c r="H143" s="74"/>
      <c r="I143" s="74"/>
      <c r="J143" s="74"/>
      <c r="K143" s="74"/>
      <c r="L143" s="74"/>
      <c r="M143" s="74"/>
      <c r="N143" s="74"/>
      <c r="O143" s="72"/>
      <c r="P143" s="205"/>
      <c r="Q143" s="272"/>
      <c r="R143" s="439"/>
    </row>
    <row r="144" spans="1:47" s="273" customFormat="1" x14ac:dyDescent="0.25">
      <c r="A144" s="350"/>
      <c r="B144" s="317"/>
      <c r="C144" s="318"/>
      <c r="D144" s="83"/>
      <c r="E144" s="242"/>
      <c r="F144" s="302"/>
      <c r="G144" s="77"/>
      <c r="H144" s="74"/>
      <c r="I144" s="74"/>
      <c r="J144" s="74"/>
      <c r="K144" s="74"/>
      <c r="L144" s="72"/>
      <c r="M144" s="74"/>
      <c r="N144" s="74"/>
      <c r="O144" s="72"/>
      <c r="P144" s="205"/>
      <c r="Q144" s="272"/>
      <c r="R144" s="439"/>
    </row>
    <row r="145" spans="1:42" s="224" customFormat="1" x14ac:dyDescent="0.25">
      <c r="A145" s="411"/>
      <c r="B145" s="412" t="s">
        <v>338</v>
      </c>
      <c r="C145" s="413" t="s">
        <v>131</v>
      </c>
      <c r="D145" s="82"/>
      <c r="E145" s="242"/>
      <c r="F145" s="302"/>
      <c r="G145" s="77"/>
      <c r="H145" s="74"/>
      <c r="I145" s="74"/>
      <c r="J145" s="74"/>
      <c r="K145" s="74"/>
      <c r="L145" s="72"/>
      <c r="M145" s="74"/>
      <c r="N145" s="74"/>
      <c r="O145" s="72"/>
      <c r="P145" s="205"/>
      <c r="Q145" s="272"/>
      <c r="R145" s="439"/>
      <c r="S145" s="273"/>
    </row>
    <row r="146" spans="1:42" s="224" customFormat="1" x14ac:dyDescent="0.25">
      <c r="A146" s="411"/>
      <c r="B146" s="412"/>
      <c r="C146" s="413">
        <v>1</v>
      </c>
      <c r="D146" s="83" t="s">
        <v>456</v>
      </c>
      <c r="E146" s="242">
        <v>1</v>
      </c>
      <c r="F146" s="302">
        <v>1</v>
      </c>
      <c r="G146" s="77" t="s">
        <v>55</v>
      </c>
      <c r="H146" s="566">
        <f>(23600+74200)*0.85/1.3889/1.075</f>
        <v>55677.32202328428</v>
      </c>
      <c r="I146" s="74">
        <f t="shared" ref="I146:I148" si="88">F146*H146</f>
        <v>55677.32202328428</v>
      </c>
      <c r="J146" s="566">
        <f>(23600+74200)*0.15/1.3889/1.075</f>
        <v>9825.409768814874</v>
      </c>
      <c r="K146" s="74">
        <f t="shared" ref="K146:K148" si="89">F146*J146</f>
        <v>9825.409768814874</v>
      </c>
      <c r="L146" s="72">
        <f t="shared" ref="L146:L148" si="90">I146+K146</f>
        <v>65502.731792099155</v>
      </c>
      <c r="M146" s="74">
        <f>H146/$P$264*$P$272</f>
        <v>76913.56186602707</v>
      </c>
      <c r="N146" s="74">
        <f>J146/$P$264*$P$272</f>
        <v>13572.981505769485</v>
      </c>
      <c r="O146" s="72">
        <f t="shared" si="78"/>
        <v>90486.54337179655</v>
      </c>
      <c r="P146" s="205">
        <f t="shared" si="79"/>
        <v>90486.54337179655</v>
      </c>
      <c r="Q146" s="272">
        <f>L146/$P$264*$P$272</f>
        <v>90486.54337179655</v>
      </c>
      <c r="R146" s="439">
        <f t="shared" si="80"/>
        <v>0</v>
      </c>
      <c r="S146" s="273"/>
    </row>
    <row r="147" spans="1:42" s="224" customFormat="1" x14ac:dyDescent="0.25">
      <c r="A147" s="350"/>
      <c r="B147" s="412"/>
      <c r="C147" s="413">
        <v>2</v>
      </c>
      <c r="D147" s="83" t="s">
        <v>457</v>
      </c>
      <c r="E147" s="242">
        <v>1</v>
      </c>
      <c r="F147" s="302">
        <v>1</v>
      </c>
      <c r="G147" s="77" t="s">
        <v>55</v>
      </c>
      <c r="H147" s="566">
        <f>(58600+74200)*0.85/1.3889/1.075</f>
        <v>75602.74401525718</v>
      </c>
      <c r="I147" s="74">
        <f t="shared" si="88"/>
        <v>75602.74401525718</v>
      </c>
      <c r="J147" s="566">
        <f>(58600+74200)*0.15/1.3889/1.075</f>
        <v>13341.660708574798</v>
      </c>
      <c r="K147" s="74">
        <f t="shared" si="89"/>
        <v>13341.660708574798</v>
      </c>
      <c r="L147" s="72">
        <f t="shared" si="90"/>
        <v>88944.404723831976</v>
      </c>
      <c r="M147" s="74">
        <f>H147/$P$264*$P$272</f>
        <v>104438.86519231486</v>
      </c>
      <c r="N147" s="74">
        <f>J147/$P$264*$P$272</f>
        <v>18430.38797511439</v>
      </c>
      <c r="O147" s="72">
        <f t="shared" si="78"/>
        <v>122869.25316742924</v>
      </c>
      <c r="P147" s="205">
        <f t="shared" si="79"/>
        <v>122869.25316742924</v>
      </c>
      <c r="Q147" s="272">
        <f>L147/$P$264*$P$272</f>
        <v>122869.25316742927</v>
      </c>
      <c r="R147" s="439">
        <f t="shared" si="80"/>
        <v>0</v>
      </c>
      <c r="S147" s="273"/>
      <c r="U147" s="225"/>
      <c r="V147" s="225"/>
    </row>
    <row r="148" spans="1:42" s="224" customFormat="1" x14ac:dyDescent="0.25">
      <c r="A148" s="411"/>
      <c r="B148" s="412"/>
      <c r="C148" s="413">
        <v>3</v>
      </c>
      <c r="D148" s="83" t="s">
        <v>418</v>
      </c>
      <c r="E148" s="242">
        <v>1</v>
      </c>
      <c r="F148" s="302">
        <v>1</v>
      </c>
      <c r="G148" s="77" t="s">
        <v>55</v>
      </c>
      <c r="H148" s="74">
        <f>5900*0.85/1.3889/1.03</f>
        <v>3505.6030231369796</v>
      </c>
      <c r="I148" s="74">
        <f t="shared" si="88"/>
        <v>3505.6030231369796</v>
      </c>
      <c r="J148" s="74">
        <f>5900*0.15/1.3889/1.03</f>
        <v>618.63582761240821</v>
      </c>
      <c r="K148" s="74">
        <f t="shared" si="89"/>
        <v>618.63582761240821</v>
      </c>
      <c r="L148" s="72">
        <f t="shared" si="90"/>
        <v>4124.2388507493879</v>
      </c>
      <c r="M148" s="74">
        <f>H148/$P$264*$P$272</f>
        <v>4842.6972634391223</v>
      </c>
      <c r="N148" s="74">
        <f>J148/$P$264*$P$272</f>
        <v>854.59363472455107</v>
      </c>
      <c r="O148" s="72">
        <f t="shared" si="78"/>
        <v>5697.2908981636738</v>
      </c>
      <c r="P148" s="205">
        <f t="shared" si="79"/>
        <v>5697.2908981636738</v>
      </c>
      <c r="Q148" s="272">
        <f>L148/$P$264*$P$272</f>
        <v>5697.2908981636747</v>
      </c>
      <c r="R148" s="439">
        <f t="shared" si="80"/>
        <v>0</v>
      </c>
      <c r="S148" s="273"/>
      <c r="U148" s="225"/>
      <c r="V148" s="225"/>
    </row>
    <row r="149" spans="1:42" s="224" customFormat="1" x14ac:dyDescent="0.25">
      <c r="A149" s="350"/>
      <c r="B149" s="718"/>
      <c r="C149" s="719"/>
      <c r="D149" s="82"/>
      <c r="E149" s="242"/>
      <c r="F149" s="302"/>
      <c r="G149" s="75"/>
      <c r="H149" s="74"/>
      <c r="I149" s="74"/>
      <c r="J149" s="74"/>
      <c r="K149" s="74"/>
      <c r="L149" s="74"/>
      <c r="M149" s="74"/>
      <c r="N149" s="74"/>
      <c r="O149" s="72"/>
      <c r="P149" s="205"/>
      <c r="Q149" s="272"/>
      <c r="R149" s="439"/>
      <c r="S149" s="273"/>
      <c r="U149" s="225"/>
      <c r="V149" s="225"/>
    </row>
    <row r="150" spans="1:42" s="273" customFormat="1" x14ac:dyDescent="0.25">
      <c r="A150" s="350"/>
      <c r="B150" s="412" t="s">
        <v>339</v>
      </c>
      <c r="C150" s="413" t="s">
        <v>340</v>
      </c>
      <c r="D150" s="83"/>
      <c r="E150" s="242"/>
      <c r="F150" s="302"/>
      <c r="G150" s="75"/>
      <c r="H150" s="74"/>
      <c r="I150" s="74"/>
      <c r="J150" s="74"/>
      <c r="K150" s="74"/>
      <c r="L150" s="74"/>
      <c r="M150" s="74"/>
      <c r="N150" s="74"/>
      <c r="O150" s="72"/>
      <c r="P150" s="205"/>
      <c r="Q150" s="272"/>
      <c r="R150" s="439"/>
      <c r="T150" s="224"/>
      <c r="AG150" s="224"/>
      <c r="AI150" s="224"/>
    </row>
    <row r="151" spans="1:42" s="273" customFormat="1" x14ac:dyDescent="0.25">
      <c r="A151" s="350"/>
      <c r="B151" s="317"/>
      <c r="C151" s="318">
        <v>1</v>
      </c>
      <c r="D151" s="83" t="s">
        <v>341</v>
      </c>
      <c r="E151" s="242">
        <v>1</v>
      </c>
      <c r="F151" s="302">
        <v>1</v>
      </c>
      <c r="G151" s="77" t="s">
        <v>55</v>
      </c>
      <c r="H151" s="566">
        <f>79415.5*0.7/1.085</f>
        <v>51235.806451612902</v>
      </c>
      <c r="I151" s="74">
        <f>F151*H151</f>
        <v>51235.806451612902</v>
      </c>
      <c r="J151" s="566">
        <f>79415.5*0.3/1.085</f>
        <v>21958.202764976959</v>
      </c>
      <c r="K151" s="74">
        <f t="shared" ref="K151:K153" si="91">F151*J151</f>
        <v>21958.202764976959</v>
      </c>
      <c r="L151" s="72">
        <f t="shared" ref="L151:L153" si="92">I151+K151</f>
        <v>73194.009216589853</v>
      </c>
      <c r="M151" s="74">
        <f>H151/$P$264*$P$272</f>
        <v>70777.979724382269</v>
      </c>
      <c r="N151" s="74">
        <f>J151/$P$264*$P$272</f>
        <v>30333.419881878122</v>
      </c>
      <c r="O151" s="72">
        <f t="shared" ref="O151:O153" si="93">N151+M151</f>
        <v>101111.39960626038</v>
      </c>
      <c r="P151" s="205">
        <f t="shared" ref="P151:P153" si="94">O151*F151</f>
        <v>101111.39960626038</v>
      </c>
      <c r="Q151" s="272">
        <f>L151/$P$264*$P$272</f>
        <v>101111.39960626038</v>
      </c>
      <c r="R151" s="439">
        <f t="shared" ref="R151:R153" si="95">P151-Q151</f>
        <v>0</v>
      </c>
      <c r="T151" s="224"/>
      <c r="V151" s="224"/>
      <c r="W151" s="225"/>
      <c r="X151" s="225"/>
      <c r="Y151" s="225"/>
      <c r="Z151" s="225"/>
      <c r="AA151" s="225"/>
      <c r="AB151" s="932" t="s">
        <v>366</v>
      </c>
      <c r="AC151" s="932"/>
      <c r="AD151" s="932"/>
      <c r="AE151" s="837"/>
      <c r="AF151" s="837"/>
      <c r="AG151" s="837"/>
      <c r="AH151" s="837"/>
      <c r="AI151" s="837"/>
      <c r="AJ151" s="728"/>
      <c r="AK151" s="728"/>
    </row>
    <row r="152" spans="1:42" s="273" customFormat="1" x14ac:dyDescent="0.25">
      <c r="A152" s="350"/>
      <c r="B152" s="317"/>
      <c r="C152" s="318">
        <v>2</v>
      </c>
      <c r="D152" s="83" t="s">
        <v>342</v>
      </c>
      <c r="E152" s="242">
        <v>1</v>
      </c>
      <c r="F152" s="302">
        <v>1</v>
      </c>
      <c r="G152" s="77" t="s">
        <v>55</v>
      </c>
      <c r="H152" s="566">
        <f>120317.5*0.7/1.085</f>
        <v>77624.193548387106</v>
      </c>
      <c r="I152" s="74">
        <f>F152*H152</f>
        <v>77624.193548387106</v>
      </c>
      <c r="J152" s="566">
        <f>120317.5*0.3/1.085</f>
        <v>33267.511520737331</v>
      </c>
      <c r="K152" s="74">
        <f t="shared" si="91"/>
        <v>33267.511520737331</v>
      </c>
      <c r="L152" s="72">
        <f t="shared" si="92"/>
        <v>110891.70506912444</v>
      </c>
      <c r="M152" s="74">
        <f>H152/$P$264*$P$272</f>
        <v>107231.32858810139</v>
      </c>
      <c r="N152" s="74">
        <f>J152/$P$264*$P$272</f>
        <v>45956.283680614877</v>
      </c>
      <c r="O152" s="72">
        <f t="shared" si="93"/>
        <v>153187.61226871627</v>
      </c>
      <c r="P152" s="205">
        <f t="shared" si="94"/>
        <v>153187.61226871627</v>
      </c>
      <c r="Q152" s="272">
        <f>L152/$P$264*$P$272</f>
        <v>153187.61226871627</v>
      </c>
      <c r="R152" s="439">
        <f t="shared" si="95"/>
        <v>0</v>
      </c>
      <c r="T152" s="224"/>
      <c r="V152" s="224"/>
      <c r="W152" s="225"/>
      <c r="X152" s="225"/>
      <c r="Y152" s="225"/>
      <c r="Z152" s="225"/>
      <c r="AA152" s="225"/>
      <c r="AB152" s="354"/>
      <c r="AC152" s="354"/>
      <c r="AD152" s="354"/>
      <c r="AE152" s="837" t="s">
        <v>81</v>
      </c>
      <c r="AF152" s="837" t="s">
        <v>6</v>
      </c>
      <c r="AG152" s="837" t="s">
        <v>5</v>
      </c>
      <c r="AH152" s="837" t="s">
        <v>174</v>
      </c>
      <c r="AI152" s="837" t="s">
        <v>175</v>
      </c>
      <c r="AJ152" s="728" t="s">
        <v>176</v>
      </c>
      <c r="AK152" s="728" t="s">
        <v>177</v>
      </c>
    </row>
    <row r="153" spans="1:42" s="273" customFormat="1" x14ac:dyDescent="0.25">
      <c r="A153" s="350"/>
      <c r="B153" s="317"/>
      <c r="C153" s="318">
        <v>3</v>
      </c>
      <c r="D153" s="83" t="s">
        <v>359</v>
      </c>
      <c r="E153" s="242">
        <v>6.3</v>
      </c>
      <c r="F153" s="302">
        <v>6.5</v>
      </c>
      <c r="G153" s="77" t="s">
        <v>100</v>
      </c>
      <c r="H153" s="74">
        <f>(AH218*2+AH236*3)/F153/1.085</f>
        <v>2993.8319744771361</v>
      </c>
      <c r="I153" s="74">
        <f>F153*H153</f>
        <v>19459.907834101385</v>
      </c>
      <c r="J153" s="74">
        <f>(AH225*2+AH243*3)/F153/1.085</f>
        <v>2819.5675292449487</v>
      </c>
      <c r="K153" s="74">
        <f t="shared" si="91"/>
        <v>18327.188940092165</v>
      </c>
      <c r="L153" s="72">
        <f t="shared" si="92"/>
        <v>37787.096774193546</v>
      </c>
      <c r="M153" s="74">
        <f>H153/$P$264*$P$272</f>
        <v>4135.7283794852729</v>
      </c>
      <c r="N153" s="74">
        <f>J153/$P$264*$P$272</f>
        <v>3894.9966290643474</v>
      </c>
      <c r="O153" s="72">
        <f t="shared" si="93"/>
        <v>8030.7250085496198</v>
      </c>
      <c r="P153" s="205">
        <f t="shared" si="94"/>
        <v>52199.712555572529</v>
      </c>
      <c r="Q153" s="272">
        <f>L153/$P$264*$P$272</f>
        <v>52199.712555572522</v>
      </c>
      <c r="R153" s="439">
        <f t="shared" si="95"/>
        <v>0</v>
      </c>
      <c r="T153" s="224"/>
      <c r="V153" s="224"/>
      <c r="W153" s="225"/>
      <c r="X153" s="225"/>
      <c r="Y153" s="225"/>
      <c r="Z153" s="225"/>
      <c r="AA153" s="225"/>
      <c r="AB153" s="931" t="s">
        <v>367</v>
      </c>
      <c r="AC153" s="931"/>
      <c r="AD153" s="931"/>
      <c r="AE153" s="729">
        <f>5.925*5.9</f>
        <v>34.957500000000003</v>
      </c>
      <c r="AF153" s="836">
        <v>35</v>
      </c>
      <c r="AG153" s="836" t="s">
        <v>101</v>
      </c>
      <c r="AH153" s="730">
        <f>4500/1.12</f>
        <v>4017.8571428571427</v>
      </c>
      <c r="AI153" s="730">
        <f>AH153*AF153</f>
        <v>140625</v>
      </c>
      <c r="AJ153" s="731">
        <v>375</v>
      </c>
      <c r="AK153" s="731">
        <f>AJ153*AF153</f>
        <v>13125</v>
      </c>
    </row>
    <row r="154" spans="1:42" s="273" customFormat="1" ht="15.75" thickBot="1" x14ac:dyDescent="0.3">
      <c r="A154" s="350"/>
      <c r="B154" s="724"/>
      <c r="C154" s="725"/>
      <c r="D154" s="83"/>
      <c r="E154" s="242"/>
      <c r="F154" s="302"/>
      <c r="G154" s="75"/>
      <c r="H154" s="74"/>
      <c r="I154" s="74"/>
      <c r="J154" s="74"/>
      <c r="K154" s="74"/>
      <c r="L154" s="74"/>
      <c r="M154" s="72"/>
      <c r="N154" s="72"/>
      <c r="O154" s="72"/>
      <c r="P154" s="205"/>
      <c r="Q154" s="272">
        <f>L154/$P$264*$P$272</f>
        <v>0</v>
      </c>
      <c r="R154" s="439"/>
      <c r="T154" s="224"/>
      <c r="V154" s="224"/>
      <c r="W154" s="225"/>
      <c r="X154" s="225"/>
      <c r="Y154" s="225"/>
      <c r="Z154" s="225"/>
      <c r="AA154" s="225"/>
      <c r="AB154" s="931" t="s">
        <v>368</v>
      </c>
      <c r="AC154" s="931"/>
      <c r="AD154" s="931"/>
      <c r="AE154" s="836">
        <f>2*3.5</f>
        <v>7</v>
      </c>
      <c r="AF154" s="836">
        <v>12</v>
      </c>
      <c r="AG154" s="836" t="s">
        <v>100</v>
      </c>
      <c r="AH154" s="730">
        <f>7.4*50</f>
        <v>370</v>
      </c>
      <c r="AI154" s="730">
        <f>AH154*AF154</f>
        <v>4440</v>
      </c>
      <c r="AJ154" s="731">
        <v>85</v>
      </c>
      <c r="AK154" s="731">
        <f>AJ154*AF154</f>
        <v>1020</v>
      </c>
    </row>
    <row r="155" spans="1:42" s="234" customFormat="1" ht="15.75" thickBot="1" x14ac:dyDescent="0.3">
      <c r="A155" s="308"/>
      <c r="B155" s="910" t="s">
        <v>343</v>
      </c>
      <c r="C155" s="911"/>
      <c r="D155" s="912"/>
      <c r="E155" s="309"/>
      <c r="F155" s="310"/>
      <c r="G155" s="311"/>
      <c r="H155" s="312"/>
      <c r="I155" s="313">
        <f>SUM(I36:I154)</f>
        <v>2807082.176122278</v>
      </c>
      <c r="J155" s="312"/>
      <c r="K155" s="313">
        <f>SUM(K36:K154)</f>
        <v>985986.923484297</v>
      </c>
      <c r="L155" s="313">
        <f>SUM(L36:L154)</f>
        <v>3793069.099606575</v>
      </c>
      <c r="M155" s="312"/>
      <c r="N155" s="312"/>
      <c r="O155" s="313"/>
      <c r="P155" s="315">
        <f>SUM(P36:P154)</f>
        <v>5239807.5958592398</v>
      </c>
      <c r="Q155" s="272">
        <f>L155/$P$264*$P$272</f>
        <v>5239807.5958592389</v>
      </c>
      <c r="R155" s="439">
        <f t="shared" ref="R155" si="96">P155-Q155</f>
        <v>0</v>
      </c>
      <c r="T155" s="211"/>
      <c r="V155" s="224"/>
      <c r="W155" s="225"/>
      <c r="X155" s="225"/>
      <c r="Y155" s="225"/>
      <c r="Z155" s="225"/>
      <c r="AA155" s="225"/>
      <c r="AB155" s="899" t="s">
        <v>369</v>
      </c>
      <c r="AC155" s="899"/>
      <c r="AD155" s="899"/>
      <c r="AE155" s="826">
        <v>11.8</v>
      </c>
      <c r="AF155" s="826">
        <v>12</v>
      </c>
      <c r="AG155" s="826" t="s">
        <v>100</v>
      </c>
      <c r="AH155" s="360">
        <f>47.1*36/1.12</f>
        <v>1513.9285714285713</v>
      </c>
      <c r="AI155" s="360">
        <f>AH155*AF155</f>
        <v>18167.142857142855</v>
      </c>
      <c r="AJ155" s="362">
        <v>200</v>
      </c>
      <c r="AK155" s="362">
        <f>AJ155*AF155</f>
        <v>2400</v>
      </c>
      <c r="AL155" s="277"/>
      <c r="AM155" s="277"/>
      <c r="AN155" s="278"/>
      <c r="AO155" s="225"/>
      <c r="AP155" s="282"/>
    </row>
    <row r="156" spans="1:42" s="225" customFormat="1" ht="15.75" x14ac:dyDescent="0.25">
      <c r="A156" s="517" t="s">
        <v>86</v>
      </c>
      <c r="B156" s="513" t="s">
        <v>344</v>
      </c>
      <c r="C156" s="514"/>
      <c r="D156" s="515"/>
      <c r="E156" s="709"/>
      <c r="F156" s="710"/>
      <c r="G156" s="711"/>
      <c r="H156" s="256"/>
      <c r="I156" s="256"/>
      <c r="J156" s="256"/>
      <c r="K156" s="256"/>
      <c r="L156" s="256"/>
      <c r="M156" s="256"/>
      <c r="N156" s="256"/>
      <c r="O156" s="256"/>
      <c r="P156" s="257"/>
      <c r="Q156" s="272"/>
      <c r="R156" s="439"/>
      <c r="T156" s="224"/>
      <c r="V156" s="224"/>
      <c r="AB156" s="931" t="s">
        <v>370</v>
      </c>
      <c r="AC156" s="931"/>
      <c r="AD156" s="931"/>
      <c r="AE156" s="363">
        <f>(5.825*7)+(5.9*2)</f>
        <v>52.575000000000003</v>
      </c>
      <c r="AF156" s="836">
        <v>54</v>
      </c>
      <c r="AG156" s="836" t="s">
        <v>100</v>
      </c>
      <c r="AH156" s="730">
        <f>33*36/1.12</f>
        <v>1060.7142857142856</v>
      </c>
      <c r="AI156" s="730">
        <f>AH156*AF156</f>
        <v>57278.57142857142</v>
      </c>
      <c r="AJ156" s="731">
        <v>130</v>
      </c>
      <c r="AK156" s="731">
        <f>AJ156*AF156</f>
        <v>7020</v>
      </c>
      <c r="AL156" s="286"/>
      <c r="AM156" s="286"/>
      <c r="AN156" s="127"/>
      <c r="AO156" s="285"/>
    </row>
    <row r="157" spans="1:42" s="224" customFormat="1" x14ac:dyDescent="0.25">
      <c r="A157" s="350"/>
      <c r="B157" s="412" t="s">
        <v>319</v>
      </c>
      <c r="C157" s="413" t="s">
        <v>132</v>
      </c>
      <c r="D157" s="316"/>
      <c r="E157" s="244"/>
      <c r="F157" s="30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/>
      <c r="R157" s="439"/>
      <c r="S157" s="273"/>
      <c r="W157" s="225"/>
      <c r="X157" s="225"/>
      <c r="Y157" s="225"/>
      <c r="Z157" s="225"/>
      <c r="AA157" s="225"/>
      <c r="AB157" s="931" t="s">
        <v>371</v>
      </c>
      <c r="AC157" s="931"/>
      <c r="AD157" s="931"/>
      <c r="AE157" s="363">
        <f>(5.825*1)</f>
        <v>5.8250000000000002</v>
      </c>
      <c r="AF157" s="836">
        <v>6</v>
      </c>
      <c r="AG157" s="836" t="s">
        <v>100</v>
      </c>
      <c r="AH157" s="730">
        <f>9.42*36/1.075</f>
        <v>315.46046511627907</v>
      </c>
      <c r="AI157" s="730">
        <f>AH157*AF157</f>
        <v>1892.7627906976745</v>
      </c>
      <c r="AJ157" s="731">
        <v>35</v>
      </c>
      <c r="AK157" s="731">
        <f>AJ157*AF157</f>
        <v>210</v>
      </c>
    </row>
    <row r="158" spans="1:42" s="224" customFormat="1" x14ac:dyDescent="0.25">
      <c r="A158" s="350"/>
      <c r="B158" s="317"/>
      <c r="C158" s="318">
        <v>1</v>
      </c>
      <c r="D158" s="83" t="s">
        <v>419</v>
      </c>
      <c r="E158" s="242">
        <f>61+1+5</f>
        <v>67</v>
      </c>
      <c r="F158" s="242">
        <f>61+1+5</f>
        <v>67</v>
      </c>
      <c r="G158" s="77" t="s">
        <v>283</v>
      </c>
      <c r="H158" s="74">
        <f>360/1.05</f>
        <v>342.85714285714283</v>
      </c>
      <c r="I158" s="74">
        <f>F158*H158</f>
        <v>22971.428571428569</v>
      </c>
      <c r="J158" s="74">
        <v>130</v>
      </c>
      <c r="K158" s="74">
        <f t="shared" ref="K158:K161" si="97">F158*J158</f>
        <v>8710</v>
      </c>
      <c r="L158" s="72">
        <f t="shared" ref="L158:L161" si="98">I158+K158</f>
        <v>31681.428571428569</v>
      </c>
      <c r="M158" s="74">
        <f>X158/$S$217*$S$218</f>
        <v>457.70956227863775</v>
      </c>
      <c r="N158" s="74">
        <f>Y158/$S$217*$S$218</f>
        <v>173.54820903065018</v>
      </c>
      <c r="O158" s="72">
        <f t="shared" ref="O158:O215" si="99">N158+M158</f>
        <v>631.25777130928793</v>
      </c>
      <c r="P158" s="205">
        <f t="shared" ref="P158:P215" si="100">O158*F158</f>
        <v>42294.270677722292</v>
      </c>
      <c r="Q158" s="272">
        <f>L158/$P$264*$P$272</f>
        <v>43765.242793352147</v>
      </c>
      <c r="R158" s="439">
        <f t="shared" ref="R158:R215" si="101">P158-Q158</f>
        <v>-1470.9721156298547</v>
      </c>
      <c r="S158" s="273"/>
      <c r="T158" s="74">
        <f>360/1.05</f>
        <v>342.85714285714283</v>
      </c>
      <c r="W158" s="838"/>
      <c r="X158" s="841">
        <v>475.7688989331981</v>
      </c>
      <c r="Y158" s="841">
        <v>180.39570751217099</v>
      </c>
      <c r="Z158" s="841"/>
      <c r="AA158" s="838"/>
      <c r="AB158" s="838" t="s">
        <v>372</v>
      </c>
      <c r="AC158" s="838"/>
      <c r="AD158" s="838"/>
      <c r="AE158" s="729">
        <f>7*5.925</f>
        <v>41.475000000000001</v>
      </c>
      <c r="AF158" s="836">
        <v>42</v>
      </c>
      <c r="AG158" s="732" t="s">
        <v>100</v>
      </c>
      <c r="AH158" s="730">
        <f>4.7*70/1.12</f>
        <v>293.75</v>
      </c>
      <c r="AI158" s="730">
        <f t="shared" ref="AI158:AI161" si="102">AH158*AF158</f>
        <v>12337.5</v>
      </c>
      <c r="AJ158" s="731">
        <v>60</v>
      </c>
      <c r="AK158" s="731">
        <f t="shared" ref="AK158:AK161" si="103">AJ158*AF158</f>
        <v>2520</v>
      </c>
    </row>
    <row r="159" spans="1:42" s="224" customFormat="1" x14ac:dyDescent="0.25">
      <c r="A159" s="350"/>
      <c r="B159" s="317"/>
      <c r="C159" s="318">
        <v>2</v>
      </c>
      <c r="D159" s="83" t="s">
        <v>134</v>
      </c>
      <c r="E159" s="242">
        <v>88</v>
      </c>
      <c r="F159" s="242">
        <v>88</v>
      </c>
      <c r="G159" s="77" t="s">
        <v>283</v>
      </c>
      <c r="H159" s="74">
        <f>837/1.05</f>
        <v>797.14285714285711</v>
      </c>
      <c r="I159" s="74">
        <f>F159*H159</f>
        <v>70148.57142857142</v>
      </c>
      <c r="J159" s="74">
        <f>J158</f>
        <v>130</v>
      </c>
      <c r="K159" s="74">
        <f t="shared" si="97"/>
        <v>11440</v>
      </c>
      <c r="L159" s="72">
        <f t="shared" si="98"/>
        <v>81588.57142857142</v>
      </c>
      <c r="M159" s="74">
        <f t="shared" ref="M159:N161" si="104">X159/$S$217*$S$218</f>
        <v>1064.1747322978329</v>
      </c>
      <c r="N159" s="74">
        <f t="shared" si="104"/>
        <v>173.54820903065018</v>
      </c>
      <c r="O159" s="72">
        <f t="shared" si="99"/>
        <v>1237.7229413284831</v>
      </c>
      <c r="P159" s="205">
        <f t="shared" si="100"/>
        <v>108919.61883690651</v>
      </c>
      <c r="Q159" s="272">
        <f>L159/$P$264*$P$272</f>
        <v>112707.78493096124</v>
      </c>
      <c r="R159" s="439">
        <f t="shared" si="101"/>
        <v>-3788.1660940547299</v>
      </c>
      <c r="S159" s="273"/>
      <c r="T159" s="74">
        <f>837/1.05</f>
        <v>797.14285714285711</v>
      </c>
      <c r="W159" s="225"/>
      <c r="X159" s="839">
        <v>1106.1626900196857</v>
      </c>
      <c r="Y159" s="839">
        <v>180.39570751217099</v>
      </c>
      <c r="Z159" s="839"/>
      <c r="AA159" s="225"/>
      <c r="AB159" s="931" t="s">
        <v>373</v>
      </c>
      <c r="AC159" s="931"/>
      <c r="AD159" s="931"/>
      <c r="AE159" s="729">
        <v>5.83</v>
      </c>
      <c r="AF159" s="836">
        <v>6</v>
      </c>
      <c r="AG159" s="732" t="s">
        <v>100</v>
      </c>
      <c r="AH159" s="730">
        <f>600/1.05</f>
        <v>571.42857142857144</v>
      </c>
      <c r="AI159" s="730">
        <f t="shared" si="102"/>
        <v>3428.5714285714284</v>
      </c>
      <c r="AJ159" s="731">
        <v>150</v>
      </c>
      <c r="AK159" s="731">
        <f t="shared" si="103"/>
        <v>900</v>
      </c>
    </row>
    <row r="160" spans="1:42" s="224" customFormat="1" x14ac:dyDescent="0.25">
      <c r="A160" s="350"/>
      <c r="B160" s="317"/>
      <c r="C160" s="318">
        <v>3</v>
      </c>
      <c r="D160" s="83" t="s">
        <v>135</v>
      </c>
      <c r="E160" s="242">
        <f>3+1</f>
        <v>4</v>
      </c>
      <c r="F160" s="242">
        <f>3+1</f>
        <v>4</v>
      </c>
      <c r="G160" s="77" t="s">
        <v>283</v>
      </c>
      <c r="H160" s="74">
        <f>260/1.05</f>
        <v>247.61904761904762</v>
      </c>
      <c r="I160" s="74">
        <f>F160*H160</f>
        <v>990.47619047619048</v>
      </c>
      <c r="J160" s="74">
        <f>J158</f>
        <v>130</v>
      </c>
      <c r="K160" s="74">
        <f t="shared" si="97"/>
        <v>520</v>
      </c>
      <c r="L160" s="72">
        <f t="shared" si="98"/>
        <v>1510.4761904761904</v>
      </c>
      <c r="M160" s="74">
        <f t="shared" si="104"/>
        <v>330.56801720123843</v>
      </c>
      <c r="N160" s="74">
        <f t="shared" si="104"/>
        <v>173.54820903065018</v>
      </c>
      <c r="O160" s="72">
        <f t="shared" si="99"/>
        <v>504.11622623188862</v>
      </c>
      <c r="P160" s="205">
        <f t="shared" si="100"/>
        <v>2016.4649049275545</v>
      </c>
      <c r="Q160" s="272">
        <f>L160/$P$264*$P$272</f>
        <v>2086.596475936225</v>
      </c>
      <c r="R160" s="439">
        <f t="shared" si="101"/>
        <v>-70.131571008670562</v>
      </c>
      <c r="S160" s="273"/>
      <c r="T160" s="74">
        <f>260/1.05</f>
        <v>247.61904761904762</v>
      </c>
      <c r="U160" s="273"/>
      <c r="W160" s="225"/>
      <c r="X160" s="839">
        <v>343.61087145175424</v>
      </c>
      <c r="Y160" s="839">
        <v>180.39570751217099</v>
      </c>
      <c r="Z160" s="839"/>
      <c r="AA160" s="225"/>
      <c r="AB160" s="931" t="s">
        <v>374</v>
      </c>
      <c r="AC160" s="931"/>
      <c r="AD160" s="931"/>
      <c r="AE160" s="729">
        <v>2</v>
      </c>
      <c r="AF160" s="836">
        <v>2</v>
      </c>
      <c r="AG160" s="732" t="s">
        <v>283</v>
      </c>
      <c r="AH160" s="730">
        <f>14.13*60</f>
        <v>847.80000000000007</v>
      </c>
      <c r="AI160" s="730">
        <f t="shared" si="102"/>
        <v>1695.6000000000001</v>
      </c>
      <c r="AJ160" s="731">
        <v>151</v>
      </c>
      <c r="AK160" s="731">
        <f t="shared" si="103"/>
        <v>302</v>
      </c>
    </row>
    <row r="161" spans="1:50" s="224" customFormat="1" x14ac:dyDescent="0.25">
      <c r="A161" s="350"/>
      <c r="B161" s="317"/>
      <c r="C161" s="318">
        <v>4</v>
      </c>
      <c r="D161" s="83" t="s">
        <v>136</v>
      </c>
      <c r="E161" s="242">
        <v>18</v>
      </c>
      <c r="F161" s="242">
        <v>18</v>
      </c>
      <c r="G161" s="77" t="s">
        <v>283</v>
      </c>
      <c r="H161" s="74">
        <f>1980/1.05</f>
        <v>1885.7142857142856</v>
      </c>
      <c r="I161" s="74">
        <f>F161*H161</f>
        <v>33942.857142857138</v>
      </c>
      <c r="J161" s="74">
        <v>210</v>
      </c>
      <c r="K161" s="74">
        <f t="shared" si="97"/>
        <v>3780</v>
      </c>
      <c r="L161" s="72">
        <f t="shared" si="98"/>
        <v>37722.857142857138</v>
      </c>
      <c r="M161" s="74">
        <f t="shared" si="104"/>
        <v>2517.4025925325077</v>
      </c>
      <c r="N161" s="74">
        <f t="shared" si="104"/>
        <v>280.34710689566566</v>
      </c>
      <c r="O161" s="72">
        <f t="shared" si="99"/>
        <v>2797.7496994281732</v>
      </c>
      <c r="P161" s="205">
        <f t="shared" si="100"/>
        <v>50359.494589707116</v>
      </c>
      <c r="Q161" s="272">
        <f>L161/$P$264*$P$272</f>
        <v>52110.970879796929</v>
      </c>
      <c r="R161" s="439">
        <f t="shared" si="101"/>
        <v>-1751.4762900898131</v>
      </c>
      <c r="S161" s="273"/>
      <c r="T161" s="74">
        <f>1980/1.05</f>
        <v>1885.7142857142856</v>
      </c>
      <c r="U161" s="273"/>
      <c r="W161" s="225"/>
      <c r="X161" s="839">
        <v>2616.7289441325897</v>
      </c>
      <c r="Y161" s="839">
        <v>291.40845059658386</v>
      </c>
      <c r="Z161" s="839"/>
      <c r="AA161" s="225"/>
      <c r="AB161" s="931" t="s">
        <v>375</v>
      </c>
      <c r="AC161" s="931"/>
      <c r="AD161" s="931"/>
      <c r="AE161" s="729">
        <v>2</v>
      </c>
      <c r="AF161" s="836">
        <v>2</v>
      </c>
      <c r="AG161" s="732" t="s">
        <v>283</v>
      </c>
      <c r="AH161" s="730">
        <f>24.72*60</f>
        <v>1483.1999999999998</v>
      </c>
      <c r="AI161" s="730">
        <f t="shared" si="102"/>
        <v>2966.3999999999996</v>
      </c>
      <c r="AJ161" s="731">
        <v>152</v>
      </c>
      <c r="AK161" s="731">
        <f t="shared" si="103"/>
        <v>304</v>
      </c>
    </row>
    <row r="162" spans="1:50" s="224" customFormat="1" x14ac:dyDescent="0.25">
      <c r="A162" s="350"/>
      <c r="B162" s="319"/>
      <c r="C162" s="318"/>
      <c r="D162" s="83" t="s">
        <v>137</v>
      </c>
      <c r="E162" s="242"/>
      <c r="F162" s="242"/>
      <c r="G162" s="75"/>
      <c r="H162" s="74"/>
      <c r="I162" s="74"/>
      <c r="J162" s="74"/>
      <c r="K162" s="74"/>
      <c r="L162" s="74"/>
      <c r="M162" s="74"/>
      <c r="N162" s="74"/>
      <c r="O162" s="72"/>
      <c r="P162" s="205"/>
      <c r="Q162" s="272"/>
      <c r="R162" s="439"/>
      <c r="S162" s="273"/>
      <c r="T162" s="74"/>
      <c r="U162" s="273"/>
      <c r="W162" s="225"/>
      <c r="X162" s="839"/>
      <c r="Y162" s="839"/>
      <c r="Z162" s="839"/>
      <c r="AA162" s="225"/>
      <c r="AB162" s="931" t="s">
        <v>370</v>
      </c>
      <c r="AC162" s="931"/>
      <c r="AD162" s="931"/>
      <c r="AE162" s="363">
        <f>(5.825*7)+(5.9*2)</f>
        <v>52.575000000000003</v>
      </c>
      <c r="AF162" s="836">
        <v>54</v>
      </c>
      <c r="AG162" s="836" t="s">
        <v>100</v>
      </c>
      <c r="AH162" s="730">
        <f>33*36/1.12</f>
        <v>1060.7142857142856</v>
      </c>
      <c r="AI162" s="730">
        <f>AH162*AF162</f>
        <v>57278.57142857142</v>
      </c>
      <c r="AJ162" s="731">
        <v>130</v>
      </c>
      <c r="AK162" s="731">
        <f>AJ162*AF162</f>
        <v>7020</v>
      </c>
    </row>
    <row r="163" spans="1:50" s="224" customFormat="1" x14ac:dyDescent="0.25">
      <c r="A163" s="350"/>
      <c r="B163" s="317"/>
      <c r="C163" s="318">
        <v>5</v>
      </c>
      <c r="D163" s="83" t="s">
        <v>138</v>
      </c>
      <c r="E163" s="242">
        <v>3</v>
      </c>
      <c r="F163" s="242">
        <v>3</v>
      </c>
      <c r="G163" s="77" t="s">
        <v>283</v>
      </c>
      <c r="H163" s="74">
        <f>1620/1.05</f>
        <v>1542.8571428571429</v>
      </c>
      <c r="I163" s="74">
        <f>F163*H163</f>
        <v>4628.5714285714284</v>
      </c>
      <c r="J163" s="74">
        <v>210</v>
      </c>
      <c r="K163" s="74">
        <f t="shared" ref="K163:K164" si="105">F163*J163</f>
        <v>630</v>
      </c>
      <c r="L163" s="72">
        <f t="shared" ref="L163:L164" si="106">I163+K163</f>
        <v>5258.5714285714284</v>
      </c>
      <c r="M163" s="74">
        <f t="shared" ref="M163:N164" si="107">X163/$S$217*$S$218</f>
        <v>2059.6930302538703</v>
      </c>
      <c r="N163" s="74">
        <f t="shared" si="107"/>
        <v>280.34710689566566</v>
      </c>
      <c r="O163" s="72">
        <f t="shared" si="99"/>
        <v>2340.0401371495359</v>
      </c>
      <c r="P163" s="205">
        <f t="shared" si="100"/>
        <v>7020.1204114486081</v>
      </c>
      <c r="Q163" s="272">
        <f>L163/$P$264*$P$272</f>
        <v>7264.2764450705336</v>
      </c>
      <c r="R163" s="439">
        <f t="shared" si="101"/>
        <v>-244.15603362192542</v>
      </c>
      <c r="S163" s="273"/>
      <c r="T163" s="74">
        <f>1620/1.05</f>
        <v>1542.8571428571429</v>
      </c>
      <c r="U163" s="273"/>
      <c r="W163" s="273"/>
      <c r="X163" s="839">
        <v>2140.960045199392</v>
      </c>
      <c r="Y163" s="839">
        <v>291.40845059658386</v>
      </c>
      <c r="Z163" s="839"/>
      <c r="AA163" s="273"/>
      <c r="AB163" s="931" t="s">
        <v>376</v>
      </c>
      <c r="AC163" s="931"/>
      <c r="AD163" s="931"/>
      <c r="AE163" s="729">
        <f>4*4</f>
        <v>16</v>
      </c>
      <c r="AF163" s="836">
        <v>16</v>
      </c>
      <c r="AG163" s="732" t="s">
        <v>283</v>
      </c>
      <c r="AH163" s="730">
        <v>160</v>
      </c>
      <c r="AI163" s="730">
        <f>AH163*AF163</f>
        <v>2560</v>
      </c>
      <c r="AJ163" s="731">
        <v>35</v>
      </c>
      <c r="AK163" s="731">
        <f>AJ163*AF163</f>
        <v>560</v>
      </c>
    </row>
    <row r="164" spans="1:50" s="224" customFormat="1" x14ac:dyDescent="0.25">
      <c r="A164" s="350"/>
      <c r="B164" s="412"/>
      <c r="C164" s="318">
        <v>6</v>
      </c>
      <c r="D164" s="83" t="s">
        <v>139</v>
      </c>
      <c r="E164" s="242">
        <v>44</v>
      </c>
      <c r="F164" s="242">
        <v>44</v>
      </c>
      <c r="G164" s="77" t="s">
        <v>283</v>
      </c>
      <c r="H164" s="74">
        <f>3500/1.05</f>
        <v>3333.333333333333</v>
      </c>
      <c r="I164" s="74">
        <f>F164*H164</f>
        <v>146666.66666666666</v>
      </c>
      <c r="J164" s="74">
        <v>210</v>
      </c>
      <c r="K164" s="74">
        <f t="shared" si="105"/>
        <v>9240</v>
      </c>
      <c r="L164" s="72">
        <f t="shared" si="106"/>
        <v>155906.66666666666</v>
      </c>
      <c r="M164" s="74">
        <f t="shared" si="107"/>
        <v>4449.9540777089787</v>
      </c>
      <c r="N164" s="74">
        <f t="shared" si="107"/>
        <v>280.34710689566566</v>
      </c>
      <c r="O164" s="72">
        <f t="shared" si="99"/>
        <v>4730.3011846046447</v>
      </c>
      <c r="P164" s="205">
        <f t="shared" si="100"/>
        <v>208133.25212260438</v>
      </c>
      <c r="Q164" s="272">
        <f>L164/$P$264*$P$272</f>
        <v>215372.01532390411</v>
      </c>
      <c r="R164" s="439">
        <f t="shared" si="101"/>
        <v>-7238.7632012997346</v>
      </c>
      <c r="S164" s="273"/>
      <c r="T164" s="74">
        <f>3500/1.05</f>
        <v>3333.333333333333</v>
      </c>
      <c r="W164" s="273"/>
      <c r="X164" s="839">
        <v>4625.530961850538</v>
      </c>
      <c r="Y164" s="839">
        <v>291.40845059658386</v>
      </c>
      <c r="Z164" s="839"/>
      <c r="AA164" s="273"/>
      <c r="AB164" s="931" t="s">
        <v>377</v>
      </c>
      <c r="AC164" s="931"/>
      <c r="AD164" s="931"/>
      <c r="AE164" s="729">
        <v>58</v>
      </c>
      <c r="AF164" s="836">
        <v>60</v>
      </c>
      <c r="AG164" s="732" t="s">
        <v>101</v>
      </c>
      <c r="AH164" s="730">
        <v>65</v>
      </c>
      <c r="AI164" s="730">
        <f>AH164*AF164</f>
        <v>3900</v>
      </c>
      <c r="AJ164" s="731">
        <v>65</v>
      </c>
      <c r="AK164" s="731">
        <f>AJ164*AF164</f>
        <v>3900</v>
      </c>
    </row>
    <row r="165" spans="1:50" s="224" customFormat="1" x14ac:dyDescent="0.25">
      <c r="A165" s="350"/>
      <c r="B165" s="317"/>
      <c r="C165" s="318"/>
      <c r="D165" s="83" t="s">
        <v>140</v>
      </c>
      <c r="E165" s="242"/>
      <c r="F165" s="242"/>
      <c r="G165" s="75"/>
      <c r="H165" s="74"/>
      <c r="I165" s="74"/>
      <c r="J165" s="74"/>
      <c r="K165" s="74"/>
      <c r="L165" s="72"/>
      <c r="M165" s="74"/>
      <c r="N165" s="74"/>
      <c r="O165" s="72"/>
      <c r="P165" s="205"/>
      <c r="Q165" s="272"/>
      <c r="R165" s="439"/>
      <c r="S165" s="273"/>
      <c r="T165" s="74"/>
      <c r="V165" s="836"/>
      <c r="W165" s="836"/>
      <c r="X165" s="841"/>
      <c r="Y165" s="841"/>
      <c r="Z165" s="841"/>
      <c r="AA165" s="836"/>
      <c r="AB165" s="931" t="s">
        <v>378</v>
      </c>
      <c r="AC165" s="931"/>
      <c r="AD165" s="931"/>
      <c r="AE165" s="836">
        <v>1</v>
      </c>
      <c r="AF165" s="836">
        <v>1</v>
      </c>
      <c r="AG165" s="836" t="s">
        <v>301</v>
      </c>
      <c r="AH165" s="730">
        <v>2000</v>
      </c>
      <c r="AI165" s="730">
        <f>AH165*AF165</f>
        <v>2000</v>
      </c>
      <c r="AJ165" s="731">
        <v>500</v>
      </c>
      <c r="AK165" s="731">
        <f>AJ165*AF165</f>
        <v>500</v>
      </c>
    </row>
    <row r="166" spans="1:50" s="224" customFormat="1" x14ac:dyDescent="0.25">
      <c r="A166" s="350"/>
      <c r="B166" s="317"/>
      <c r="C166" s="318">
        <v>7</v>
      </c>
      <c r="D166" s="83" t="s">
        <v>412</v>
      </c>
      <c r="E166" s="242">
        <v>25</v>
      </c>
      <c r="F166" s="302">
        <v>25</v>
      </c>
      <c r="G166" s="77" t="s">
        <v>283</v>
      </c>
      <c r="H166" s="74">
        <f>3100/1.05</f>
        <v>2952.3809523809523</v>
      </c>
      <c r="I166" s="74">
        <f>F166*H166</f>
        <v>73809.523809523802</v>
      </c>
      <c r="J166" s="74">
        <v>210</v>
      </c>
      <c r="K166" s="74">
        <f t="shared" ref="K166:K179" si="108">F166*J166</f>
        <v>5250</v>
      </c>
      <c r="L166" s="72">
        <f t="shared" ref="L166:L179" si="109">I166+K166</f>
        <v>79059.523809523802</v>
      </c>
      <c r="M166" s="74">
        <f t="shared" ref="M166:N167" si="110">X166/$S$217*$S$218</f>
        <v>3941.3878973993819</v>
      </c>
      <c r="N166" s="74">
        <f t="shared" si="110"/>
        <v>280.34710689566566</v>
      </c>
      <c r="O166" s="72">
        <f t="shared" si="99"/>
        <v>4221.7350042950475</v>
      </c>
      <c r="P166" s="205">
        <f t="shared" si="100"/>
        <v>105543.37510737618</v>
      </c>
      <c r="Q166" s="272">
        <f>L166/$P$264*$P$272</f>
        <v>109214.11725009828</v>
      </c>
      <c r="R166" s="439">
        <f t="shared" si="101"/>
        <v>-3670.7421427220979</v>
      </c>
      <c r="S166" s="273"/>
      <c r="T166" s="74">
        <f>3100/1.05</f>
        <v>2952.3809523809523</v>
      </c>
      <c r="W166" s="225"/>
      <c r="X166" s="839">
        <v>4096.8988519247623</v>
      </c>
      <c r="Y166" s="839">
        <v>291.40845059658386</v>
      </c>
      <c r="Z166" s="839"/>
      <c r="AA166" s="225"/>
      <c r="AB166" s="931" t="s">
        <v>379</v>
      </c>
      <c r="AC166" s="931"/>
      <c r="AD166" s="931"/>
      <c r="AE166" s="836">
        <v>1</v>
      </c>
      <c r="AF166" s="836">
        <v>1</v>
      </c>
      <c r="AG166" s="836" t="s">
        <v>301</v>
      </c>
      <c r="AH166" s="730">
        <v>2000</v>
      </c>
      <c r="AI166" s="730">
        <f>AH166*AF166</f>
        <v>2000</v>
      </c>
      <c r="AJ166" s="731">
        <v>1000</v>
      </c>
      <c r="AK166" s="731">
        <f>AJ166*AF166</f>
        <v>1000</v>
      </c>
      <c r="AO166" s="904" t="s">
        <v>350</v>
      </c>
      <c r="AP166" s="904"/>
      <c r="AQ166" s="904"/>
      <c r="AR166" s="824" t="s">
        <v>243</v>
      </c>
      <c r="AS166" s="824" t="s">
        <v>244</v>
      </c>
      <c r="AT166" s="824" t="s">
        <v>245</v>
      </c>
      <c r="AU166" s="123" t="s">
        <v>246</v>
      </c>
      <c r="AV166" s="196" t="s">
        <v>247</v>
      </c>
      <c r="AW166" s="824" t="s">
        <v>248</v>
      </c>
      <c r="AX166" s="212" t="s">
        <v>249</v>
      </c>
    </row>
    <row r="167" spans="1:50" s="224" customFormat="1" x14ac:dyDescent="0.25">
      <c r="A167" s="350"/>
      <c r="B167" s="317"/>
      <c r="C167" s="318">
        <v>8</v>
      </c>
      <c r="D167" s="83" t="s">
        <v>286</v>
      </c>
      <c r="E167" s="242">
        <v>4</v>
      </c>
      <c r="F167" s="302">
        <v>4</v>
      </c>
      <c r="G167" s="77" t="s">
        <v>283</v>
      </c>
      <c r="H167" s="74">
        <f>2400/1.05</f>
        <v>2285.7142857142858</v>
      </c>
      <c r="I167" s="74">
        <f>F167*H167</f>
        <v>9142.8571428571431</v>
      </c>
      <c r="J167" s="74">
        <v>210</v>
      </c>
      <c r="K167" s="74">
        <f t="shared" si="108"/>
        <v>840</v>
      </c>
      <c r="L167" s="72">
        <f t="shared" si="109"/>
        <v>9982.8571428571431</v>
      </c>
      <c r="M167" s="74">
        <f t="shared" si="110"/>
        <v>3051.3970818575858</v>
      </c>
      <c r="N167" s="74">
        <f t="shared" si="110"/>
        <v>280.34710689566566</v>
      </c>
      <c r="O167" s="72">
        <f t="shared" si="99"/>
        <v>3331.7441887532514</v>
      </c>
      <c r="P167" s="205">
        <f t="shared" si="100"/>
        <v>13326.976755013005</v>
      </c>
      <c r="Q167" s="272">
        <f>L167/$P$264*$P$272</f>
        <v>13790.481879422139</v>
      </c>
      <c r="R167" s="439">
        <f t="shared" si="101"/>
        <v>-463.50512440913371</v>
      </c>
      <c r="S167" s="273"/>
      <c r="T167" s="74">
        <f>2400/1.05</f>
        <v>2285.7142857142858</v>
      </c>
      <c r="W167" s="225"/>
      <c r="X167" s="839">
        <v>3171.7926595546546</v>
      </c>
      <c r="Y167" s="839">
        <v>291.40845059658386</v>
      </c>
      <c r="Z167" s="839"/>
      <c r="AA167" s="225"/>
      <c r="AB167" s="225"/>
      <c r="AC167" s="225"/>
      <c r="AD167" s="225"/>
      <c r="AE167" s="225"/>
      <c r="AF167" s="225"/>
      <c r="AG167" s="225"/>
      <c r="AH167" s="225"/>
      <c r="AI167" s="733">
        <f>SUM(AI153:AI166)</f>
        <v>310570.11993355479</v>
      </c>
      <c r="AJ167" s="734"/>
      <c r="AK167" s="735">
        <f>SUM(AK153:AK166)</f>
        <v>40781</v>
      </c>
      <c r="AO167" s="878" t="s">
        <v>250</v>
      </c>
      <c r="AP167" s="878"/>
      <c r="AQ167" s="878"/>
      <c r="AR167" s="124" t="s">
        <v>251</v>
      </c>
      <c r="AS167" s="823">
        <v>2.77</v>
      </c>
      <c r="AT167" s="823">
        <v>3</v>
      </c>
      <c r="AU167" s="123">
        <f>400/1.07</f>
        <v>373.83177570093454</v>
      </c>
      <c r="AV167" s="196">
        <f>AU167*AT167</f>
        <v>1121.4953271028037</v>
      </c>
      <c r="AW167" s="823">
        <v>71.7</v>
      </c>
      <c r="AX167" s="219">
        <f>AW167*AT167</f>
        <v>215.10000000000002</v>
      </c>
    </row>
    <row r="168" spans="1:50" s="224" customFormat="1" x14ac:dyDescent="0.25">
      <c r="A168" s="350"/>
      <c r="B168" s="317"/>
      <c r="C168" s="318"/>
      <c r="D168" s="83"/>
      <c r="E168" s="242"/>
      <c r="F168" s="302"/>
      <c r="G168" s="77"/>
      <c r="H168" s="74"/>
      <c r="I168" s="74"/>
      <c r="J168" s="74"/>
      <c r="K168" s="74"/>
      <c r="L168" s="72"/>
      <c r="M168" s="74"/>
      <c r="N168" s="74"/>
      <c r="O168" s="72"/>
      <c r="P168" s="205"/>
      <c r="Q168" s="272"/>
      <c r="R168" s="439"/>
      <c r="S168" s="273"/>
      <c r="X168" s="839"/>
      <c r="Y168" s="839"/>
      <c r="Z168" s="839"/>
      <c r="AO168" s="878" t="s">
        <v>252</v>
      </c>
      <c r="AP168" s="878"/>
      <c r="AQ168" s="878"/>
      <c r="AR168" s="124" t="s">
        <v>253</v>
      </c>
      <c r="AS168" s="823">
        <v>0.25</v>
      </c>
      <c r="AT168" s="823">
        <v>0.25</v>
      </c>
      <c r="AU168" s="123">
        <f>AF31</f>
        <v>279.41176470588238</v>
      </c>
      <c r="AV168" s="196">
        <f>AU168*AT168</f>
        <v>69.852941176470594</v>
      </c>
      <c r="AW168" s="823"/>
      <c r="AX168" s="219">
        <f>AW168*AT168</f>
        <v>0</v>
      </c>
    </row>
    <row r="169" spans="1:50" s="224" customFormat="1" x14ac:dyDescent="0.25">
      <c r="A169" s="350"/>
      <c r="B169" s="412" t="s">
        <v>320</v>
      </c>
      <c r="C169" s="413" t="s">
        <v>420</v>
      </c>
      <c r="D169" s="316"/>
      <c r="E169" s="244"/>
      <c r="F169" s="302"/>
      <c r="G169" s="75"/>
      <c r="H169" s="440">
        <v>0.87</v>
      </c>
      <c r="I169" s="74"/>
      <c r="J169" s="440">
        <v>0.85</v>
      </c>
      <c r="K169" s="74"/>
      <c r="L169" s="74"/>
      <c r="M169" s="74"/>
      <c r="N169" s="74"/>
      <c r="O169" s="72"/>
      <c r="P169" s="205"/>
      <c r="Q169" s="272"/>
      <c r="R169" s="439"/>
      <c r="S169" s="273"/>
      <c r="X169" s="839"/>
      <c r="Y169" s="839"/>
      <c r="Z169" s="839"/>
      <c r="AO169" s="878" t="s">
        <v>254</v>
      </c>
      <c r="AP169" s="878"/>
      <c r="AQ169" s="878"/>
      <c r="AR169" s="124" t="s">
        <v>255</v>
      </c>
      <c r="AS169" s="823">
        <v>0.25</v>
      </c>
      <c r="AT169" s="823">
        <v>0.35</v>
      </c>
      <c r="AU169" s="123">
        <f>AF32</f>
        <v>34.905660377358487</v>
      </c>
      <c r="AV169" s="196">
        <f>AU169*AT169</f>
        <v>12.216981132075469</v>
      </c>
      <c r="AW169" s="823"/>
      <c r="AX169" s="219">
        <f>AW169*AT169</f>
        <v>0</v>
      </c>
    </row>
    <row r="170" spans="1:50" s="224" customFormat="1" x14ac:dyDescent="0.25">
      <c r="A170" s="350"/>
      <c r="B170" s="317"/>
      <c r="C170" s="318">
        <v>1</v>
      </c>
      <c r="D170" s="83" t="s">
        <v>421</v>
      </c>
      <c r="E170" s="242">
        <v>2284</v>
      </c>
      <c r="F170" s="242">
        <v>2450</v>
      </c>
      <c r="G170" s="77" t="s">
        <v>100</v>
      </c>
      <c r="H170" s="74">
        <f>T170/$H$169</f>
        <v>17.241379310344829</v>
      </c>
      <c r="I170" s="74">
        <f>F170*H170</f>
        <v>42241.379310344833</v>
      </c>
      <c r="J170" s="74">
        <f>W170/$J$169</f>
        <v>5.882352941176471</v>
      </c>
      <c r="K170" s="74">
        <f t="shared" si="108"/>
        <v>14411.764705882353</v>
      </c>
      <c r="L170" s="72">
        <f t="shared" si="109"/>
        <v>56653.14401622719</v>
      </c>
      <c r="M170" s="74">
        <f t="shared" ref="M170:N179" si="111">X170/$S$217*$S$218</f>
        <v>23.01700385021886</v>
      </c>
      <c r="N170" s="74">
        <f t="shared" si="111"/>
        <v>7.8528601371334936</v>
      </c>
      <c r="O170" s="72">
        <f t="shared" si="99"/>
        <v>30.869863987352353</v>
      </c>
      <c r="P170" s="205">
        <f t="shared" si="100"/>
        <v>75631.16676901326</v>
      </c>
      <c r="Q170" s="272">
        <f>L170/$P$264*$P$272</f>
        <v>78261.578302468755</v>
      </c>
      <c r="R170" s="439">
        <f t="shared" si="101"/>
        <v>-2630.4115334554954</v>
      </c>
      <c r="S170" s="273"/>
      <c r="T170" s="74">
        <v>15</v>
      </c>
      <c r="U170" s="273"/>
      <c r="V170" s="273"/>
      <c r="W170" s="74">
        <v>5</v>
      </c>
      <c r="X170" s="840">
        <v>23.925160147502783</v>
      </c>
      <c r="Y170" s="840">
        <v>8.1627016973833033</v>
      </c>
      <c r="Z170" s="840"/>
      <c r="AO170" s="878" t="s">
        <v>256</v>
      </c>
      <c r="AP170" s="878"/>
      <c r="AQ170" s="878"/>
      <c r="AR170" s="124" t="s">
        <v>257</v>
      </c>
      <c r="AS170" s="823">
        <v>1</v>
      </c>
      <c r="AT170" s="823">
        <v>1</v>
      </c>
      <c r="AU170" s="123">
        <v>0</v>
      </c>
      <c r="AV170" s="196">
        <f>AU170*AT170</f>
        <v>0</v>
      </c>
      <c r="AW170" s="823">
        <v>0</v>
      </c>
      <c r="AX170" s="219">
        <f>AW170*AT170</f>
        <v>0</v>
      </c>
    </row>
    <row r="171" spans="1:50" s="224" customFormat="1" x14ac:dyDescent="0.25">
      <c r="A171" s="350"/>
      <c r="B171" s="317"/>
      <c r="C171" s="318">
        <v>2</v>
      </c>
      <c r="D171" s="83" t="s">
        <v>422</v>
      </c>
      <c r="E171" s="242">
        <v>6464</v>
      </c>
      <c r="F171" s="242">
        <v>6880</v>
      </c>
      <c r="G171" s="77" t="s">
        <v>100</v>
      </c>
      <c r="H171" s="74">
        <f>T171/$H$169</f>
        <v>25.287356321839081</v>
      </c>
      <c r="I171" s="74">
        <f t="shared" ref="I171:I179" si="112">F171*H171</f>
        <v>173977.01149425289</v>
      </c>
      <c r="J171" s="74">
        <f>W171/$J$169</f>
        <v>8.2352941176470598</v>
      </c>
      <c r="K171" s="74">
        <f t="shared" si="108"/>
        <v>56658.823529411769</v>
      </c>
      <c r="L171" s="72">
        <f t="shared" si="109"/>
        <v>230635.83502366467</v>
      </c>
      <c r="M171" s="74">
        <f t="shared" si="111"/>
        <v>33.758272313654324</v>
      </c>
      <c r="N171" s="74">
        <f t="shared" si="111"/>
        <v>10.994004191986891</v>
      </c>
      <c r="O171" s="72">
        <f t="shared" si="99"/>
        <v>44.752276505641213</v>
      </c>
      <c r="P171" s="205">
        <f t="shared" si="100"/>
        <v>307895.66235881153</v>
      </c>
      <c r="Q171" s="272">
        <f>L171/$P$264*$P$272</f>
        <v>318604.10883621481</v>
      </c>
      <c r="R171" s="439">
        <f t="shared" si="101"/>
        <v>-10708.446477403282</v>
      </c>
      <c r="S171" s="273"/>
      <c r="T171" s="74">
        <v>22</v>
      </c>
      <c r="U171" s="273"/>
      <c r="V171" s="273"/>
      <c r="W171" s="74">
        <v>7</v>
      </c>
      <c r="X171" s="840">
        <v>35.090234883004079</v>
      </c>
      <c r="Y171" s="840">
        <v>11.427782376336625</v>
      </c>
      <c r="Z171" s="840"/>
      <c r="AO171" s="126"/>
      <c r="AP171" s="126"/>
      <c r="AQ171" s="126"/>
      <c r="AR171" s="126"/>
      <c r="AS171" s="823"/>
      <c r="AT171" s="823"/>
      <c r="AU171" s="123"/>
      <c r="AV171" s="212">
        <f>SUM(AV167:AV170)</f>
        <v>1203.5652494113497</v>
      </c>
      <c r="AW171" s="824"/>
      <c r="AX171" s="212">
        <f>SUM(AX167:AX170)</f>
        <v>215.10000000000002</v>
      </c>
    </row>
    <row r="172" spans="1:50" s="224" customFormat="1" x14ac:dyDescent="0.25">
      <c r="A172" s="350"/>
      <c r="B172" s="317"/>
      <c r="C172" s="318">
        <v>3</v>
      </c>
      <c r="D172" s="83" t="s">
        <v>423</v>
      </c>
      <c r="E172" s="242">
        <v>1087</v>
      </c>
      <c r="F172" s="242">
        <v>1215</v>
      </c>
      <c r="G172" s="77" t="s">
        <v>100</v>
      </c>
      <c r="H172" s="74">
        <f t="shared" ref="H172:H179" si="113">T172/$H$169</f>
        <v>37.931034482758619</v>
      </c>
      <c r="I172" s="74">
        <f t="shared" si="112"/>
        <v>46086.206896551725</v>
      </c>
      <c r="J172" s="74">
        <f t="shared" ref="J172:J179" si="114">W172/$J$169</f>
        <v>18.823529411764707</v>
      </c>
      <c r="K172" s="74">
        <f t="shared" si="108"/>
        <v>22870.588235294119</v>
      </c>
      <c r="L172" s="72">
        <f t="shared" si="109"/>
        <v>68956.795131845836</v>
      </c>
      <c r="M172" s="74">
        <f t="shared" si="111"/>
        <v>50.637408470481482</v>
      </c>
      <c r="N172" s="74">
        <f t="shared" si="111"/>
        <v>25.129152438827177</v>
      </c>
      <c r="O172" s="72">
        <f t="shared" si="99"/>
        <v>75.766560909308652</v>
      </c>
      <c r="P172" s="205">
        <f t="shared" si="100"/>
        <v>92056.371504810013</v>
      </c>
      <c r="Q172" s="272">
        <f>L172/$P$264*$P$272</f>
        <v>95258.042874945822</v>
      </c>
      <c r="R172" s="439">
        <f t="shared" si="101"/>
        <v>-3201.6713701358094</v>
      </c>
      <c r="S172" s="273"/>
      <c r="T172" s="74">
        <v>33</v>
      </c>
      <c r="U172" s="273"/>
      <c r="V172" s="273"/>
      <c r="W172" s="74">
        <v>16</v>
      </c>
      <c r="X172" s="840">
        <v>52.635352324506115</v>
      </c>
      <c r="Y172" s="840">
        <v>26.120645431626567</v>
      </c>
      <c r="Z172" s="840"/>
      <c r="AO172" s="273"/>
      <c r="AP172" s="273"/>
      <c r="AQ172" s="273"/>
      <c r="AR172" s="273"/>
      <c r="AS172" s="273"/>
      <c r="AT172" s="273"/>
      <c r="AU172" s="273"/>
      <c r="AW172" s="273"/>
    </row>
    <row r="173" spans="1:50" s="224" customFormat="1" x14ac:dyDescent="0.25">
      <c r="A173" s="350"/>
      <c r="B173" s="317"/>
      <c r="C173" s="318">
        <v>4</v>
      </c>
      <c r="D173" s="83" t="s">
        <v>430</v>
      </c>
      <c r="E173" s="242">
        <v>1771</v>
      </c>
      <c r="F173" s="242">
        <v>1880</v>
      </c>
      <c r="G173" s="77" t="s">
        <v>100</v>
      </c>
      <c r="H173" s="74">
        <f t="shared" si="113"/>
        <v>60.919540229885058</v>
      </c>
      <c r="I173" s="74">
        <f t="shared" si="112"/>
        <v>114528.7356321839</v>
      </c>
      <c r="J173" s="74">
        <f t="shared" si="114"/>
        <v>18.823529411764707</v>
      </c>
      <c r="K173" s="74">
        <f t="shared" si="108"/>
        <v>35388.23529411765</v>
      </c>
      <c r="L173" s="72">
        <f t="shared" si="109"/>
        <v>149916.97092630155</v>
      </c>
      <c r="M173" s="74">
        <f t="shared" si="111"/>
        <v>81.326746937439964</v>
      </c>
      <c r="N173" s="74">
        <f t="shared" si="111"/>
        <v>25.129152438827177</v>
      </c>
      <c r="O173" s="72">
        <f t="shared" si="99"/>
        <v>106.45589937626714</v>
      </c>
      <c r="P173" s="205">
        <f t="shared" si="100"/>
        <v>200137.09082738223</v>
      </c>
      <c r="Q173" s="272">
        <f>L173/$P$264*$P$272</f>
        <v>207097.75181509904</v>
      </c>
      <c r="R173" s="439">
        <f t="shared" si="101"/>
        <v>-6960.6609877168084</v>
      </c>
      <c r="S173" s="273"/>
      <c r="T173" s="74">
        <v>53</v>
      </c>
      <c r="U173" s="273"/>
      <c r="V173" s="273"/>
      <c r="W173" s="74">
        <v>16</v>
      </c>
      <c r="X173" s="840">
        <v>84.535565854509841</v>
      </c>
      <c r="Y173" s="840">
        <v>26.120645431626567</v>
      </c>
      <c r="Z173" s="840"/>
      <c r="AO173" s="273"/>
      <c r="AP173" s="273"/>
      <c r="AQ173" s="273"/>
      <c r="AR173" s="273"/>
      <c r="AS173" s="273"/>
      <c r="AT173" s="273"/>
      <c r="AU173" s="273"/>
      <c r="AW173" s="273"/>
    </row>
    <row r="174" spans="1:50" s="224" customFormat="1" x14ac:dyDescent="0.25">
      <c r="A174" s="350"/>
      <c r="B174" s="317"/>
      <c r="C174" s="318">
        <v>5</v>
      </c>
      <c r="D174" s="83" t="s">
        <v>424</v>
      </c>
      <c r="E174" s="242">
        <v>21</v>
      </c>
      <c r="F174" s="242">
        <v>23</v>
      </c>
      <c r="G174" s="77" t="s">
        <v>100</v>
      </c>
      <c r="H174" s="74">
        <f t="shared" si="113"/>
        <v>95.402298850574709</v>
      </c>
      <c r="I174" s="74">
        <f t="shared" si="112"/>
        <v>2194.2528735632181</v>
      </c>
      <c r="J174" s="74">
        <f t="shared" si="114"/>
        <v>29.411764705882355</v>
      </c>
      <c r="K174" s="74">
        <f t="shared" si="108"/>
        <v>676.47058823529414</v>
      </c>
      <c r="L174" s="72">
        <f t="shared" si="109"/>
        <v>2870.7234617985123</v>
      </c>
      <c r="M174" s="74">
        <f t="shared" si="111"/>
        <v>127.36075463787766</v>
      </c>
      <c r="N174" s="74">
        <f t="shared" si="111"/>
        <v>39.264300685667465</v>
      </c>
      <c r="O174" s="72">
        <f t="shared" si="99"/>
        <v>166.62505532354513</v>
      </c>
      <c r="P174" s="205">
        <f t="shared" si="100"/>
        <v>3832.3762724415378</v>
      </c>
      <c r="Q174" s="272">
        <f>L174/$P$264*$P$272</f>
        <v>3965.6642696816061</v>
      </c>
      <c r="R174" s="439">
        <f t="shared" si="101"/>
        <v>-133.28799724006831</v>
      </c>
      <c r="S174" s="273"/>
      <c r="T174" s="74">
        <v>83</v>
      </c>
      <c r="U174" s="273"/>
      <c r="V174" s="273"/>
      <c r="W174" s="74">
        <v>25</v>
      </c>
      <c r="X174" s="840">
        <v>132.38588614951539</v>
      </c>
      <c r="Y174" s="840">
        <v>40.813508486916511</v>
      </c>
      <c r="Z174" s="840"/>
      <c r="AO174" s="900" t="s">
        <v>351</v>
      </c>
      <c r="AP174" s="900"/>
      <c r="AQ174" s="900"/>
      <c r="AR174" s="824" t="s">
        <v>243</v>
      </c>
      <c r="AS174" s="824" t="s">
        <v>244</v>
      </c>
      <c r="AT174" s="824" t="s">
        <v>245</v>
      </c>
      <c r="AU174" s="123" t="s">
        <v>246</v>
      </c>
      <c r="AV174" s="196" t="s">
        <v>247</v>
      </c>
      <c r="AW174" s="824" t="s">
        <v>248</v>
      </c>
      <c r="AX174" s="212" t="s">
        <v>249</v>
      </c>
    </row>
    <row r="175" spans="1:50" s="224" customFormat="1" x14ac:dyDescent="0.25">
      <c r="A175" s="350"/>
      <c r="B175" s="319"/>
      <c r="C175" s="318">
        <v>6</v>
      </c>
      <c r="D175" s="83" t="s">
        <v>425</v>
      </c>
      <c r="E175" s="242">
        <v>24</v>
      </c>
      <c r="F175" s="242">
        <v>27</v>
      </c>
      <c r="G175" s="77" t="s">
        <v>100</v>
      </c>
      <c r="H175" s="74">
        <f t="shared" si="113"/>
        <v>149.42528735632183</v>
      </c>
      <c r="I175" s="74">
        <f t="shared" si="112"/>
        <v>4034.4827586206893</v>
      </c>
      <c r="J175" s="74">
        <f t="shared" si="114"/>
        <v>45.882352941176471</v>
      </c>
      <c r="K175" s="74">
        <f t="shared" si="108"/>
        <v>1238.8235294117646</v>
      </c>
      <c r="L175" s="72">
        <f t="shared" si="109"/>
        <v>5273.3062880324542</v>
      </c>
      <c r="M175" s="74">
        <f t="shared" si="111"/>
        <v>199.48070003523006</v>
      </c>
      <c r="N175" s="74">
        <f t="shared" si="111"/>
        <v>61.252309069641242</v>
      </c>
      <c r="O175" s="72">
        <f t="shared" si="99"/>
        <v>260.73300910487131</v>
      </c>
      <c r="P175" s="205">
        <f t="shared" si="100"/>
        <v>7039.7912458315259</v>
      </c>
      <c r="Q175" s="272">
        <f>L175/$P$264*$P$272</f>
        <v>7284.63142055353</v>
      </c>
      <c r="R175" s="439">
        <f t="shared" si="101"/>
        <v>-244.84017472200412</v>
      </c>
      <c r="S175" s="273"/>
      <c r="T175" s="74">
        <v>130</v>
      </c>
      <c r="U175" s="273"/>
      <c r="V175" s="273"/>
      <c r="W175" s="74">
        <v>39</v>
      </c>
      <c r="X175" s="840">
        <v>207.3513879450241</v>
      </c>
      <c r="Y175" s="840">
        <v>63.669073239589757</v>
      </c>
      <c r="Z175" s="840"/>
      <c r="AO175" s="878" t="s">
        <v>352</v>
      </c>
      <c r="AP175" s="878"/>
      <c r="AQ175" s="878"/>
      <c r="AR175" s="124" t="s">
        <v>251</v>
      </c>
      <c r="AS175" s="823">
        <v>8.33</v>
      </c>
      <c r="AT175" s="823">
        <v>9</v>
      </c>
      <c r="AU175" s="123">
        <f>130/1.06</f>
        <v>122.64150943396226</v>
      </c>
      <c r="AV175" s="196">
        <f>AU175*AT175</f>
        <v>1103.7735849056603</v>
      </c>
      <c r="AW175" s="823">
        <f>AH132</f>
        <v>23.9</v>
      </c>
      <c r="AX175" s="219">
        <f>AW175*AT175</f>
        <v>215.1</v>
      </c>
    </row>
    <row r="176" spans="1:50" s="224" customFormat="1" x14ac:dyDescent="0.25">
      <c r="A176" s="350"/>
      <c r="B176" s="317"/>
      <c r="C176" s="318">
        <v>7</v>
      </c>
      <c r="D176" s="83" t="s">
        <v>426</v>
      </c>
      <c r="E176" s="242">
        <v>9</v>
      </c>
      <c r="F176" s="242">
        <v>11</v>
      </c>
      <c r="G176" s="77" t="s">
        <v>100</v>
      </c>
      <c r="H176" s="74">
        <f t="shared" si="113"/>
        <v>218.39080459770116</v>
      </c>
      <c r="I176" s="74">
        <f t="shared" si="112"/>
        <v>2402.2988505747126</v>
      </c>
      <c r="J176" s="74">
        <f t="shared" si="114"/>
        <v>67.058823529411768</v>
      </c>
      <c r="K176" s="74">
        <f t="shared" si="108"/>
        <v>737.64705882352951</v>
      </c>
      <c r="L176" s="72">
        <f t="shared" si="109"/>
        <v>3139.9459093982423</v>
      </c>
      <c r="M176" s="74">
        <f t="shared" si="111"/>
        <v>291.54871543610551</v>
      </c>
      <c r="N176" s="74">
        <f t="shared" si="111"/>
        <v>89.522605563321804</v>
      </c>
      <c r="O176" s="72">
        <f t="shared" si="99"/>
        <v>381.07132099942731</v>
      </c>
      <c r="P176" s="205">
        <f t="shared" si="100"/>
        <v>4191.7845309937002</v>
      </c>
      <c r="Q176" s="272">
        <f>L176/$P$264*$P$272</f>
        <v>4337.5725552583699</v>
      </c>
      <c r="R176" s="439">
        <f t="shared" si="101"/>
        <v>-145.78802426466973</v>
      </c>
      <c r="S176" s="273"/>
      <c r="T176" s="74">
        <v>190</v>
      </c>
      <c r="U176" s="273"/>
      <c r="V176" s="273"/>
      <c r="W176" s="74">
        <v>57</v>
      </c>
      <c r="X176" s="840">
        <v>303.05202853503522</v>
      </c>
      <c r="Y176" s="840">
        <v>93.054799350169645</v>
      </c>
      <c r="Z176" s="840"/>
      <c r="AO176" s="878" t="s">
        <v>252</v>
      </c>
      <c r="AP176" s="878"/>
      <c r="AQ176" s="878"/>
      <c r="AR176" s="124" t="s">
        <v>253</v>
      </c>
      <c r="AS176" s="823">
        <v>0.25</v>
      </c>
      <c r="AT176" s="823">
        <v>0.25</v>
      </c>
      <c r="AU176" s="123">
        <f>260/1.06</f>
        <v>245.28301886792451</v>
      </c>
      <c r="AV176" s="196">
        <f>AU176*AT176</f>
        <v>61.320754716981128</v>
      </c>
      <c r="AW176" s="823"/>
      <c r="AX176" s="219">
        <f>AW176*AT176</f>
        <v>0</v>
      </c>
    </row>
    <row r="177" spans="1:50" s="224" customFormat="1" x14ac:dyDescent="0.25">
      <c r="A177" s="350"/>
      <c r="B177" s="317"/>
      <c r="C177" s="318">
        <v>8</v>
      </c>
      <c r="D177" s="83" t="s">
        <v>427</v>
      </c>
      <c r="E177" s="242">
        <v>34</v>
      </c>
      <c r="F177" s="242">
        <v>47</v>
      </c>
      <c r="G177" s="77" t="s">
        <v>100</v>
      </c>
      <c r="H177" s="74">
        <f t="shared" si="113"/>
        <v>356.32183908045977</v>
      </c>
      <c r="I177" s="74">
        <f t="shared" si="112"/>
        <v>16747.126436781607</v>
      </c>
      <c r="J177" s="74">
        <f t="shared" si="114"/>
        <v>109.41176470588236</v>
      </c>
      <c r="K177" s="74">
        <f t="shared" si="108"/>
        <v>5142.3529411764712</v>
      </c>
      <c r="L177" s="72">
        <f t="shared" si="109"/>
        <v>21889.47937795808</v>
      </c>
      <c r="M177" s="74">
        <f t="shared" si="111"/>
        <v>475.68474623785636</v>
      </c>
      <c r="N177" s="74">
        <f t="shared" si="111"/>
        <v>146.06319855068296</v>
      </c>
      <c r="O177" s="72">
        <f t="shared" si="99"/>
        <v>621.74794478853937</v>
      </c>
      <c r="P177" s="205">
        <f t="shared" si="100"/>
        <v>29222.153405061352</v>
      </c>
      <c r="Q177" s="272">
        <f>L177/$P$264*$P$272</f>
        <v>30238.484272782036</v>
      </c>
      <c r="R177" s="439">
        <f t="shared" si="101"/>
        <v>-1016.3308677206842</v>
      </c>
      <c r="S177" s="273"/>
      <c r="T177" s="74">
        <v>310</v>
      </c>
      <c r="U177" s="273"/>
      <c r="V177" s="273"/>
      <c r="W177" s="74">
        <v>93</v>
      </c>
      <c r="X177" s="840">
        <v>494.45330971505751</v>
      </c>
      <c r="Y177" s="840">
        <v>151.82625157132941</v>
      </c>
      <c r="Z177" s="840"/>
      <c r="AO177" s="878" t="s">
        <v>254</v>
      </c>
      <c r="AP177" s="878"/>
      <c r="AQ177" s="878"/>
      <c r="AR177" s="124" t="s">
        <v>255</v>
      </c>
      <c r="AS177" s="823">
        <v>0.25</v>
      </c>
      <c r="AT177" s="823">
        <v>0.35</v>
      </c>
      <c r="AU177" s="123">
        <f>37/1.06</f>
        <v>34.905660377358487</v>
      </c>
      <c r="AV177" s="196">
        <f>AU177*AT177</f>
        <v>12.216981132075469</v>
      </c>
      <c r="AW177" s="823"/>
      <c r="AX177" s="219">
        <f>AW177*AT177</f>
        <v>0</v>
      </c>
    </row>
    <row r="178" spans="1:50" s="224" customFormat="1" x14ac:dyDescent="0.25">
      <c r="A178" s="350"/>
      <c r="B178" s="317"/>
      <c r="C178" s="318">
        <v>9</v>
      </c>
      <c r="D178" s="83" t="s">
        <v>428</v>
      </c>
      <c r="E178" s="242">
        <v>27</v>
      </c>
      <c r="F178" s="242">
        <v>37</v>
      </c>
      <c r="G178" s="77" t="s">
        <v>100</v>
      </c>
      <c r="H178" s="74">
        <f t="shared" si="113"/>
        <v>1018.3908045977012</v>
      </c>
      <c r="I178" s="74">
        <f t="shared" si="112"/>
        <v>37680.45977011494</v>
      </c>
      <c r="J178" s="74">
        <f t="shared" si="114"/>
        <v>311.76470588235293</v>
      </c>
      <c r="K178" s="74">
        <f t="shared" si="108"/>
        <v>11535.294117647058</v>
      </c>
      <c r="L178" s="72">
        <f t="shared" si="109"/>
        <v>49215.753887761995</v>
      </c>
      <c r="M178" s="74">
        <f t="shared" si="111"/>
        <v>1359.5376940862602</v>
      </c>
      <c r="N178" s="74">
        <f t="shared" si="111"/>
        <v>416.20158726807512</v>
      </c>
      <c r="O178" s="72">
        <f t="shared" si="99"/>
        <v>1775.7392813543354</v>
      </c>
      <c r="P178" s="205">
        <f t="shared" si="100"/>
        <v>65702.353410110416</v>
      </c>
      <c r="Q178" s="272">
        <f>L178/$P$264*$P$272</f>
        <v>67987.446124770606</v>
      </c>
      <c r="R178" s="439">
        <f t="shared" si="101"/>
        <v>-2285.0927146601898</v>
      </c>
      <c r="S178" s="273"/>
      <c r="T178" s="74">
        <v>886</v>
      </c>
      <c r="U178" s="273"/>
      <c r="V178" s="273"/>
      <c r="W178" s="74">
        <v>265</v>
      </c>
      <c r="X178" s="840">
        <v>1413.1794593791642</v>
      </c>
      <c r="Y178" s="840">
        <v>432.62318996131501</v>
      </c>
      <c r="Z178" s="840"/>
      <c r="AO178" s="878" t="s">
        <v>256</v>
      </c>
      <c r="AP178" s="878"/>
      <c r="AQ178" s="878"/>
      <c r="AR178" s="124" t="s">
        <v>257</v>
      </c>
      <c r="AS178" s="823">
        <v>1</v>
      </c>
      <c r="AT178" s="823">
        <v>1</v>
      </c>
      <c r="AU178" s="123">
        <v>0</v>
      </c>
      <c r="AV178" s="196">
        <f>AU178*AT178</f>
        <v>0</v>
      </c>
      <c r="AW178" s="823">
        <v>0</v>
      </c>
      <c r="AX178" s="219">
        <f>AW178*AT178</f>
        <v>0</v>
      </c>
    </row>
    <row r="179" spans="1:50" s="224" customFormat="1" x14ac:dyDescent="0.25">
      <c r="A179" s="350"/>
      <c r="B179" s="317"/>
      <c r="C179" s="318">
        <v>10</v>
      </c>
      <c r="D179" s="83" t="s">
        <v>429</v>
      </c>
      <c r="E179" s="242">
        <v>102</v>
      </c>
      <c r="F179" s="242">
        <v>125</v>
      </c>
      <c r="G179" s="77" t="s">
        <v>100</v>
      </c>
      <c r="H179" s="74">
        <f t="shared" si="113"/>
        <v>1650.5747126436781</v>
      </c>
      <c r="I179" s="74">
        <f t="shared" si="112"/>
        <v>206321.83908045976</v>
      </c>
      <c r="J179" s="74">
        <f t="shared" si="114"/>
        <v>505.88235294117646</v>
      </c>
      <c r="K179" s="74">
        <f t="shared" si="108"/>
        <v>63235.294117647056</v>
      </c>
      <c r="L179" s="72">
        <f t="shared" si="109"/>
        <v>269557.13319810684</v>
      </c>
      <c r="M179" s="74">
        <f t="shared" si="111"/>
        <v>2203.4945019276183</v>
      </c>
      <c r="N179" s="74">
        <f t="shared" si="111"/>
        <v>675.34597179348032</v>
      </c>
      <c r="O179" s="72">
        <f t="shared" si="99"/>
        <v>2878.8404737210985</v>
      </c>
      <c r="P179" s="205">
        <f t="shared" si="100"/>
        <v>359855.05921513733</v>
      </c>
      <c r="Q179" s="272">
        <f>L179/$P$264*$P$272</f>
        <v>372370.62572785211</v>
      </c>
      <c r="R179" s="439">
        <f t="shared" si="101"/>
        <v>-12515.56651271478</v>
      </c>
      <c r="S179" s="273"/>
      <c r="T179" s="74">
        <v>1436</v>
      </c>
      <c r="U179" s="273"/>
      <c r="V179" s="273"/>
      <c r="W179" s="74">
        <v>430</v>
      </c>
      <c r="X179" s="840">
        <v>2290.4353314542664</v>
      </c>
      <c r="Y179" s="840">
        <v>701.992345974964</v>
      </c>
      <c r="Z179" s="840"/>
      <c r="AO179" s="126"/>
      <c r="AP179" s="126"/>
      <c r="AQ179" s="126"/>
      <c r="AR179" s="126"/>
      <c r="AS179" s="823"/>
      <c r="AT179" s="823"/>
      <c r="AU179" s="123"/>
      <c r="AV179" s="212">
        <f>SUM(AV175:AV178)</f>
        <v>1177.3113207547169</v>
      </c>
      <c r="AW179" s="824"/>
      <c r="AX179" s="212">
        <f>SUM(AX175:AX178)</f>
        <v>215.1</v>
      </c>
    </row>
    <row r="180" spans="1:50" s="224" customFormat="1" x14ac:dyDescent="0.25">
      <c r="A180" s="350"/>
      <c r="B180" s="317"/>
      <c r="C180" s="318"/>
      <c r="D180" s="83"/>
      <c r="E180" s="242"/>
      <c r="F180" s="242"/>
      <c r="G180" s="77"/>
      <c r="H180" s="74"/>
      <c r="I180" s="74"/>
      <c r="J180" s="74"/>
      <c r="K180" s="74"/>
      <c r="L180" s="72"/>
      <c r="M180" s="74"/>
      <c r="N180" s="74"/>
      <c r="O180" s="72"/>
      <c r="P180" s="205"/>
      <c r="Q180" s="272"/>
      <c r="R180" s="439"/>
      <c r="S180" s="273"/>
      <c r="T180" s="74"/>
      <c r="U180" s="273"/>
      <c r="V180" s="273"/>
      <c r="W180" s="74"/>
      <c r="X180" s="840"/>
      <c r="Y180" s="840"/>
      <c r="Z180" s="840"/>
      <c r="AA180" s="835"/>
      <c r="AB180" s="835"/>
      <c r="AC180" s="835"/>
      <c r="AD180" s="835"/>
      <c r="AE180" s="835"/>
      <c r="AF180" s="835"/>
      <c r="AG180" s="835"/>
      <c r="AH180" s="835"/>
      <c r="AI180" s="737"/>
      <c r="AJ180" s="687"/>
      <c r="AK180" s="687"/>
      <c r="AL180" s="687"/>
      <c r="AM180" s="687"/>
      <c r="AN180" s="687"/>
      <c r="AO180" s="273"/>
      <c r="AP180" s="273"/>
      <c r="AQ180" s="273"/>
      <c r="AR180" s="273"/>
      <c r="AS180" s="273"/>
      <c r="AT180" s="273"/>
      <c r="AU180" s="273"/>
      <c r="AW180" s="273"/>
    </row>
    <row r="181" spans="1:50" s="224" customFormat="1" x14ac:dyDescent="0.25">
      <c r="A181" s="350"/>
      <c r="B181" s="412" t="s">
        <v>321</v>
      </c>
      <c r="C181" s="413" t="s">
        <v>431</v>
      </c>
      <c r="D181" s="316"/>
      <c r="E181" s="244"/>
      <c r="F181" s="302"/>
      <c r="G181" s="75"/>
      <c r="H181" s="74"/>
      <c r="I181" s="74"/>
      <c r="J181" s="74"/>
      <c r="K181" s="74"/>
      <c r="L181" s="74"/>
      <c r="M181" s="74"/>
      <c r="N181" s="74"/>
      <c r="O181" s="72"/>
      <c r="P181" s="205"/>
      <c r="Q181" s="272"/>
      <c r="R181" s="439"/>
      <c r="S181" s="273"/>
      <c r="T181" s="74"/>
      <c r="W181" s="74"/>
      <c r="X181" s="840"/>
      <c r="Y181" s="840"/>
      <c r="Z181" s="840"/>
      <c r="AO181" s="273"/>
      <c r="AP181" s="273"/>
      <c r="AQ181" s="273"/>
      <c r="AR181" s="273"/>
      <c r="AS181" s="273"/>
      <c r="AT181" s="273"/>
      <c r="AU181" s="273"/>
      <c r="AW181" s="273"/>
    </row>
    <row r="182" spans="1:50" s="224" customFormat="1" x14ac:dyDescent="0.25">
      <c r="A182" s="350"/>
      <c r="B182" s="317"/>
      <c r="C182" s="318">
        <v>1</v>
      </c>
      <c r="D182" s="83" t="s">
        <v>432</v>
      </c>
      <c r="E182" s="242">
        <v>24</v>
      </c>
      <c r="F182" s="242">
        <v>24</v>
      </c>
      <c r="G182" s="77" t="s">
        <v>28</v>
      </c>
      <c r="H182" s="74">
        <f t="shared" ref="H182:H188" si="115">T182/$H$169</f>
        <v>108.04597701149426</v>
      </c>
      <c r="I182" s="74">
        <f>F182*H182</f>
        <v>2593.1034482758623</v>
      </c>
      <c r="J182" s="74">
        <f t="shared" ref="J182:J188" si="116">W182/$J$169</f>
        <v>44.705882352941181</v>
      </c>
      <c r="K182" s="74">
        <f t="shared" ref="K182:K188" si="117">F182*J182</f>
        <v>1072.9411764705883</v>
      </c>
      <c r="L182" s="72">
        <f t="shared" ref="L182:L188" si="118">I182+K182</f>
        <v>3666.0446247464506</v>
      </c>
      <c r="M182" s="74">
        <f t="shared" ref="M182:N188" si="119">X182/$S$217*$S$218</f>
        <v>144.23989079470482</v>
      </c>
      <c r="N182" s="74">
        <f t="shared" si="119"/>
        <v>59.68173704221455</v>
      </c>
      <c r="O182" s="72">
        <f t="shared" si="99"/>
        <v>203.92162783691936</v>
      </c>
      <c r="P182" s="205">
        <f t="shared" si="100"/>
        <v>4894.1190680860645</v>
      </c>
      <c r="Q182" s="272">
        <f>L182/$P$264*$P$272</f>
        <v>5064.333911949514</v>
      </c>
      <c r="R182" s="439">
        <f t="shared" si="101"/>
        <v>-170.21484386344946</v>
      </c>
      <c r="S182" s="273"/>
      <c r="T182" s="74">
        <v>94</v>
      </c>
      <c r="U182" s="273"/>
      <c r="V182" s="273"/>
      <c r="W182" s="74">
        <v>38</v>
      </c>
      <c r="X182" s="840">
        <v>149.93100359101743</v>
      </c>
      <c r="Y182" s="840">
        <v>62.036532900113102</v>
      </c>
      <c r="Z182" s="840"/>
      <c r="AO182" s="900" t="s">
        <v>351</v>
      </c>
      <c r="AP182" s="900"/>
      <c r="AQ182" s="900"/>
      <c r="AR182" s="824" t="s">
        <v>243</v>
      </c>
      <c r="AS182" s="824" t="s">
        <v>244</v>
      </c>
      <c r="AT182" s="824" t="s">
        <v>245</v>
      </c>
      <c r="AU182" s="123" t="s">
        <v>246</v>
      </c>
      <c r="AV182" s="123" t="s">
        <v>247</v>
      </c>
      <c r="AW182" s="824" t="s">
        <v>248</v>
      </c>
      <c r="AX182" s="824" t="s">
        <v>249</v>
      </c>
    </row>
    <row r="183" spans="1:50" s="224" customFormat="1" x14ac:dyDescent="0.25">
      <c r="A183" s="350"/>
      <c r="B183" s="317"/>
      <c r="C183" s="318">
        <v>2</v>
      </c>
      <c r="D183" s="83" t="s">
        <v>433</v>
      </c>
      <c r="E183" s="242">
        <v>6</v>
      </c>
      <c r="F183" s="242">
        <v>6</v>
      </c>
      <c r="G183" s="77" t="s">
        <v>28</v>
      </c>
      <c r="H183" s="74">
        <f t="shared" si="115"/>
        <v>163.2183908045977</v>
      </c>
      <c r="I183" s="74">
        <f t="shared" ref="I183:I185" si="120">F183*H183</f>
        <v>979.31034482758628</v>
      </c>
      <c r="J183" s="74">
        <f t="shared" si="116"/>
        <v>52.941176470588239</v>
      </c>
      <c r="K183" s="74">
        <f t="shared" si="117"/>
        <v>317.64705882352945</v>
      </c>
      <c r="L183" s="72">
        <f t="shared" si="118"/>
        <v>1296.9574036511158</v>
      </c>
      <c r="M183" s="74">
        <f t="shared" si="119"/>
        <v>217.89430311540519</v>
      </c>
      <c r="N183" s="74">
        <f t="shared" si="119"/>
        <v>70.675741234201439</v>
      </c>
      <c r="O183" s="72">
        <f t="shared" si="99"/>
        <v>288.57004434960663</v>
      </c>
      <c r="P183" s="205">
        <f t="shared" si="100"/>
        <v>1731.4202660976398</v>
      </c>
      <c r="Q183" s="272">
        <f>L183/$P$264*$P$272</f>
        <v>1791.6381370067497</v>
      </c>
      <c r="R183" s="439">
        <f t="shared" si="101"/>
        <v>-60.217870909109934</v>
      </c>
      <c r="S183" s="273"/>
      <c r="T183" s="74">
        <v>142</v>
      </c>
      <c r="U183" s="273"/>
      <c r="V183" s="273"/>
      <c r="W183" s="74">
        <v>45</v>
      </c>
      <c r="X183" s="840">
        <v>226.49151606302635</v>
      </c>
      <c r="Y183" s="840">
        <v>73.464315276449724</v>
      </c>
      <c r="Z183" s="840"/>
      <c r="AO183" s="878" t="s">
        <v>353</v>
      </c>
      <c r="AP183" s="878"/>
      <c r="AQ183" s="878"/>
      <c r="AR183" s="124" t="s">
        <v>251</v>
      </c>
      <c r="AS183" s="823">
        <v>8.33</v>
      </c>
      <c r="AT183" s="823">
        <v>9</v>
      </c>
      <c r="AU183" s="123">
        <f>143/1.06</f>
        <v>134.90566037735849</v>
      </c>
      <c r="AV183" s="123">
        <f>AU183*AT183</f>
        <v>1214.1509433962265</v>
      </c>
      <c r="AW183" s="823">
        <f>AW175</f>
        <v>23.9</v>
      </c>
      <c r="AX183" s="219">
        <f>AW183*AT183</f>
        <v>215.1</v>
      </c>
    </row>
    <row r="184" spans="1:50" s="224" customFormat="1" x14ac:dyDescent="0.25">
      <c r="A184" s="350"/>
      <c r="B184" s="317"/>
      <c r="C184" s="318">
        <v>3</v>
      </c>
      <c r="D184" s="83" t="s">
        <v>434</v>
      </c>
      <c r="E184" s="242">
        <v>3</v>
      </c>
      <c r="F184" s="242">
        <v>3</v>
      </c>
      <c r="G184" s="77" t="s">
        <v>28</v>
      </c>
      <c r="H184" s="74">
        <f t="shared" si="115"/>
        <v>235.63218390804599</v>
      </c>
      <c r="I184" s="74">
        <f t="shared" si="120"/>
        <v>706.89655172413791</v>
      </c>
      <c r="J184" s="74">
        <f t="shared" si="116"/>
        <v>72.941176470588232</v>
      </c>
      <c r="K184" s="74">
        <f t="shared" si="117"/>
        <v>218.8235294117647</v>
      </c>
      <c r="L184" s="72">
        <f t="shared" si="118"/>
        <v>925.72008113590255</v>
      </c>
      <c r="M184" s="74">
        <f t="shared" si="119"/>
        <v>314.56571928632439</v>
      </c>
      <c r="N184" s="74">
        <f t="shared" si="119"/>
        <v>97.375465700455308</v>
      </c>
      <c r="O184" s="72">
        <f t="shared" si="99"/>
        <v>411.94118498677972</v>
      </c>
      <c r="P184" s="205">
        <f t="shared" si="100"/>
        <v>1235.8235549603392</v>
      </c>
      <c r="Q184" s="272">
        <f>L184/$P$264*$P$272</f>
        <v>1278.8048372961218</v>
      </c>
      <c r="R184" s="439">
        <f t="shared" si="101"/>
        <v>-42.98128233578268</v>
      </c>
      <c r="S184" s="273"/>
      <c r="T184" s="74">
        <v>205</v>
      </c>
      <c r="U184" s="273"/>
      <c r="V184" s="273"/>
      <c r="W184" s="74">
        <v>62</v>
      </c>
      <c r="X184" s="840">
        <v>326.97718868253804</v>
      </c>
      <c r="Y184" s="840">
        <v>101.21750104755294</v>
      </c>
      <c r="Z184" s="840"/>
      <c r="AA184" s="273"/>
      <c r="AB184" s="273"/>
      <c r="AC184" s="273"/>
      <c r="AD184" s="273"/>
      <c r="AE184" s="273"/>
      <c r="AF184" s="273"/>
      <c r="AH184" s="273"/>
      <c r="AJ184" s="738"/>
      <c r="AO184" s="878" t="s">
        <v>252</v>
      </c>
      <c r="AP184" s="878"/>
      <c r="AQ184" s="878"/>
      <c r="AR184" s="124" t="s">
        <v>253</v>
      </c>
      <c r="AS184" s="823">
        <v>0.25</v>
      </c>
      <c r="AT184" s="823">
        <v>0.25</v>
      </c>
      <c r="AU184" s="123">
        <f>260/1.06</f>
        <v>245.28301886792451</v>
      </c>
      <c r="AV184" s="123">
        <f>AU184*AT184</f>
        <v>61.320754716981128</v>
      </c>
      <c r="AW184" s="823"/>
      <c r="AX184" s="219">
        <f>AW184*AT184</f>
        <v>0</v>
      </c>
    </row>
    <row r="185" spans="1:50" s="224" customFormat="1" x14ac:dyDescent="0.25">
      <c r="A185" s="350"/>
      <c r="B185" s="317"/>
      <c r="C185" s="318">
        <v>4</v>
      </c>
      <c r="D185" s="83" t="s">
        <v>435</v>
      </c>
      <c r="E185" s="242">
        <v>4</v>
      </c>
      <c r="F185" s="242">
        <v>4</v>
      </c>
      <c r="G185" s="77" t="s">
        <v>28</v>
      </c>
      <c r="H185" s="74">
        <f t="shared" si="115"/>
        <v>168.9655172413793</v>
      </c>
      <c r="I185" s="74">
        <f t="shared" si="120"/>
        <v>675.86206896551721</v>
      </c>
      <c r="J185" s="74">
        <f t="shared" si="116"/>
        <v>51.764705882352942</v>
      </c>
      <c r="K185" s="74">
        <f t="shared" si="117"/>
        <v>207.05882352941177</v>
      </c>
      <c r="L185" s="72">
        <f t="shared" si="118"/>
        <v>882.92089249492892</v>
      </c>
      <c r="M185" s="74">
        <f t="shared" si="119"/>
        <v>225.56663773214478</v>
      </c>
      <c r="N185" s="74">
        <f t="shared" si="119"/>
        <v>69.105169206774733</v>
      </c>
      <c r="O185" s="72">
        <f t="shared" si="99"/>
        <v>294.67180693891953</v>
      </c>
      <c r="P185" s="205">
        <f t="shared" si="100"/>
        <v>1178.6872277556781</v>
      </c>
      <c r="Q185" s="272">
        <f>L185/$P$264*$P$272</f>
        <v>1219.6813391872035</v>
      </c>
      <c r="R185" s="439">
        <f t="shared" si="101"/>
        <v>-40.994111431525425</v>
      </c>
      <c r="S185" s="273"/>
      <c r="T185" s="74">
        <v>147</v>
      </c>
      <c r="U185" s="273"/>
      <c r="V185" s="273"/>
      <c r="W185" s="74">
        <v>44</v>
      </c>
      <c r="X185" s="840">
        <v>234.46656944552726</v>
      </c>
      <c r="Y185" s="840">
        <v>71.831774936973062</v>
      </c>
      <c r="Z185" s="840"/>
      <c r="AA185" s="273"/>
      <c r="AB185" s="273"/>
      <c r="AC185" s="273"/>
      <c r="AD185" s="273"/>
      <c r="AE185" s="273"/>
      <c r="AF185" s="273"/>
      <c r="AH185" s="273"/>
      <c r="AO185" s="878" t="s">
        <v>254</v>
      </c>
      <c r="AP185" s="878"/>
      <c r="AQ185" s="878"/>
      <c r="AR185" s="124" t="s">
        <v>255</v>
      </c>
      <c r="AS185" s="823">
        <v>0.25</v>
      </c>
      <c r="AT185" s="823">
        <v>0.35</v>
      </c>
      <c r="AU185" s="123">
        <f>37/1.06</f>
        <v>34.905660377358487</v>
      </c>
      <c r="AV185" s="123">
        <f>AU185*AT185</f>
        <v>12.216981132075469</v>
      </c>
      <c r="AW185" s="823"/>
      <c r="AX185" s="219">
        <f>AW185*AT185</f>
        <v>0</v>
      </c>
    </row>
    <row r="186" spans="1:50" s="224" customFormat="1" x14ac:dyDescent="0.25">
      <c r="A186" s="350"/>
      <c r="B186" s="317"/>
      <c r="C186" s="318">
        <v>5</v>
      </c>
      <c r="D186" s="83" t="s">
        <v>436</v>
      </c>
      <c r="E186" s="242">
        <v>104</v>
      </c>
      <c r="F186" s="242">
        <v>104</v>
      </c>
      <c r="G186" s="77" t="s">
        <v>28</v>
      </c>
      <c r="H186" s="74">
        <f t="shared" si="115"/>
        <v>275.86206896551727</v>
      </c>
      <c r="I186" s="74">
        <f>F186*H186</f>
        <v>28689.655172413797</v>
      </c>
      <c r="J186" s="74">
        <f t="shared" si="116"/>
        <v>84.705882352941174</v>
      </c>
      <c r="K186" s="74">
        <f t="shared" si="117"/>
        <v>8809.4117647058829</v>
      </c>
      <c r="L186" s="72">
        <f t="shared" si="118"/>
        <v>37499.066937119678</v>
      </c>
      <c r="M186" s="74">
        <f t="shared" si="119"/>
        <v>368.27206160350175</v>
      </c>
      <c r="N186" s="74">
        <f t="shared" si="119"/>
        <v>113.08118597472229</v>
      </c>
      <c r="O186" s="72">
        <f t="shared" si="99"/>
        <v>481.35324757822406</v>
      </c>
      <c r="P186" s="205">
        <f t="shared" si="100"/>
        <v>50060.737748135303</v>
      </c>
      <c r="Q186" s="272">
        <f>L186/$P$264*$P$272</f>
        <v>51801.823435047329</v>
      </c>
      <c r="R186" s="439">
        <f t="shared" si="101"/>
        <v>-1741.0856869120253</v>
      </c>
      <c r="S186" s="273"/>
      <c r="T186" s="74">
        <v>240</v>
      </c>
      <c r="U186" s="273"/>
      <c r="V186" s="273"/>
      <c r="W186" s="74">
        <v>72</v>
      </c>
      <c r="X186" s="840">
        <v>382.80256236004453</v>
      </c>
      <c r="Y186" s="840">
        <v>117.54290444231955</v>
      </c>
      <c r="Z186" s="840"/>
      <c r="AO186" s="878" t="s">
        <v>256</v>
      </c>
      <c r="AP186" s="878"/>
      <c r="AQ186" s="878"/>
      <c r="AR186" s="124" t="s">
        <v>257</v>
      </c>
      <c r="AS186" s="823">
        <v>1</v>
      </c>
      <c r="AT186" s="823">
        <v>1</v>
      </c>
      <c r="AU186" s="123">
        <f>BA108</f>
        <v>0</v>
      </c>
      <c r="AV186" s="123">
        <f>AU186*AT186</f>
        <v>0</v>
      </c>
      <c r="AW186" s="823"/>
      <c r="AX186" s="219">
        <f>AW186*AT186</f>
        <v>0</v>
      </c>
    </row>
    <row r="187" spans="1:50" s="224" customFormat="1" x14ac:dyDescent="0.25">
      <c r="A187" s="350"/>
      <c r="B187" s="317"/>
      <c r="C187" s="318">
        <v>6</v>
      </c>
      <c r="D187" s="83" t="s">
        <v>437</v>
      </c>
      <c r="E187" s="242">
        <v>5</v>
      </c>
      <c r="F187" s="242">
        <v>5</v>
      </c>
      <c r="G187" s="77" t="s">
        <v>28</v>
      </c>
      <c r="H187" s="74">
        <f t="shared" si="115"/>
        <v>180.45977011494253</v>
      </c>
      <c r="I187" s="74">
        <f t="shared" ref="I187:I188" si="121">F187*H187</f>
        <v>902.29885057471267</v>
      </c>
      <c r="J187" s="74">
        <f t="shared" si="116"/>
        <v>55.294117647058826</v>
      </c>
      <c r="K187" s="74">
        <f t="shared" si="117"/>
        <v>276.47058823529414</v>
      </c>
      <c r="L187" s="72">
        <f t="shared" si="118"/>
        <v>1178.7694388100067</v>
      </c>
      <c r="M187" s="74">
        <f t="shared" si="119"/>
        <v>240.91130696562405</v>
      </c>
      <c r="N187" s="74">
        <f t="shared" si="119"/>
        <v>73.816885289054824</v>
      </c>
      <c r="O187" s="72">
        <f t="shared" si="99"/>
        <v>314.7281922546789</v>
      </c>
      <c r="P187" s="205">
        <f t="shared" si="100"/>
        <v>1573.6409612733946</v>
      </c>
      <c r="Q187" s="272">
        <f>L187/$P$264*$P$272</f>
        <v>1628.3713523394676</v>
      </c>
      <c r="R187" s="439">
        <f t="shared" si="101"/>
        <v>-54.730391066073025</v>
      </c>
      <c r="S187" s="273"/>
      <c r="T187" s="74">
        <v>157</v>
      </c>
      <c r="U187" s="273"/>
      <c r="V187" s="273"/>
      <c r="W187" s="74">
        <v>47</v>
      </c>
      <c r="X187" s="840">
        <v>250.41667621052912</v>
      </c>
      <c r="Y187" s="840">
        <v>76.729395955403049</v>
      </c>
      <c r="Z187" s="840"/>
      <c r="AO187" s="126"/>
      <c r="AP187" s="126"/>
      <c r="AQ187" s="126"/>
      <c r="AR187" s="126"/>
      <c r="AS187" s="823"/>
      <c r="AT187" s="823"/>
      <c r="AU187" s="123"/>
      <c r="AV187" s="212">
        <f>SUM(AV183:AV186)</f>
        <v>1287.6886792452831</v>
      </c>
      <c r="AW187" s="824"/>
      <c r="AX187" s="212">
        <f>SUM(AX183:AX186)</f>
        <v>215.1</v>
      </c>
    </row>
    <row r="188" spans="1:50" s="224" customFormat="1" x14ac:dyDescent="0.25">
      <c r="A188" s="350"/>
      <c r="B188" s="317"/>
      <c r="C188" s="318">
        <v>7</v>
      </c>
      <c r="D188" s="83" t="s">
        <v>438</v>
      </c>
      <c r="E188" s="242">
        <v>10</v>
      </c>
      <c r="F188" s="242">
        <v>10</v>
      </c>
      <c r="G188" s="77" t="s">
        <v>28</v>
      </c>
      <c r="H188" s="74">
        <f t="shared" si="115"/>
        <v>758.62068965517244</v>
      </c>
      <c r="I188" s="74">
        <f t="shared" si="121"/>
        <v>7586.2068965517246</v>
      </c>
      <c r="J188" s="74">
        <f t="shared" si="116"/>
        <v>155.29411764705884</v>
      </c>
      <c r="K188" s="74">
        <f t="shared" si="117"/>
        <v>1552.9411764705883</v>
      </c>
      <c r="L188" s="72">
        <f t="shared" si="118"/>
        <v>9139.148073022312</v>
      </c>
      <c r="M188" s="74">
        <f t="shared" si="119"/>
        <v>1012.7481694096297</v>
      </c>
      <c r="N188" s="74">
        <f t="shared" si="119"/>
        <v>207.31550762032421</v>
      </c>
      <c r="O188" s="72">
        <f t="shared" si="99"/>
        <v>1220.0636770299539</v>
      </c>
      <c r="P188" s="205">
        <f t="shared" si="100"/>
        <v>12200.636770299538</v>
      </c>
      <c r="Q188" s="272">
        <f>L188/$P$264*$P$272</f>
        <v>12624.968392395387</v>
      </c>
      <c r="R188" s="439">
        <f t="shared" si="101"/>
        <v>-424.33162209584953</v>
      </c>
      <c r="S188" s="273"/>
      <c r="T188" s="74">
        <v>660</v>
      </c>
      <c r="U188" s="273"/>
      <c r="V188" s="273"/>
      <c r="W188" s="74">
        <v>132</v>
      </c>
      <c r="X188" s="840">
        <v>1052.7070464901224</v>
      </c>
      <c r="Y188" s="840">
        <v>215.49532481091919</v>
      </c>
      <c r="Z188" s="840"/>
      <c r="AA188" s="273"/>
      <c r="AB188" s="273"/>
      <c r="AC188" s="273"/>
      <c r="AD188" s="273"/>
      <c r="AE188" s="273"/>
      <c r="AF188" s="273"/>
      <c r="AH188" s="273"/>
      <c r="AJ188" s="738"/>
      <c r="AO188" s="338"/>
      <c r="AP188" s="338"/>
      <c r="AQ188" s="339"/>
      <c r="AR188" s="340"/>
      <c r="AS188" s="340"/>
      <c r="AT188" s="340"/>
      <c r="AU188" s="341"/>
      <c r="AV188" s="822"/>
      <c r="AW188" s="342"/>
      <c r="AX188" s="212"/>
    </row>
    <row r="189" spans="1:50" s="224" customFormat="1" x14ac:dyDescent="0.25">
      <c r="A189" s="350"/>
      <c r="B189" s="317"/>
      <c r="C189" s="318"/>
      <c r="D189" s="83"/>
      <c r="E189" s="242"/>
      <c r="F189" s="242"/>
      <c r="G189" s="77"/>
      <c r="H189" s="74"/>
      <c r="I189" s="74"/>
      <c r="J189" s="74"/>
      <c r="K189" s="74"/>
      <c r="L189" s="72"/>
      <c r="M189" s="74"/>
      <c r="N189" s="74"/>
      <c r="O189" s="72"/>
      <c r="P189" s="205"/>
      <c r="Q189" s="272"/>
      <c r="R189" s="439"/>
      <c r="S189" s="273"/>
      <c r="U189" s="273"/>
      <c r="V189" s="273"/>
      <c r="W189" s="74"/>
      <c r="X189" s="840"/>
      <c r="Y189" s="840"/>
      <c r="Z189" s="840"/>
      <c r="AA189" s="273"/>
      <c r="AB189" s="273"/>
      <c r="AC189" s="273"/>
      <c r="AD189" s="273"/>
      <c r="AE189" s="273"/>
      <c r="AF189" s="273"/>
      <c r="AH189" s="273"/>
      <c r="AJ189" s="738"/>
      <c r="AO189" s="905"/>
      <c r="AP189" s="905"/>
      <c r="AQ189" s="827"/>
      <c r="AR189" s="336"/>
      <c r="AS189" s="336"/>
      <c r="AT189" s="344"/>
      <c r="AU189" s="345"/>
      <c r="AV189" s="337"/>
      <c r="AW189" s="342"/>
      <c r="AX189" s="220"/>
    </row>
    <row r="190" spans="1:50" s="224" customFormat="1" x14ac:dyDescent="0.25">
      <c r="A190" s="350"/>
      <c r="B190" s="412" t="s">
        <v>439</v>
      </c>
      <c r="C190" s="413" t="s">
        <v>454</v>
      </c>
      <c r="D190" s="316"/>
      <c r="E190" s="244"/>
      <c r="F190" s="244"/>
      <c r="G190" s="75"/>
      <c r="H190" s="440">
        <v>0.87</v>
      </c>
      <c r="I190" s="74"/>
      <c r="J190" s="74"/>
      <c r="K190" s="74"/>
      <c r="L190" s="74"/>
      <c r="M190" s="74"/>
      <c r="N190" s="74"/>
      <c r="O190" s="72"/>
      <c r="P190" s="205"/>
      <c r="Q190" s="272"/>
      <c r="R190" s="439"/>
      <c r="S190" s="273"/>
      <c r="W190" s="74"/>
      <c r="X190" s="840"/>
      <c r="Y190" s="840"/>
      <c r="Z190" s="840"/>
      <c r="AO190" s="905"/>
      <c r="AP190" s="905"/>
      <c r="AQ190" s="827"/>
      <c r="AR190" s="336"/>
      <c r="AS190" s="336"/>
      <c r="AT190" s="344"/>
      <c r="AU190" s="345"/>
      <c r="AV190" s="337"/>
      <c r="AW190" s="342"/>
      <c r="AX190" s="220"/>
    </row>
    <row r="191" spans="1:50" s="224" customFormat="1" x14ac:dyDescent="0.25">
      <c r="A191" s="350"/>
      <c r="B191" s="317"/>
      <c r="C191" s="318">
        <v>1</v>
      </c>
      <c r="D191" s="83" t="s">
        <v>440</v>
      </c>
      <c r="E191" s="242">
        <v>1</v>
      </c>
      <c r="F191" s="242">
        <v>1</v>
      </c>
      <c r="G191" s="77" t="s">
        <v>55</v>
      </c>
      <c r="H191" s="74">
        <f>T191/$H$190</f>
        <v>20235.632183908045</v>
      </c>
      <c r="I191" s="74">
        <f>F191*H191</f>
        <v>20235.632183908045</v>
      </c>
      <c r="J191" s="74">
        <f t="shared" ref="J191:J195" si="122">W191/$J$169</f>
        <v>4117.6470588235297</v>
      </c>
      <c r="K191" s="74">
        <f t="shared" ref="K191:K204" si="123">F191*J191</f>
        <v>4117.6470588235297</v>
      </c>
      <c r="L191" s="72">
        <f t="shared" ref="L191:L204" si="124">I191+K191</f>
        <v>24353.279242731573</v>
      </c>
      <c r="M191" s="74">
        <f t="shared" ref="M191:N195" si="125">X191/$S$217*$S$218</f>
        <v>27014.290185540194</v>
      </c>
      <c r="N191" s="74">
        <f t="shared" si="125"/>
        <v>5497.0020959934454</v>
      </c>
      <c r="O191" s="72">
        <f t="shared" si="99"/>
        <v>32511.292281533639</v>
      </c>
      <c r="P191" s="205">
        <f t="shared" si="100"/>
        <v>32511.292281533639</v>
      </c>
      <c r="Q191" s="272">
        <f>L191/$P$264*$P$272</f>
        <v>33642.017640380356</v>
      </c>
      <c r="R191" s="439">
        <f t="shared" si="101"/>
        <v>-1130.7253588467174</v>
      </c>
      <c r="S191" s="273"/>
      <c r="T191" s="74">
        <f>17605</f>
        <v>17605</v>
      </c>
      <c r="U191" s="273"/>
      <c r="V191" s="273"/>
      <c r="W191" s="74">
        <v>3500</v>
      </c>
      <c r="X191" s="840">
        <v>28080.162959785765</v>
      </c>
      <c r="Y191" s="840">
        <v>5713.8911881683125</v>
      </c>
      <c r="Z191" s="840"/>
      <c r="AO191" s="126"/>
      <c r="AP191" s="126"/>
      <c r="AQ191" s="126"/>
      <c r="AR191" s="126"/>
      <c r="AS191" s="126"/>
      <c r="AT191" s="126"/>
      <c r="AU191" s="346"/>
      <c r="AV191" s="337"/>
      <c r="AW191" s="342"/>
      <c r="AX191" s="212"/>
    </row>
    <row r="192" spans="1:50" s="224" customFormat="1" x14ac:dyDescent="0.25">
      <c r="A192" s="350"/>
      <c r="B192" s="317"/>
      <c r="C192" s="318">
        <v>2</v>
      </c>
      <c r="D192" s="83" t="s">
        <v>441</v>
      </c>
      <c r="E192" s="242">
        <v>1</v>
      </c>
      <c r="F192" s="242">
        <v>1</v>
      </c>
      <c r="G192" s="77" t="s">
        <v>55</v>
      </c>
      <c r="H192" s="74">
        <f t="shared" ref="H192:H203" si="126">T192/$H$190</f>
        <v>24827.586206896551</v>
      </c>
      <c r="I192" s="74">
        <f t="shared" ref="I192:I194" si="127">F192*H192</f>
        <v>24827.586206896551</v>
      </c>
      <c r="J192" s="74">
        <f t="shared" si="122"/>
        <v>5882.3529411764712</v>
      </c>
      <c r="K192" s="74">
        <f t="shared" si="123"/>
        <v>5882.3529411764712</v>
      </c>
      <c r="L192" s="72">
        <f t="shared" si="124"/>
        <v>30709.939148073023</v>
      </c>
      <c r="M192" s="74">
        <f t="shared" si="125"/>
        <v>33144.485544315154</v>
      </c>
      <c r="N192" s="74">
        <f t="shared" si="125"/>
        <v>7852.8601371334926</v>
      </c>
      <c r="O192" s="72">
        <f t="shared" si="99"/>
        <v>40997.345681448649</v>
      </c>
      <c r="P192" s="205">
        <f t="shared" si="100"/>
        <v>40997.345681448649</v>
      </c>
      <c r="Q192" s="272">
        <f>L192/$P$264*$P$272</f>
        <v>42423.211439290259</v>
      </c>
      <c r="R192" s="439">
        <f t="shared" si="101"/>
        <v>-1425.8657578416096</v>
      </c>
      <c r="S192" s="273"/>
      <c r="T192" s="74">
        <f>21600</f>
        <v>21600</v>
      </c>
      <c r="U192" s="273"/>
      <c r="V192" s="273"/>
      <c r="W192" s="74">
        <v>5000</v>
      </c>
      <c r="X192" s="840">
        <v>34452.230612404004</v>
      </c>
      <c r="Y192" s="840">
        <v>8162.7016973833024</v>
      </c>
      <c r="Z192" s="840"/>
      <c r="AO192" s="126"/>
      <c r="AP192" s="126"/>
      <c r="AQ192" s="126"/>
      <c r="AR192" s="126"/>
      <c r="AS192" s="126"/>
      <c r="AT192" s="126"/>
      <c r="AU192" s="127"/>
      <c r="AV192" s="213"/>
      <c r="AW192" s="126"/>
      <c r="AX192" s="219"/>
    </row>
    <row r="193" spans="1:50" s="224" customFormat="1" x14ac:dyDescent="0.25">
      <c r="A193" s="350"/>
      <c r="B193" s="317"/>
      <c r="C193" s="318">
        <v>3</v>
      </c>
      <c r="D193" s="83" t="s">
        <v>442</v>
      </c>
      <c r="E193" s="242">
        <v>1</v>
      </c>
      <c r="F193" s="242">
        <v>1</v>
      </c>
      <c r="G193" s="77" t="s">
        <v>55</v>
      </c>
      <c r="H193" s="74">
        <f t="shared" si="126"/>
        <v>24827.586206896551</v>
      </c>
      <c r="I193" s="74">
        <f t="shared" si="127"/>
        <v>24827.586206896551</v>
      </c>
      <c r="J193" s="74">
        <f t="shared" si="122"/>
        <v>5882.3529411764712</v>
      </c>
      <c r="K193" s="74">
        <f t="shared" si="123"/>
        <v>5882.3529411764712</v>
      </c>
      <c r="L193" s="72">
        <f t="shared" si="124"/>
        <v>30709.939148073023</v>
      </c>
      <c r="M193" s="74">
        <f t="shared" si="125"/>
        <v>33144.485544315154</v>
      </c>
      <c r="N193" s="74">
        <f t="shared" si="125"/>
        <v>7852.8601371334926</v>
      </c>
      <c r="O193" s="72">
        <f t="shared" si="99"/>
        <v>40997.345681448649</v>
      </c>
      <c r="P193" s="205">
        <f t="shared" si="100"/>
        <v>40997.345681448649</v>
      </c>
      <c r="Q193" s="272">
        <f>L193/$P$264*$P$272</f>
        <v>42423.211439290259</v>
      </c>
      <c r="R193" s="439">
        <f t="shared" si="101"/>
        <v>-1425.8657578416096</v>
      </c>
      <c r="S193" s="273"/>
      <c r="T193" s="74">
        <f>21600</f>
        <v>21600</v>
      </c>
      <c r="U193" s="273"/>
      <c r="V193" s="273"/>
      <c r="W193" s="74">
        <v>5000</v>
      </c>
      <c r="X193" s="840">
        <v>34452.230612404004</v>
      </c>
      <c r="Y193" s="840">
        <v>8162.7016973833024</v>
      </c>
      <c r="Z193" s="840"/>
      <c r="AA193" s="273"/>
      <c r="AB193" s="273"/>
      <c r="AC193" s="273"/>
      <c r="AD193" s="273"/>
      <c r="AE193" s="273"/>
      <c r="AF193" s="273"/>
      <c r="AH193" s="273"/>
      <c r="AJ193" s="738"/>
      <c r="AO193" s="880" t="s">
        <v>267</v>
      </c>
      <c r="AP193" s="880"/>
      <c r="AQ193" s="141" t="s">
        <v>243</v>
      </c>
      <c r="AR193" s="141" t="s">
        <v>244</v>
      </c>
      <c r="AS193" s="141" t="s">
        <v>245</v>
      </c>
      <c r="AT193" s="141" t="s">
        <v>246</v>
      </c>
      <c r="AU193" s="141" t="s">
        <v>247</v>
      </c>
      <c r="AV193" s="216" t="s">
        <v>248</v>
      </c>
      <c r="AW193" s="141" t="s">
        <v>249</v>
      </c>
      <c r="AX193" s="219"/>
    </row>
    <row r="194" spans="1:50" s="224" customFormat="1" x14ac:dyDescent="0.25">
      <c r="A194" s="350"/>
      <c r="B194" s="317"/>
      <c r="C194" s="318">
        <v>4</v>
      </c>
      <c r="D194" s="83" t="s">
        <v>443</v>
      </c>
      <c r="E194" s="242">
        <v>1</v>
      </c>
      <c r="F194" s="242">
        <v>1</v>
      </c>
      <c r="G194" s="77" t="s">
        <v>55</v>
      </c>
      <c r="H194" s="74">
        <f t="shared" si="126"/>
        <v>25280.459770114943</v>
      </c>
      <c r="I194" s="74">
        <f t="shared" si="127"/>
        <v>25280.459770114943</v>
      </c>
      <c r="J194" s="74">
        <f t="shared" si="122"/>
        <v>4117.6470588235297</v>
      </c>
      <c r="K194" s="74">
        <f t="shared" si="123"/>
        <v>4117.6470588235297</v>
      </c>
      <c r="L194" s="72">
        <f t="shared" si="124"/>
        <v>29398.106828938471</v>
      </c>
      <c r="M194" s="74">
        <f t="shared" si="125"/>
        <v>33749.065512114234</v>
      </c>
      <c r="N194" s="74">
        <f t="shared" si="125"/>
        <v>5497.0020959934454</v>
      </c>
      <c r="O194" s="72">
        <f t="shared" si="99"/>
        <v>39246.067608107682</v>
      </c>
      <c r="P194" s="205">
        <f t="shared" si="100"/>
        <v>39246.067608107682</v>
      </c>
      <c r="Q194" s="272">
        <f>L194/$P$264*$P$272</f>
        <v>40611.024851124006</v>
      </c>
      <c r="R194" s="439">
        <f t="shared" si="101"/>
        <v>-1364.9572430163244</v>
      </c>
      <c r="S194" s="273"/>
      <c r="T194" s="74">
        <f>21994</f>
        <v>21994</v>
      </c>
      <c r="U194" s="273"/>
      <c r="V194" s="273"/>
      <c r="W194" s="74">
        <v>3500</v>
      </c>
      <c r="X194" s="840">
        <v>35080.664818945079</v>
      </c>
      <c r="Y194" s="840">
        <v>5713.8911881683125</v>
      </c>
      <c r="Z194" s="840"/>
      <c r="AA194" s="273"/>
      <c r="AB194" s="273"/>
      <c r="AC194" s="273"/>
      <c r="AD194" s="273"/>
      <c r="AE194" s="273"/>
      <c r="AF194" s="273"/>
      <c r="AH194" s="273"/>
      <c r="AO194" s="739"/>
      <c r="AP194" s="821" t="s">
        <v>265</v>
      </c>
      <c r="AQ194" s="821" t="s">
        <v>268</v>
      </c>
      <c r="AR194" s="821">
        <v>8.0000000000000002E-3</v>
      </c>
      <c r="AS194" s="821">
        <v>0.01</v>
      </c>
      <c r="AT194" s="821">
        <v>1000</v>
      </c>
      <c r="AU194" s="821">
        <f>AT194*AS194</f>
        <v>10</v>
      </c>
      <c r="AV194" s="144">
        <v>600</v>
      </c>
      <c r="AW194" s="821">
        <f>AV194*AS194</f>
        <v>6</v>
      </c>
      <c r="AX194" s="219"/>
    </row>
    <row r="195" spans="1:50" s="224" customFormat="1" x14ac:dyDescent="0.25">
      <c r="A195" s="350"/>
      <c r="B195" s="317"/>
      <c r="C195" s="318">
        <v>5</v>
      </c>
      <c r="D195" s="83" t="s">
        <v>444</v>
      </c>
      <c r="E195" s="242">
        <v>1</v>
      </c>
      <c r="F195" s="242">
        <v>1</v>
      </c>
      <c r="G195" s="77" t="s">
        <v>55</v>
      </c>
      <c r="H195" s="74">
        <f t="shared" si="126"/>
        <v>49827.586206896551</v>
      </c>
      <c r="I195" s="74">
        <f>F195*H195</f>
        <v>49827.586206896551</v>
      </c>
      <c r="J195" s="74">
        <f t="shared" si="122"/>
        <v>5882.3529411764712</v>
      </c>
      <c r="K195" s="74">
        <f t="shared" si="123"/>
        <v>5882.3529411764712</v>
      </c>
      <c r="L195" s="72">
        <f t="shared" si="124"/>
        <v>55709.939148073019</v>
      </c>
      <c r="M195" s="74">
        <f t="shared" si="125"/>
        <v>66519.141127132491</v>
      </c>
      <c r="N195" s="74">
        <f t="shared" si="125"/>
        <v>7852.8601371334926</v>
      </c>
      <c r="O195" s="72">
        <f t="shared" si="99"/>
        <v>74372.001264265986</v>
      </c>
      <c r="P195" s="205">
        <f t="shared" si="100"/>
        <v>74372.001264265986</v>
      </c>
      <c r="Q195" s="272">
        <f>L195/$P$264*$P$272</f>
        <v>76958.619694855137</v>
      </c>
      <c r="R195" s="439">
        <f t="shared" si="101"/>
        <v>-2586.6184305891511</v>
      </c>
      <c r="S195" s="273"/>
      <c r="T195" s="74">
        <f>43350</f>
        <v>43350</v>
      </c>
      <c r="U195" s="273"/>
      <c r="V195" s="273"/>
      <c r="W195" s="74">
        <v>5000</v>
      </c>
      <c r="X195" s="840">
        <v>69143.712826283037</v>
      </c>
      <c r="Y195" s="840">
        <v>8162.7016973833024</v>
      </c>
      <c r="Z195" s="840"/>
      <c r="AO195" s="739"/>
      <c r="AP195" s="821" t="s">
        <v>264</v>
      </c>
      <c r="AQ195" s="821" t="s">
        <v>253</v>
      </c>
      <c r="AR195" s="821">
        <v>0.14399999999999999</v>
      </c>
      <c r="AS195" s="821">
        <v>0.17</v>
      </c>
      <c r="AT195" s="144">
        <f>230/1.075</f>
        <v>213.95348837209303</v>
      </c>
      <c r="AU195" s="144">
        <f>AT195*AS195</f>
        <v>36.372093023255822</v>
      </c>
      <c r="AV195" s="144">
        <v>150</v>
      </c>
      <c r="AW195" s="821">
        <f>AV195*AS195</f>
        <v>25.500000000000004</v>
      </c>
      <c r="AX195" s="212"/>
    </row>
    <row r="196" spans="1:50" s="224" customFormat="1" x14ac:dyDescent="0.25">
      <c r="A196" s="350"/>
      <c r="B196" s="317"/>
      <c r="C196" s="318"/>
      <c r="D196" s="83" t="s">
        <v>445</v>
      </c>
      <c r="E196" s="242"/>
      <c r="F196" s="242"/>
      <c r="G196" s="77"/>
      <c r="H196" s="74"/>
      <c r="I196" s="74"/>
      <c r="J196" s="74"/>
      <c r="K196" s="74"/>
      <c r="L196" s="72"/>
      <c r="M196" s="74"/>
      <c r="N196" s="74"/>
      <c r="O196" s="72"/>
      <c r="P196" s="205"/>
      <c r="Q196" s="272"/>
      <c r="R196" s="439"/>
      <c r="S196" s="273"/>
      <c r="T196" s="74"/>
      <c r="U196" s="273"/>
      <c r="V196" s="273"/>
      <c r="W196" s="74"/>
      <c r="X196" s="840"/>
      <c r="Y196" s="840"/>
      <c r="Z196" s="840"/>
      <c r="AO196" s="739"/>
      <c r="AP196" s="821" t="s">
        <v>269</v>
      </c>
      <c r="AQ196" s="821" t="s">
        <v>253</v>
      </c>
      <c r="AR196" s="821">
        <v>5</v>
      </c>
      <c r="AS196" s="821">
        <v>5</v>
      </c>
      <c r="AT196" s="437">
        <f>50/1.05</f>
        <v>47.61904761904762</v>
      </c>
      <c r="AU196" s="437">
        <f>AT196*AS196</f>
        <v>238.0952380952381</v>
      </c>
      <c r="AV196" s="144">
        <v>20</v>
      </c>
      <c r="AW196" s="821">
        <f>AV196*AS196</f>
        <v>100</v>
      </c>
      <c r="AX196" s="220"/>
    </row>
    <row r="197" spans="1:50" s="224" customFormat="1" x14ac:dyDescent="0.25">
      <c r="A197" s="350"/>
      <c r="B197" s="317"/>
      <c r="C197" s="318">
        <v>6</v>
      </c>
      <c r="D197" s="83" t="s">
        <v>446</v>
      </c>
      <c r="E197" s="242">
        <v>2</v>
      </c>
      <c r="F197" s="242">
        <v>2</v>
      </c>
      <c r="G197" s="77" t="s">
        <v>28</v>
      </c>
      <c r="H197" s="74">
        <f t="shared" si="126"/>
        <v>1206.8965517241379</v>
      </c>
      <c r="I197" s="74">
        <f t="shared" ref="I197:I198" si="128">F197*H197</f>
        <v>2413.7931034482758</v>
      </c>
      <c r="J197" s="74">
        <f t="shared" ref="J197:J204" si="129">W197/$J$169</f>
        <v>305.88235294117646</v>
      </c>
      <c r="K197" s="74">
        <f t="shared" si="123"/>
        <v>611.76470588235293</v>
      </c>
      <c r="L197" s="72">
        <f t="shared" si="124"/>
        <v>3025.5578093306285</v>
      </c>
      <c r="M197" s="74">
        <f t="shared" ref="M197:N204" si="130">X197/$S$217*$S$218</f>
        <v>1611.1902695153199</v>
      </c>
      <c r="N197" s="74">
        <f t="shared" si="130"/>
        <v>408.3487271309416</v>
      </c>
      <c r="O197" s="72">
        <f t="shared" si="99"/>
        <v>2019.5389966462615</v>
      </c>
      <c r="P197" s="205">
        <f t="shared" si="100"/>
        <v>4039.0779932925229</v>
      </c>
      <c r="Q197" s="272">
        <f>L197/$P$264*$P$272</f>
        <v>4179.5549658418322</v>
      </c>
      <c r="R197" s="439">
        <f t="shared" si="101"/>
        <v>-140.47697254930927</v>
      </c>
      <c r="S197" s="273"/>
      <c r="T197" s="74">
        <v>1050</v>
      </c>
      <c r="U197" s="273"/>
      <c r="V197" s="273"/>
      <c r="W197" s="74">
        <v>260</v>
      </c>
      <c r="X197" s="840">
        <v>1674.7612103251947</v>
      </c>
      <c r="Y197" s="840">
        <v>424.46048826393172</v>
      </c>
      <c r="Z197" s="840"/>
      <c r="AA197" s="273"/>
      <c r="AB197" s="273"/>
      <c r="AC197" s="273"/>
      <c r="AD197" s="273"/>
      <c r="AE197" s="273"/>
      <c r="AF197" s="273"/>
      <c r="AH197" s="273"/>
      <c r="AJ197" s="738"/>
      <c r="AO197" s="739"/>
      <c r="AP197" s="145"/>
      <c r="AQ197" s="145"/>
      <c r="AR197" s="145"/>
      <c r="AS197" s="145"/>
      <c r="AT197" s="145"/>
      <c r="AU197" s="216">
        <f>SUM(AU194:AU196)</f>
        <v>284.46733111849392</v>
      </c>
      <c r="AV197" s="217"/>
      <c r="AW197" s="740">
        <f>SUM(AW194:AW196)</f>
        <v>131.5</v>
      </c>
      <c r="AX197" s="220"/>
    </row>
    <row r="198" spans="1:50" s="224" customFormat="1" x14ac:dyDescent="0.25">
      <c r="A198" s="350"/>
      <c r="B198" s="317"/>
      <c r="C198" s="318">
        <v>7</v>
      </c>
      <c r="D198" s="83" t="s">
        <v>447</v>
      </c>
      <c r="E198" s="242">
        <v>2</v>
      </c>
      <c r="F198" s="242">
        <v>2</v>
      </c>
      <c r="G198" s="77" t="s">
        <v>28</v>
      </c>
      <c r="H198" s="74">
        <f t="shared" si="126"/>
        <v>1206.8965517241379</v>
      </c>
      <c r="I198" s="74">
        <f t="shared" si="128"/>
        <v>2413.7931034482758</v>
      </c>
      <c r="J198" s="74">
        <f t="shared" si="129"/>
        <v>305.88235294117646</v>
      </c>
      <c r="K198" s="74">
        <f t="shared" si="123"/>
        <v>611.76470588235293</v>
      </c>
      <c r="L198" s="72">
        <f t="shared" si="124"/>
        <v>3025.5578093306285</v>
      </c>
      <c r="M198" s="74">
        <f t="shared" si="130"/>
        <v>1611.1902695153199</v>
      </c>
      <c r="N198" s="74">
        <f t="shared" si="130"/>
        <v>408.3487271309416</v>
      </c>
      <c r="O198" s="72">
        <f t="shared" si="99"/>
        <v>2019.5389966462615</v>
      </c>
      <c r="P198" s="205">
        <f t="shared" si="100"/>
        <v>4039.0779932925229</v>
      </c>
      <c r="Q198" s="272">
        <f>L198/$P$264*$P$272</f>
        <v>4179.5549658418322</v>
      </c>
      <c r="R198" s="439">
        <f t="shared" si="101"/>
        <v>-140.47697254930927</v>
      </c>
      <c r="S198" s="273"/>
      <c r="T198" s="74">
        <v>1050</v>
      </c>
      <c r="U198" s="273"/>
      <c r="V198" s="273"/>
      <c r="W198" s="74">
        <v>260</v>
      </c>
      <c r="X198" s="840">
        <v>1674.7612103251947</v>
      </c>
      <c r="Y198" s="840">
        <v>424.46048826393172</v>
      </c>
      <c r="Z198" s="840"/>
      <c r="AA198" s="273"/>
      <c r="AB198" s="273"/>
      <c r="AC198" s="273"/>
      <c r="AD198" s="273"/>
      <c r="AE198" s="273"/>
      <c r="AF198" s="273"/>
      <c r="AH198" s="273"/>
      <c r="AO198" s="126"/>
      <c r="AP198" s="126"/>
      <c r="AQ198" s="126"/>
      <c r="AR198" s="126"/>
      <c r="AS198" s="126"/>
      <c r="AT198" s="126"/>
      <c r="AU198" s="127"/>
      <c r="AV198" s="213"/>
      <c r="AW198" s="126"/>
      <c r="AX198" s="220"/>
    </row>
    <row r="199" spans="1:50" s="224" customFormat="1" x14ac:dyDescent="0.25">
      <c r="A199" s="350"/>
      <c r="B199" s="317"/>
      <c r="C199" s="318">
        <v>8</v>
      </c>
      <c r="D199" s="83" t="s">
        <v>448</v>
      </c>
      <c r="E199" s="242">
        <v>9</v>
      </c>
      <c r="F199" s="242">
        <v>9</v>
      </c>
      <c r="G199" s="77" t="s">
        <v>28</v>
      </c>
      <c r="H199" s="74">
        <f t="shared" si="126"/>
        <v>1206.8965517241379</v>
      </c>
      <c r="I199" s="74">
        <f>F199*H199</f>
        <v>10862.068965517241</v>
      </c>
      <c r="J199" s="74">
        <f t="shared" si="129"/>
        <v>305.88235294117646</v>
      </c>
      <c r="K199" s="74">
        <f t="shared" si="123"/>
        <v>2752.9411764705883</v>
      </c>
      <c r="L199" s="72">
        <f t="shared" si="124"/>
        <v>13615.01014198783</v>
      </c>
      <c r="M199" s="74">
        <f t="shared" si="130"/>
        <v>1611.1902695153199</v>
      </c>
      <c r="N199" s="74">
        <f t="shared" si="130"/>
        <v>408.3487271309416</v>
      </c>
      <c r="O199" s="72">
        <f t="shared" si="99"/>
        <v>2019.5389966462615</v>
      </c>
      <c r="P199" s="205">
        <f t="shared" si="100"/>
        <v>18175.850969816354</v>
      </c>
      <c r="Q199" s="272">
        <f>L199/$P$264*$P$272</f>
        <v>18807.997346288248</v>
      </c>
      <c r="R199" s="439">
        <f t="shared" si="101"/>
        <v>-632.14637647189375</v>
      </c>
      <c r="S199" s="273"/>
      <c r="T199" s="74">
        <v>1050</v>
      </c>
      <c r="U199" s="273"/>
      <c r="V199" s="273"/>
      <c r="W199" s="74">
        <v>260</v>
      </c>
      <c r="X199" s="840">
        <v>1674.7612103251947</v>
      </c>
      <c r="Y199" s="840">
        <v>424.46048826393172</v>
      </c>
      <c r="Z199" s="840"/>
      <c r="AO199" s="880" t="s">
        <v>275</v>
      </c>
      <c r="AP199" s="880"/>
      <c r="AQ199" s="141" t="s">
        <v>243</v>
      </c>
      <c r="AR199" s="141" t="s">
        <v>244</v>
      </c>
      <c r="AS199" s="141" t="s">
        <v>245</v>
      </c>
      <c r="AT199" s="141" t="s">
        <v>246</v>
      </c>
      <c r="AU199" s="141" t="s">
        <v>247</v>
      </c>
      <c r="AV199" s="216" t="s">
        <v>248</v>
      </c>
      <c r="AW199" s="141" t="s">
        <v>249</v>
      </c>
      <c r="AX199" s="220"/>
    </row>
    <row r="200" spans="1:50" s="224" customFormat="1" x14ac:dyDescent="0.25">
      <c r="A200" s="350"/>
      <c r="B200" s="317"/>
      <c r="C200" s="318">
        <v>9</v>
      </c>
      <c r="D200" s="83" t="s">
        <v>449</v>
      </c>
      <c r="E200" s="242">
        <v>5</v>
      </c>
      <c r="F200" s="242">
        <v>5</v>
      </c>
      <c r="G200" s="77" t="s">
        <v>28</v>
      </c>
      <c r="H200" s="74">
        <f t="shared" si="126"/>
        <v>3333.3333333333335</v>
      </c>
      <c r="I200" s="74">
        <f t="shared" ref="I200:I204" si="131">F200*H200</f>
        <v>16666.666666666668</v>
      </c>
      <c r="J200" s="74">
        <f t="shared" si="129"/>
        <v>470.58823529411768</v>
      </c>
      <c r="K200" s="74">
        <f t="shared" si="123"/>
        <v>2352.9411764705883</v>
      </c>
      <c r="L200" s="72">
        <f t="shared" si="124"/>
        <v>19019.607843137255</v>
      </c>
      <c r="M200" s="74">
        <f t="shared" si="130"/>
        <v>4449.9540777089787</v>
      </c>
      <c r="N200" s="74">
        <f t="shared" si="130"/>
        <v>628.22881097067943</v>
      </c>
      <c r="O200" s="72">
        <f t="shared" si="99"/>
        <v>5078.1828886796584</v>
      </c>
      <c r="P200" s="205">
        <f t="shared" si="100"/>
        <v>25390.914443398291</v>
      </c>
      <c r="Q200" s="272">
        <f>L200/$P$264*$P$272</f>
        <v>26273.996868939561</v>
      </c>
      <c r="R200" s="439">
        <f t="shared" si="101"/>
        <v>-883.08242554126991</v>
      </c>
      <c r="S200" s="273"/>
      <c r="T200" s="74">
        <v>2900</v>
      </c>
      <c r="U200" s="273"/>
      <c r="V200" s="273"/>
      <c r="W200" s="74">
        <v>400</v>
      </c>
      <c r="X200" s="840">
        <v>4625.530961850538</v>
      </c>
      <c r="Y200" s="840">
        <v>653.01613579066418</v>
      </c>
      <c r="Z200" s="840"/>
      <c r="AO200" s="891" t="s">
        <v>276</v>
      </c>
      <c r="AP200" s="891"/>
      <c r="AQ200" s="821" t="s">
        <v>100</v>
      </c>
      <c r="AR200" s="821">
        <v>26</v>
      </c>
      <c r="AS200" s="821">
        <f>5*6</f>
        <v>30</v>
      </c>
      <c r="AT200" s="144">
        <f>270/1.05</f>
        <v>257.14285714285711</v>
      </c>
      <c r="AU200" s="144">
        <f t="shared" ref="AU200:AU209" si="132">AT200*AS200</f>
        <v>7714.2857142857138</v>
      </c>
      <c r="AV200" s="144">
        <v>150</v>
      </c>
      <c r="AW200" s="144">
        <f t="shared" ref="AW200:AW209" si="133">AV200*AS200</f>
        <v>4500</v>
      </c>
      <c r="AX200" s="220"/>
    </row>
    <row r="201" spans="1:50" s="224" customFormat="1" x14ac:dyDescent="0.25">
      <c r="A201" s="350"/>
      <c r="B201" s="317"/>
      <c r="C201" s="318">
        <v>10</v>
      </c>
      <c r="D201" s="83" t="s">
        <v>451</v>
      </c>
      <c r="E201" s="242">
        <v>240</v>
      </c>
      <c r="F201" s="242">
        <v>247</v>
      </c>
      <c r="G201" s="77" t="s">
        <v>453</v>
      </c>
      <c r="H201" s="74">
        <f t="shared" si="126"/>
        <v>31.781344350866043</v>
      </c>
      <c r="I201" s="74">
        <f t="shared" si="131"/>
        <v>7849.9920546639123</v>
      </c>
      <c r="J201" s="74">
        <f t="shared" si="129"/>
        <v>12.941176470588236</v>
      </c>
      <c r="K201" s="74">
        <f t="shared" si="123"/>
        <v>3196.4705882352941</v>
      </c>
      <c r="L201" s="72">
        <f t="shared" si="124"/>
        <v>11046.462642899207</v>
      </c>
      <c r="M201" s="74">
        <f t="shared" si="130"/>
        <v>42.42765686676286</v>
      </c>
      <c r="N201" s="74">
        <f t="shared" si="130"/>
        <v>17.276292301693683</v>
      </c>
      <c r="O201" s="72">
        <f t="shared" si="99"/>
        <v>59.703949168456546</v>
      </c>
      <c r="P201" s="205">
        <f t="shared" si="100"/>
        <v>14746.875444608768</v>
      </c>
      <c r="Q201" s="272">
        <f>L201/$P$264*$P$272</f>
        <v>15259.763886094815</v>
      </c>
      <c r="R201" s="439">
        <f t="shared" si="101"/>
        <v>-512.88844148604767</v>
      </c>
      <c r="S201" s="273"/>
      <c r="T201" s="74">
        <f>30/1.085</f>
        <v>27.649769585253456</v>
      </c>
      <c r="U201" s="273"/>
      <c r="V201" s="273"/>
      <c r="W201" s="74">
        <v>11</v>
      </c>
      <c r="X201" s="840">
        <v>44.101677691249364</v>
      </c>
      <c r="Y201" s="840">
        <v>17.957943734243266</v>
      </c>
      <c r="Z201" s="840"/>
      <c r="AO201" s="891" t="s">
        <v>277</v>
      </c>
      <c r="AP201" s="891"/>
      <c r="AQ201" s="821" t="s">
        <v>283</v>
      </c>
      <c r="AR201" s="821">
        <v>10</v>
      </c>
      <c r="AS201" s="821">
        <v>10</v>
      </c>
      <c r="AT201" s="144">
        <v>250</v>
      </c>
      <c r="AU201" s="144">
        <f t="shared" si="132"/>
        <v>2500</v>
      </c>
      <c r="AV201" s="144">
        <v>65</v>
      </c>
      <c r="AW201" s="144">
        <f t="shared" si="133"/>
        <v>650</v>
      </c>
      <c r="AX201" s="220"/>
    </row>
    <row r="202" spans="1:50" s="224" customFormat="1" x14ac:dyDescent="0.25">
      <c r="A202" s="350"/>
      <c r="B202" s="317"/>
      <c r="C202" s="318">
        <v>11</v>
      </c>
      <c r="D202" s="83" t="s">
        <v>450</v>
      </c>
      <c r="E202" s="242">
        <v>240</v>
      </c>
      <c r="F202" s="242">
        <v>247</v>
      </c>
      <c r="G202" s="77" t="s">
        <v>283</v>
      </c>
      <c r="H202" s="74">
        <f t="shared" si="126"/>
        <v>18.390804597701148</v>
      </c>
      <c r="I202" s="74">
        <f t="shared" si="131"/>
        <v>4542.5287356321833</v>
      </c>
      <c r="J202" s="74">
        <f t="shared" si="129"/>
        <v>7.0588235294117645</v>
      </c>
      <c r="K202" s="74">
        <f t="shared" si="123"/>
        <v>1743.5294117647059</v>
      </c>
      <c r="L202" s="72">
        <f t="shared" si="124"/>
        <v>6286.0581473968887</v>
      </c>
      <c r="M202" s="74">
        <f t="shared" si="130"/>
        <v>24.551470773566781</v>
      </c>
      <c r="N202" s="74">
        <f t="shared" si="130"/>
        <v>9.4234321645601913</v>
      </c>
      <c r="O202" s="72">
        <f t="shared" si="99"/>
        <v>33.974902938126974</v>
      </c>
      <c r="P202" s="205">
        <f t="shared" si="100"/>
        <v>8391.8010257173628</v>
      </c>
      <c r="Q202" s="272">
        <f>L202/$P$264*$P$272</f>
        <v>8683.6633775428563</v>
      </c>
      <c r="R202" s="439">
        <f t="shared" si="101"/>
        <v>-291.86235182549353</v>
      </c>
      <c r="S202" s="273"/>
      <c r="T202" s="74">
        <v>16</v>
      </c>
      <c r="U202" s="273"/>
      <c r="V202" s="273"/>
      <c r="W202" s="74">
        <v>6</v>
      </c>
      <c r="X202" s="840">
        <v>25.520170824002967</v>
      </c>
      <c r="Y202" s="840">
        <v>9.7952420368599622</v>
      </c>
      <c r="Z202" s="840"/>
      <c r="AO202" s="891" t="s">
        <v>278</v>
      </c>
      <c r="AP202" s="891"/>
      <c r="AQ202" s="821" t="s">
        <v>283</v>
      </c>
      <c r="AR202" s="821">
        <v>10</v>
      </c>
      <c r="AS202" s="821">
        <v>10</v>
      </c>
      <c r="AT202" s="144">
        <v>280</v>
      </c>
      <c r="AU202" s="144">
        <f t="shared" si="132"/>
        <v>2800</v>
      </c>
      <c r="AV202" s="144">
        <v>70</v>
      </c>
      <c r="AW202" s="144">
        <f t="shared" si="133"/>
        <v>700</v>
      </c>
      <c r="AX202" s="220"/>
    </row>
    <row r="203" spans="1:50" s="224" customFormat="1" x14ac:dyDescent="0.25">
      <c r="A203" s="350"/>
      <c r="B203" s="317"/>
      <c r="C203" s="318">
        <v>12</v>
      </c>
      <c r="D203" s="83" t="s">
        <v>452</v>
      </c>
      <c r="E203" s="242">
        <v>95</v>
      </c>
      <c r="F203" s="242">
        <v>100</v>
      </c>
      <c r="G203" s="77" t="s">
        <v>283</v>
      </c>
      <c r="H203" s="74">
        <f t="shared" si="126"/>
        <v>28.735632183908045</v>
      </c>
      <c r="I203" s="74">
        <f t="shared" si="131"/>
        <v>2873.5632183908046</v>
      </c>
      <c r="J203" s="74">
        <f t="shared" si="129"/>
        <v>10.588235294117647</v>
      </c>
      <c r="K203" s="74">
        <f t="shared" si="123"/>
        <v>1058.8235294117646</v>
      </c>
      <c r="L203" s="72">
        <f t="shared" si="124"/>
        <v>3932.3867478025695</v>
      </c>
      <c r="M203" s="74">
        <f t="shared" si="130"/>
        <v>38.361673083698093</v>
      </c>
      <c r="N203" s="74">
        <f t="shared" si="130"/>
        <v>14.135148246840286</v>
      </c>
      <c r="O203" s="72">
        <f t="shared" si="99"/>
        <v>52.496821330538381</v>
      </c>
      <c r="P203" s="205">
        <f t="shared" si="100"/>
        <v>5249.6821330538378</v>
      </c>
      <c r="Q203" s="272">
        <f>L203/$P$264*$P$272</f>
        <v>5432.2632701653929</v>
      </c>
      <c r="R203" s="439">
        <f t="shared" si="101"/>
        <v>-182.58113711155511</v>
      </c>
      <c r="S203" s="273"/>
      <c r="T203" s="74">
        <v>25</v>
      </c>
      <c r="U203" s="273"/>
      <c r="V203" s="273"/>
      <c r="W203" s="74">
        <v>9</v>
      </c>
      <c r="X203" s="840">
        <v>39.875266912504635</v>
      </c>
      <c r="Y203" s="840">
        <v>14.692863055289944</v>
      </c>
      <c r="Z203" s="840"/>
      <c r="AO203" s="933" t="s">
        <v>280</v>
      </c>
      <c r="AP203" s="933"/>
      <c r="AQ203" s="821" t="s">
        <v>101</v>
      </c>
      <c r="AR203" s="821">
        <f>4.5*1.2</f>
        <v>5.3999999999999995</v>
      </c>
      <c r="AS203" s="821">
        <v>6</v>
      </c>
      <c r="AT203" s="144">
        <v>160</v>
      </c>
      <c r="AU203" s="144">
        <f t="shared" si="132"/>
        <v>960</v>
      </c>
      <c r="AV203" s="144">
        <v>145</v>
      </c>
      <c r="AW203" s="144">
        <f t="shared" si="133"/>
        <v>870</v>
      </c>
      <c r="AX203" s="220"/>
    </row>
    <row r="204" spans="1:50" s="224" customFormat="1" x14ac:dyDescent="0.25">
      <c r="A204" s="350"/>
      <c r="B204" s="317"/>
      <c r="C204" s="318">
        <v>13</v>
      </c>
      <c r="D204" s="83" t="s">
        <v>524</v>
      </c>
      <c r="E204" s="242">
        <v>2</v>
      </c>
      <c r="F204" s="242">
        <v>2</v>
      </c>
      <c r="G204" s="77" t="s">
        <v>525</v>
      </c>
      <c r="H204" s="74">
        <f>16000/1.05</f>
        <v>15238.095238095237</v>
      </c>
      <c r="I204" s="74">
        <f t="shared" si="131"/>
        <v>30476.190476190473</v>
      </c>
      <c r="J204" s="74">
        <f t="shared" si="129"/>
        <v>7058.8235294117649</v>
      </c>
      <c r="K204" s="74">
        <f t="shared" si="123"/>
        <v>14117.64705882353</v>
      </c>
      <c r="L204" s="72">
        <f t="shared" si="124"/>
        <v>44593.837535014005</v>
      </c>
      <c r="M204" s="74">
        <f t="shared" si="130"/>
        <v>20342.647212383901</v>
      </c>
      <c r="N204" s="74">
        <f t="shared" si="130"/>
        <v>9423.4321645601904</v>
      </c>
      <c r="O204" s="72">
        <f t="shared" si="99"/>
        <v>29766.079376944093</v>
      </c>
      <c r="P204" s="205">
        <f t="shared" si="100"/>
        <v>59532.158753888187</v>
      </c>
      <c r="Q204" s="272">
        <f>L204/$P$264*$P$272</f>
        <v>61602.655398161682</v>
      </c>
      <c r="R204" s="439">
        <f t="shared" si="101"/>
        <v>-2070.4966442734949</v>
      </c>
      <c r="S204" s="273"/>
      <c r="T204" s="74">
        <v>25</v>
      </c>
      <c r="U204" s="273"/>
      <c r="V204" s="273"/>
      <c r="W204" s="74">
        <f>6000</f>
        <v>6000</v>
      </c>
      <c r="X204" s="840">
        <v>21145.284397031028</v>
      </c>
      <c r="Y204" s="840">
        <v>9795.2420368599614</v>
      </c>
      <c r="Z204" s="840"/>
      <c r="AO204" s="933" t="s">
        <v>280</v>
      </c>
      <c r="AP204" s="933"/>
      <c r="AQ204" s="821" t="s">
        <v>101</v>
      </c>
      <c r="AR204" s="821">
        <f>4.5*1.2</f>
        <v>5.3999999999999995</v>
      </c>
      <c r="AS204" s="821">
        <v>6</v>
      </c>
      <c r="AT204" s="144">
        <v>160</v>
      </c>
      <c r="AU204" s="144">
        <f t="shared" si="132"/>
        <v>960</v>
      </c>
      <c r="AV204" s="144">
        <v>145</v>
      </c>
      <c r="AW204" s="144">
        <f t="shared" si="133"/>
        <v>870</v>
      </c>
      <c r="AX204" s="220"/>
    </row>
    <row r="205" spans="1:50" s="224" customFormat="1" x14ac:dyDescent="0.25">
      <c r="A205" s="350"/>
      <c r="B205" s="317"/>
      <c r="C205" s="318"/>
      <c r="D205" s="83"/>
      <c r="E205" s="242"/>
      <c r="F205" s="242"/>
      <c r="G205" s="77"/>
      <c r="H205" s="74"/>
      <c r="I205" s="74"/>
      <c r="J205" s="74"/>
      <c r="K205" s="74"/>
      <c r="L205" s="72"/>
      <c r="M205" s="74"/>
      <c r="N205" s="74"/>
      <c r="O205" s="72"/>
      <c r="P205" s="205"/>
      <c r="Q205" s="272"/>
      <c r="R205" s="439"/>
      <c r="S205" s="273"/>
      <c r="U205" s="273"/>
      <c r="V205" s="273"/>
      <c r="W205" s="74"/>
      <c r="X205" s="840"/>
      <c r="Y205" s="840"/>
      <c r="Z205" s="840"/>
      <c r="AA205" s="273"/>
      <c r="AB205" s="273"/>
      <c r="AC205" s="273"/>
      <c r="AD205" s="273"/>
      <c r="AE205" s="273"/>
      <c r="AF205" s="273"/>
      <c r="AH205" s="273"/>
      <c r="AJ205" s="738"/>
      <c r="AO205" s="933" t="s">
        <v>285</v>
      </c>
      <c r="AP205" s="933"/>
      <c r="AQ205" s="821" t="s">
        <v>100</v>
      </c>
      <c r="AR205" s="821">
        <v>26</v>
      </c>
      <c r="AS205" s="821">
        <v>32</v>
      </c>
      <c r="AT205" s="441">
        <v>90</v>
      </c>
      <c r="AU205" s="144">
        <f t="shared" si="132"/>
        <v>2880</v>
      </c>
      <c r="AV205" s="441">
        <v>90</v>
      </c>
      <c r="AW205" s="144">
        <f t="shared" si="133"/>
        <v>2880</v>
      </c>
      <c r="AX205" s="220"/>
    </row>
    <row r="206" spans="1:50" s="224" customFormat="1" x14ac:dyDescent="0.25">
      <c r="A206" s="350"/>
      <c r="B206" s="412" t="s">
        <v>329</v>
      </c>
      <c r="C206" s="413" t="s">
        <v>458</v>
      </c>
      <c r="D206" s="316"/>
      <c r="E206" s="244"/>
      <c r="F206" s="244"/>
      <c r="G206" s="75"/>
      <c r="H206" s="74"/>
      <c r="I206" s="74"/>
      <c r="J206" s="74"/>
      <c r="K206" s="74"/>
      <c r="L206" s="74"/>
      <c r="M206" s="74"/>
      <c r="N206" s="74"/>
      <c r="O206" s="72"/>
      <c r="P206" s="205"/>
      <c r="Q206" s="272"/>
      <c r="R206" s="439"/>
      <c r="S206" s="273"/>
      <c r="W206" s="74"/>
      <c r="X206" s="840"/>
      <c r="Y206" s="840"/>
      <c r="Z206" s="840"/>
      <c r="AO206" s="933" t="s">
        <v>279</v>
      </c>
      <c r="AP206" s="933"/>
      <c r="AQ206" s="821" t="s">
        <v>266</v>
      </c>
      <c r="AR206" s="821">
        <f>4.5*1.2*0.15+(4.5*0.3*0.1)*2</f>
        <v>1.0799999999999998</v>
      </c>
      <c r="AS206" s="821">
        <v>1.25</v>
      </c>
      <c r="AT206" s="441">
        <f>3800/1.05</f>
        <v>3619.0476190476188</v>
      </c>
      <c r="AU206" s="144">
        <f t="shared" si="132"/>
        <v>4523.8095238095239</v>
      </c>
      <c r="AV206" s="441">
        <v>800</v>
      </c>
      <c r="AW206" s="144">
        <f t="shared" si="133"/>
        <v>1000</v>
      </c>
      <c r="AX206" s="220"/>
    </row>
    <row r="207" spans="1:50" s="224" customFormat="1" x14ac:dyDescent="0.25">
      <c r="A207" s="350"/>
      <c r="B207" s="317"/>
      <c r="C207" s="318">
        <v>1</v>
      </c>
      <c r="D207" s="83" t="s">
        <v>459</v>
      </c>
      <c r="E207" s="242">
        <v>1337</v>
      </c>
      <c r="F207" s="242">
        <v>1446</v>
      </c>
      <c r="G207" s="77" t="s">
        <v>100</v>
      </c>
      <c r="H207" s="74">
        <f>10</f>
        <v>10</v>
      </c>
      <c r="I207" s="74">
        <f>F207*H207</f>
        <v>14460</v>
      </c>
      <c r="J207" s="74">
        <f t="shared" ref="J207:J215" si="134">W207/$J$169</f>
        <v>4.7058823529411766</v>
      </c>
      <c r="K207" s="74">
        <f t="shared" ref="K207:K215" si="135">F207*J207</f>
        <v>6804.7058823529414</v>
      </c>
      <c r="L207" s="72">
        <f t="shared" ref="L207:L215" si="136">I207+K207</f>
        <v>21264.705882352941</v>
      </c>
      <c r="M207" s="74">
        <f t="shared" ref="M207:N215" si="137">X207/$S$217*$S$218</f>
        <v>13.349862233126936</v>
      </c>
      <c r="N207" s="74">
        <f t="shared" si="137"/>
        <v>6.2822881097067942</v>
      </c>
      <c r="O207" s="72">
        <f t="shared" si="99"/>
        <v>19.632150342833732</v>
      </c>
      <c r="P207" s="205">
        <f t="shared" si="100"/>
        <v>28388.089395737577</v>
      </c>
      <c r="Q207" s="272">
        <f>L207/$P$264*$P$272</f>
        <v>29375.411963262835</v>
      </c>
      <c r="R207" s="439">
        <f t="shared" si="101"/>
        <v>-987.32256752525791</v>
      </c>
      <c r="S207" s="273"/>
      <c r="U207" s="273"/>
      <c r="V207" s="273"/>
      <c r="W207" s="74">
        <v>4</v>
      </c>
      <c r="X207" s="840">
        <v>13.876592885551613</v>
      </c>
      <c r="Y207" s="840">
        <v>6.5301613579066418</v>
      </c>
      <c r="Z207" s="840"/>
      <c r="AO207" s="933" t="s">
        <v>282</v>
      </c>
      <c r="AP207" s="933"/>
      <c r="AQ207" s="821" t="s">
        <v>284</v>
      </c>
      <c r="AR207" s="173">
        <f>(5*12+23*1.2+16)*0.616</f>
        <v>63.817599999999999</v>
      </c>
      <c r="AS207" s="821">
        <v>75</v>
      </c>
      <c r="AT207" s="441">
        <f>33/1.05</f>
        <v>31.428571428571427</v>
      </c>
      <c r="AU207" s="144">
        <f t="shared" si="132"/>
        <v>2357.1428571428569</v>
      </c>
      <c r="AV207" s="441">
        <v>12</v>
      </c>
      <c r="AW207" s="144">
        <f t="shared" si="133"/>
        <v>900</v>
      </c>
      <c r="AX207" s="220"/>
    </row>
    <row r="208" spans="1:50" s="224" customFormat="1" x14ac:dyDescent="0.25">
      <c r="A208" s="350"/>
      <c r="B208" s="317"/>
      <c r="C208" s="318">
        <v>2</v>
      </c>
      <c r="D208" s="83" t="s">
        <v>460</v>
      </c>
      <c r="E208" s="242">
        <v>1113</v>
      </c>
      <c r="F208" s="242">
        <v>1320</v>
      </c>
      <c r="G208" s="77" t="s">
        <v>100</v>
      </c>
      <c r="H208" s="74">
        <f>25</f>
        <v>25</v>
      </c>
      <c r="I208" s="74">
        <f t="shared" ref="I208:I210" si="138">F208*H208</f>
        <v>33000</v>
      </c>
      <c r="J208" s="74">
        <f t="shared" si="134"/>
        <v>10.588235294117647</v>
      </c>
      <c r="K208" s="74">
        <f t="shared" si="135"/>
        <v>13976.470588235294</v>
      </c>
      <c r="L208" s="72">
        <f t="shared" si="136"/>
        <v>46976.470588235294</v>
      </c>
      <c r="M208" s="74">
        <f t="shared" si="137"/>
        <v>33.37465558281734</v>
      </c>
      <c r="N208" s="74">
        <f t="shared" si="137"/>
        <v>14.135148246840286</v>
      </c>
      <c r="O208" s="72">
        <f t="shared" si="99"/>
        <v>47.509803829657628</v>
      </c>
      <c r="P208" s="205">
        <f t="shared" si="100"/>
        <v>62712.941055148069</v>
      </c>
      <c r="Q208" s="272">
        <f>L208/$P$264*$P$272</f>
        <v>64894.063606809694</v>
      </c>
      <c r="R208" s="439">
        <f t="shared" si="101"/>
        <v>-2181.122551661625</v>
      </c>
      <c r="S208" s="273"/>
      <c r="U208" s="273"/>
      <c r="V208" s="273"/>
      <c r="W208" s="74">
        <v>9</v>
      </c>
      <c r="X208" s="840">
        <v>34.691482213879034</v>
      </c>
      <c r="Y208" s="840">
        <v>14.692863055289944</v>
      </c>
      <c r="Z208" s="840"/>
      <c r="AO208" s="933" t="s">
        <v>281</v>
      </c>
      <c r="AP208" s="933"/>
      <c r="AQ208" s="821" t="s">
        <v>101</v>
      </c>
      <c r="AR208" s="821">
        <f>0.3*4.5*2</f>
        <v>2.6999999999999997</v>
      </c>
      <c r="AS208" s="821">
        <v>3</v>
      </c>
      <c r="AT208" s="441">
        <v>220</v>
      </c>
      <c r="AU208" s="144">
        <f t="shared" si="132"/>
        <v>660</v>
      </c>
      <c r="AV208" s="441">
        <v>200</v>
      </c>
      <c r="AW208" s="144">
        <f t="shared" si="133"/>
        <v>600</v>
      </c>
      <c r="AX208" s="220"/>
    </row>
    <row r="209" spans="1:49" s="224" customFormat="1" x14ac:dyDescent="0.25">
      <c r="A209" s="350"/>
      <c r="B209" s="317"/>
      <c r="C209" s="318">
        <v>3</v>
      </c>
      <c r="D209" s="83" t="s">
        <v>461</v>
      </c>
      <c r="E209" s="242">
        <v>33</v>
      </c>
      <c r="F209" s="242">
        <v>33</v>
      </c>
      <c r="G209" s="77" t="s">
        <v>28</v>
      </c>
      <c r="H209" s="74">
        <f>258</f>
        <v>258</v>
      </c>
      <c r="I209" s="74">
        <f t="shared" si="138"/>
        <v>8514</v>
      </c>
      <c r="J209" s="74">
        <f t="shared" si="134"/>
        <v>117.64705882352942</v>
      </c>
      <c r="K209" s="74">
        <f t="shared" si="135"/>
        <v>3882.3529411764707</v>
      </c>
      <c r="L209" s="72">
        <f t="shared" si="136"/>
        <v>12396.35294117647</v>
      </c>
      <c r="M209" s="74">
        <f t="shared" si="137"/>
        <v>344.42644561467495</v>
      </c>
      <c r="N209" s="74">
        <f t="shared" si="137"/>
        <v>157.05720274266986</v>
      </c>
      <c r="O209" s="72">
        <f t="shared" si="99"/>
        <v>501.4836483573448</v>
      </c>
      <c r="P209" s="205">
        <f t="shared" si="100"/>
        <v>16548.960395792379</v>
      </c>
      <c r="Q209" s="272">
        <f>L209/$P$264*$P$272</f>
        <v>17124.52438814408</v>
      </c>
      <c r="R209" s="439">
        <f t="shared" si="101"/>
        <v>-575.56399235170102</v>
      </c>
      <c r="S209" s="273"/>
      <c r="U209" s="273"/>
      <c r="V209" s="273"/>
      <c r="W209" s="74">
        <v>100</v>
      </c>
      <c r="X209" s="840">
        <v>358.01609644723163</v>
      </c>
      <c r="Y209" s="840">
        <v>163.25403394766604</v>
      </c>
      <c r="Z209" s="840"/>
      <c r="AA209" s="273"/>
      <c r="AB209" s="273"/>
      <c r="AC209" s="273"/>
      <c r="AD209" s="273"/>
      <c r="AE209" s="273"/>
      <c r="AF209" s="273"/>
      <c r="AH209" s="273"/>
      <c r="AJ209" s="738"/>
      <c r="AO209" s="933" t="s">
        <v>379</v>
      </c>
      <c r="AP209" s="933"/>
      <c r="AQ209" s="821" t="s">
        <v>301</v>
      </c>
      <c r="AR209" s="821">
        <v>1</v>
      </c>
      <c r="AS209" s="821">
        <v>1</v>
      </c>
      <c r="AT209" s="441">
        <v>1000</v>
      </c>
      <c r="AU209" s="144">
        <f t="shared" si="132"/>
        <v>1000</v>
      </c>
      <c r="AV209" s="441">
        <v>800</v>
      </c>
      <c r="AW209" s="144">
        <f t="shared" si="133"/>
        <v>800</v>
      </c>
    </row>
    <row r="210" spans="1:49" s="224" customFormat="1" x14ac:dyDescent="0.25">
      <c r="A210" s="350"/>
      <c r="B210" s="317"/>
      <c r="C210" s="318">
        <v>4</v>
      </c>
      <c r="D210" s="83" t="s">
        <v>462</v>
      </c>
      <c r="E210" s="242">
        <v>33</v>
      </c>
      <c r="F210" s="242">
        <v>33</v>
      </c>
      <c r="G210" s="77" t="s">
        <v>28</v>
      </c>
      <c r="H210" s="74">
        <f>456</f>
        <v>456</v>
      </c>
      <c r="I210" s="74">
        <f t="shared" si="138"/>
        <v>15048</v>
      </c>
      <c r="J210" s="74">
        <f t="shared" si="134"/>
        <v>117.64705882352942</v>
      </c>
      <c r="K210" s="74">
        <f t="shared" si="135"/>
        <v>3882.3529411764707</v>
      </c>
      <c r="L210" s="72">
        <f t="shared" si="136"/>
        <v>18930.352941176472</v>
      </c>
      <c r="M210" s="74">
        <f t="shared" si="137"/>
        <v>608.75371783058824</v>
      </c>
      <c r="N210" s="74">
        <f t="shared" si="137"/>
        <v>157.05720274266986</v>
      </c>
      <c r="O210" s="72">
        <f t="shared" si="99"/>
        <v>765.81092057325804</v>
      </c>
      <c r="P210" s="205">
        <f t="shared" si="100"/>
        <v>25271.760378917515</v>
      </c>
      <c r="Q210" s="272">
        <f>L210/$P$264*$P$272</f>
        <v>26150.698689818517</v>
      </c>
      <c r="R210" s="439">
        <f t="shared" si="101"/>
        <v>-878.93831090100139</v>
      </c>
      <c r="S210" s="273"/>
      <c r="U210" s="273"/>
      <c r="V210" s="273"/>
      <c r="W210" s="74">
        <v>100</v>
      </c>
      <c r="X210" s="840">
        <v>632.77263558115351</v>
      </c>
      <c r="Y210" s="840">
        <v>163.25403394766604</v>
      </c>
      <c r="Z210" s="840"/>
      <c r="AA210" s="273"/>
      <c r="AB210" s="273"/>
      <c r="AC210" s="273"/>
      <c r="AD210" s="273"/>
      <c r="AE210" s="273"/>
      <c r="AF210" s="273"/>
      <c r="AH210" s="273"/>
      <c r="AO210" s="273"/>
      <c r="AP210" s="273"/>
      <c r="AQ210" s="273"/>
      <c r="AR210" s="273"/>
      <c r="AS210" s="273"/>
      <c r="AT210" s="273"/>
      <c r="AU210" s="216">
        <f>SUM(AU200:AU209)</f>
        <v>26355.238095238092</v>
      </c>
      <c r="AV210" s="273"/>
      <c r="AW210" s="216">
        <f>SUM(AW200:AW209)</f>
        <v>13770</v>
      </c>
    </row>
    <row r="211" spans="1:49" s="224" customFormat="1" x14ac:dyDescent="0.25">
      <c r="A211" s="350"/>
      <c r="B211" s="317"/>
      <c r="C211" s="318">
        <v>1</v>
      </c>
      <c r="D211" s="83" t="s">
        <v>463</v>
      </c>
      <c r="E211" s="242">
        <v>1</v>
      </c>
      <c r="F211" s="242">
        <v>1</v>
      </c>
      <c r="G211" s="77" t="s">
        <v>251</v>
      </c>
      <c r="H211" s="74">
        <f>4500</f>
        <v>4500</v>
      </c>
      <c r="I211" s="74">
        <f>F211*H211</f>
        <v>4500</v>
      </c>
      <c r="J211" s="74">
        <f t="shared" si="134"/>
        <v>1058.8235294117646</v>
      </c>
      <c r="K211" s="74">
        <f t="shared" si="135"/>
        <v>1058.8235294117646</v>
      </c>
      <c r="L211" s="72">
        <f t="shared" si="136"/>
        <v>5558.8235294117649</v>
      </c>
      <c r="M211" s="74">
        <f t="shared" si="137"/>
        <v>6007.4380049071215</v>
      </c>
      <c r="N211" s="74">
        <f t="shared" si="137"/>
        <v>1413.5148246840286</v>
      </c>
      <c r="O211" s="72">
        <f t="shared" si="99"/>
        <v>7420.9528295911496</v>
      </c>
      <c r="P211" s="205">
        <f t="shared" si="100"/>
        <v>7420.9528295911496</v>
      </c>
      <c r="Q211" s="272">
        <f>L211/$P$264*$P$272</f>
        <v>7679.049600355017</v>
      </c>
      <c r="R211" s="439">
        <f t="shared" si="101"/>
        <v>-258.09677076386743</v>
      </c>
      <c r="S211" s="273"/>
      <c r="U211" s="273"/>
      <c r="V211" s="273"/>
      <c r="W211" s="74">
        <v>900</v>
      </c>
      <c r="X211" s="840">
        <v>6244.4667984982261</v>
      </c>
      <c r="Y211" s="840">
        <v>1469.2863055289943</v>
      </c>
      <c r="Z211" s="840"/>
    </row>
    <row r="212" spans="1:49" s="224" customFormat="1" x14ac:dyDescent="0.25">
      <c r="A212" s="350"/>
      <c r="B212" s="317"/>
      <c r="C212" s="318">
        <v>2</v>
      </c>
      <c r="D212" s="83" t="s">
        <v>464</v>
      </c>
      <c r="E212" s="242">
        <v>1</v>
      </c>
      <c r="F212" s="242">
        <v>1</v>
      </c>
      <c r="G212" s="77" t="s">
        <v>251</v>
      </c>
      <c r="H212" s="74">
        <f>15000</f>
        <v>15000</v>
      </c>
      <c r="I212" s="74">
        <f t="shared" ref="I212:I214" si="139">F212*H212</f>
        <v>15000</v>
      </c>
      <c r="J212" s="74">
        <f t="shared" si="134"/>
        <v>3529.4117647058824</v>
      </c>
      <c r="K212" s="74">
        <f t="shared" si="135"/>
        <v>3529.4117647058824</v>
      </c>
      <c r="L212" s="72">
        <f t="shared" si="136"/>
        <v>18529.411764705881</v>
      </c>
      <c r="M212" s="74">
        <f t="shared" si="137"/>
        <v>20024.793349690404</v>
      </c>
      <c r="N212" s="74">
        <f t="shared" si="137"/>
        <v>4711.7160822800952</v>
      </c>
      <c r="O212" s="72">
        <f t="shared" si="99"/>
        <v>24736.509431970499</v>
      </c>
      <c r="P212" s="205">
        <f t="shared" si="100"/>
        <v>24736.509431970499</v>
      </c>
      <c r="Q212" s="272">
        <f>L212/$P$264*$P$272</f>
        <v>25596.832001183386</v>
      </c>
      <c r="R212" s="439">
        <f t="shared" si="101"/>
        <v>-860.32256921288717</v>
      </c>
      <c r="S212" s="273"/>
      <c r="U212" s="273"/>
      <c r="V212" s="273"/>
      <c r="W212" s="74">
        <v>3000</v>
      </c>
      <c r="X212" s="840">
        <v>20814.889328327419</v>
      </c>
      <c r="Y212" s="840">
        <v>4897.6210184299807</v>
      </c>
      <c r="Z212" s="840"/>
    </row>
    <row r="213" spans="1:49" s="224" customFormat="1" x14ac:dyDescent="0.25">
      <c r="A213" s="350"/>
      <c r="B213" s="317"/>
      <c r="C213" s="318">
        <v>3</v>
      </c>
      <c r="D213" s="83" t="s">
        <v>465</v>
      </c>
      <c r="E213" s="242">
        <v>1</v>
      </c>
      <c r="F213" s="242">
        <v>1</v>
      </c>
      <c r="G213" s="77" t="s">
        <v>243</v>
      </c>
      <c r="H213" s="74">
        <f>12000</f>
        <v>12000</v>
      </c>
      <c r="I213" s="74">
        <f t="shared" si="139"/>
        <v>12000</v>
      </c>
      <c r="J213" s="74">
        <f t="shared" si="134"/>
        <v>529.41176470588232</v>
      </c>
      <c r="K213" s="74">
        <f t="shared" si="135"/>
        <v>529.41176470588232</v>
      </c>
      <c r="L213" s="72">
        <f t="shared" si="136"/>
        <v>12529.411764705883</v>
      </c>
      <c r="M213" s="74">
        <f t="shared" si="137"/>
        <v>16019.834679752321</v>
      </c>
      <c r="N213" s="74">
        <f t="shared" si="137"/>
        <v>706.75741234201428</v>
      </c>
      <c r="O213" s="72">
        <f t="shared" si="99"/>
        <v>16726.592092094335</v>
      </c>
      <c r="P213" s="205">
        <f t="shared" si="100"/>
        <v>16726.592092094335</v>
      </c>
      <c r="Q213" s="272">
        <f>L213/$P$264*$P$272</f>
        <v>17308.334019847814</v>
      </c>
      <c r="R213" s="439">
        <f t="shared" si="101"/>
        <v>-581.7419277534791</v>
      </c>
      <c r="S213" s="273"/>
      <c r="U213" s="273"/>
      <c r="V213" s="273"/>
      <c r="W213" s="74">
        <v>450</v>
      </c>
      <c r="X213" s="840">
        <v>16651.911462661934</v>
      </c>
      <c r="Y213" s="840">
        <v>734.64315276449713</v>
      </c>
      <c r="Z213" s="840"/>
      <c r="AA213" s="273"/>
      <c r="AB213" s="273"/>
      <c r="AC213" s="273"/>
      <c r="AD213" s="273"/>
      <c r="AE213" s="273"/>
      <c r="AF213" s="273"/>
      <c r="AH213" s="273"/>
      <c r="AJ213" s="738">
        <f>AH226*2+AH244*3</f>
        <v>40999</v>
      </c>
    </row>
    <row r="214" spans="1:49" s="224" customFormat="1" x14ac:dyDescent="0.25">
      <c r="A214" s="350"/>
      <c r="B214" s="317"/>
      <c r="C214" s="318">
        <v>4</v>
      </c>
      <c r="D214" s="83" t="s">
        <v>466</v>
      </c>
      <c r="E214" s="242">
        <v>2</v>
      </c>
      <c r="F214" s="242">
        <v>2</v>
      </c>
      <c r="G214" s="77" t="s">
        <v>283</v>
      </c>
      <c r="H214" s="74">
        <f>5612</f>
        <v>5612</v>
      </c>
      <c r="I214" s="74">
        <f t="shared" si="139"/>
        <v>11224</v>
      </c>
      <c r="J214" s="74">
        <f t="shared" si="134"/>
        <v>2352.9411764705883</v>
      </c>
      <c r="K214" s="74">
        <f t="shared" si="135"/>
        <v>4705.8823529411766</v>
      </c>
      <c r="L214" s="72">
        <f t="shared" si="136"/>
        <v>15929.882352941177</v>
      </c>
      <c r="M214" s="74">
        <f t="shared" si="137"/>
        <v>7491.942685230837</v>
      </c>
      <c r="N214" s="74">
        <f t="shared" si="137"/>
        <v>3141.1440548533974</v>
      </c>
      <c r="O214" s="72">
        <f t="shared" si="99"/>
        <v>10633.086740084234</v>
      </c>
      <c r="P214" s="205">
        <f t="shared" si="100"/>
        <v>21266.173480168469</v>
      </c>
      <c r="Q214" s="272">
        <f>L214/$P$264*$P$272</f>
        <v>22005.799620877686</v>
      </c>
      <c r="R214" s="439">
        <f t="shared" si="101"/>
        <v>-739.626140709217</v>
      </c>
      <c r="S214" s="273"/>
      <c r="U214" s="273"/>
      <c r="V214" s="273"/>
      <c r="W214" s="74">
        <v>2000</v>
      </c>
      <c r="X214" s="840">
        <v>7787.5439273715656</v>
      </c>
      <c r="Y214" s="840">
        <v>3265.0806789533212</v>
      </c>
      <c r="Z214" s="840"/>
      <c r="AA214" s="273"/>
      <c r="AB214" s="273"/>
      <c r="AC214" s="273"/>
      <c r="AD214" s="273"/>
      <c r="AE214" s="273"/>
      <c r="AF214" s="273"/>
      <c r="AH214" s="273"/>
    </row>
    <row r="215" spans="1:49" s="224" customFormat="1" x14ac:dyDescent="0.25">
      <c r="A215" s="350"/>
      <c r="B215" s="317"/>
      <c r="C215" s="318">
        <v>5</v>
      </c>
      <c r="D215" s="83" t="s">
        <v>467</v>
      </c>
      <c r="E215" s="242">
        <v>1</v>
      </c>
      <c r="F215" s="242">
        <v>1</v>
      </c>
      <c r="G215" s="77" t="s">
        <v>301</v>
      </c>
      <c r="H215" s="74">
        <f>(7500+7000)/1.075</f>
        <v>13488.372093023256</v>
      </c>
      <c r="I215" s="74">
        <f>F215*H215</f>
        <v>13488.372093023256</v>
      </c>
      <c r="J215" s="74">
        <f t="shared" si="134"/>
        <v>8823.5294117647063</v>
      </c>
      <c r="K215" s="74">
        <f t="shared" si="135"/>
        <v>8823.5294117647063</v>
      </c>
      <c r="L215" s="72">
        <f t="shared" si="136"/>
        <v>22311.901504787962</v>
      </c>
      <c r="M215" s="74">
        <f t="shared" si="137"/>
        <v>18006.790919101451</v>
      </c>
      <c r="N215" s="74">
        <f t="shared" si="137"/>
        <v>11779.290205700239</v>
      </c>
      <c r="O215" s="72">
        <f t="shared" si="99"/>
        <v>29786.081124801691</v>
      </c>
      <c r="P215" s="205">
        <f t="shared" si="100"/>
        <v>29786.081124801691</v>
      </c>
      <c r="Q215" s="272">
        <f>L215/$P$264*$P$272</f>
        <v>30822.02509703219</v>
      </c>
      <c r="R215" s="439">
        <f t="shared" si="101"/>
        <v>-1035.9439722304996</v>
      </c>
      <c r="S215" s="273"/>
      <c r="U215" s="273"/>
      <c r="V215" s="273"/>
      <c r="W215" s="74">
        <f>2500+5000</f>
        <v>7500</v>
      </c>
      <c r="X215" s="840">
        <v>18717.264822371944</v>
      </c>
      <c r="Y215" s="840">
        <v>12244.052546074954</v>
      </c>
      <c r="Z215" s="840"/>
      <c r="AA215" s="835" t="s">
        <v>7</v>
      </c>
      <c r="AB215" s="835" t="s">
        <v>6</v>
      </c>
      <c r="AC215" s="835" t="s">
        <v>5</v>
      </c>
      <c r="AD215" s="934" t="s">
        <v>380</v>
      </c>
      <c r="AE215" s="934"/>
      <c r="AF215" s="934"/>
      <c r="AG215" s="934" t="s">
        <v>381</v>
      </c>
      <c r="AH215" s="934"/>
      <c r="AI215" s="737"/>
      <c r="AJ215" s="687"/>
      <c r="AK215" s="687"/>
      <c r="AL215" s="687"/>
      <c r="AM215" s="687"/>
      <c r="AN215" s="687" t="s">
        <v>397</v>
      </c>
      <c r="AO215" s="687" t="s">
        <v>398</v>
      </c>
    </row>
    <row r="216" spans="1:49" s="273" customFormat="1" ht="15.75" thickBot="1" x14ac:dyDescent="0.3">
      <c r="A216" s="350"/>
      <c r="B216" s="317"/>
      <c r="C216" s="318"/>
      <c r="D216" s="83"/>
      <c r="E216" s="242"/>
      <c r="F216" s="302"/>
      <c r="G216" s="75"/>
      <c r="H216" s="74"/>
      <c r="I216" s="74"/>
      <c r="J216" s="74"/>
      <c r="K216" s="74"/>
      <c r="L216" s="74"/>
      <c r="M216" s="72"/>
      <c r="N216" s="72"/>
      <c r="O216" s="72"/>
      <c r="P216" s="205"/>
      <c r="Q216" s="272">
        <f>L216/$P$264*$P$272</f>
        <v>0</v>
      </c>
      <c r="R216" s="439"/>
      <c r="T216" s="224"/>
      <c r="W216" s="760" t="s">
        <v>400</v>
      </c>
      <c r="X216" s="760"/>
      <c r="Y216" s="760"/>
      <c r="Z216" s="760"/>
      <c r="AA216" s="835"/>
      <c r="AB216" s="835"/>
      <c r="AC216" s="835"/>
      <c r="AD216" s="835"/>
      <c r="AE216" s="835"/>
      <c r="AF216" s="835"/>
      <c r="AG216" s="835"/>
      <c r="AH216" s="835"/>
      <c r="AI216" s="686"/>
      <c r="AJ216" s="686">
        <v>0.6</v>
      </c>
      <c r="AK216" s="688">
        <v>1.8</v>
      </c>
      <c r="AL216" s="687">
        <f>AJ216*AK216</f>
        <v>1.08</v>
      </c>
      <c r="AM216" s="688">
        <f>AJ216+AK216</f>
        <v>2.4</v>
      </c>
      <c r="AN216" s="687">
        <v>0.6</v>
      </c>
      <c r="AO216" s="687">
        <v>0.15</v>
      </c>
    </row>
    <row r="217" spans="1:49" s="234" customFormat="1" ht="15.75" thickBot="1" x14ac:dyDescent="0.3">
      <c r="A217" s="308"/>
      <c r="B217" s="910" t="s">
        <v>345</v>
      </c>
      <c r="C217" s="911"/>
      <c r="D217" s="912"/>
      <c r="E217" s="309"/>
      <c r="F217" s="310"/>
      <c r="G217" s="311"/>
      <c r="H217" s="312"/>
      <c r="I217" s="313">
        <f>SUM(I156:I216)</f>
        <v>1400979.8978094275</v>
      </c>
      <c r="J217" s="312"/>
      <c r="K217" s="313">
        <f>SUM(K156:K216)</f>
        <v>364281.76470588241</v>
      </c>
      <c r="L217" s="313">
        <f>SUM(L156:L216)</f>
        <v>1765261.6625153099</v>
      </c>
      <c r="M217" s="312"/>
      <c r="N217" s="312"/>
      <c r="O217" s="313"/>
      <c r="P217" s="315">
        <f>SUM(P156:P216)</f>
        <v>2356600.0000000014</v>
      </c>
      <c r="Q217" s="272">
        <f>L217/$P$264*$P$272</f>
        <v>2438561.2877145372</v>
      </c>
      <c r="R217" s="439">
        <f t="shared" ref="R217" si="140">P217-Q217</f>
        <v>-81961.287714535836</v>
      </c>
      <c r="S217" s="211">
        <v>2449581.7427196959</v>
      </c>
      <c r="T217" s="443"/>
      <c r="U217" s="275"/>
      <c r="V217" s="276"/>
      <c r="W217" s="829" t="s">
        <v>9</v>
      </c>
      <c r="X217" s="829"/>
      <c r="Y217" s="829"/>
      <c r="Z217" s="829"/>
      <c r="AA217" s="829" t="s">
        <v>382</v>
      </c>
      <c r="AB217" s="369">
        <f>+AB220*1.2</f>
        <v>2.2680000000000002</v>
      </c>
      <c r="AC217" s="370" t="s">
        <v>383</v>
      </c>
      <c r="AD217" s="371" t="s">
        <v>384</v>
      </c>
      <c r="AE217" s="372">
        <v>2300</v>
      </c>
      <c r="AF217" s="370" t="s">
        <v>385</v>
      </c>
      <c r="AG217" s="373" t="s">
        <v>384</v>
      </c>
      <c r="AH217" s="374">
        <f>AB217*AE217</f>
        <v>5216.4000000000005</v>
      </c>
      <c r="AI217" s="386"/>
      <c r="AJ217" s="385">
        <v>0.15</v>
      </c>
      <c r="AK217" s="385">
        <v>1.8</v>
      </c>
      <c r="AL217" s="385">
        <f>AJ217*AK217</f>
        <v>0.27</v>
      </c>
      <c r="AM217" s="387">
        <f t="shared" ref="AM217" si="141">AJ217+AK217</f>
        <v>1.95</v>
      </c>
      <c r="AN217" s="385">
        <v>1.8</v>
      </c>
      <c r="AO217" s="385">
        <v>0.6</v>
      </c>
      <c r="AP217" s="282"/>
    </row>
    <row r="218" spans="1:49" s="273" customFormat="1" ht="15.75" x14ac:dyDescent="0.25">
      <c r="A218" s="809" t="s">
        <v>346</v>
      </c>
      <c r="B218" s="810" t="s">
        <v>356</v>
      </c>
      <c r="C218" s="811"/>
      <c r="D218" s="83"/>
      <c r="E218" s="242"/>
      <c r="F218" s="302"/>
      <c r="G218" s="75"/>
      <c r="H218" s="74"/>
      <c r="I218" s="74"/>
      <c r="J218" s="74"/>
      <c r="K218" s="74"/>
      <c r="L218" s="74"/>
      <c r="M218" s="72"/>
      <c r="N218" s="72"/>
      <c r="O218" s="72"/>
      <c r="P218" s="205"/>
      <c r="Q218" s="272">
        <f>L218/$P$264*$P$272</f>
        <v>0</v>
      </c>
      <c r="R218" s="439"/>
      <c r="S218" s="733">
        <v>2356600</v>
      </c>
      <c r="T218" s="224"/>
      <c r="W218" s="681"/>
      <c r="X218" s="681"/>
      <c r="Y218" s="681"/>
      <c r="Z218" s="681"/>
      <c r="AA218" s="682"/>
      <c r="AB218" s="683"/>
      <c r="AC218" s="683"/>
      <c r="AD218" s="741"/>
      <c r="AE218" s="683"/>
      <c r="AF218" s="684" t="s">
        <v>386</v>
      </c>
      <c r="AG218" s="684" t="s">
        <v>384</v>
      </c>
      <c r="AH218" s="750">
        <f>SUM(AH217:AH217)</f>
        <v>5216.4000000000005</v>
      </c>
      <c r="AI218" s="686"/>
      <c r="AJ218" s="687">
        <v>0.15</v>
      </c>
      <c r="AK218" s="687">
        <v>0.6</v>
      </c>
      <c r="AL218" s="687">
        <f>AJ218*AK218</f>
        <v>0.09</v>
      </c>
      <c r="AM218" s="688">
        <f>AJ218+AK218</f>
        <v>0.75</v>
      </c>
      <c r="AN218" s="687">
        <v>0.15</v>
      </c>
      <c r="AO218" s="687">
        <v>1.8</v>
      </c>
    </row>
    <row r="219" spans="1:49" s="273" customFormat="1" x14ac:dyDescent="0.25">
      <c r="A219" s="350"/>
      <c r="B219" s="412" t="s">
        <v>319</v>
      </c>
      <c r="C219" s="413" t="s">
        <v>403</v>
      </c>
      <c r="D219" s="83"/>
      <c r="E219" s="242"/>
      <c r="F219" s="242"/>
      <c r="G219" s="77"/>
      <c r="H219" s="74"/>
      <c r="I219" s="74"/>
      <c r="J219" s="74"/>
      <c r="K219" s="74"/>
      <c r="L219" s="72"/>
      <c r="M219" s="74"/>
      <c r="N219" s="74"/>
      <c r="O219" s="72"/>
      <c r="P219" s="205"/>
      <c r="Q219" s="272">
        <f>L219/$P$264*$P$272</f>
        <v>0</v>
      </c>
      <c r="R219" s="439"/>
      <c r="S219" s="273">
        <f>S218-S217</f>
        <v>-92981.742719695903</v>
      </c>
      <c r="T219" s="224"/>
      <c r="W219" s="681"/>
      <c r="X219" s="681"/>
      <c r="Y219" s="681"/>
      <c r="Z219" s="681"/>
      <c r="AA219" s="682"/>
      <c r="AB219" s="683"/>
      <c r="AC219" s="683"/>
      <c r="AD219" s="741"/>
      <c r="AE219" s="683"/>
      <c r="AF219" s="684"/>
      <c r="AG219" s="684"/>
      <c r="AH219" s="742"/>
      <c r="AI219" s="686"/>
      <c r="AJ219" s="687">
        <v>0.15</v>
      </c>
      <c r="AK219" s="687">
        <v>0.6</v>
      </c>
      <c r="AL219" s="687">
        <f>AJ219*AK219</f>
        <v>0.09</v>
      </c>
      <c r="AM219" s="688">
        <f>AJ219+AK219</f>
        <v>0.75</v>
      </c>
      <c r="AN219" s="687"/>
      <c r="AO219" s="687">
        <v>0.6</v>
      </c>
    </row>
    <row r="220" spans="1:49" s="273" customFormat="1" x14ac:dyDescent="0.25">
      <c r="A220" s="350"/>
      <c r="B220" s="317"/>
      <c r="C220" s="318">
        <v>1</v>
      </c>
      <c r="D220" s="83" t="s">
        <v>404</v>
      </c>
      <c r="E220" s="242">
        <v>10</v>
      </c>
      <c r="F220" s="242">
        <v>10</v>
      </c>
      <c r="G220" s="77" t="s">
        <v>28</v>
      </c>
      <c r="H220" s="74"/>
      <c r="I220" s="74">
        <f t="shared" ref="I220:I232" si="142">F220*H220</f>
        <v>0</v>
      </c>
      <c r="J220" s="74">
        <f>750+100</f>
        <v>850</v>
      </c>
      <c r="K220" s="74">
        <f t="shared" ref="K220:K232" si="143">F220*J220</f>
        <v>8500</v>
      </c>
      <c r="L220" s="72">
        <f t="shared" ref="L220:L232" si="144">I220+K220</f>
        <v>8500</v>
      </c>
      <c r="M220" s="74">
        <f>H220/$P$264*$P$272</f>
        <v>0</v>
      </c>
      <c r="N220" s="74">
        <f>J220/$P$264*$P$272</f>
        <v>1174.2038806892062</v>
      </c>
      <c r="O220" s="72">
        <f t="shared" ref="O220:O242" si="145">N220+M220</f>
        <v>1174.2038806892062</v>
      </c>
      <c r="P220" s="205">
        <f t="shared" ref="P220:P242" si="146">O220*F220</f>
        <v>11742.038806892062</v>
      </c>
      <c r="Q220" s="272">
        <f>L220/$P$264*$P$272</f>
        <v>11742.03880689206</v>
      </c>
      <c r="R220" s="439">
        <f t="shared" ref="R220:R242" si="147">P220-Q220</f>
        <v>0</v>
      </c>
      <c r="T220" s="224"/>
      <c r="W220" s="835" t="s">
        <v>10</v>
      </c>
      <c r="X220" s="835"/>
      <c r="Y220" s="835"/>
      <c r="Z220" s="835"/>
      <c r="AA220" s="743" t="s">
        <v>387</v>
      </c>
      <c r="AB220" s="744">
        <f>AL224</f>
        <v>1.8900000000000003</v>
      </c>
      <c r="AC220" s="683" t="s">
        <v>383</v>
      </c>
      <c r="AD220" s="741" t="s">
        <v>384</v>
      </c>
      <c r="AE220" s="745">
        <v>400</v>
      </c>
      <c r="AF220" s="683" t="s">
        <v>385</v>
      </c>
      <c r="AG220" s="684" t="s">
        <v>384</v>
      </c>
      <c r="AH220" s="742">
        <f t="shared" ref="AH220:AH224" si="148">AB220*AE220</f>
        <v>756.00000000000011</v>
      </c>
      <c r="AI220" s="686"/>
      <c r="AJ220" s="687">
        <v>0.2</v>
      </c>
      <c r="AK220" s="687">
        <v>1.8</v>
      </c>
      <c r="AL220" s="687">
        <f>AJ220*AK220</f>
        <v>0.36000000000000004</v>
      </c>
      <c r="AM220" s="688">
        <f>AJ220+AK220</f>
        <v>2</v>
      </c>
      <c r="AN220" s="687"/>
      <c r="AO220" s="687">
        <v>0.2</v>
      </c>
    </row>
    <row r="221" spans="1:49" s="273" customFormat="1" x14ac:dyDescent="0.25">
      <c r="A221" s="350"/>
      <c r="B221" s="317"/>
      <c r="C221" s="318">
        <v>2</v>
      </c>
      <c r="D221" s="83" t="s">
        <v>405</v>
      </c>
      <c r="E221" s="242">
        <v>3</v>
      </c>
      <c r="F221" s="242">
        <v>3</v>
      </c>
      <c r="G221" s="77" t="s">
        <v>28</v>
      </c>
      <c r="H221" s="74"/>
      <c r="I221" s="74">
        <f>F221*H221</f>
        <v>0</v>
      </c>
      <c r="J221" s="74">
        <f>750+100</f>
        <v>850</v>
      </c>
      <c r="K221" s="74">
        <f>F221*J221</f>
        <v>2550</v>
      </c>
      <c r="L221" s="72">
        <f>I221+K221</f>
        <v>2550</v>
      </c>
      <c r="M221" s="74">
        <f>H221/$P$264*$P$272</f>
        <v>0</v>
      </c>
      <c r="N221" s="74">
        <f>J221/$P$264*$P$272</f>
        <v>1174.2038806892062</v>
      </c>
      <c r="O221" s="72">
        <f t="shared" si="145"/>
        <v>1174.2038806892062</v>
      </c>
      <c r="P221" s="205">
        <f t="shared" si="146"/>
        <v>3522.611642067619</v>
      </c>
      <c r="Q221" s="272">
        <f>L221/$P$264*$P$272</f>
        <v>3522.6116420676185</v>
      </c>
      <c r="R221" s="439">
        <f t="shared" si="147"/>
        <v>0</v>
      </c>
      <c r="T221" s="224"/>
      <c r="W221" s="835"/>
      <c r="X221" s="835"/>
      <c r="Y221" s="835"/>
      <c r="Z221" s="835"/>
      <c r="AA221" s="743" t="s">
        <v>388</v>
      </c>
      <c r="AB221" s="744">
        <f>AM224</f>
        <v>7.85</v>
      </c>
      <c r="AC221" s="683" t="s">
        <v>383</v>
      </c>
      <c r="AD221" s="741"/>
      <c r="AE221" s="745">
        <v>100</v>
      </c>
      <c r="AF221" s="683" t="s">
        <v>385</v>
      </c>
      <c r="AG221" s="684"/>
      <c r="AH221" s="742">
        <f t="shared" si="148"/>
        <v>785</v>
      </c>
      <c r="AI221" s="686"/>
      <c r="AJ221" s="687"/>
      <c r="AK221" s="687"/>
      <c r="AL221" s="687"/>
      <c r="AM221" s="688"/>
      <c r="AN221" s="687"/>
      <c r="AO221" s="687"/>
    </row>
    <row r="222" spans="1:49" s="273" customFormat="1" x14ac:dyDescent="0.25">
      <c r="A222" s="350"/>
      <c r="B222" s="317"/>
      <c r="C222" s="318">
        <v>3</v>
      </c>
      <c r="D222" s="83" t="s">
        <v>406</v>
      </c>
      <c r="E222" s="242">
        <v>7</v>
      </c>
      <c r="F222" s="242">
        <v>7</v>
      </c>
      <c r="G222" s="77" t="s">
        <v>28</v>
      </c>
      <c r="H222" s="74"/>
      <c r="I222" s="74">
        <f t="shared" si="142"/>
        <v>0</v>
      </c>
      <c r="J222" s="74">
        <f>600+100</f>
        <v>700</v>
      </c>
      <c r="K222" s="74">
        <f t="shared" si="143"/>
        <v>4900</v>
      </c>
      <c r="L222" s="72">
        <f t="shared" si="144"/>
        <v>4900</v>
      </c>
      <c r="M222" s="74">
        <f>H222/$P$264*$P$272</f>
        <v>0</v>
      </c>
      <c r="N222" s="74">
        <f>J222/$P$264*$P$272</f>
        <v>966.99143115581683</v>
      </c>
      <c r="O222" s="72">
        <f t="shared" si="145"/>
        <v>966.99143115581683</v>
      </c>
      <c r="P222" s="205">
        <f t="shared" si="146"/>
        <v>6768.9400180907178</v>
      </c>
      <c r="Q222" s="272">
        <f>L222/$P$264*$P$272</f>
        <v>6768.9400180907187</v>
      </c>
      <c r="R222" s="439">
        <f t="shared" si="147"/>
        <v>0</v>
      </c>
      <c r="T222" s="224"/>
      <c r="W222" s="835"/>
      <c r="X222" s="835"/>
      <c r="Y222" s="835"/>
      <c r="Z222" s="835"/>
      <c r="AA222" s="743" t="s">
        <v>389</v>
      </c>
      <c r="AB222" s="744">
        <f>AN224</f>
        <v>2.5499999999999998</v>
      </c>
      <c r="AC222" s="683" t="s">
        <v>100</v>
      </c>
      <c r="AD222" s="741"/>
      <c r="AE222" s="745">
        <v>400</v>
      </c>
      <c r="AF222" s="746" t="s">
        <v>390</v>
      </c>
      <c r="AG222" s="684"/>
      <c r="AH222" s="742">
        <f t="shared" si="148"/>
        <v>1019.9999999999999</v>
      </c>
      <c r="AI222" s="686"/>
      <c r="AJ222" s="687"/>
      <c r="AK222" s="687"/>
      <c r="AL222" s="687"/>
      <c r="AM222" s="688"/>
      <c r="AN222" s="687"/>
      <c r="AO222" s="687"/>
    </row>
    <row r="223" spans="1:49" s="273" customFormat="1" x14ac:dyDescent="0.25">
      <c r="A223" s="350"/>
      <c r="B223" s="317"/>
      <c r="C223" s="318">
        <v>4</v>
      </c>
      <c r="D223" s="83" t="s">
        <v>407</v>
      </c>
      <c r="E223" s="242">
        <v>7</v>
      </c>
      <c r="F223" s="242">
        <v>7</v>
      </c>
      <c r="G223" s="77" t="s">
        <v>28</v>
      </c>
      <c r="H223" s="74"/>
      <c r="I223" s="74">
        <f t="shared" si="142"/>
        <v>0</v>
      </c>
      <c r="J223" s="74">
        <f>300+100</f>
        <v>400</v>
      </c>
      <c r="K223" s="74">
        <f t="shared" si="143"/>
        <v>2800</v>
      </c>
      <c r="L223" s="72">
        <f t="shared" si="144"/>
        <v>2800</v>
      </c>
      <c r="M223" s="74">
        <f>H223/$P$264*$P$272</f>
        <v>0</v>
      </c>
      <c r="N223" s="74">
        <f>J223/$P$264*$P$272</f>
        <v>552.56653208903822</v>
      </c>
      <c r="O223" s="72">
        <f t="shared" si="145"/>
        <v>552.56653208903822</v>
      </c>
      <c r="P223" s="205">
        <f t="shared" si="146"/>
        <v>3867.9657246232673</v>
      </c>
      <c r="Q223" s="272">
        <f>L223/$P$264*$P$272</f>
        <v>3867.9657246232673</v>
      </c>
      <c r="R223" s="439">
        <f t="shared" si="147"/>
        <v>0</v>
      </c>
      <c r="T223" s="224"/>
      <c r="W223" s="835"/>
      <c r="X223" s="835"/>
      <c r="Y223" s="835"/>
      <c r="Z223" s="835"/>
      <c r="AA223" s="743" t="s">
        <v>391</v>
      </c>
      <c r="AB223" s="744">
        <f>AO224</f>
        <v>3.35</v>
      </c>
      <c r="AC223" s="683" t="s">
        <v>100</v>
      </c>
      <c r="AD223" s="741"/>
      <c r="AE223" s="745">
        <v>400</v>
      </c>
      <c r="AF223" s="746" t="s">
        <v>390</v>
      </c>
      <c r="AG223" s="684"/>
      <c r="AH223" s="742">
        <f t="shared" si="148"/>
        <v>1340</v>
      </c>
      <c r="AI223" s="686"/>
      <c r="AJ223" s="687"/>
      <c r="AK223" s="687"/>
      <c r="AL223" s="687"/>
      <c r="AM223" s="688"/>
      <c r="AN223" s="687"/>
      <c r="AO223" s="687"/>
    </row>
    <row r="224" spans="1:49" s="273" customFormat="1" x14ac:dyDescent="0.25">
      <c r="A224" s="350"/>
      <c r="B224" s="317"/>
      <c r="C224" s="318">
        <v>5</v>
      </c>
      <c r="D224" s="83" t="s">
        <v>523</v>
      </c>
      <c r="E224" s="242">
        <v>2</v>
      </c>
      <c r="F224" s="242">
        <v>2</v>
      </c>
      <c r="G224" s="77" t="s">
        <v>28</v>
      </c>
      <c r="H224" s="74">
        <f>4000/1.07</f>
        <v>3738.3177570093458</v>
      </c>
      <c r="I224" s="74">
        <f t="shared" si="142"/>
        <v>7476.6355140186915</v>
      </c>
      <c r="J224" s="74">
        <f>400+100</f>
        <v>500</v>
      </c>
      <c r="K224" s="74">
        <f t="shared" si="143"/>
        <v>1000</v>
      </c>
      <c r="L224" s="72">
        <f t="shared" si="144"/>
        <v>8476.6355140186915</v>
      </c>
      <c r="M224" s="74">
        <f>H224/$P$264*$P$272</f>
        <v>5164.1731970938154</v>
      </c>
      <c r="N224" s="74">
        <f>J224/$P$264*$P$272</f>
        <v>690.70816511129783</v>
      </c>
      <c r="O224" s="72">
        <f t="shared" si="145"/>
        <v>5854.881362205113</v>
      </c>
      <c r="P224" s="205">
        <f t="shared" si="146"/>
        <v>11709.762724410226</v>
      </c>
      <c r="Q224" s="272">
        <f>L224/$P$264*$P$272</f>
        <v>11709.762724410224</v>
      </c>
      <c r="R224" s="439">
        <f t="shared" si="147"/>
        <v>0</v>
      </c>
      <c r="T224" s="224"/>
      <c r="W224" s="835"/>
      <c r="X224" s="835"/>
      <c r="Y224" s="835"/>
      <c r="Z224" s="835"/>
      <c r="AA224" s="743" t="s">
        <v>392</v>
      </c>
      <c r="AB224" s="747">
        <v>2</v>
      </c>
      <c r="AC224" s="683" t="s">
        <v>393</v>
      </c>
      <c r="AD224" s="684"/>
      <c r="AE224" s="745">
        <v>500</v>
      </c>
      <c r="AF224" s="746" t="s">
        <v>394</v>
      </c>
      <c r="AG224" s="684"/>
      <c r="AH224" s="748">
        <f t="shared" si="148"/>
        <v>1000</v>
      </c>
      <c r="AI224" s="686"/>
      <c r="AJ224" s="687"/>
      <c r="AK224" s="687"/>
      <c r="AL224" s="749">
        <f>SUM(AL216:AL220)</f>
        <v>1.8900000000000003</v>
      </c>
      <c r="AM224" s="749">
        <f>SUM(AM216:AM220)</f>
        <v>7.85</v>
      </c>
      <c r="AN224" s="749">
        <f>SUM(AN216:AN219)</f>
        <v>2.5499999999999998</v>
      </c>
      <c r="AO224" s="749">
        <f>SUM(AO216:AO220)</f>
        <v>3.35</v>
      </c>
    </row>
    <row r="225" spans="1:51" s="273" customFormat="1" x14ac:dyDescent="0.25">
      <c r="A225" s="350"/>
      <c r="B225" s="317"/>
      <c r="C225" s="318">
        <v>6</v>
      </c>
      <c r="D225" s="83" t="s">
        <v>409</v>
      </c>
      <c r="E225" s="242">
        <v>2</v>
      </c>
      <c r="F225" s="242">
        <v>2</v>
      </c>
      <c r="G225" s="77" t="s">
        <v>28</v>
      </c>
      <c r="H225" s="74"/>
      <c r="I225" s="74">
        <f t="shared" si="142"/>
        <v>0</v>
      </c>
      <c r="J225" s="74">
        <f>400+100</f>
        <v>500</v>
      </c>
      <c r="K225" s="74">
        <f t="shared" si="143"/>
        <v>1000</v>
      </c>
      <c r="L225" s="72">
        <f t="shared" si="144"/>
        <v>1000</v>
      </c>
      <c r="M225" s="74">
        <f>H225/$P$264*$P$272</f>
        <v>0</v>
      </c>
      <c r="N225" s="74">
        <f>J225/$P$264*$P$272</f>
        <v>690.70816511129783</v>
      </c>
      <c r="O225" s="72">
        <f t="shared" si="145"/>
        <v>690.70816511129783</v>
      </c>
      <c r="P225" s="205">
        <f t="shared" si="146"/>
        <v>1381.4163302225957</v>
      </c>
      <c r="Q225" s="272">
        <f>L225/$P$264*$P$272</f>
        <v>1381.4163302225957</v>
      </c>
      <c r="R225" s="439">
        <f t="shared" si="147"/>
        <v>0</v>
      </c>
      <c r="T225" s="224"/>
      <c r="W225" s="681"/>
      <c r="X225" s="681"/>
      <c r="Y225" s="681"/>
      <c r="Z225" s="681"/>
      <c r="AA225" s="682"/>
      <c r="AB225" s="683"/>
      <c r="AC225" s="683"/>
      <c r="AD225" s="684"/>
      <c r="AE225" s="683"/>
      <c r="AF225" s="684" t="s">
        <v>395</v>
      </c>
      <c r="AG225" s="684" t="s">
        <v>384</v>
      </c>
      <c r="AH225" s="750">
        <f>SUM(AH220:AH224)</f>
        <v>4901</v>
      </c>
      <c r="AI225" s="686"/>
      <c r="AJ225" s="687"/>
      <c r="AK225" s="687"/>
      <c r="AL225" s="687"/>
      <c r="AM225" s="688"/>
      <c r="AN225" s="687"/>
      <c r="AO225" s="687"/>
    </row>
    <row r="226" spans="1:51" s="273" customFormat="1" ht="15.75" thickBot="1" x14ac:dyDescent="0.3">
      <c r="A226" s="350"/>
      <c r="B226" s="317"/>
      <c r="C226" s="318">
        <v>7</v>
      </c>
      <c r="D226" s="83" t="s">
        <v>410</v>
      </c>
      <c r="E226" s="242">
        <v>2</v>
      </c>
      <c r="F226" s="242">
        <v>2</v>
      </c>
      <c r="G226" s="77" t="s">
        <v>28</v>
      </c>
      <c r="H226" s="74"/>
      <c r="I226" s="74">
        <f t="shared" si="142"/>
        <v>0</v>
      </c>
      <c r="J226" s="74">
        <f>200+100</f>
        <v>300</v>
      </c>
      <c r="K226" s="74">
        <f t="shared" si="143"/>
        <v>600</v>
      </c>
      <c r="L226" s="72">
        <f t="shared" si="144"/>
        <v>600</v>
      </c>
      <c r="M226" s="74">
        <f>H226/$P$264*$P$272</f>
        <v>0</v>
      </c>
      <c r="N226" s="74">
        <f>J226/$P$264*$P$272</f>
        <v>414.42489906677866</v>
      </c>
      <c r="O226" s="72">
        <f t="shared" si="145"/>
        <v>414.42489906677866</v>
      </c>
      <c r="P226" s="205">
        <f t="shared" si="146"/>
        <v>828.84979813355733</v>
      </c>
      <c r="Q226" s="272">
        <f>L226/$P$264*$P$272</f>
        <v>828.84979813355733</v>
      </c>
      <c r="R226" s="439">
        <f t="shared" si="147"/>
        <v>0</v>
      </c>
      <c r="T226" s="224"/>
      <c r="W226" s="681"/>
      <c r="X226" s="681"/>
      <c r="Y226" s="681"/>
      <c r="Z226" s="681"/>
      <c r="AA226" s="682"/>
      <c r="AB226" s="683"/>
      <c r="AC226" s="683"/>
      <c r="AD226" s="684"/>
      <c r="AE226" s="683"/>
      <c r="AF226" s="684" t="s">
        <v>396</v>
      </c>
      <c r="AG226" s="684" t="s">
        <v>384</v>
      </c>
      <c r="AH226" s="685">
        <f>AH218+AH225</f>
        <v>10117.400000000001</v>
      </c>
      <c r="AI226" s="686"/>
      <c r="AJ226" s="687"/>
      <c r="AK226" s="687"/>
      <c r="AL226" s="687"/>
      <c r="AM226" s="688"/>
      <c r="AN226" s="687"/>
      <c r="AO226" s="687"/>
      <c r="AR226" s="814" t="s">
        <v>548</v>
      </c>
      <c r="AS226" s="815"/>
      <c r="AT226" s="815"/>
      <c r="AU226" s="815"/>
      <c r="AV226" s="815"/>
      <c r="AW226" s="815"/>
      <c r="AX226" s="815"/>
      <c r="AY226" s="815"/>
    </row>
    <row r="227" spans="1:51" s="273" customFormat="1" ht="15.75" thickTop="1" x14ac:dyDescent="0.25">
      <c r="A227" s="350"/>
      <c r="B227" s="317"/>
      <c r="C227" s="318">
        <v>8</v>
      </c>
      <c r="D227" s="83" t="s">
        <v>358</v>
      </c>
      <c r="E227" s="242">
        <v>10</v>
      </c>
      <c r="F227" s="242">
        <v>10</v>
      </c>
      <c r="G227" s="77" t="s">
        <v>28</v>
      </c>
      <c r="H227" s="74"/>
      <c r="I227" s="74">
        <f t="shared" si="142"/>
        <v>0</v>
      </c>
      <c r="J227" s="74">
        <f>250+100</f>
        <v>350</v>
      </c>
      <c r="K227" s="74">
        <f t="shared" si="143"/>
        <v>3500</v>
      </c>
      <c r="L227" s="72">
        <f t="shared" si="144"/>
        <v>3500</v>
      </c>
      <c r="M227" s="74">
        <f>H227/$P$264*$P$272</f>
        <v>0</v>
      </c>
      <c r="N227" s="74">
        <f>J227/$P$264*$P$272</f>
        <v>483.49571557790841</v>
      </c>
      <c r="O227" s="72">
        <f t="shared" si="145"/>
        <v>483.49571557790841</v>
      </c>
      <c r="P227" s="205">
        <f t="shared" si="146"/>
        <v>4834.9571557790841</v>
      </c>
      <c r="Q227" s="272">
        <f>L227/$P$264*$P$272</f>
        <v>4834.9571557790841</v>
      </c>
      <c r="R227" s="439">
        <f t="shared" si="147"/>
        <v>0</v>
      </c>
      <c r="T227" s="224"/>
      <c r="W227" s="751"/>
      <c r="X227" s="751"/>
      <c r="Y227" s="751"/>
      <c r="Z227" s="751"/>
      <c r="AA227" s="752"/>
      <c r="AB227" s="753"/>
      <c r="AC227" s="753"/>
      <c r="AD227" s="754"/>
      <c r="AE227" s="753"/>
      <c r="AF227" s="754"/>
      <c r="AG227" s="754"/>
      <c r="AH227" s="742"/>
      <c r="AI227" s="755"/>
      <c r="AJ227" s="756"/>
      <c r="AK227" s="756"/>
      <c r="AL227" s="756"/>
      <c r="AM227" s="757"/>
      <c r="AN227" s="756"/>
      <c r="AO227" s="756"/>
      <c r="AR227" s="815"/>
      <c r="AS227" s="815" t="s">
        <v>243</v>
      </c>
      <c r="AT227" s="815" t="s">
        <v>244</v>
      </c>
      <c r="AU227" s="815" t="s">
        <v>245</v>
      </c>
      <c r="AV227" s="815" t="s">
        <v>246</v>
      </c>
      <c r="AW227" s="815" t="s">
        <v>247</v>
      </c>
      <c r="AX227" s="815" t="s">
        <v>248</v>
      </c>
      <c r="AY227" s="815" t="s">
        <v>249</v>
      </c>
    </row>
    <row r="228" spans="1:51" s="273" customFormat="1" x14ac:dyDescent="0.25">
      <c r="A228" s="350"/>
      <c r="B228" s="317"/>
      <c r="C228" s="318">
        <v>9</v>
      </c>
      <c r="D228" s="83" t="s">
        <v>468</v>
      </c>
      <c r="E228" s="242">
        <v>12</v>
      </c>
      <c r="F228" s="242">
        <v>12</v>
      </c>
      <c r="G228" s="77" t="s">
        <v>28</v>
      </c>
      <c r="H228" s="74">
        <f>550/1.05</f>
        <v>523.80952380952374</v>
      </c>
      <c r="I228" s="74">
        <f t="shared" si="142"/>
        <v>6285.7142857142844</v>
      </c>
      <c r="J228" s="74">
        <f>150+100</f>
        <v>250</v>
      </c>
      <c r="K228" s="74">
        <f t="shared" si="143"/>
        <v>3000</v>
      </c>
      <c r="L228" s="72">
        <f t="shared" si="144"/>
        <v>9285.7142857142844</v>
      </c>
      <c r="M228" s="74">
        <f>H228/$P$264*$P$272</f>
        <v>723.59903011659753</v>
      </c>
      <c r="N228" s="74">
        <f>J228/$P$264*$P$272</f>
        <v>345.35408255564892</v>
      </c>
      <c r="O228" s="72">
        <f t="shared" si="145"/>
        <v>1068.9531126722463</v>
      </c>
      <c r="P228" s="205">
        <f t="shared" si="146"/>
        <v>12827.437352066956</v>
      </c>
      <c r="Q228" s="272">
        <f>L228/$P$264*$P$272</f>
        <v>12827.437352066956</v>
      </c>
      <c r="R228" s="439">
        <f t="shared" si="147"/>
        <v>0</v>
      </c>
      <c r="T228" s="224"/>
      <c r="W228" s="758"/>
      <c r="X228" s="758"/>
      <c r="Y228" s="758"/>
      <c r="Z228" s="758"/>
      <c r="AA228" s="759"/>
      <c r="AB228" s="759"/>
      <c r="AC228" s="759"/>
      <c r="AD228" s="759"/>
      <c r="AE228" s="759"/>
      <c r="AF228" s="759"/>
      <c r="AG228" s="759"/>
      <c r="AH228" s="759"/>
      <c r="AI228" s="755"/>
      <c r="AJ228" s="755"/>
      <c r="AK228" s="757"/>
      <c r="AL228" s="756"/>
      <c r="AM228" s="757"/>
      <c r="AN228" s="756"/>
      <c r="AO228" s="756"/>
      <c r="AQ228" s="958" t="s">
        <v>531</v>
      </c>
      <c r="AR228" s="958"/>
      <c r="AS228" s="815" t="s">
        <v>266</v>
      </c>
      <c r="AT228" s="815">
        <f>(6.1*1.8*2.5)</f>
        <v>27.450000000000003</v>
      </c>
      <c r="AU228" s="815">
        <v>28</v>
      </c>
      <c r="AV228" s="815">
        <v>30</v>
      </c>
      <c r="AW228" s="815">
        <f>AV228*AU228</f>
        <v>840</v>
      </c>
      <c r="AX228" s="815">
        <v>350</v>
      </c>
      <c r="AY228" s="815">
        <f>AX228*AU228</f>
        <v>9800</v>
      </c>
    </row>
    <row r="229" spans="1:51" s="273" customFormat="1" x14ac:dyDescent="0.25">
      <c r="A229" s="350"/>
      <c r="B229" s="317"/>
      <c r="C229" s="318">
        <v>10</v>
      </c>
      <c r="D229" s="83" t="s">
        <v>470</v>
      </c>
      <c r="E229" s="242">
        <v>2</v>
      </c>
      <c r="F229" s="242">
        <v>2</v>
      </c>
      <c r="G229" s="77" t="s">
        <v>28</v>
      </c>
      <c r="H229" s="74">
        <f>6000/1.05</f>
        <v>5714.2857142857138</v>
      </c>
      <c r="I229" s="74">
        <f t="shared" si="142"/>
        <v>11428.571428571428</v>
      </c>
      <c r="J229" s="74">
        <v>1500</v>
      </c>
      <c r="K229" s="74">
        <f t="shared" si="143"/>
        <v>3000</v>
      </c>
      <c r="L229" s="72">
        <f t="shared" si="144"/>
        <v>14428.571428571428</v>
      </c>
      <c r="M229" s="74">
        <f>H229/$P$264*$P$272</f>
        <v>7893.8076012719739</v>
      </c>
      <c r="N229" s="74">
        <f>J229/$P$264*$P$272</f>
        <v>2072.1244953338933</v>
      </c>
      <c r="O229" s="72">
        <f t="shared" si="145"/>
        <v>9965.9320966058676</v>
      </c>
      <c r="P229" s="205">
        <f t="shared" si="146"/>
        <v>19931.864193211735</v>
      </c>
      <c r="Q229" s="272">
        <f>L229/$P$264*$P$272</f>
        <v>19931.864193211735</v>
      </c>
      <c r="R229" s="439">
        <f t="shared" si="147"/>
        <v>0</v>
      </c>
      <c r="T229" s="224"/>
      <c r="AI229" s="737"/>
      <c r="AJ229" s="687"/>
      <c r="AK229" s="687"/>
      <c r="AL229" s="687"/>
      <c r="AM229" s="687"/>
      <c r="AN229" s="687" t="s">
        <v>397</v>
      </c>
      <c r="AO229" s="687" t="s">
        <v>398</v>
      </c>
      <c r="AQ229" s="958" t="s">
        <v>279</v>
      </c>
      <c r="AR229" s="958"/>
      <c r="AS229" s="815" t="s">
        <v>266</v>
      </c>
      <c r="AT229" s="815">
        <f>(6.1*0.15*2)+((6.1+1.8)*2*0.15*2.3)+(1.5*2.3*0.15)</f>
        <v>7.7984999999999989</v>
      </c>
      <c r="AU229" s="815">
        <v>8</v>
      </c>
      <c r="AV229" s="815">
        <f>3450/1.04</f>
        <v>3317.3076923076924</v>
      </c>
      <c r="AW229" s="815">
        <f t="shared" ref="AW229:AW233" si="149">AV229*AU229</f>
        <v>26538.461538461539</v>
      </c>
      <c r="AX229" s="815">
        <v>650</v>
      </c>
      <c r="AY229" s="815">
        <f t="shared" ref="AY229:AY233" si="150">AX229*AU229</f>
        <v>5200</v>
      </c>
    </row>
    <row r="230" spans="1:51" s="273" customFormat="1" x14ac:dyDescent="0.25">
      <c r="A230" s="350"/>
      <c r="B230" s="317"/>
      <c r="C230" s="318">
        <v>11</v>
      </c>
      <c r="D230" s="83" t="s">
        <v>467</v>
      </c>
      <c r="E230" s="242">
        <v>1</v>
      </c>
      <c r="F230" s="242">
        <v>1</v>
      </c>
      <c r="G230" s="77" t="s">
        <v>301</v>
      </c>
      <c r="H230" s="74">
        <v>10000</v>
      </c>
      <c r="I230" s="74">
        <f t="shared" si="142"/>
        <v>10000</v>
      </c>
      <c r="J230" s="74">
        <v>4000</v>
      </c>
      <c r="K230" s="74">
        <f t="shared" si="143"/>
        <v>4000</v>
      </c>
      <c r="L230" s="72">
        <f t="shared" si="144"/>
        <v>14000</v>
      </c>
      <c r="M230" s="74">
        <f>H230/$P$264*$P$272</f>
        <v>13814.163302225956</v>
      </c>
      <c r="N230" s="74">
        <f>J230/$P$264*$P$272</f>
        <v>5525.6653208903826</v>
      </c>
      <c r="O230" s="72">
        <f t="shared" si="145"/>
        <v>19339.828623116337</v>
      </c>
      <c r="P230" s="205">
        <f t="shared" si="146"/>
        <v>19339.828623116337</v>
      </c>
      <c r="Q230" s="272">
        <f>L230/$P$264*$P$272</f>
        <v>19339.828623116337</v>
      </c>
      <c r="R230" s="439">
        <f t="shared" si="147"/>
        <v>0</v>
      </c>
      <c r="T230" s="224"/>
      <c r="W230" s="835" t="s">
        <v>4</v>
      </c>
      <c r="X230" s="835"/>
      <c r="Y230" s="835"/>
      <c r="Z230" s="835"/>
      <c r="AA230" s="835" t="s">
        <v>7</v>
      </c>
      <c r="AB230" s="835" t="s">
        <v>6</v>
      </c>
      <c r="AC230" s="835" t="s">
        <v>5</v>
      </c>
      <c r="AD230" s="934" t="s">
        <v>380</v>
      </c>
      <c r="AE230" s="934"/>
      <c r="AF230" s="934"/>
      <c r="AG230" s="934" t="s">
        <v>381</v>
      </c>
      <c r="AH230" s="934"/>
      <c r="AI230" s="737"/>
      <c r="AJ230" s="687"/>
      <c r="AK230" s="687"/>
      <c r="AL230" s="687"/>
      <c r="AM230" s="687"/>
      <c r="AN230" s="687"/>
      <c r="AO230" s="687"/>
      <c r="AQ230" s="958" t="s">
        <v>281</v>
      </c>
      <c r="AR230" s="958"/>
      <c r="AS230" s="815" t="s">
        <v>101</v>
      </c>
      <c r="AT230" s="815">
        <f>(((6.1+1.8)*2*2.5)+((1+1.5)*2*2.3)+((2.5+1.5)*2*2.3)+((2+1.5)*2*2.3)+((1+2.5+2)*1.5))*0.85</f>
        <v>79.6875</v>
      </c>
      <c r="AU230" s="815">
        <v>80</v>
      </c>
      <c r="AV230" s="815">
        <f>200/1.04</f>
        <v>192.30769230769229</v>
      </c>
      <c r="AW230" s="815">
        <f t="shared" si="149"/>
        <v>15384.615384615383</v>
      </c>
      <c r="AX230" s="815">
        <v>200</v>
      </c>
      <c r="AY230" s="815">
        <f t="shared" si="150"/>
        <v>16000</v>
      </c>
    </row>
    <row r="231" spans="1:51" s="273" customFormat="1" x14ac:dyDescent="0.25">
      <c r="A231" s="350"/>
      <c r="B231" s="317"/>
      <c r="C231" s="318">
        <v>12</v>
      </c>
      <c r="D231" s="83" t="s">
        <v>528</v>
      </c>
      <c r="E231" s="242">
        <v>2</v>
      </c>
      <c r="F231" s="242">
        <v>2</v>
      </c>
      <c r="G231" s="77" t="s">
        <v>28</v>
      </c>
      <c r="H231" s="74">
        <f>(7000+2000)/1.03</f>
        <v>8737.8640776699031</v>
      </c>
      <c r="I231" s="74">
        <f t="shared" si="142"/>
        <v>17475.728155339806</v>
      </c>
      <c r="J231" s="74">
        <v>2000</v>
      </c>
      <c r="K231" s="74">
        <f t="shared" si="143"/>
        <v>4000</v>
      </c>
      <c r="L231" s="72">
        <f t="shared" si="144"/>
        <v>21475.728155339806</v>
      </c>
      <c r="M231" s="74">
        <f>H231/$P$264*$P$272</f>
        <v>12070.628128158602</v>
      </c>
      <c r="N231" s="74">
        <f>J231/$P$264*$P$272</f>
        <v>2762.8326604451913</v>
      </c>
      <c r="O231" s="72">
        <f t="shared" si="145"/>
        <v>14833.460788603792</v>
      </c>
      <c r="P231" s="205">
        <f t="shared" si="146"/>
        <v>29666.921577207584</v>
      </c>
      <c r="Q231" s="272">
        <f>L231/$P$264*$P$272</f>
        <v>29666.921577207584</v>
      </c>
      <c r="R231" s="439">
        <f t="shared" si="147"/>
        <v>0</v>
      </c>
      <c r="T231" s="224"/>
      <c r="W231" s="835" t="s">
        <v>4</v>
      </c>
      <c r="X231" s="835"/>
      <c r="Y231" s="835"/>
      <c r="Z231" s="835"/>
      <c r="AA231" s="835" t="s">
        <v>7</v>
      </c>
      <c r="AB231" s="835" t="s">
        <v>6</v>
      </c>
      <c r="AC231" s="835" t="s">
        <v>5</v>
      </c>
      <c r="AD231" s="934" t="s">
        <v>380</v>
      </c>
      <c r="AE231" s="934"/>
      <c r="AF231" s="934"/>
      <c r="AG231" s="934" t="s">
        <v>381</v>
      </c>
      <c r="AH231" s="934"/>
      <c r="AI231" s="737"/>
      <c r="AJ231" s="687"/>
      <c r="AK231" s="687"/>
      <c r="AL231" s="687"/>
      <c r="AM231" s="687"/>
      <c r="AN231" s="687"/>
      <c r="AO231" s="687"/>
      <c r="AQ231" s="958" t="s">
        <v>282</v>
      </c>
      <c r="AR231" s="958"/>
      <c r="AS231" s="815" t="s">
        <v>255</v>
      </c>
      <c r="AT231" s="815">
        <f>AT229*135</f>
        <v>1052.7974999999999</v>
      </c>
      <c r="AU231" s="815">
        <f>AT231*1.05</f>
        <v>1105.437375</v>
      </c>
      <c r="AV231" s="815">
        <f>33/1.04</f>
        <v>31.73076923076923</v>
      </c>
      <c r="AW231" s="815">
        <f t="shared" si="149"/>
        <v>35076.378245192303</v>
      </c>
      <c r="AX231" s="815">
        <v>8</v>
      </c>
      <c r="AY231" s="815">
        <f t="shared" si="150"/>
        <v>8843.4989999999998</v>
      </c>
    </row>
    <row r="232" spans="1:51" s="273" customFormat="1" x14ac:dyDescent="0.25">
      <c r="A232" s="350"/>
      <c r="B232" s="317"/>
      <c r="C232" s="318">
        <v>13</v>
      </c>
      <c r="D232" s="83" t="s">
        <v>546</v>
      </c>
      <c r="E232" s="242">
        <v>1</v>
      </c>
      <c r="F232" s="242">
        <v>1</v>
      </c>
      <c r="G232" s="77" t="s">
        <v>243</v>
      </c>
      <c r="H232" s="328">
        <f>AW234</f>
        <v>83300.993629807694</v>
      </c>
      <c r="I232" s="74">
        <f t="shared" si="142"/>
        <v>83300.993629807694</v>
      </c>
      <c r="J232" s="328">
        <f>AY234</f>
        <v>42343.498999999996</v>
      </c>
      <c r="K232" s="74">
        <f t="shared" si="143"/>
        <v>42343.498999999996</v>
      </c>
      <c r="L232" s="72">
        <f t="shared" si="144"/>
        <v>125644.49262980769</v>
      </c>
      <c r="M232" s="74">
        <f>H232/$P$264*$P$272</f>
        <v>115073.35292398476</v>
      </c>
      <c r="N232" s="74">
        <f>J232/$P$264*$P$272</f>
        <v>58494.000997364135</v>
      </c>
      <c r="O232" s="72">
        <f t="shared" si="145"/>
        <v>173567.3539213489</v>
      </c>
      <c r="P232" s="205">
        <f t="shared" si="146"/>
        <v>173567.3539213489</v>
      </c>
      <c r="Q232" s="272">
        <f>L232/$P$264*$P$272</f>
        <v>173567.3539213489</v>
      </c>
      <c r="R232" s="439">
        <f t="shared" si="147"/>
        <v>0</v>
      </c>
      <c r="T232" s="224"/>
      <c r="W232" s="835" t="s">
        <v>4</v>
      </c>
      <c r="X232" s="835"/>
      <c r="Y232" s="835"/>
      <c r="Z232" s="835"/>
      <c r="AA232" s="835" t="s">
        <v>7</v>
      </c>
      <c r="AB232" s="835" t="s">
        <v>6</v>
      </c>
      <c r="AC232" s="835" t="s">
        <v>5</v>
      </c>
      <c r="AD232" s="934" t="s">
        <v>380</v>
      </c>
      <c r="AE232" s="934"/>
      <c r="AF232" s="934"/>
      <c r="AG232" s="934" t="s">
        <v>381</v>
      </c>
      <c r="AH232" s="934"/>
      <c r="AI232" s="737"/>
      <c r="AJ232" s="687"/>
      <c r="AK232" s="687"/>
      <c r="AL232" s="687"/>
      <c r="AM232" s="687"/>
      <c r="AN232" s="687"/>
      <c r="AO232" s="687"/>
      <c r="AQ232" s="958" t="s">
        <v>532</v>
      </c>
      <c r="AR232" s="958"/>
      <c r="AS232" s="815" t="s">
        <v>55</v>
      </c>
      <c r="AT232" s="815">
        <v>3</v>
      </c>
      <c r="AU232" s="815">
        <v>3</v>
      </c>
      <c r="AV232" s="815">
        <f>1200/1.04</f>
        <v>1153.8461538461538</v>
      </c>
      <c r="AW232" s="815">
        <f t="shared" si="149"/>
        <v>3461.5384615384614</v>
      </c>
      <c r="AX232" s="815">
        <v>500</v>
      </c>
      <c r="AY232" s="815">
        <f t="shared" si="150"/>
        <v>1500</v>
      </c>
    </row>
    <row r="233" spans="1:51" s="273" customFormat="1" x14ac:dyDescent="0.25">
      <c r="A233" s="350"/>
      <c r="B233" s="317"/>
      <c r="C233" s="318"/>
      <c r="D233" s="83"/>
      <c r="E233" s="242"/>
      <c r="F233" s="302"/>
      <c r="G233" s="77"/>
      <c r="H233" s="74"/>
      <c r="I233" s="74"/>
      <c r="J233" s="74"/>
      <c r="K233" s="74"/>
      <c r="L233" s="74"/>
      <c r="M233" s="74"/>
      <c r="N233" s="74"/>
      <c r="O233" s="72"/>
      <c r="P233" s="205"/>
      <c r="Q233" s="272"/>
      <c r="R233" s="439"/>
      <c r="T233" s="224"/>
      <c r="W233" s="760" t="s">
        <v>399</v>
      </c>
      <c r="X233" s="760"/>
      <c r="Y233" s="760"/>
      <c r="Z233" s="760"/>
      <c r="AA233" s="835"/>
      <c r="AB233" s="835"/>
      <c r="AC233" s="835"/>
      <c r="AD233" s="835"/>
      <c r="AE233" s="835"/>
      <c r="AF233" s="835"/>
      <c r="AG233" s="835"/>
      <c r="AH233" s="835"/>
      <c r="AI233" s="686"/>
      <c r="AJ233" s="686">
        <v>0.6</v>
      </c>
      <c r="AK233" s="688">
        <v>1</v>
      </c>
      <c r="AL233" s="687">
        <f>AJ233*AK233</f>
        <v>0.6</v>
      </c>
      <c r="AM233" s="688">
        <f>AJ233+AK233</f>
        <v>1.6</v>
      </c>
      <c r="AN233" s="687">
        <v>0.6</v>
      </c>
      <c r="AO233" s="687">
        <v>0.15</v>
      </c>
      <c r="AQ233" s="958" t="s">
        <v>379</v>
      </c>
      <c r="AR233" s="958"/>
      <c r="AS233" s="815" t="s">
        <v>301</v>
      </c>
      <c r="AT233" s="815">
        <v>1</v>
      </c>
      <c r="AU233" s="815">
        <v>1</v>
      </c>
      <c r="AV233" s="815">
        <v>2000</v>
      </c>
      <c r="AW233" s="815">
        <f t="shared" si="149"/>
        <v>2000</v>
      </c>
      <c r="AX233" s="815">
        <v>1000</v>
      </c>
      <c r="AY233" s="815">
        <f t="shared" si="150"/>
        <v>1000</v>
      </c>
    </row>
    <row r="234" spans="1:51" s="273" customFormat="1" x14ac:dyDescent="0.25">
      <c r="A234" s="350"/>
      <c r="B234" s="412" t="s">
        <v>320</v>
      </c>
      <c r="C234" s="413" t="s">
        <v>355</v>
      </c>
      <c r="D234" s="83"/>
      <c r="E234" s="242"/>
      <c r="F234" s="242"/>
      <c r="G234" s="77"/>
      <c r="H234" s="74"/>
      <c r="I234" s="74"/>
      <c r="J234" s="74"/>
      <c r="K234" s="74"/>
      <c r="L234" s="72"/>
      <c r="M234" s="74"/>
      <c r="N234" s="74"/>
      <c r="O234" s="72"/>
      <c r="P234" s="205"/>
      <c r="Q234" s="272"/>
      <c r="R234" s="439"/>
      <c r="T234" s="224"/>
      <c r="W234" s="835" t="s">
        <v>9</v>
      </c>
      <c r="X234" s="835"/>
      <c r="Y234" s="835"/>
      <c r="Z234" s="835"/>
      <c r="AA234" s="835" t="s">
        <v>382</v>
      </c>
      <c r="AB234" s="761">
        <f>+AB238*1.2</f>
        <v>1.548</v>
      </c>
      <c r="AC234" s="683" t="s">
        <v>383</v>
      </c>
      <c r="AD234" s="741" t="s">
        <v>384</v>
      </c>
      <c r="AE234" s="745">
        <v>2300</v>
      </c>
      <c r="AF234" s="683" t="s">
        <v>385</v>
      </c>
      <c r="AG234" s="684" t="s">
        <v>384</v>
      </c>
      <c r="AH234" s="748">
        <f>AB234*AE234</f>
        <v>3560.4</v>
      </c>
      <c r="AI234" s="686"/>
      <c r="AJ234" s="687">
        <v>0.15</v>
      </c>
      <c r="AK234" s="687">
        <v>1</v>
      </c>
      <c r="AL234" s="687">
        <f>AJ234*AK234</f>
        <v>0.15</v>
      </c>
      <c r="AM234" s="688">
        <f t="shared" ref="AM234" si="151">AJ234+AK234</f>
        <v>1.1499999999999999</v>
      </c>
      <c r="AN234" s="687">
        <v>1</v>
      </c>
      <c r="AO234" s="687">
        <v>0.6</v>
      </c>
      <c r="AR234" s="815"/>
      <c r="AS234" s="815"/>
      <c r="AT234" s="815"/>
      <c r="AU234" s="815"/>
      <c r="AV234" s="815"/>
      <c r="AW234" s="816">
        <f>SUM(AW228:AW233)</f>
        <v>83300.993629807694</v>
      </c>
      <c r="AX234" s="815"/>
      <c r="AY234" s="816">
        <f>SUM(AY228:AY233)</f>
        <v>42343.498999999996</v>
      </c>
    </row>
    <row r="235" spans="1:51" s="273" customFormat="1" x14ac:dyDescent="0.25">
      <c r="A235" s="350"/>
      <c r="B235" s="412"/>
      <c r="C235" s="318">
        <v>1</v>
      </c>
      <c r="D235" s="83" t="s">
        <v>549</v>
      </c>
      <c r="E235" s="242">
        <v>5</v>
      </c>
      <c r="F235" s="242">
        <v>5</v>
      </c>
      <c r="G235" s="77" t="s">
        <v>283</v>
      </c>
      <c r="H235" s="74"/>
      <c r="I235" s="74">
        <f t="shared" ref="I235:I242" si="152">F235*H235</f>
        <v>0</v>
      </c>
      <c r="J235" s="74">
        <v>1000</v>
      </c>
      <c r="K235" s="74">
        <f t="shared" ref="K235:K242" si="153">F235*J235</f>
        <v>5000</v>
      </c>
      <c r="L235" s="72">
        <f t="shared" ref="L235:L242" si="154">I235+K235</f>
        <v>5000</v>
      </c>
      <c r="M235" s="74">
        <f>H235/$P$264*$P$272</f>
        <v>0</v>
      </c>
      <c r="N235" s="74">
        <f>J235/$P$264*$P$272</f>
        <v>1381.4163302225957</v>
      </c>
      <c r="O235" s="72">
        <f t="shared" si="145"/>
        <v>1381.4163302225957</v>
      </c>
      <c r="P235" s="205">
        <f t="shared" si="146"/>
        <v>6907.0816511129779</v>
      </c>
      <c r="Q235" s="272">
        <f>L235/$P$264*$P$272</f>
        <v>6907.0816511129779</v>
      </c>
      <c r="R235" s="439">
        <f t="shared" si="147"/>
        <v>0</v>
      </c>
      <c r="T235" s="224"/>
      <c r="W235" s="835"/>
      <c r="X235" s="835"/>
      <c r="Y235" s="835"/>
      <c r="Z235" s="835"/>
      <c r="AA235" s="835"/>
      <c r="AB235" s="761"/>
      <c r="AC235" s="683"/>
      <c r="AD235" s="741"/>
      <c r="AE235" s="745"/>
      <c r="AF235" s="683"/>
      <c r="AG235" s="684"/>
      <c r="AH235" s="742"/>
      <c r="AI235" s="686"/>
      <c r="AJ235" s="687"/>
      <c r="AK235" s="687"/>
      <c r="AL235" s="687"/>
      <c r="AM235" s="688"/>
      <c r="AN235" s="687"/>
      <c r="AO235" s="687"/>
    </row>
    <row r="236" spans="1:51" s="273" customFormat="1" x14ac:dyDescent="0.25">
      <c r="A236" s="350"/>
      <c r="B236" s="317"/>
      <c r="C236" s="318">
        <v>2</v>
      </c>
      <c r="D236" s="83" t="s">
        <v>361</v>
      </c>
      <c r="E236" s="242">
        <v>10</v>
      </c>
      <c r="F236" s="242">
        <v>10</v>
      </c>
      <c r="G236" s="77" t="s">
        <v>283</v>
      </c>
      <c r="H236" s="74"/>
      <c r="I236" s="74">
        <f t="shared" si="152"/>
        <v>0</v>
      </c>
      <c r="J236" s="74">
        <f>150+100</f>
        <v>250</v>
      </c>
      <c r="K236" s="74">
        <f t="shared" si="153"/>
        <v>2500</v>
      </c>
      <c r="L236" s="72">
        <f t="shared" si="154"/>
        <v>2500</v>
      </c>
      <c r="M236" s="74">
        <f>H236/$P$264*$P$272</f>
        <v>0</v>
      </c>
      <c r="N236" s="74">
        <f>J236/$P$264*$P$272</f>
        <v>345.35408255564892</v>
      </c>
      <c r="O236" s="72">
        <f t="shared" si="145"/>
        <v>345.35408255564892</v>
      </c>
      <c r="P236" s="205">
        <f t="shared" si="146"/>
        <v>3453.5408255564889</v>
      </c>
      <c r="Q236" s="272">
        <f>L236/$P$264*$P$272</f>
        <v>3453.5408255564889</v>
      </c>
      <c r="R236" s="439">
        <f t="shared" si="147"/>
        <v>0</v>
      </c>
      <c r="T236" s="224"/>
      <c r="V236" s="287"/>
      <c r="W236" s="681"/>
      <c r="X236" s="681"/>
      <c r="Y236" s="681"/>
      <c r="Z236" s="681"/>
      <c r="AA236" s="682"/>
      <c r="AB236" s="683"/>
      <c r="AC236" s="683"/>
      <c r="AD236" s="741"/>
      <c r="AE236" s="683"/>
      <c r="AF236" s="684" t="s">
        <v>386</v>
      </c>
      <c r="AG236" s="684" t="s">
        <v>384</v>
      </c>
      <c r="AH236" s="750">
        <f>SUM(AH234:AH234)</f>
        <v>3560.4</v>
      </c>
      <c r="AI236" s="686"/>
      <c r="AJ236" s="687">
        <v>0.15</v>
      </c>
      <c r="AK236" s="687">
        <v>0.6</v>
      </c>
      <c r="AL236" s="687">
        <f>AJ236*AK236</f>
        <v>0.09</v>
      </c>
      <c r="AM236" s="688">
        <f>AJ236+AK236</f>
        <v>0.75</v>
      </c>
      <c r="AN236" s="687">
        <v>0.15</v>
      </c>
      <c r="AO236" s="687">
        <v>1</v>
      </c>
    </row>
    <row r="237" spans="1:51" s="273" customFormat="1" x14ac:dyDescent="0.25">
      <c r="A237" s="350"/>
      <c r="B237" s="317"/>
      <c r="C237" s="318">
        <v>3</v>
      </c>
      <c r="D237" s="83" t="s">
        <v>517</v>
      </c>
      <c r="E237" s="242">
        <v>1</v>
      </c>
      <c r="F237" s="242">
        <v>1</v>
      </c>
      <c r="G237" s="77" t="s">
        <v>55</v>
      </c>
      <c r="H237" s="74">
        <f>4200/1.085</f>
        <v>3870.9677419354839</v>
      </c>
      <c r="I237" s="74">
        <f t="shared" si="152"/>
        <v>3870.9677419354839</v>
      </c>
      <c r="J237" s="74">
        <f>600+100</f>
        <v>700</v>
      </c>
      <c r="K237" s="74">
        <f t="shared" si="153"/>
        <v>700</v>
      </c>
      <c r="L237" s="72">
        <f t="shared" si="154"/>
        <v>4570.9677419354839</v>
      </c>
      <c r="M237" s="74">
        <f>H237/$P$264*$P$272</f>
        <v>5347.4180524745634</v>
      </c>
      <c r="N237" s="74">
        <f>J237/$P$264*$P$272</f>
        <v>966.99143115581683</v>
      </c>
      <c r="O237" s="72">
        <f t="shared" si="145"/>
        <v>6314.4094836303802</v>
      </c>
      <c r="P237" s="205">
        <f t="shared" si="146"/>
        <v>6314.4094836303802</v>
      </c>
      <c r="Q237" s="272">
        <f>L237/$P$264*$P$272</f>
        <v>6314.4094836303802</v>
      </c>
      <c r="R237" s="439">
        <f t="shared" si="147"/>
        <v>0</v>
      </c>
      <c r="T237" s="224"/>
      <c r="V237" s="287"/>
      <c r="W237" s="681"/>
      <c r="X237" s="681"/>
      <c r="Y237" s="681"/>
      <c r="Z237" s="681"/>
      <c r="AA237" s="682"/>
      <c r="AB237" s="683"/>
      <c r="AC237" s="683"/>
      <c r="AD237" s="741"/>
      <c r="AE237" s="683"/>
      <c r="AF237" s="684"/>
      <c r="AG237" s="684"/>
      <c r="AH237" s="742"/>
      <c r="AI237" s="686"/>
      <c r="AJ237" s="687">
        <v>0.15</v>
      </c>
      <c r="AK237" s="687">
        <v>0.6</v>
      </c>
      <c r="AL237" s="687">
        <f>AJ237*AK237</f>
        <v>0.09</v>
      </c>
      <c r="AM237" s="688">
        <f>AJ237+AK237</f>
        <v>0.75</v>
      </c>
      <c r="AN237" s="687"/>
      <c r="AO237" s="687">
        <v>0.6</v>
      </c>
    </row>
    <row r="238" spans="1:51" s="273" customFormat="1" x14ac:dyDescent="0.25">
      <c r="A238" s="350"/>
      <c r="B238" s="317"/>
      <c r="C238" s="318">
        <v>4</v>
      </c>
      <c r="D238" s="83" t="s">
        <v>518</v>
      </c>
      <c r="E238" s="242">
        <v>7</v>
      </c>
      <c r="F238" s="242">
        <v>7</v>
      </c>
      <c r="G238" s="77" t="s">
        <v>28</v>
      </c>
      <c r="H238" s="74">
        <f>AH286</f>
        <v>2337.1111111111113</v>
      </c>
      <c r="I238" s="74">
        <f t="shared" si="152"/>
        <v>16359.777777777779</v>
      </c>
      <c r="J238" s="74">
        <v>1200</v>
      </c>
      <c r="K238" s="74">
        <f t="shared" si="153"/>
        <v>8400</v>
      </c>
      <c r="L238" s="72">
        <f t="shared" si="154"/>
        <v>24759.777777777781</v>
      </c>
      <c r="M238" s="74">
        <f>H238/$P$264*$P$272</f>
        <v>3228.523454433564</v>
      </c>
      <c r="N238" s="74">
        <f>J238/$P$264*$P$272</f>
        <v>1657.6995962671147</v>
      </c>
      <c r="O238" s="72">
        <f t="shared" si="145"/>
        <v>4886.2230507006789</v>
      </c>
      <c r="P238" s="205">
        <f t="shared" si="146"/>
        <v>34203.561354904756</v>
      </c>
      <c r="Q238" s="272">
        <f>L238/$P$264*$P$272</f>
        <v>34203.561354904748</v>
      </c>
      <c r="R238" s="439">
        <f t="shared" si="147"/>
        <v>0</v>
      </c>
      <c r="T238" s="224"/>
      <c r="V238" s="287"/>
      <c r="W238" s="835" t="s">
        <v>10</v>
      </c>
      <c r="X238" s="835"/>
      <c r="Y238" s="835"/>
      <c r="Z238" s="835"/>
      <c r="AA238" s="743" t="s">
        <v>387</v>
      </c>
      <c r="AB238" s="744">
        <f>AL243</f>
        <v>1.29</v>
      </c>
      <c r="AC238" s="683" t="s">
        <v>383</v>
      </c>
      <c r="AD238" s="741" t="s">
        <v>384</v>
      </c>
      <c r="AE238" s="745">
        <v>400</v>
      </c>
      <c r="AF238" s="683" t="s">
        <v>385</v>
      </c>
      <c r="AG238" s="684" t="s">
        <v>384</v>
      </c>
      <c r="AH238" s="742">
        <f t="shared" ref="AH238:AH241" si="155">AB238*AE238</f>
        <v>516</v>
      </c>
      <c r="AI238" s="686"/>
      <c r="AJ238" s="687">
        <v>0.2</v>
      </c>
      <c r="AK238" s="687">
        <v>1.8</v>
      </c>
      <c r="AL238" s="687">
        <f>AJ238*AK238</f>
        <v>0.36000000000000004</v>
      </c>
      <c r="AM238" s="688">
        <f>AJ238+AK238</f>
        <v>2</v>
      </c>
      <c r="AN238" s="687"/>
      <c r="AO238" s="687">
        <v>0.2</v>
      </c>
    </row>
    <row r="239" spans="1:51" s="273" customFormat="1" x14ac:dyDescent="0.25">
      <c r="A239" s="350"/>
      <c r="B239" s="317"/>
      <c r="C239" s="318">
        <v>5</v>
      </c>
      <c r="D239" s="83" t="s">
        <v>519</v>
      </c>
      <c r="E239" s="242">
        <v>2</v>
      </c>
      <c r="F239" s="242">
        <v>2</v>
      </c>
      <c r="G239" s="77" t="s">
        <v>283</v>
      </c>
      <c r="H239" s="74">
        <v>3000</v>
      </c>
      <c r="I239" s="74">
        <f t="shared" si="152"/>
        <v>6000</v>
      </c>
      <c r="J239" s="74">
        <f>350+100</f>
        <v>450</v>
      </c>
      <c r="K239" s="74">
        <f t="shared" si="153"/>
        <v>900</v>
      </c>
      <c r="L239" s="72">
        <f t="shared" si="154"/>
        <v>6900</v>
      </c>
      <c r="M239" s="74">
        <f>H239/$P$264*$P$272</f>
        <v>4144.2489906677865</v>
      </c>
      <c r="N239" s="74">
        <f>J239/$P$264*$P$272</f>
        <v>621.63734860016802</v>
      </c>
      <c r="O239" s="72">
        <f t="shared" si="145"/>
        <v>4765.8863392679541</v>
      </c>
      <c r="P239" s="205">
        <f t="shared" si="146"/>
        <v>9531.7726785359082</v>
      </c>
      <c r="Q239" s="272">
        <f>L239/$P$264*$P$272</f>
        <v>9531.7726785359082</v>
      </c>
      <c r="R239" s="439">
        <f t="shared" si="147"/>
        <v>0</v>
      </c>
      <c r="T239" s="224"/>
      <c r="V239" s="287"/>
      <c r="W239" s="835"/>
      <c r="X239" s="835"/>
      <c r="Y239" s="835"/>
      <c r="Z239" s="835"/>
      <c r="AA239" s="743" t="s">
        <v>388</v>
      </c>
      <c r="AB239" s="744">
        <f>AM243</f>
        <v>6.25</v>
      </c>
      <c r="AC239" s="683" t="s">
        <v>383</v>
      </c>
      <c r="AD239" s="741"/>
      <c r="AE239" s="745">
        <v>100</v>
      </c>
      <c r="AF239" s="683" t="s">
        <v>385</v>
      </c>
      <c r="AG239" s="684"/>
      <c r="AH239" s="742">
        <f t="shared" si="155"/>
        <v>625</v>
      </c>
      <c r="AI239" s="686"/>
      <c r="AJ239" s="687"/>
      <c r="AK239" s="687"/>
      <c r="AL239" s="687"/>
      <c r="AM239" s="688"/>
      <c r="AN239" s="687"/>
      <c r="AO239" s="687"/>
    </row>
    <row r="240" spans="1:51" s="273" customFormat="1" x14ac:dyDescent="0.25">
      <c r="A240" s="350"/>
      <c r="B240" s="317"/>
      <c r="C240" s="318">
        <v>6</v>
      </c>
      <c r="D240" s="83" t="s">
        <v>520</v>
      </c>
      <c r="E240" s="242">
        <v>2</v>
      </c>
      <c r="F240" s="242">
        <v>2</v>
      </c>
      <c r="G240" s="77" t="s">
        <v>283</v>
      </c>
      <c r="H240" s="74">
        <v>3500</v>
      </c>
      <c r="I240" s="74">
        <f t="shared" si="152"/>
        <v>7000</v>
      </c>
      <c r="J240" s="74">
        <f>350+100</f>
        <v>450</v>
      </c>
      <c r="K240" s="74">
        <f t="shared" si="153"/>
        <v>900</v>
      </c>
      <c r="L240" s="72">
        <f t="shared" si="154"/>
        <v>7900</v>
      </c>
      <c r="M240" s="74">
        <f>H240/$P$264*$P$272</f>
        <v>4834.9571557790841</v>
      </c>
      <c r="N240" s="74">
        <f>J240/$P$264*$P$272</f>
        <v>621.63734860016802</v>
      </c>
      <c r="O240" s="72">
        <f t="shared" si="145"/>
        <v>5456.5945043792526</v>
      </c>
      <c r="P240" s="205">
        <f t="shared" si="146"/>
        <v>10913.189008758505</v>
      </c>
      <c r="Q240" s="272">
        <f>L240/$P$264*$P$272</f>
        <v>10913.189008758505</v>
      </c>
      <c r="R240" s="439">
        <f t="shared" si="147"/>
        <v>0</v>
      </c>
      <c r="T240" s="224"/>
      <c r="V240" s="287"/>
      <c r="W240" s="835"/>
      <c r="X240" s="835"/>
      <c r="Y240" s="835"/>
      <c r="Z240" s="835"/>
      <c r="AA240" s="743" t="s">
        <v>389</v>
      </c>
      <c r="AB240" s="744">
        <f>AN243</f>
        <v>1.75</v>
      </c>
      <c r="AC240" s="683" t="s">
        <v>100</v>
      </c>
      <c r="AD240" s="741"/>
      <c r="AE240" s="745">
        <v>400</v>
      </c>
      <c r="AF240" s="746" t="s">
        <v>390</v>
      </c>
      <c r="AG240" s="684"/>
      <c r="AH240" s="742">
        <f t="shared" si="155"/>
        <v>700</v>
      </c>
      <c r="AI240" s="686"/>
      <c r="AJ240" s="687"/>
      <c r="AK240" s="687"/>
      <c r="AL240" s="687"/>
      <c r="AM240" s="688"/>
      <c r="AN240" s="687"/>
      <c r="AO240" s="687"/>
    </row>
    <row r="241" spans="1:51" s="273" customFormat="1" x14ac:dyDescent="0.25">
      <c r="A241" s="350"/>
      <c r="B241" s="317"/>
      <c r="C241" s="318">
        <v>7</v>
      </c>
      <c r="D241" s="83" t="s">
        <v>360</v>
      </c>
      <c r="E241" s="242">
        <f>35.04+6</f>
        <v>41.04</v>
      </c>
      <c r="F241" s="242">
        <v>42</v>
      </c>
      <c r="G241" s="77" t="s">
        <v>100</v>
      </c>
      <c r="H241" s="74">
        <f>(480/2.4)/1.075</f>
        <v>186.04651162790699</v>
      </c>
      <c r="I241" s="74">
        <f t="shared" si="152"/>
        <v>7813.9534883720935</v>
      </c>
      <c r="J241" s="74">
        <f>65+100</f>
        <v>165</v>
      </c>
      <c r="K241" s="74">
        <f t="shared" si="153"/>
        <v>6930</v>
      </c>
      <c r="L241" s="72">
        <f t="shared" si="154"/>
        <v>14743.953488372093</v>
      </c>
      <c r="M241" s="74">
        <f>H241/$P$264*$P$272</f>
        <v>257.00768934373872</v>
      </c>
      <c r="N241" s="74">
        <f>J241/$P$264*$P$272</f>
        <v>227.93369448672826</v>
      </c>
      <c r="O241" s="72">
        <f t="shared" si="145"/>
        <v>484.94138383046698</v>
      </c>
      <c r="P241" s="205">
        <f t="shared" si="146"/>
        <v>20367.538120879613</v>
      </c>
      <c r="Q241" s="272">
        <f>L241/$P$264*$P$272</f>
        <v>20367.53812087961</v>
      </c>
      <c r="R241" s="439">
        <f t="shared" si="147"/>
        <v>0</v>
      </c>
      <c r="T241" s="224"/>
      <c r="V241" s="287"/>
      <c r="W241" s="835"/>
      <c r="X241" s="835"/>
      <c r="Y241" s="835"/>
      <c r="Z241" s="835"/>
      <c r="AA241" s="743" t="s">
        <v>391</v>
      </c>
      <c r="AB241" s="744">
        <f>AO243</f>
        <v>2.5500000000000003</v>
      </c>
      <c r="AC241" s="683" t="s">
        <v>100</v>
      </c>
      <c r="AD241" s="741"/>
      <c r="AE241" s="745">
        <v>400</v>
      </c>
      <c r="AF241" s="746" t="s">
        <v>390</v>
      </c>
      <c r="AG241" s="684"/>
      <c r="AH241" s="742">
        <f t="shared" si="155"/>
        <v>1020.0000000000001</v>
      </c>
      <c r="AI241" s="686"/>
      <c r="AJ241" s="687"/>
      <c r="AK241" s="687"/>
      <c r="AL241" s="687"/>
      <c r="AM241" s="688"/>
      <c r="AN241" s="687"/>
      <c r="AO241" s="687"/>
    </row>
    <row r="242" spans="1:51" s="273" customFormat="1" x14ac:dyDescent="0.25">
      <c r="A242" s="350"/>
      <c r="B242" s="317"/>
      <c r="C242" s="318">
        <v>8</v>
      </c>
      <c r="D242" s="83" t="s">
        <v>411</v>
      </c>
      <c r="E242" s="242">
        <f>0.6*2</f>
        <v>1.2</v>
      </c>
      <c r="F242" s="242">
        <v>2.4</v>
      </c>
      <c r="G242" s="77" t="s">
        <v>100</v>
      </c>
      <c r="H242" s="74">
        <f>1850/1.075</f>
        <v>1720.9302325581396</v>
      </c>
      <c r="I242" s="74">
        <f t="shared" si="152"/>
        <v>4130.2325581395344</v>
      </c>
      <c r="J242" s="74">
        <f>160+100</f>
        <v>260</v>
      </c>
      <c r="K242" s="74">
        <f t="shared" si="153"/>
        <v>624</v>
      </c>
      <c r="L242" s="72">
        <f t="shared" si="154"/>
        <v>4754.2325581395344</v>
      </c>
      <c r="M242" s="74">
        <f>H242/$P$264*$P$272</f>
        <v>2377.3211264295828</v>
      </c>
      <c r="N242" s="74">
        <f>J242/$P$264*$P$272</f>
        <v>359.16824585787487</v>
      </c>
      <c r="O242" s="72">
        <f t="shared" si="145"/>
        <v>2736.4893722874576</v>
      </c>
      <c r="P242" s="205">
        <f t="shared" si="146"/>
        <v>6567.5744934898985</v>
      </c>
      <c r="Q242" s="272">
        <f>L242/$P$264*$P$272</f>
        <v>6567.5744934898985</v>
      </c>
      <c r="R242" s="439">
        <f t="shared" si="147"/>
        <v>0</v>
      </c>
      <c r="T242" s="224"/>
      <c r="V242" s="287"/>
      <c r="W242" s="835"/>
      <c r="X242" s="835"/>
      <c r="Y242" s="835"/>
      <c r="Z242" s="835"/>
      <c r="AA242" s="743" t="s">
        <v>392</v>
      </c>
      <c r="AB242" s="747">
        <v>1</v>
      </c>
      <c r="AC242" s="683" t="s">
        <v>393</v>
      </c>
      <c r="AD242" s="684"/>
      <c r="AE242" s="745">
        <v>500</v>
      </c>
      <c r="AF242" s="746" t="s">
        <v>394</v>
      </c>
      <c r="AG242" s="684"/>
      <c r="AH242" s="748">
        <f>AB242*AE242</f>
        <v>500</v>
      </c>
      <c r="AI242" s="686"/>
      <c r="AJ242" s="687"/>
      <c r="AK242" s="687"/>
      <c r="AL242" s="749"/>
      <c r="AM242" s="749"/>
      <c r="AN242" s="749"/>
      <c r="AO242" s="749"/>
    </row>
    <row r="243" spans="1:51" s="273" customFormat="1" hidden="1" x14ac:dyDescent="0.25">
      <c r="A243" s="350"/>
      <c r="B243" s="317"/>
      <c r="C243" s="318"/>
      <c r="D243" s="83"/>
      <c r="E243" s="242"/>
      <c r="F243" s="242"/>
      <c r="G243" s="77"/>
      <c r="H243" s="74"/>
      <c r="I243" s="74"/>
      <c r="J243" s="74"/>
      <c r="K243" s="74"/>
      <c r="L243" s="72"/>
      <c r="M243" s="74"/>
      <c r="N243" s="74"/>
      <c r="O243" s="72"/>
      <c r="P243" s="205"/>
      <c r="Q243" s="272"/>
      <c r="R243" s="439"/>
      <c r="T243" s="224"/>
      <c r="V243" s="287"/>
      <c r="W243" s="835"/>
      <c r="X243" s="835"/>
      <c r="Y243" s="835"/>
      <c r="Z243" s="835"/>
      <c r="AF243" s="684" t="s">
        <v>395</v>
      </c>
      <c r="AG243" s="684" t="s">
        <v>384</v>
      </c>
      <c r="AH243" s="750">
        <f>SUM(AH238:AH242)</f>
        <v>3361</v>
      </c>
      <c r="AI243" s="686"/>
      <c r="AJ243" s="687"/>
      <c r="AK243" s="687"/>
      <c r="AL243" s="749">
        <f>SUM(AL233:AL238)</f>
        <v>1.29</v>
      </c>
      <c r="AM243" s="749">
        <f>SUM(AM233:AM238)</f>
        <v>6.25</v>
      </c>
      <c r="AN243" s="749">
        <f>SUM(AN233:AN237)</f>
        <v>1.75</v>
      </c>
      <c r="AO243" s="749">
        <f>SUM(AO233:AO238)</f>
        <v>2.5500000000000003</v>
      </c>
    </row>
    <row r="244" spans="1:51" s="273" customFormat="1" ht="15.75" thickBot="1" x14ac:dyDescent="0.3">
      <c r="A244" s="350"/>
      <c r="B244" s="317"/>
      <c r="C244" s="318"/>
      <c r="D244" s="83"/>
      <c r="E244" s="242"/>
      <c r="F244" s="242"/>
      <c r="G244" s="77"/>
      <c r="H244" s="74"/>
      <c r="I244" s="74"/>
      <c r="J244" s="74"/>
      <c r="K244" s="74"/>
      <c r="L244" s="72"/>
      <c r="M244" s="74"/>
      <c r="N244" s="74"/>
      <c r="O244" s="72"/>
      <c r="P244" s="205"/>
      <c r="Q244" s="272">
        <f>L244/$P$264*$P$272</f>
        <v>0</v>
      </c>
      <c r="R244" s="439"/>
      <c r="T244" s="224"/>
      <c r="V244" s="287"/>
      <c r="W244" s="681"/>
      <c r="X244" s="681"/>
      <c r="Y244" s="681"/>
      <c r="Z244" s="681"/>
      <c r="AA244" s="682"/>
      <c r="AB244" s="683"/>
      <c r="AC244" s="683"/>
      <c r="AD244" s="684"/>
      <c r="AE244" s="683"/>
      <c r="AF244" s="684" t="s">
        <v>396</v>
      </c>
      <c r="AG244" s="684" t="s">
        <v>384</v>
      </c>
      <c r="AH244" s="685">
        <f>AH236+AH243</f>
        <v>6921.4</v>
      </c>
      <c r="AI244" s="686"/>
      <c r="AJ244" s="687"/>
      <c r="AK244" s="687"/>
      <c r="AL244" s="687"/>
      <c r="AM244" s="688"/>
      <c r="AN244" s="687"/>
      <c r="AO244" s="687"/>
    </row>
    <row r="245" spans="1:51" s="234" customFormat="1" ht="16.5" thickTop="1" thickBot="1" x14ac:dyDescent="0.3">
      <c r="A245" s="308"/>
      <c r="B245" s="910" t="s">
        <v>348</v>
      </c>
      <c r="C245" s="911"/>
      <c r="D245" s="912"/>
      <c r="E245" s="309"/>
      <c r="F245" s="310"/>
      <c r="G245" s="311"/>
      <c r="H245" s="312"/>
      <c r="I245" s="313">
        <f>SUM(I218:I244)</f>
        <v>181142.57457967679</v>
      </c>
      <c r="J245" s="312"/>
      <c r="K245" s="313">
        <f>SUM(K218:K244)</f>
        <v>107147.499</v>
      </c>
      <c r="L245" s="313">
        <f>SUM(L218:L244)</f>
        <v>288290.0735796768</v>
      </c>
      <c r="M245" s="312"/>
      <c r="N245" s="312"/>
      <c r="O245" s="313"/>
      <c r="P245" s="315">
        <f>SUM(P218:P244)</f>
        <v>398248.61548403924</v>
      </c>
      <c r="Q245" s="272">
        <f>L245/$P$264*$P$272</f>
        <v>398248.61548403918</v>
      </c>
      <c r="R245" s="439">
        <f t="shared" ref="R245" si="156">P245-Q245</f>
        <v>0</v>
      </c>
      <c r="T245" s="443"/>
      <c r="U245" s="275"/>
      <c r="V245" s="402"/>
      <c r="W245" s="375"/>
      <c r="X245" s="375"/>
      <c r="Y245" s="375"/>
      <c r="Z245" s="375"/>
      <c r="AA245" s="376"/>
      <c r="AB245" s="370"/>
      <c r="AC245" s="370"/>
      <c r="AI245" s="386"/>
      <c r="AJ245" s="385"/>
      <c r="AK245" s="385"/>
      <c r="AL245" s="385"/>
      <c r="AM245" s="387"/>
      <c r="AN245" s="385"/>
      <c r="AO245" s="385"/>
      <c r="AP245" s="282"/>
      <c r="AR245" s="354"/>
      <c r="AS245" s="354"/>
      <c r="AT245" s="354"/>
      <c r="AU245" s="354"/>
      <c r="AV245" s="354"/>
      <c r="AW245" s="817"/>
      <c r="AX245" s="817"/>
      <c r="AY245" s="817"/>
    </row>
    <row r="246" spans="1:51" s="1" customFormat="1" x14ac:dyDescent="0.25">
      <c r="A246" s="500"/>
      <c r="B246" s="501"/>
      <c r="C246" s="293"/>
      <c r="D246" s="502"/>
      <c r="E246" s="503"/>
      <c r="F246" s="504"/>
      <c r="G246" s="504"/>
      <c r="H246" s="504"/>
      <c r="I246" s="504"/>
      <c r="J246" s="504"/>
      <c r="K246" s="504"/>
      <c r="L246" s="504"/>
      <c r="M246" s="504"/>
      <c r="N246" s="504"/>
      <c r="O246" s="504"/>
      <c r="P246" s="505"/>
      <c r="Q246" s="272"/>
      <c r="R246" s="439"/>
      <c r="V246" s="211"/>
      <c r="W246" s="506"/>
      <c r="X246" s="506"/>
      <c r="Y246" s="506"/>
      <c r="Z246" s="506"/>
      <c r="AA246" s="507"/>
      <c r="AB246" s="508"/>
      <c r="AC246" s="508"/>
      <c r="AD246" s="509"/>
      <c r="AE246" s="508"/>
      <c r="AF246" s="510"/>
      <c r="AG246" s="510"/>
      <c r="AH246" s="511"/>
      <c r="AI246" s="508"/>
      <c r="AJ246" s="512"/>
      <c r="AK246" s="512"/>
      <c r="AL246" s="512"/>
      <c r="AM246" s="512"/>
      <c r="AN246" s="512"/>
      <c r="AO246" s="512"/>
    </row>
    <row r="247" spans="1:51" s="287" customFormat="1" ht="20.25" customHeight="1" thickBot="1" x14ac:dyDescent="0.3">
      <c r="A247" s="329"/>
      <c r="B247" s="901" t="s">
        <v>347</v>
      </c>
      <c r="C247" s="902"/>
      <c r="D247" s="903"/>
      <c r="E247" s="330"/>
      <c r="F247" s="331"/>
      <c r="G247" s="332"/>
      <c r="H247" s="825"/>
      <c r="I247" s="825">
        <f>I245+I217+I155+I35</f>
        <v>5309806.7462022593</v>
      </c>
      <c r="J247" s="825"/>
      <c r="K247" s="825">
        <f>K245+K217+K155+K35</f>
        <v>1843692.8642372577</v>
      </c>
      <c r="L247" s="825">
        <f>L245+L217+L155+L35</f>
        <v>7153499.6104395175</v>
      </c>
      <c r="M247" s="922">
        <f>P245+P217+P155+P35</f>
        <v>9799999.8923875894</v>
      </c>
      <c r="N247" s="922"/>
      <c r="O247" s="922"/>
      <c r="P247" s="923"/>
      <c r="Q247" s="272">
        <f>L247/$P$264*$P$272</f>
        <v>9881961.1801021248</v>
      </c>
      <c r="R247" s="439">
        <f>M247-Q247</f>
        <v>-81961.28771453537</v>
      </c>
      <c r="T247" s="443"/>
      <c r="V247" s="446"/>
      <c r="W247" s="447"/>
      <c r="X247" s="447"/>
      <c r="Y247" s="447"/>
      <c r="Z247" s="447"/>
      <c r="AA247" s="448"/>
      <c r="AB247" s="448"/>
      <c r="AC247" s="448"/>
      <c r="AD247" s="448"/>
      <c r="AE247" s="448"/>
      <c r="AF247" s="448"/>
      <c r="AG247" s="448"/>
      <c r="AH247" s="448"/>
      <c r="AI247" s="449"/>
      <c r="AJ247" s="449"/>
      <c r="AK247" s="450"/>
      <c r="AL247" s="451"/>
      <c r="AM247" s="450"/>
      <c r="AN247" s="451"/>
      <c r="AO247" s="451"/>
    </row>
    <row r="248" spans="1:51" s="528" customFormat="1" x14ac:dyDescent="0.25">
      <c r="A248" s="521"/>
      <c r="B248" s="526"/>
      <c r="C248" s="527"/>
      <c r="E248" s="529"/>
      <c r="F248" s="530"/>
      <c r="G248" s="521"/>
      <c r="H248" s="522"/>
      <c r="I248" s="522"/>
      <c r="J248" s="522"/>
      <c r="K248" s="522"/>
      <c r="L248" s="522"/>
      <c r="M248" s="523"/>
      <c r="N248" s="523"/>
      <c r="O248" s="523"/>
      <c r="P248" s="523"/>
      <c r="Q248" s="523"/>
      <c r="R248" s="523"/>
      <c r="T248" s="523"/>
      <c r="V248" s="531"/>
      <c r="W248" s="828" t="s">
        <v>4</v>
      </c>
      <c r="X248" s="828"/>
      <c r="Y248" s="828"/>
      <c r="Z248" s="828"/>
      <c r="AA248" s="828" t="s">
        <v>7</v>
      </c>
      <c r="AB248" s="828" t="s">
        <v>6</v>
      </c>
      <c r="AC248" s="828" t="s">
        <v>5</v>
      </c>
      <c r="AD248" s="896" t="s">
        <v>380</v>
      </c>
      <c r="AE248" s="896"/>
      <c r="AF248" s="896"/>
      <c r="AG248" s="896" t="s">
        <v>381</v>
      </c>
      <c r="AH248" s="896"/>
      <c r="AI248" s="453"/>
      <c r="AJ248" s="454"/>
      <c r="AK248" s="454"/>
      <c r="AL248" s="454"/>
      <c r="AM248" s="454"/>
      <c r="AN248" s="454" t="s">
        <v>397</v>
      </c>
      <c r="AO248" s="454" t="s">
        <v>398</v>
      </c>
    </row>
    <row r="249" spans="1:51" s="528" customFormat="1" x14ac:dyDescent="0.25">
      <c r="A249" s="521"/>
      <c r="B249" s="526"/>
      <c r="C249" s="527"/>
      <c r="E249" s="529"/>
      <c r="F249" s="530"/>
      <c r="G249" s="521"/>
      <c r="H249" s="522"/>
      <c r="I249" s="522"/>
      <c r="J249" s="522"/>
      <c r="K249" s="522"/>
      <c r="L249" s="522"/>
      <c r="M249" s="523"/>
      <c r="N249" s="523"/>
      <c r="O249" s="523"/>
      <c r="P249" s="523"/>
      <c r="Q249" s="523"/>
      <c r="R249" s="523"/>
      <c r="T249" s="523"/>
      <c r="V249" s="531"/>
      <c r="W249" s="455" t="s">
        <v>401</v>
      </c>
      <c r="X249" s="455"/>
      <c r="Y249" s="455"/>
      <c r="Z249" s="455"/>
      <c r="AA249" s="828"/>
      <c r="AB249" s="828"/>
      <c r="AC249" s="828"/>
      <c r="AD249" s="828"/>
      <c r="AE249" s="828"/>
      <c r="AF249" s="828"/>
      <c r="AG249" s="828"/>
      <c r="AH249" s="828"/>
      <c r="AI249" s="456"/>
      <c r="AJ249" s="456">
        <v>0.6</v>
      </c>
      <c r="AK249" s="457">
        <v>2.25</v>
      </c>
      <c r="AL249" s="454">
        <f>AJ249*AK249</f>
        <v>1.3499999999999999</v>
      </c>
      <c r="AM249" s="457">
        <f>AJ249+AK249</f>
        <v>2.85</v>
      </c>
      <c r="AN249" s="454">
        <v>0.6</v>
      </c>
      <c r="AO249" s="454">
        <v>0.1</v>
      </c>
    </row>
    <row r="250" spans="1:51" s="528" customFormat="1" x14ac:dyDescent="0.25">
      <c r="A250" s="521"/>
      <c r="B250" s="526"/>
      <c r="C250" s="527"/>
      <c r="E250" s="529"/>
      <c r="F250" s="530"/>
      <c r="G250" s="518"/>
      <c r="H250" s="519"/>
      <c r="I250" s="519"/>
      <c r="J250" s="519"/>
      <c r="K250" s="519"/>
      <c r="L250" s="519"/>
      <c r="M250" s="520"/>
      <c r="N250" s="520"/>
      <c r="O250" s="520"/>
      <c r="P250" s="520"/>
      <c r="Q250" s="520"/>
      <c r="R250" s="520"/>
      <c r="T250" s="523"/>
      <c r="V250" s="531"/>
      <c r="W250" s="828" t="s">
        <v>9</v>
      </c>
      <c r="X250" s="828"/>
      <c r="Y250" s="828"/>
      <c r="Z250" s="828"/>
      <c r="AA250" s="828" t="s">
        <v>382</v>
      </c>
      <c r="AB250" s="458">
        <f>+AB253*1.2</f>
        <v>2.2094999999999998</v>
      </c>
      <c r="AC250" s="459" t="s">
        <v>383</v>
      </c>
      <c r="AD250" s="460" t="s">
        <v>384</v>
      </c>
      <c r="AE250" s="461">
        <v>2300</v>
      </c>
      <c r="AF250" s="459" t="s">
        <v>385</v>
      </c>
      <c r="AG250" s="462" t="s">
        <v>384</v>
      </c>
      <c r="AH250" s="463">
        <f>AB250*AE250</f>
        <v>5081.8499999999995</v>
      </c>
      <c r="AI250" s="456"/>
      <c r="AJ250" s="454">
        <v>0.1</v>
      </c>
      <c r="AK250" s="454">
        <v>2.25</v>
      </c>
      <c r="AL250" s="454">
        <f>AJ250*AK250</f>
        <v>0.22500000000000001</v>
      </c>
      <c r="AM250" s="457">
        <f t="shared" ref="AM250" si="157">AJ250+AK250</f>
        <v>2.35</v>
      </c>
      <c r="AN250" s="454">
        <v>2.25</v>
      </c>
      <c r="AO250" s="454">
        <v>0.6</v>
      </c>
    </row>
    <row r="251" spans="1:51" s="528" customFormat="1" x14ac:dyDescent="0.25">
      <c r="A251" s="521"/>
      <c r="B251" s="526"/>
      <c r="C251" s="527"/>
      <c r="E251" s="529"/>
      <c r="F251" s="530"/>
      <c r="G251" s="518"/>
      <c r="H251" s="519"/>
      <c r="Q251" s="520"/>
      <c r="R251" s="520"/>
      <c r="T251" s="523"/>
      <c r="V251" s="531"/>
      <c r="W251" s="464"/>
      <c r="X251" s="464"/>
      <c r="Y251" s="464"/>
      <c r="Z251" s="464"/>
      <c r="AA251" s="465"/>
      <c r="AB251" s="459"/>
      <c r="AC251" s="459"/>
      <c r="AD251" s="460"/>
      <c r="AE251" s="459"/>
      <c r="AF251" s="462" t="s">
        <v>386</v>
      </c>
      <c r="AG251" s="462" t="s">
        <v>384</v>
      </c>
      <c r="AH251" s="466">
        <f>SUM(AH250:AH250)</f>
        <v>5081.8499999999995</v>
      </c>
      <c r="AI251" s="456"/>
      <c r="AJ251" s="454">
        <v>0.1</v>
      </c>
      <c r="AK251" s="454">
        <v>0.6</v>
      </c>
      <c r="AL251" s="454">
        <f>AJ251*AK251</f>
        <v>0.06</v>
      </c>
      <c r="AM251" s="457">
        <f>AJ251+AK251</f>
        <v>0.7</v>
      </c>
      <c r="AN251" s="454">
        <v>0.1</v>
      </c>
      <c r="AO251" s="454">
        <v>2.25</v>
      </c>
    </row>
    <row r="252" spans="1:51" s="528" customFormat="1" ht="15.75" x14ac:dyDescent="0.25">
      <c r="A252" s="532" t="s">
        <v>18</v>
      </c>
      <c r="B252" s="533"/>
      <c r="C252" s="534"/>
      <c r="D252" s="535"/>
      <c r="E252" s="529"/>
      <c r="F252" s="530"/>
      <c r="G252" s="521"/>
      <c r="H252" s="522"/>
      <c r="Q252" s="523"/>
      <c r="R252" s="520"/>
      <c r="T252" s="523"/>
      <c r="V252" s="531"/>
      <c r="W252" s="464"/>
      <c r="X252" s="464"/>
      <c r="Y252" s="464"/>
      <c r="Z252" s="464"/>
      <c r="AA252" s="465"/>
      <c r="AB252" s="459"/>
      <c r="AC252" s="459"/>
      <c r="AD252" s="460"/>
      <c r="AE252" s="459"/>
      <c r="AF252" s="462"/>
      <c r="AG252" s="462"/>
      <c r="AH252" s="467"/>
      <c r="AI252" s="456"/>
      <c r="AJ252" s="454">
        <v>0.1</v>
      </c>
      <c r="AK252" s="454">
        <v>0.6</v>
      </c>
      <c r="AL252" s="454">
        <f>AJ252*AK252</f>
        <v>0.06</v>
      </c>
      <c r="AM252" s="457">
        <f>AJ252+AK252</f>
        <v>0.7</v>
      </c>
      <c r="AN252" s="454"/>
      <c r="AO252" s="454">
        <v>0.6</v>
      </c>
    </row>
    <row r="253" spans="1:51" s="522" customFormat="1" ht="15.75" x14ac:dyDescent="0.25">
      <c r="A253" s="536"/>
      <c r="B253" s="533"/>
      <c r="C253" s="534"/>
      <c r="D253" s="537"/>
      <c r="R253" s="519"/>
      <c r="V253" s="538"/>
      <c r="W253" s="828" t="s">
        <v>10</v>
      </c>
      <c r="X253" s="828"/>
      <c r="Y253" s="828"/>
      <c r="Z253" s="828"/>
      <c r="AA253" s="469" t="s">
        <v>387</v>
      </c>
      <c r="AB253" s="470">
        <f>AL257</f>
        <v>1.8412500000000001</v>
      </c>
      <c r="AC253" s="459" t="s">
        <v>383</v>
      </c>
      <c r="AD253" s="460" t="s">
        <v>384</v>
      </c>
      <c r="AE253" s="461">
        <v>400</v>
      </c>
      <c r="AF253" s="459" t="s">
        <v>385</v>
      </c>
      <c r="AG253" s="462" t="s">
        <v>384</v>
      </c>
      <c r="AH253" s="467">
        <f t="shared" ref="AH253:AH257" si="158">AB253*AE253</f>
        <v>736.5</v>
      </c>
      <c r="AI253" s="456"/>
      <c r="AJ253" s="454">
        <v>6.5000000000000002E-2</v>
      </c>
      <c r="AK253" s="454">
        <v>2.25</v>
      </c>
      <c r="AL253" s="454">
        <f>AJ253*AK253</f>
        <v>0.14624999999999999</v>
      </c>
      <c r="AM253" s="457">
        <f>AJ253+AK253</f>
        <v>2.3149999999999999</v>
      </c>
      <c r="AN253" s="454"/>
      <c r="AO253" s="454">
        <v>0.1</v>
      </c>
    </row>
    <row r="254" spans="1:51" s="522" customFormat="1" ht="15.75" x14ac:dyDescent="0.25">
      <c r="A254" s="532" t="s">
        <v>19</v>
      </c>
      <c r="B254" s="533"/>
      <c r="C254" s="534"/>
      <c r="D254" s="535"/>
      <c r="R254" s="519"/>
      <c r="V254" s="538"/>
      <c r="W254" s="828"/>
      <c r="X254" s="828"/>
      <c r="Y254" s="828"/>
      <c r="Z254" s="828"/>
      <c r="AA254" s="469" t="s">
        <v>388</v>
      </c>
      <c r="AB254" s="470">
        <f>AM257</f>
        <v>8.9150000000000009</v>
      </c>
      <c r="AC254" s="459" t="s">
        <v>383</v>
      </c>
      <c r="AD254" s="460"/>
      <c r="AE254" s="461">
        <v>100</v>
      </c>
      <c r="AF254" s="459" t="s">
        <v>385</v>
      </c>
      <c r="AG254" s="462"/>
      <c r="AH254" s="467">
        <f t="shared" si="158"/>
        <v>891.50000000000011</v>
      </c>
      <c r="AI254" s="456"/>
      <c r="AJ254" s="454"/>
      <c r="AK254" s="454"/>
      <c r="AL254" s="454"/>
      <c r="AM254" s="457"/>
      <c r="AN254" s="454"/>
      <c r="AO254" s="454"/>
    </row>
    <row r="255" spans="1:51" s="522" customFormat="1" ht="15.75" x14ac:dyDescent="0.25">
      <c r="A255" s="536"/>
      <c r="B255" s="533"/>
      <c r="C255" s="534"/>
      <c r="D255" s="535"/>
      <c r="R255" s="519"/>
      <c r="V255" s="538"/>
      <c r="W255" s="828"/>
      <c r="X255" s="828"/>
      <c r="Y255" s="828"/>
      <c r="Z255" s="828"/>
      <c r="AA255" s="469" t="s">
        <v>389</v>
      </c>
      <c r="AB255" s="470">
        <f>AN257</f>
        <v>2.95</v>
      </c>
      <c r="AC255" s="459" t="s">
        <v>100</v>
      </c>
      <c r="AD255" s="460"/>
      <c r="AE255" s="461">
        <v>400</v>
      </c>
      <c r="AF255" s="471" t="s">
        <v>390</v>
      </c>
      <c r="AG255" s="462"/>
      <c r="AH255" s="467">
        <f t="shared" si="158"/>
        <v>1180</v>
      </c>
      <c r="AI255" s="456"/>
      <c r="AJ255" s="454"/>
      <c r="AK255" s="454"/>
      <c r="AL255" s="454"/>
      <c r="AM255" s="457"/>
      <c r="AN255" s="454"/>
      <c r="AO255" s="454"/>
    </row>
    <row r="256" spans="1:51" s="522" customFormat="1" ht="15.75" x14ac:dyDescent="0.25">
      <c r="A256" s="536"/>
      <c r="B256" s="533"/>
      <c r="C256" s="534"/>
      <c r="D256" s="535"/>
      <c r="R256" s="519"/>
      <c r="V256" s="538"/>
      <c r="W256" s="828"/>
      <c r="X256" s="828"/>
      <c r="Y256" s="828"/>
      <c r="Z256" s="828"/>
      <c r="AA256" s="469" t="s">
        <v>391</v>
      </c>
      <c r="AB256" s="470">
        <f>AO257</f>
        <v>3.6500000000000004</v>
      </c>
      <c r="AC256" s="459" t="s">
        <v>100</v>
      </c>
      <c r="AD256" s="460"/>
      <c r="AE256" s="461">
        <v>400</v>
      </c>
      <c r="AF256" s="471" t="s">
        <v>390</v>
      </c>
      <c r="AG256" s="462"/>
      <c r="AH256" s="467">
        <f t="shared" si="158"/>
        <v>1460.0000000000002</v>
      </c>
      <c r="AI256" s="456"/>
      <c r="AJ256" s="454"/>
      <c r="AK256" s="454"/>
      <c r="AL256" s="454"/>
      <c r="AM256" s="457"/>
      <c r="AN256" s="454"/>
      <c r="AO256" s="454"/>
    </row>
    <row r="257" spans="1:41" s="522" customFormat="1" ht="15.75" x14ac:dyDescent="0.25">
      <c r="A257" s="532" t="s">
        <v>20</v>
      </c>
      <c r="B257" s="533"/>
      <c r="C257" s="534"/>
      <c r="D257" s="535"/>
      <c r="R257" s="519"/>
      <c r="V257" s="538"/>
      <c r="W257" s="828"/>
      <c r="X257" s="828"/>
      <c r="Y257" s="828"/>
      <c r="Z257" s="828"/>
      <c r="AA257" s="469" t="s">
        <v>392</v>
      </c>
      <c r="AB257" s="472">
        <v>1</v>
      </c>
      <c r="AC257" s="459" t="s">
        <v>393</v>
      </c>
      <c r="AD257" s="462"/>
      <c r="AE257" s="461">
        <v>500</v>
      </c>
      <c r="AF257" s="471" t="s">
        <v>394</v>
      </c>
      <c r="AG257" s="462"/>
      <c r="AH257" s="463">
        <f t="shared" si="158"/>
        <v>500</v>
      </c>
      <c r="AI257" s="456"/>
      <c r="AJ257" s="454"/>
      <c r="AK257" s="454"/>
      <c r="AL257" s="473">
        <f>SUM(AL249:AL253)</f>
        <v>1.8412500000000001</v>
      </c>
      <c r="AM257" s="473">
        <f>SUM(AM249:AM253)</f>
        <v>8.9150000000000009</v>
      </c>
      <c r="AN257" s="473">
        <f>SUM(AN249:AN252)</f>
        <v>2.95</v>
      </c>
      <c r="AO257" s="473">
        <f>SUM(AO249:AO253)</f>
        <v>3.6500000000000004</v>
      </c>
    </row>
    <row r="258" spans="1:41" s="522" customFormat="1" ht="15.75" x14ac:dyDescent="0.25">
      <c r="A258" s="532" t="s">
        <v>349</v>
      </c>
      <c r="B258" s="533"/>
      <c r="C258" s="534"/>
      <c r="D258" s="535"/>
      <c r="R258" s="519"/>
      <c r="V258" s="538"/>
      <c r="W258" s="464"/>
      <c r="X258" s="464"/>
      <c r="Y258" s="464"/>
      <c r="Z258" s="464"/>
      <c r="AA258" s="465"/>
      <c r="AB258" s="459"/>
      <c r="AC258" s="459"/>
      <c r="AD258" s="462"/>
      <c r="AE258" s="459"/>
      <c r="AF258" s="462" t="s">
        <v>395</v>
      </c>
      <c r="AG258" s="462" t="s">
        <v>384</v>
      </c>
      <c r="AH258" s="466">
        <f>SUM(AH253:AH257)</f>
        <v>4768</v>
      </c>
      <c r="AI258" s="456"/>
      <c r="AJ258" s="454"/>
      <c r="AK258" s="454"/>
      <c r="AL258" s="454"/>
      <c r="AM258" s="457"/>
      <c r="AN258" s="454"/>
      <c r="AO258" s="454"/>
    </row>
    <row r="259" spans="1:41" s="528" customFormat="1" ht="15.75" thickBot="1" x14ac:dyDescent="0.3">
      <c r="A259" s="521"/>
      <c r="B259" s="526"/>
      <c r="C259" s="527"/>
      <c r="E259" s="529"/>
      <c r="F259" s="530"/>
      <c r="G259" s="541"/>
      <c r="H259" s="542"/>
      <c r="Q259" s="523"/>
      <c r="R259" s="520"/>
      <c r="T259" s="523"/>
      <c r="V259" s="531"/>
      <c r="W259" s="464"/>
      <c r="X259" s="464"/>
      <c r="Y259" s="464"/>
      <c r="Z259" s="464"/>
      <c r="AA259" s="465"/>
      <c r="AB259" s="459"/>
      <c r="AC259" s="459"/>
      <c r="AD259" s="462"/>
      <c r="AE259" s="459"/>
      <c r="AF259" s="462" t="s">
        <v>396</v>
      </c>
      <c r="AG259" s="462" t="s">
        <v>384</v>
      </c>
      <c r="AH259" s="474">
        <f>AH251+AH258</f>
        <v>9849.8499999999985</v>
      </c>
      <c r="AI259" s="456"/>
      <c r="AJ259" s="454"/>
      <c r="AK259" s="454"/>
      <c r="AL259" s="454"/>
      <c r="AM259" s="457"/>
      <c r="AN259" s="454"/>
      <c r="AO259" s="454"/>
    </row>
    <row r="260" spans="1:41" s="528" customFormat="1" ht="16.5" thickTop="1" x14ac:dyDescent="0.25">
      <c r="A260" s="521"/>
      <c r="B260" s="526"/>
      <c r="C260" s="527"/>
      <c r="E260" s="529"/>
      <c r="F260" s="530"/>
      <c r="G260" s="541"/>
      <c r="H260" s="542"/>
      <c r="I260" s="542"/>
      <c r="J260" s="832"/>
      <c r="K260" s="832"/>
      <c r="L260" s="429"/>
      <c r="M260" s="428"/>
      <c r="N260" s="426"/>
      <c r="O260" s="422"/>
      <c r="P260" s="422"/>
      <c r="Q260" s="523"/>
      <c r="R260" s="520"/>
      <c r="T260" s="523"/>
      <c r="V260" s="531"/>
      <c r="W260" s="464"/>
      <c r="X260" s="464"/>
      <c r="Y260" s="464"/>
      <c r="Z260" s="464"/>
      <c r="AA260" s="465"/>
      <c r="AB260" s="459"/>
      <c r="AC260" s="459"/>
      <c r="AD260" s="462"/>
      <c r="AE260" s="459"/>
      <c r="AF260" s="462"/>
      <c r="AG260" s="462"/>
      <c r="AH260" s="467"/>
      <c r="AI260" s="456"/>
      <c r="AJ260" s="454"/>
      <c r="AK260" s="454"/>
      <c r="AL260" s="454"/>
      <c r="AM260" s="457"/>
      <c r="AN260" s="454"/>
      <c r="AO260" s="454"/>
    </row>
    <row r="261" spans="1:41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42"/>
      <c r="J261" s="832"/>
      <c r="K261" s="832"/>
      <c r="L261" s="429"/>
      <c r="M261" s="428"/>
      <c r="N261" s="426"/>
      <c r="O261" s="422"/>
      <c r="P261" s="422"/>
      <c r="Q261" s="523"/>
      <c r="R261" s="520"/>
      <c r="T261" s="523"/>
      <c r="V261" s="531"/>
      <c r="W261" s="464"/>
      <c r="X261" s="464"/>
      <c r="Y261" s="464"/>
      <c r="Z261" s="464"/>
      <c r="AA261" s="465"/>
      <c r="AB261" s="459"/>
      <c r="AC261" s="459"/>
      <c r="AD261" s="462"/>
      <c r="AE261" s="459"/>
      <c r="AF261" s="462"/>
      <c r="AG261" s="462"/>
      <c r="AH261" s="467"/>
      <c r="AI261" s="456"/>
      <c r="AJ261" s="454"/>
      <c r="AK261" s="454"/>
      <c r="AL261" s="454"/>
      <c r="AM261" s="457"/>
      <c r="AN261" s="454"/>
      <c r="AO261" s="454"/>
    </row>
    <row r="262" spans="1:41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42"/>
      <c r="J262" s="832"/>
      <c r="K262" s="832"/>
      <c r="L262" s="429"/>
      <c r="M262" s="428"/>
      <c r="N262" s="426"/>
      <c r="O262" s="422"/>
      <c r="P262" s="422"/>
      <c r="Q262" s="523"/>
      <c r="R262" s="520"/>
      <c r="T262" s="523"/>
      <c r="V262" s="531"/>
      <c r="W262" s="828" t="s">
        <v>4</v>
      </c>
      <c r="X262" s="828"/>
      <c r="Y262" s="828"/>
      <c r="Z262" s="828"/>
      <c r="AA262" s="828" t="s">
        <v>7</v>
      </c>
      <c r="AB262" s="828" t="s">
        <v>6</v>
      </c>
      <c r="AC262" s="828" t="s">
        <v>5</v>
      </c>
      <c r="AD262" s="896" t="s">
        <v>380</v>
      </c>
      <c r="AE262" s="896"/>
      <c r="AF262" s="896"/>
      <c r="AG262" s="896" t="s">
        <v>381</v>
      </c>
      <c r="AH262" s="896"/>
      <c r="AI262" s="453"/>
      <c r="AJ262" s="454"/>
      <c r="AK262" s="454"/>
      <c r="AL262" s="454"/>
      <c r="AM262" s="454"/>
      <c r="AN262" s="454" t="s">
        <v>397</v>
      </c>
      <c r="AO262" s="454" t="s">
        <v>398</v>
      </c>
    </row>
    <row r="263" spans="1:41" s="528" customFormat="1" x14ac:dyDescent="0.25">
      <c r="A263" s="19"/>
      <c r="B263" s="526"/>
      <c r="C263" s="527"/>
      <c r="E263" s="529"/>
      <c r="F263" s="530"/>
      <c r="G263" s="541"/>
      <c r="H263" s="542"/>
      <c r="I263" s="519"/>
      <c r="J263" s="519"/>
      <c r="K263" s="519"/>
      <c r="L263" s="519"/>
      <c r="M263" s="520"/>
      <c r="N263" s="520"/>
      <c r="O263" s="520"/>
      <c r="P263" s="520"/>
      <c r="Q263" s="523"/>
      <c r="R263" s="523"/>
      <c r="T263" s="523"/>
      <c r="V263" s="531"/>
      <c r="W263" s="455" t="s">
        <v>402</v>
      </c>
      <c r="X263" s="455"/>
      <c r="Y263" s="455"/>
      <c r="Z263" s="455"/>
      <c r="AA263" s="828"/>
      <c r="AB263" s="828"/>
      <c r="AC263" s="828"/>
      <c r="AD263" s="828"/>
      <c r="AE263" s="828"/>
      <c r="AF263" s="828"/>
      <c r="AG263" s="828"/>
      <c r="AH263" s="828"/>
      <c r="AI263" s="456"/>
      <c r="AJ263" s="456">
        <v>0.6</v>
      </c>
      <c r="AK263" s="457">
        <v>3.2</v>
      </c>
      <c r="AL263" s="454">
        <f>AJ263*AK263</f>
        <v>1.92</v>
      </c>
      <c r="AM263" s="457">
        <f>AJ263+AK263</f>
        <v>3.8000000000000003</v>
      </c>
      <c r="AN263" s="454">
        <v>0.6</v>
      </c>
      <c r="AO263" s="454">
        <v>0.1</v>
      </c>
    </row>
    <row r="264" spans="1:41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22"/>
      <c r="J264" s="417"/>
      <c r="K264" s="417"/>
      <c r="L264" s="831"/>
      <c r="M264" s="419"/>
      <c r="N264" s="420" t="s">
        <v>178</v>
      </c>
      <c r="O264" s="420"/>
      <c r="P264" s="420">
        <f>L247</f>
        <v>7153499.6104395175</v>
      </c>
      <c r="Q264" s="523"/>
      <c r="R264" s="523"/>
      <c r="T264" s="523"/>
      <c r="V264" s="531"/>
      <c r="W264" s="828" t="s">
        <v>9</v>
      </c>
      <c r="X264" s="828"/>
      <c r="Y264" s="828"/>
      <c r="Z264" s="828"/>
      <c r="AA264" s="828" t="s">
        <v>382</v>
      </c>
      <c r="AB264" s="458">
        <f>+AB267*1.2</f>
        <v>3.0816000000000003</v>
      </c>
      <c r="AC264" s="459" t="s">
        <v>383</v>
      </c>
      <c r="AD264" s="460" t="s">
        <v>384</v>
      </c>
      <c r="AE264" s="461">
        <v>2300</v>
      </c>
      <c r="AF264" s="459" t="s">
        <v>385</v>
      </c>
      <c r="AG264" s="462" t="s">
        <v>384</v>
      </c>
      <c r="AH264" s="463">
        <f>AB264*AE264</f>
        <v>7087.6800000000012</v>
      </c>
      <c r="AI264" s="456"/>
      <c r="AJ264" s="454">
        <v>0.1</v>
      </c>
      <c r="AK264" s="454">
        <v>3.2</v>
      </c>
      <c r="AL264" s="454">
        <f>AJ264*AK264</f>
        <v>0.32000000000000006</v>
      </c>
      <c r="AM264" s="457">
        <f t="shared" ref="AM264" si="159">AJ264+AK264</f>
        <v>3.3000000000000003</v>
      </c>
      <c r="AN264" s="454">
        <v>3.2</v>
      </c>
      <c r="AO264" s="454">
        <v>0.6</v>
      </c>
    </row>
    <row r="265" spans="1:41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22"/>
      <c r="J265" s="421"/>
      <c r="K265" s="421"/>
      <c r="L265" s="831"/>
      <c r="M265" s="420"/>
      <c r="N265" s="422"/>
      <c r="O265" s="422"/>
      <c r="P265" s="422"/>
      <c r="Q265" s="523"/>
      <c r="R265" s="523"/>
      <c r="T265" s="523"/>
      <c r="V265" s="531"/>
      <c r="W265" s="464"/>
      <c r="X265" s="464"/>
      <c r="Y265" s="464"/>
      <c r="Z265" s="464"/>
      <c r="AA265" s="465"/>
      <c r="AB265" s="459"/>
      <c r="AC265" s="459"/>
      <c r="AD265" s="460"/>
      <c r="AE265" s="459"/>
      <c r="AF265" s="462" t="s">
        <v>386</v>
      </c>
      <c r="AG265" s="462" t="s">
        <v>384</v>
      </c>
      <c r="AH265" s="466">
        <f>SUM(AH264:AH264)</f>
        <v>7087.6800000000012</v>
      </c>
      <c r="AI265" s="456"/>
      <c r="AJ265" s="454">
        <v>0.1</v>
      </c>
      <c r="AK265" s="454">
        <v>0.6</v>
      </c>
      <c r="AL265" s="454">
        <f>AJ265*AK265</f>
        <v>0.06</v>
      </c>
      <c r="AM265" s="457">
        <f>AJ265+AK265</f>
        <v>0.7</v>
      </c>
      <c r="AN265" s="454">
        <v>0.1</v>
      </c>
      <c r="AO265" s="454">
        <v>3.2</v>
      </c>
    </row>
    <row r="266" spans="1:41" s="528" customFormat="1" ht="15.75" x14ac:dyDescent="0.25">
      <c r="A266" s="521"/>
      <c r="B266" s="526"/>
      <c r="C266" s="527"/>
      <c r="E266" s="529"/>
      <c r="F266" s="530"/>
      <c r="G266" s="541"/>
      <c r="H266" s="542"/>
      <c r="I266" s="522"/>
      <c r="J266" s="921" t="s">
        <v>179</v>
      </c>
      <c r="K266" s="921"/>
      <c r="L266" s="834" t="s">
        <v>180</v>
      </c>
      <c r="M266" s="420" t="s">
        <v>181</v>
      </c>
      <c r="N266" s="424">
        <f>P264*0.03</f>
        <v>214604.98831318552</v>
      </c>
      <c r="O266" s="422"/>
      <c r="P266" s="422">
        <f>N266+P264</f>
        <v>7368104.5987527035</v>
      </c>
      <c r="Q266" s="523"/>
      <c r="R266" s="523"/>
      <c r="T266" s="523"/>
      <c r="V266" s="531"/>
      <c r="W266" s="464"/>
      <c r="X266" s="464"/>
      <c r="Y266" s="464"/>
      <c r="Z266" s="464"/>
      <c r="AA266" s="465"/>
      <c r="AB266" s="459"/>
      <c r="AC266" s="459"/>
      <c r="AD266" s="460"/>
      <c r="AE266" s="459"/>
      <c r="AF266" s="462"/>
      <c r="AG266" s="462"/>
      <c r="AH266" s="467"/>
      <c r="AI266" s="456"/>
      <c r="AJ266" s="454">
        <v>0.1</v>
      </c>
      <c r="AK266" s="454">
        <v>0.6</v>
      </c>
      <c r="AL266" s="454">
        <f>AJ266*AK266</f>
        <v>0.06</v>
      </c>
      <c r="AM266" s="457">
        <f>AJ266+AK266</f>
        <v>0.7</v>
      </c>
      <c r="AN266" s="454"/>
      <c r="AO266" s="454">
        <v>0.6</v>
      </c>
    </row>
    <row r="267" spans="1:41" s="528" customFormat="1" ht="15.75" x14ac:dyDescent="0.25">
      <c r="A267" s="521"/>
      <c r="B267" s="526"/>
      <c r="C267" s="527"/>
      <c r="E267" s="529"/>
      <c r="F267" s="530"/>
      <c r="G267" s="541"/>
      <c r="H267" s="542"/>
      <c r="I267" s="522"/>
      <c r="J267" s="921" t="s">
        <v>182</v>
      </c>
      <c r="K267" s="921"/>
      <c r="L267" s="834" t="s">
        <v>180</v>
      </c>
      <c r="M267" s="420" t="s">
        <v>183</v>
      </c>
      <c r="N267" s="424">
        <f>SUM(L266:L314)</f>
        <v>328828.34994462901</v>
      </c>
      <c r="O267" s="422"/>
      <c r="P267" s="422">
        <f>P266+N267</f>
        <v>7696932.9486973323</v>
      </c>
      <c r="Q267" s="523"/>
      <c r="R267" s="523"/>
      <c r="T267" s="523"/>
      <c r="V267" s="531"/>
      <c r="W267" s="828" t="s">
        <v>10</v>
      </c>
      <c r="X267" s="828"/>
      <c r="Y267" s="828"/>
      <c r="Z267" s="828"/>
      <c r="AA267" s="469" t="s">
        <v>387</v>
      </c>
      <c r="AB267" s="470">
        <f>AL271</f>
        <v>2.5680000000000005</v>
      </c>
      <c r="AC267" s="459" t="s">
        <v>383</v>
      </c>
      <c r="AD267" s="460" t="s">
        <v>384</v>
      </c>
      <c r="AE267" s="461">
        <v>400</v>
      </c>
      <c r="AF267" s="459" t="s">
        <v>385</v>
      </c>
      <c r="AG267" s="462" t="s">
        <v>384</v>
      </c>
      <c r="AH267" s="467">
        <f t="shared" ref="AH267:AH271" si="160">AB267*AE267</f>
        <v>1027.2000000000003</v>
      </c>
      <c r="AI267" s="456"/>
      <c r="AJ267" s="454">
        <v>6.5000000000000002E-2</v>
      </c>
      <c r="AK267" s="454">
        <v>3.2</v>
      </c>
      <c r="AL267" s="454">
        <f>AJ267*AK267</f>
        <v>0.20800000000000002</v>
      </c>
      <c r="AM267" s="457">
        <f>AJ267+AK267</f>
        <v>3.2650000000000001</v>
      </c>
      <c r="AN267" s="454"/>
      <c r="AO267" s="454">
        <v>0.1</v>
      </c>
    </row>
    <row r="268" spans="1:41" s="528" customFormat="1" ht="15.75" x14ac:dyDescent="0.25">
      <c r="A268" s="521"/>
      <c r="B268" s="526"/>
      <c r="C268" s="527"/>
      <c r="E268" s="529"/>
      <c r="F268" s="530"/>
      <c r="G268" s="541"/>
      <c r="H268" s="542"/>
      <c r="I268" s="522"/>
      <c r="J268" s="921" t="s">
        <v>184</v>
      </c>
      <c r="K268" s="921"/>
      <c r="L268" s="834" t="s">
        <v>161</v>
      </c>
      <c r="M268" s="420" t="s">
        <v>185</v>
      </c>
      <c r="N268" s="424"/>
      <c r="O268" s="422"/>
      <c r="P268" s="422">
        <f>P267+N268</f>
        <v>7696932.9486973323</v>
      </c>
      <c r="Q268" s="523"/>
      <c r="R268" s="523"/>
      <c r="T268" s="523"/>
      <c r="V268" s="531"/>
      <c r="W268" s="828"/>
      <c r="X268" s="828"/>
      <c r="Y268" s="828"/>
      <c r="Z268" s="828"/>
      <c r="AA268" s="469" t="s">
        <v>388</v>
      </c>
      <c r="AB268" s="470">
        <f>AM271</f>
        <v>11.765000000000001</v>
      </c>
      <c r="AC268" s="459" t="s">
        <v>383</v>
      </c>
      <c r="AD268" s="460"/>
      <c r="AE268" s="461">
        <v>100</v>
      </c>
      <c r="AF268" s="459" t="s">
        <v>385</v>
      </c>
      <c r="AG268" s="462"/>
      <c r="AH268" s="467">
        <f t="shared" si="160"/>
        <v>1176.5</v>
      </c>
      <c r="AI268" s="456"/>
      <c r="AJ268" s="454"/>
      <c r="AK268" s="454"/>
      <c r="AL268" s="454"/>
      <c r="AM268" s="457"/>
      <c r="AN268" s="454"/>
      <c r="AO268" s="454"/>
    </row>
    <row r="269" spans="1:41" s="528" customFormat="1" ht="15.75" x14ac:dyDescent="0.25">
      <c r="A269" s="521"/>
      <c r="B269" s="526"/>
      <c r="C269" s="527"/>
      <c r="E269" s="529"/>
      <c r="F269" s="530"/>
      <c r="G269" s="541"/>
      <c r="H269" s="542"/>
      <c r="I269" s="522"/>
      <c r="J269" s="921" t="s">
        <v>186</v>
      </c>
      <c r="K269" s="921"/>
      <c r="L269" s="834" t="s">
        <v>161</v>
      </c>
      <c r="M269" s="420" t="s">
        <v>187</v>
      </c>
      <c r="N269" s="424">
        <f>P268*0.15</f>
        <v>1154539.9423045998</v>
      </c>
      <c r="O269" s="422"/>
      <c r="P269" s="422">
        <f>P268+N269</f>
        <v>8851472.8910019323</v>
      </c>
      <c r="Q269" s="523"/>
      <c r="R269" s="523"/>
      <c r="T269" s="523"/>
      <c r="V269" s="531"/>
      <c r="W269" s="828"/>
      <c r="X269" s="828"/>
      <c r="Y269" s="828"/>
      <c r="Z269" s="828"/>
      <c r="AA269" s="469" t="s">
        <v>389</v>
      </c>
      <c r="AB269" s="470">
        <f>AN271</f>
        <v>3.9000000000000004</v>
      </c>
      <c r="AC269" s="459" t="s">
        <v>100</v>
      </c>
      <c r="AD269" s="460"/>
      <c r="AE269" s="461">
        <v>400</v>
      </c>
      <c r="AF269" s="471" t="s">
        <v>390</v>
      </c>
      <c r="AG269" s="462"/>
      <c r="AH269" s="467">
        <f t="shared" si="160"/>
        <v>1560.0000000000002</v>
      </c>
      <c r="AI269" s="456"/>
      <c r="AJ269" s="454"/>
      <c r="AK269" s="454"/>
      <c r="AL269" s="454"/>
      <c r="AM269" s="457"/>
      <c r="AN269" s="454"/>
      <c r="AO269" s="454"/>
    </row>
    <row r="270" spans="1:41" s="528" customFormat="1" ht="15.75" x14ac:dyDescent="0.25">
      <c r="A270" s="521"/>
      <c r="B270" s="526"/>
      <c r="C270" s="527"/>
      <c r="E270" s="529"/>
      <c r="F270" s="530"/>
      <c r="G270" s="541"/>
      <c r="H270" s="542"/>
      <c r="I270" s="522" t="s">
        <v>495</v>
      </c>
      <c r="J270" s="921" t="s">
        <v>188</v>
      </c>
      <c r="K270" s="921"/>
      <c r="L270" s="425"/>
      <c r="M270" s="420" t="s">
        <v>190</v>
      </c>
      <c r="N270" s="424">
        <f>P269*0.1</f>
        <v>885147.2891001933</v>
      </c>
      <c r="O270" s="422"/>
      <c r="P270" s="422">
        <f>P269+N270</f>
        <v>9736620.1801021248</v>
      </c>
      <c r="Q270" s="523"/>
      <c r="R270" s="523">
        <f>M247-P270</f>
        <v>63379.71228546463</v>
      </c>
      <c r="T270" s="523"/>
      <c r="V270" s="531"/>
      <c r="W270" s="828"/>
      <c r="X270" s="828"/>
      <c r="Y270" s="828"/>
      <c r="Z270" s="828"/>
      <c r="AA270" s="469" t="s">
        <v>391</v>
      </c>
      <c r="AB270" s="470">
        <f>AO271</f>
        <v>4.5999999999999996</v>
      </c>
      <c r="AC270" s="459" t="s">
        <v>100</v>
      </c>
      <c r="AD270" s="460"/>
      <c r="AE270" s="461">
        <v>400</v>
      </c>
      <c r="AF270" s="471" t="s">
        <v>390</v>
      </c>
      <c r="AG270" s="462"/>
      <c r="AH270" s="467">
        <f t="shared" si="160"/>
        <v>1839.9999999999998</v>
      </c>
      <c r="AI270" s="456"/>
      <c r="AJ270" s="454"/>
      <c r="AK270" s="454"/>
      <c r="AL270" s="454"/>
      <c r="AM270" s="457"/>
      <c r="AN270" s="454"/>
      <c r="AO270" s="454"/>
    </row>
    <row r="271" spans="1:41" s="528" customFormat="1" ht="15.75" x14ac:dyDescent="0.25">
      <c r="A271" s="521"/>
      <c r="B271" s="526"/>
      <c r="C271" s="527"/>
      <c r="E271" s="529"/>
      <c r="F271" s="530"/>
      <c r="G271" s="541"/>
      <c r="H271" s="542"/>
      <c r="I271" s="542"/>
      <c r="J271" s="924" t="s">
        <v>191</v>
      </c>
      <c r="K271" s="924"/>
      <c r="L271" s="429" t="s">
        <v>180</v>
      </c>
      <c r="M271" s="428"/>
      <c r="N271" s="426"/>
      <c r="O271" s="422"/>
      <c r="P271" s="422"/>
      <c r="Q271" s="523"/>
      <c r="R271" s="523"/>
      <c r="T271" s="523"/>
      <c r="V271" s="531"/>
      <c r="W271" s="828"/>
      <c r="X271" s="828"/>
      <c r="Y271" s="828"/>
      <c r="Z271" s="828"/>
      <c r="AA271" s="469" t="s">
        <v>392</v>
      </c>
      <c r="AB271" s="472">
        <v>1</v>
      </c>
      <c r="AC271" s="459" t="s">
        <v>393</v>
      </c>
      <c r="AD271" s="462"/>
      <c r="AE271" s="461">
        <v>500</v>
      </c>
      <c r="AF271" s="471" t="s">
        <v>394</v>
      </c>
      <c r="AG271" s="462"/>
      <c r="AH271" s="463">
        <f t="shared" si="160"/>
        <v>500</v>
      </c>
      <c r="AI271" s="456"/>
      <c r="AJ271" s="454"/>
      <c r="AK271" s="454"/>
      <c r="AL271" s="473">
        <f>SUM(AL263:AL267)</f>
        <v>2.5680000000000005</v>
      </c>
      <c r="AM271" s="473">
        <f>SUM(AM263:AM267)</f>
        <v>11.765000000000001</v>
      </c>
      <c r="AN271" s="473">
        <f>SUM(AN263:AN266)</f>
        <v>3.9000000000000004</v>
      </c>
      <c r="AO271" s="473">
        <f>SUM(AO263:AO267)</f>
        <v>4.5999999999999996</v>
      </c>
    </row>
    <row r="272" spans="1:41" s="528" customFormat="1" ht="15.75" x14ac:dyDescent="0.25">
      <c r="A272" s="521"/>
      <c r="B272" s="526"/>
      <c r="C272" s="527"/>
      <c r="E272" s="529"/>
      <c r="F272" s="530"/>
      <c r="G272" s="541"/>
      <c r="H272" s="542"/>
      <c r="I272" s="542"/>
      <c r="J272" s="924" t="s">
        <v>472</v>
      </c>
      <c r="K272" s="924"/>
      <c r="L272" s="429">
        <f>4*17000/1.05</f>
        <v>64761.904761904756</v>
      </c>
      <c r="M272" s="428" t="s">
        <v>193</v>
      </c>
      <c r="N272" s="426">
        <f>SUM(N266:N270)</f>
        <v>2583120.5696626077</v>
      </c>
      <c r="O272" s="427"/>
      <c r="P272" s="428">
        <f>P270+224998-79657</f>
        <v>9881961.1801021248</v>
      </c>
      <c r="Q272" s="523"/>
      <c r="R272" s="523"/>
      <c r="T272" s="523"/>
      <c r="V272" s="531"/>
      <c r="W272" s="464"/>
      <c r="X272" s="464"/>
      <c r="Y272" s="464"/>
      <c r="Z272" s="464"/>
      <c r="AA272" s="465"/>
      <c r="AB272" s="459"/>
      <c r="AC272" s="459"/>
      <c r="AD272" s="462"/>
      <c r="AE272" s="459"/>
      <c r="AF272" s="462" t="s">
        <v>395</v>
      </c>
      <c r="AG272" s="462" t="s">
        <v>384</v>
      </c>
      <c r="AH272" s="466">
        <f>SUM(AH267:AH271)</f>
        <v>6103.7000000000007</v>
      </c>
      <c r="AI272" s="456"/>
      <c r="AJ272" s="454"/>
      <c r="AK272" s="454"/>
      <c r="AL272" s="454"/>
      <c r="AM272" s="457"/>
      <c r="AN272" s="454"/>
      <c r="AO272" s="454"/>
    </row>
    <row r="273" spans="1:41" s="528" customFormat="1" ht="16.5" thickBot="1" x14ac:dyDescent="0.3">
      <c r="A273" s="521"/>
      <c r="B273" s="526"/>
      <c r="C273" s="527"/>
      <c r="E273" s="529"/>
      <c r="F273" s="530"/>
      <c r="G273" s="541"/>
      <c r="H273" s="542"/>
      <c r="I273" s="542"/>
      <c r="J273" s="924" t="s">
        <v>194</v>
      </c>
      <c r="K273" s="924"/>
      <c r="L273" s="429">
        <v>30000</v>
      </c>
      <c r="M273" s="428" t="s">
        <v>195</v>
      </c>
      <c r="N273" s="426">
        <f>SUM(N266:N271)</f>
        <v>2583120.5696626077</v>
      </c>
      <c r="O273" s="427"/>
      <c r="P273" s="428" t="s">
        <v>547</v>
      </c>
      <c r="Q273" s="523"/>
      <c r="R273" s="523"/>
      <c r="T273" s="523"/>
      <c r="V273" s="531"/>
      <c r="W273" s="464"/>
      <c r="X273" s="464"/>
      <c r="Y273" s="464"/>
      <c r="Z273" s="464"/>
      <c r="AA273" s="465"/>
      <c r="AB273" s="459"/>
      <c r="AC273" s="459"/>
      <c r="AD273" s="462"/>
      <c r="AE273" s="459"/>
      <c r="AF273" s="462" t="s">
        <v>396</v>
      </c>
      <c r="AG273" s="462" t="s">
        <v>384</v>
      </c>
      <c r="AH273" s="474">
        <f>AH265+AH272</f>
        <v>13191.380000000001</v>
      </c>
      <c r="AI273" s="456"/>
      <c r="AJ273" s="454"/>
      <c r="AK273" s="454"/>
      <c r="AL273" s="454"/>
      <c r="AM273" s="457"/>
      <c r="AN273" s="454"/>
      <c r="AO273" s="454"/>
    </row>
    <row r="274" spans="1:41" s="528" customFormat="1" ht="16.5" thickTop="1" x14ac:dyDescent="0.25">
      <c r="A274" s="521"/>
      <c r="B274" s="526"/>
      <c r="C274" s="527"/>
      <c r="E274" s="529"/>
      <c r="F274" s="530"/>
      <c r="G274" s="541"/>
      <c r="H274" s="542"/>
      <c r="I274" s="542"/>
      <c r="J274" s="924" t="s">
        <v>196</v>
      </c>
      <c r="K274" s="924"/>
      <c r="L274" s="429">
        <v>15000</v>
      </c>
      <c r="M274" s="428"/>
      <c r="N274" s="427"/>
      <c r="O274" s="422"/>
      <c r="P274" s="420"/>
      <c r="Q274" s="523"/>
      <c r="R274" s="523"/>
      <c r="T274" s="523"/>
      <c r="V274" s="531"/>
    </row>
    <row r="275" spans="1:41" s="528" customFormat="1" ht="15.75" x14ac:dyDescent="0.25">
      <c r="A275" s="521"/>
      <c r="B275" s="526"/>
      <c r="C275" s="527"/>
      <c r="E275" s="529"/>
      <c r="F275" s="530"/>
      <c r="G275" s="521"/>
      <c r="H275" s="522"/>
      <c r="I275" s="522"/>
      <c r="J275" s="921" t="s">
        <v>197</v>
      </c>
      <c r="K275" s="921"/>
      <c r="L275" s="834">
        <v>18000</v>
      </c>
      <c r="M275" s="428"/>
      <c r="N275" s="422"/>
      <c r="O275" s="422"/>
      <c r="P275" s="422"/>
      <c r="Q275" s="523"/>
      <c r="R275" s="523"/>
      <c r="T275" s="523"/>
      <c r="V275" s="531"/>
    </row>
    <row r="276" spans="1:41" s="528" customFormat="1" ht="15.75" x14ac:dyDescent="0.25">
      <c r="A276" s="521"/>
      <c r="B276" s="526"/>
      <c r="C276" s="527"/>
      <c r="E276" s="529"/>
      <c r="F276" s="530"/>
      <c r="G276" s="521"/>
      <c r="H276" s="522"/>
      <c r="I276" s="522"/>
      <c r="J276" s="921" t="s">
        <v>198</v>
      </c>
      <c r="K276" s="921"/>
      <c r="L276" s="834">
        <f>3*6000</f>
        <v>18000</v>
      </c>
      <c r="M276" s="422"/>
      <c r="N276" s="422"/>
      <c r="O276" s="422"/>
      <c r="P276" s="422"/>
      <c r="Q276" s="523"/>
      <c r="R276" s="523"/>
      <c r="T276" s="523"/>
      <c r="V276" s="531"/>
    </row>
    <row r="277" spans="1:41" ht="15.75" x14ac:dyDescent="0.25">
      <c r="D277" s="528"/>
      <c r="E277" s="529"/>
      <c r="F277" s="530"/>
      <c r="G277" s="521"/>
      <c r="H277" s="522"/>
      <c r="I277" s="522" t="s">
        <v>494</v>
      </c>
      <c r="J277" s="921" t="s">
        <v>199</v>
      </c>
      <c r="K277" s="921"/>
      <c r="L277" s="482"/>
      <c r="M277" s="422"/>
      <c r="N277" s="422"/>
      <c r="O277" s="422"/>
      <c r="P277" s="422"/>
      <c r="Q277" s="523"/>
      <c r="R277" s="523"/>
      <c r="S277" s="528"/>
      <c r="T277" s="523"/>
      <c r="U277" s="528"/>
      <c r="V277" s="446"/>
      <c r="AG277" s="18"/>
      <c r="AI277" s="18"/>
    </row>
    <row r="278" spans="1:41" ht="15.75" x14ac:dyDescent="0.25">
      <c r="A278" s="18"/>
      <c r="B278" s="18"/>
      <c r="C278" s="18"/>
      <c r="D278" s="528"/>
      <c r="E278" s="529"/>
      <c r="F278" s="530"/>
      <c r="G278" s="521"/>
      <c r="H278" s="522"/>
      <c r="I278" s="522"/>
      <c r="J278" s="921" t="s">
        <v>200</v>
      </c>
      <c r="K278" s="921"/>
      <c r="L278" s="425">
        <f>4*10000/1.075</f>
        <v>37209.302325581397</v>
      </c>
      <c r="M278" s="422"/>
      <c r="N278" s="422"/>
      <c r="O278" s="422"/>
      <c r="P278" s="422"/>
      <c r="Q278" s="523"/>
      <c r="R278" s="523"/>
      <c r="S278" s="528"/>
      <c r="T278" s="523"/>
      <c r="U278" s="528"/>
      <c r="V278" s="446"/>
      <c r="AG278" s="18"/>
      <c r="AI278" s="18"/>
    </row>
    <row r="279" spans="1:41" ht="15.75" x14ac:dyDescent="0.25">
      <c r="A279" s="18"/>
      <c r="B279" s="18"/>
      <c r="C279" s="18"/>
      <c r="D279" s="528"/>
      <c r="E279" s="529"/>
      <c r="F279" s="530"/>
      <c r="G279" s="521"/>
      <c r="H279" s="522"/>
      <c r="I279" s="522"/>
      <c r="J279" s="921" t="s">
        <v>201</v>
      </c>
      <c r="K279" s="921"/>
      <c r="L279" s="834" t="s">
        <v>180</v>
      </c>
      <c r="M279" s="422"/>
      <c r="N279" s="422"/>
      <c r="O279" s="422"/>
      <c r="P279" s="422"/>
      <c r="Q279" s="523"/>
      <c r="V279" s="446"/>
      <c r="AG279" s="18"/>
      <c r="AI279" s="18"/>
    </row>
    <row r="280" spans="1:41" ht="15.75" x14ac:dyDescent="0.25">
      <c r="A280" s="18"/>
      <c r="B280" s="18"/>
      <c r="C280" s="18"/>
      <c r="D280" s="528"/>
      <c r="E280" s="529"/>
      <c r="F280" s="530"/>
      <c r="G280" s="521"/>
      <c r="H280" s="522"/>
      <c r="I280" s="522" t="s">
        <v>494</v>
      </c>
      <c r="J280" s="921" t="s">
        <v>202</v>
      </c>
      <c r="K280" s="921"/>
      <c r="L280" s="482"/>
      <c r="M280" s="422"/>
      <c r="N280" s="422"/>
      <c r="O280" s="422"/>
      <c r="P280" s="422"/>
      <c r="Q280" s="523"/>
      <c r="V280" s="446"/>
      <c r="AA280" s="877" t="s">
        <v>511</v>
      </c>
      <c r="AB280" s="877"/>
      <c r="AC280" s="877"/>
      <c r="AD280" s="824" t="s">
        <v>243</v>
      </c>
      <c r="AE280" s="824" t="s">
        <v>244</v>
      </c>
      <c r="AF280" s="824" t="s">
        <v>245</v>
      </c>
      <c r="AG280" s="123" t="s">
        <v>246</v>
      </c>
      <c r="AH280" s="196" t="s">
        <v>247</v>
      </c>
      <c r="AI280" s="824" t="s">
        <v>248</v>
      </c>
      <c r="AJ280" s="212" t="s">
        <v>249</v>
      </c>
    </row>
    <row r="281" spans="1:41" ht="15.75" x14ac:dyDescent="0.25">
      <c r="A281" s="18"/>
      <c r="B281" s="18"/>
      <c r="C281" s="18"/>
      <c r="D281" s="528"/>
      <c r="E281" s="529"/>
      <c r="F281" s="530"/>
      <c r="G281" s="521"/>
      <c r="H281" s="522"/>
      <c r="I281" s="522"/>
      <c r="J281" s="921" t="s">
        <v>203</v>
      </c>
      <c r="K281" s="921"/>
      <c r="L281" s="834">
        <v>16000</v>
      </c>
      <c r="M281" s="422"/>
      <c r="N281" s="422"/>
      <c r="O281" s="422"/>
      <c r="P281" s="422"/>
      <c r="Q281" s="523"/>
      <c r="V281" s="446"/>
      <c r="AA281" s="878" t="s">
        <v>512</v>
      </c>
      <c r="AB281" s="878"/>
      <c r="AC281" s="878"/>
      <c r="AD281" s="124" t="s">
        <v>513</v>
      </c>
      <c r="AE281" s="675">
        <f>(1.1*0.6)*3.28*3.28</f>
        <v>7.1005440000000002</v>
      </c>
      <c r="AF281" s="823">
        <v>8</v>
      </c>
      <c r="AG281" s="123">
        <v>200</v>
      </c>
      <c r="AH281" s="196">
        <f>AG281*AF281</f>
        <v>1600</v>
      </c>
      <c r="AI281" s="823"/>
      <c r="AJ281" s="219">
        <f>AI281*AF281</f>
        <v>0</v>
      </c>
    </row>
    <row r="282" spans="1:41" ht="15.75" x14ac:dyDescent="0.25">
      <c r="A282" s="18"/>
      <c r="B282" s="18"/>
      <c r="C282" s="18"/>
      <c r="J282" s="894" t="s">
        <v>204</v>
      </c>
      <c r="K282" s="894"/>
      <c r="L282" s="834" t="s">
        <v>180</v>
      </c>
      <c r="M282" s="422"/>
      <c r="N282" s="422"/>
      <c r="O282" s="422"/>
      <c r="P282" s="422"/>
      <c r="V282" s="446"/>
      <c r="AA282" s="878" t="s">
        <v>514</v>
      </c>
      <c r="AB282" s="878"/>
      <c r="AC282" s="878"/>
      <c r="AD282" s="124" t="s">
        <v>100</v>
      </c>
      <c r="AE282" s="823">
        <f>(1.1+0.6+1.1+0.6)</f>
        <v>3.4000000000000004</v>
      </c>
      <c r="AF282" s="823">
        <v>3.5</v>
      </c>
      <c r="AG282" s="123">
        <v>20</v>
      </c>
      <c r="AH282" s="196">
        <f>AG282*AF282</f>
        <v>70</v>
      </c>
      <c r="AI282" s="823"/>
      <c r="AJ282" s="219">
        <f>AI282*AF282</f>
        <v>0</v>
      </c>
    </row>
    <row r="283" spans="1:41" ht="15.75" x14ac:dyDescent="0.25">
      <c r="A283" s="18"/>
      <c r="B283" s="18"/>
      <c r="C283" s="18"/>
      <c r="I283" s="2" t="s">
        <v>494</v>
      </c>
      <c r="J283" s="894" t="s">
        <v>205</v>
      </c>
      <c r="K283" s="894"/>
      <c r="L283" s="482"/>
      <c r="M283" s="422"/>
      <c r="N283" s="422"/>
      <c r="O283" s="422"/>
      <c r="P283" s="422"/>
      <c r="V283" s="446"/>
      <c r="AA283" s="878" t="s">
        <v>515</v>
      </c>
      <c r="AB283" s="878"/>
      <c r="AC283" s="878"/>
      <c r="AD283" s="124" t="s">
        <v>100</v>
      </c>
      <c r="AE283" s="823">
        <f>(1.1+0.6+1.1+0.6)</f>
        <v>3.4000000000000004</v>
      </c>
      <c r="AF283" s="823">
        <v>3.5</v>
      </c>
      <c r="AG283" s="123">
        <v>16</v>
      </c>
      <c r="AH283" s="196">
        <f>AG283*AF283</f>
        <v>56</v>
      </c>
      <c r="AI283" s="823"/>
      <c r="AJ283" s="219">
        <f>AI283*AF283</f>
        <v>0</v>
      </c>
    </row>
    <row r="284" spans="1:41" ht="15.75" x14ac:dyDescent="0.25">
      <c r="A284" s="18"/>
      <c r="B284" s="18"/>
      <c r="C284" s="18"/>
      <c r="I284" s="2" t="s">
        <v>494</v>
      </c>
      <c r="J284" s="894" t="s">
        <v>206</v>
      </c>
      <c r="K284" s="894"/>
      <c r="L284" s="482"/>
      <c r="M284" s="422"/>
      <c r="N284" s="422"/>
      <c r="O284" s="422"/>
      <c r="P284" s="422"/>
      <c r="V284" s="446"/>
      <c r="AA284" s="878" t="s">
        <v>516</v>
      </c>
      <c r="AB284" s="878"/>
      <c r="AC284" s="878"/>
      <c r="AD284" s="124" t="s">
        <v>101</v>
      </c>
      <c r="AE284" s="675">
        <f>1.1*0.6</f>
        <v>0.66</v>
      </c>
      <c r="AF284" s="823">
        <v>0.8</v>
      </c>
      <c r="AG284" s="676">
        <f>400/2.88</f>
        <v>138.88888888888889</v>
      </c>
      <c r="AH284" s="196">
        <f t="shared" ref="AH284" si="161">AG284*AF284</f>
        <v>111.11111111111111</v>
      </c>
      <c r="AI284" s="823"/>
      <c r="AJ284" s="219">
        <f t="shared" ref="AJ284" si="162">AI284*AF284</f>
        <v>0</v>
      </c>
    </row>
    <row r="285" spans="1:41" ht="15.75" x14ac:dyDescent="0.25">
      <c r="A285" s="18"/>
      <c r="B285" s="18"/>
      <c r="C285" s="18"/>
      <c r="I285" s="2" t="s">
        <v>494</v>
      </c>
      <c r="J285" s="894" t="s">
        <v>473</v>
      </c>
      <c r="K285" s="894"/>
      <c r="L285" s="482"/>
      <c r="M285" s="422"/>
      <c r="N285" s="422"/>
      <c r="O285" s="422"/>
      <c r="P285" s="422"/>
      <c r="V285" s="446"/>
      <c r="AA285" s="878" t="s">
        <v>379</v>
      </c>
      <c r="AB285" s="878"/>
      <c r="AC285" s="878"/>
      <c r="AD285" s="124" t="s">
        <v>301</v>
      </c>
      <c r="AE285" s="823">
        <v>1</v>
      </c>
      <c r="AF285" s="823">
        <v>1</v>
      </c>
      <c r="AG285" s="676">
        <v>500</v>
      </c>
      <c r="AH285" s="196">
        <f>AG285*AF285</f>
        <v>500</v>
      </c>
      <c r="AI285" s="823"/>
      <c r="AJ285" s="219">
        <f>AI285*AF285</f>
        <v>0</v>
      </c>
    </row>
    <row r="286" spans="1:41" ht="15.75" x14ac:dyDescent="0.25">
      <c r="A286" s="18"/>
      <c r="B286" s="18"/>
      <c r="C286" s="18"/>
      <c r="I286" s="2" t="s">
        <v>494</v>
      </c>
      <c r="J286" s="894" t="s">
        <v>208</v>
      </c>
      <c r="K286" s="894"/>
      <c r="L286" s="482"/>
      <c r="M286" s="422"/>
      <c r="N286" s="422"/>
      <c r="O286" s="422"/>
      <c r="P286" s="422"/>
      <c r="V286" s="27"/>
      <c r="AA286" s="878"/>
      <c r="AB286" s="878"/>
      <c r="AC286" s="878"/>
      <c r="AD286" s="124"/>
      <c r="AE286" s="823"/>
      <c r="AF286" s="823"/>
      <c r="AG286" s="123"/>
      <c r="AH286" s="212">
        <f>SUM(AH281:AH285)</f>
        <v>2337.1111111111113</v>
      </c>
      <c r="AI286" s="823"/>
      <c r="AJ286" s="212">
        <f>SUM(AJ281:AJ285)</f>
        <v>0</v>
      </c>
    </row>
    <row r="287" spans="1:41" ht="15.75" x14ac:dyDescent="0.25">
      <c r="A287" s="18"/>
      <c r="B287" s="18"/>
      <c r="C287" s="18"/>
      <c r="I287" s="2" t="s">
        <v>496</v>
      </c>
      <c r="J287" s="894" t="s">
        <v>209</v>
      </c>
      <c r="K287" s="894"/>
      <c r="L287" s="482"/>
      <c r="M287" s="422"/>
      <c r="N287" s="422"/>
      <c r="O287" s="422"/>
      <c r="P287" s="422"/>
      <c r="V287" s="27"/>
      <c r="AG287" s="18"/>
      <c r="AI287" s="18"/>
    </row>
    <row r="288" spans="1:41" ht="15.75" x14ac:dyDescent="0.25">
      <c r="A288" s="18"/>
      <c r="B288" s="18"/>
      <c r="C288" s="18"/>
      <c r="J288" s="894" t="s">
        <v>474</v>
      </c>
      <c r="K288" s="894"/>
      <c r="L288" s="834">
        <v>15000</v>
      </c>
      <c r="M288" s="422"/>
      <c r="N288" s="422"/>
      <c r="O288" s="422"/>
      <c r="P288" s="422"/>
      <c r="V288" s="27"/>
      <c r="AG288" s="18"/>
      <c r="AI288" s="18"/>
    </row>
    <row r="289" spans="1:47" ht="15.75" x14ac:dyDescent="0.25">
      <c r="A289" s="18"/>
      <c r="B289" s="18"/>
      <c r="C289" s="18"/>
      <c r="I289" s="2" t="s">
        <v>494</v>
      </c>
      <c r="J289" s="894" t="s">
        <v>211</v>
      </c>
      <c r="K289" s="894"/>
      <c r="L289" s="482"/>
      <c r="M289" s="422"/>
      <c r="N289" s="422"/>
      <c r="O289" s="422"/>
      <c r="P289" s="422"/>
      <c r="V289" s="27"/>
      <c r="AG289" s="18"/>
      <c r="AI289" s="18"/>
    </row>
    <row r="290" spans="1:47" ht="15.75" x14ac:dyDescent="0.25">
      <c r="A290" s="18"/>
      <c r="B290" s="18"/>
      <c r="C290" s="18"/>
      <c r="J290" s="894" t="s">
        <v>212</v>
      </c>
      <c r="K290" s="894"/>
      <c r="L290" s="834">
        <v>15000</v>
      </c>
      <c r="M290" s="422"/>
      <c r="N290" s="422"/>
      <c r="O290" s="422"/>
      <c r="P290" s="422"/>
      <c r="V290" s="27"/>
    </row>
    <row r="291" spans="1:47" ht="15.75" x14ac:dyDescent="0.25">
      <c r="A291" s="18"/>
      <c r="B291" s="18"/>
      <c r="C291" s="18"/>
      <c r="J291" s="894" t="s">
        <v>475</v>
      </c>
      <c r="K291" s="894"/>
      <c r="L291" s="834">
        <f>4*12000/1.12</f>
        <v>42857.142857142855</v>
      </c>
      <c r="M291" s="422"/>
      <c r="N291" s="422"/>
      <c r="O291" s="422"/>
      <c r="P291" s="422"/>
      <c r="V291" s="27"/>
      <c r="AA291" s="878" t="s">
        <v>522</v>
      </c>
      <c r="AB291" s="878"/>
      <c r="AC291" s="878"/>
      <c r="AD291" s="124" t="s">
        <v>101</v>
      </c>
      <c r="AE291" s="675">
        <f>(3.2*1.5)*2+(1*1.5)*2</f>
        <v>12.600000000000001</v>
      </c>
      <c r="AF291" s="823">
        <v>13</v>
      </c>
      <c r="AG291" s="676">
        <f>375*(3.28*3.28)/1.075</f>
        <v>3752.9302325581389</v>
      </c>
      <c r="AH291" s="196">
        <f t="shared" ref="AH291" si="163">AG291*AF291</f>
        <v>48788.093023255802</v>
      </c>
      <c r="AI291" s="677">
        <f>AG291*0.35</f>
        <v>1313.5255813953486</v>
      </c>
      <c r="AJ291" s="219">
        <f t="shared" ref="AJ291" si="164">AI291*AF291</f>
        <v>17075.832558139533</v>
      </c>
    </row>
    <row r="292" spans="1:47" ht="15.75" x14ac:dyDescent="0.25">
      <c r="A292" s="18"/>
      <c r="B292" s="18"/>
      <c r="C292" s="18"/>
      <c r="J292" s="894" t="s">
        <v>214</v>
      </c>
      <c r="K292" s="894"/>
      <c r="L292" s="834" t="s">
        <v>189</v>
      </c>
      <c r="M292" s="422"/>
      <c r="N292" s="422"/>
      <c r="O292" s="422"/>
      <c r="P292" s="422"/>
      <c r="V292" s="27"/>
      <c r="W292" s="397"/>
      <c r="X292" s="397"/>
      <c r="Y292" s="397"/>
      <c r="Z292" s="397"/>
      <c r="AA292" s="878" t="s">
        <v>379</v>
      </c>
      <c r="AB292" s="878"/>
      <c r="AC292" s="878"/>
      <c r="AD292" s="124" t="s">
        <v>301</v>
      </c>
      <c r="AE292" s="823">
        <v>1</v>
      </c>
      <c r="AF292" s="823">
        <v>1</v>
      </c>
      <c r="AG292" s="676">
        <v>2000</v>
      </c>
      <c r="AH292" s="196">
        <f>AG292*AF292</f>
        <v>2000</v>
      </c>
      <c r="AI292" s="823">
        <v>1000</v>
      </c>
      <c r="AJ292" s="219">
        <f>AI292*AF292</f>
        <v>1000</v>
      </c>
      <c r="AK292" s="394"/>
      <c r="AL292" s="394"/>
      <c r="AM292" s="395"/>
      <c r="AN292" s="394"/>
      <c r="AO292" s="394"/>
    </row>
    <row r="293" spans="1:47" ht="15.75" x14ac:dyDescent="0.25">
      <c r="A293" s="18"/>
      <c r="B293" s="18"/>
      <c r="C293" s="18"/>
      <c r="J293" s="894" t="s">
        <v>476</v>
      </c>
      <c r="K293" s="894"/>
      <c r="L293" s="834">
        <v>10000</v>
      </c>
      <c r="M293" s="422"/>
      <c r="N293" s="422"/>
      <c r="O293" s="422"/>
      <c r="P293" s="422"/>
      <c r="V293" s="27"/>
      <c r="W293" s="397"/>
      <c r="X293" s="397"/>
      <c r="Y293" s="397"/>
      <c r="Z293" s="397"/>
      <c r="AG293" s="18"/>
      <c r="AH293" s="365">
        <f>SUM(AH291:AH292)</f>
        <v>50788.093023255802</v>
      </c>
      <c r="AI293" s="18"/>
      <c r="AJ293" s="365">
        <f>SUM(AJ291:AJ292)</f>
        <v>18075.832558139533</v>
      </c>
      <c r="AK293" s="394"/>
      <c r="AL293" s="394"/>
      <c r="AM293" s="395"/>
      <c r="AN293" s="394"/>
      <c r="AO293" s="394"/>
    </row>
    <row r="294" spans="1:47" ht="15.75" x14ac:dyDescent="0.25">
      <c r="J294" s="894" t="s">
        <v>477</v>
      </c>
      <c r="K294" s="894"/>
      <c r="L294" s="429"/>
      <c r="M294" s="422"/>
      <c r="N294" s="422"/>
      <c r="O294" s="422"/>
      <c r="P294" s="422"/>
      <c r="V294" s="27"/>
      <c r="W294" s="397"/>
      <c r="X294" s="397"/>
      <c r="Y294" s="397"/>
      <c r="Z294" s="397"/>
      <c r="AA294" s="400"/>
      <c r="AB294" s="404"/>
      <c r="AC294" s="391"/>
      <c r="AD294" s="392"/>
      <c r="AE294" s="399"/>
      <c r="AF294" s="403"/>
      <c r="AG294" s="392"/>
      <c r="AH294" s="378"/>
      <c r="AI294" s="393"/>
      <c r="AJ294" s="394"/>
      <c r="AK294" s="394"/>
      <c r="AL294" s="405"/>
      <c r="AM294" s="405"/>
      <c r="AN294" s="405"/>
      <c r="AO294" s="405"/>
    </row>
    <row r="295" spans="1:47" ht="15.75" x14ac:dyDescent="0.25">
      <c r="J295" s="894" t="s">
        <v>217</v>
      </c>
      <c r="K295" s="894"/>
      <c r="L295" s="429" t="s">
        <v>180</v>
      </c>
      <c r="M295" s="422"/>
      <c r="N295" s="422"/>
      <c r="O295" s="422"/>
      <c r="P295" s="422"/>
      <c r="V295" s="27"/>
      <c r="W295" s="389"/>
      <c r="X295" s="389"/>
      <c r="Y295" s="389"/>
      <c r="Z295" s="389"/>
      <c r="AA295" s="390"/>
      <c r="AB295" s="391"/>
      <c r="AC295" s="391"/>
      <c r="AD295" s="392"/>
      <c r="AE295" s="391"/>
      <c r="AF295" s="392"/>
      <c r="AG295" s="392"/>
      <c r="AH295" s="378"/>
      <c r="AI295" s="393"/>
      <c r="AJ295" s="394"/>
      <c r="AK295" s="394"/>
      <c r="AL295" s="394"/>
      <c r="AM295" s="395"/>
      <c r="AN295" s="394"/>
      <c r="AO295" s="394"/>
    </row>
    <row r="296" spans="1:47" ht="15.75" x14ac:dyDescent="0.25">
      <c r="J296" s="894" t="s">
        <v>478</v>
      </c>
      <c r="K296" s="894"/>
      <c r="L296" s="429">
        <v>3500</v>
      </c>
      <c r="M296" s="422"/>
      <c r="N296" s="422"/>
      <c r="O296" s="422"/>
      <c r="P296" s="422"/>
      <c r="V296" s="27"/>
      <c r="W296" s="389"/>
      <c r="X296" s="389"/>
      <c r="Y296" s="389"/>
      <c r="Z296" s="389"/>
      <c r="AA296" s="390"/>
      <c r="AB296" s="391"/>
      <c r="AC296" s="391"/>
      <c r="AD296" s="392"/>
      <c r="AE296" s="391"/>
      <c r="AF296" s="392"/>
      <c r="AG296" s="392"/>
      <c r="AH296" s="378"/>
      <c r="AI296" s="393"/>
      <c r="AJ296" s="394"/>
      <c r="AK296" s="394"/>
      <c r="AL296" s="394"/>
      <c r="AM296" s="395"/>
      <c r="AN296" s="394"/>
      <c r="AO296" s="394"/>
    </row>
    <row r="297" spans="1:47" ht="15.75" x14ac:dyDescent="0.25">
      <c r="J297" s="894" t="s">
        <v>219</v>
      </c>
      <c r="K297" s="894"/>
      <c r="L297" s="429" t="s">
        <v>180</v>
      </c>
      <c r="M297" s="422"/>
      <c r="N297" s="422"/>
      <c r="O297" s="422"/>
      <c r="P297" s="422"/>
      <c r="V297" s="27"/>
      <c r="W297" s="273"/>
      <c r="X297" s="273"/>
      <c r="Y297" s="273"/>
      <c r="Z297" s="273"/>
      <c r="AA297" s="273"/>
      <c r="AB297" s="273"/>
      <c r="AC297" s="273"/>
      <c r="AD297" s="273"/>
      <c r="AE297" s="273"/>
      <c r="AF297" s="273"/>
      <c r="AG297" s="224"/>
      <c r="AH297" s="273"/>
      <c r="AI297" s="224"/>
      <c r="AJ297" s="1"/>
      <c r="AK297" s="1"/>
      <c r="AL297" s="1"/>
      <c r="AM297" s="1"/>
      <c r="AN297" s="1"/>
      <c r="AO297" s="1"/>
    </row>
    <row r="298" spans="1:47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4" t="s">
        <v>220</v>
      </c>
      <c r="K298" s="894"/>
      <c r="L298" s="429">
        <v>3500</v>
      </c>
      <c r="M298" s="422"/>
      <c r="N298" s="422"/>
      <c r="O298" s="422"/>
      <c r="P298" s="422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H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</row>
    <row r="299" spans="1:47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4" t="s">
        <v>221</v>
      </c>
      <c r="K299" s="894"/>
      <c r="L299" s="429">
        <v>3500</v>
      </c>
      <c r="M299" s="422"/>
      <c r="N299" s="422"/>
      <c r="O299" s="422"/>
      <c r="P299" s="422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H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</row>
    <row r="300" spans="1:47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4" t="s">
        <v>479</v>
      </c>
      <c r="K300" s="894"/>
      <c r="L300" s="834">
        <v>0</v>
      </c>
      <c r="M300" s="422"/>
      <c r="N300" s="422"/>
      <c r="O300" s="422"/>
      <c r="P300" s="422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H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</row>
    <row r="301" spans="1:47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4" t="s">
        <v>223</v>
      </c>
      <c r="K301" s="894"/>
      <c r="L301" s="834">
        <v>12000</v>
      </c>
      <c r="M301" s="430"/>
      <c r="N301" s="422"/>
      <c r="O301" s="422"/>
      <c r="P301" s="422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H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</row>
    <row r="302" spans="1:47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/>
      <c r="J302" s="894" t="s">
        <v>480</v>
      </c>
      <c r="K302" s="894"/>
      <c r="L302" s="834" t="s">
        <v>189</v>
      </c>
      <c r="M302" s="431"/>
      <c r="N302" s="431"/>
      <c r="O302" s="431"/>
      <c r="P302" s="431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H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</row>
    <row r="303" spans="1:47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3" t="s">
        <v>481</v>
      </c>
      <c r="K303" s="893"/>
      <c r="L303" s="432">
        <v>8500</v>
      </c>
      <c r="M303" s="431"/>
      <c r="N303" s="431"/>
      <c r="O303" s="431"/>
      <c r="P303" s="431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H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</row>
    <row r="304" spans="1:47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4" t="s">
        <v>482</v>
      </c>
      <c r="K304" s="894"/>
      <c r="L304" s="834">
        <v>8500</v>
      </c>
      <c r="M304" s="431"/>
      <c r="N304" s="431"/>
      <c r="O304" s="431"/>
      <c r="P304" s="431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H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</row>
    <row r="305" spans="1:47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/>
      <c r="J305" s="895" t="s">
        <v>483</v>
      </c>
      <c r="K305" s="895"/>
      <c r="L305" s="830" t="s">
        <v>189</v>
      </c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H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</row>
    <row r="306" spans="1:47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 t="s">
        <v>494</v>
      </c>
      <c r="J306" s="895" t="s">
        <v>484</v>
      </c>
      <c r="K306" s="895"/>
      <c r="L306" s="485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H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</row>
    <row r="307" spans="1:47" s="1" customFormat="1" ht="15.75" x14ac:dyDescent="0.25">
      <c r="A307" s="19"/>
      <c r="B307" s="153"/>
      <c r="C307" s="294"/>
      <c r="D307" s="18"/>
      <c r="E307" s="60"/>
      <c r="F307" s="91"/>
      <c r="G307" s="19"/>
      <c r="H307" s="2"/>
      <c r="I307" s="2"/>
      <c r="J307" s="895" t="s">
        <v>485</v>
      </c>
      <c r="K307" s="895"/>
      <c r="L307" s="830" t="s">
        <v>189</v>
      </c>
      <c r="M307" s="434"/>
      <c r="N307" s="434"/>
      <c r="O307" s="434"/>
      <c r="P307" s="434"/>
      <c r="S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H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</row>
    <row r="308" spans="1:47" s="1" customFormat="1" ht="15.75" x14ac:dyDescent="0.25">
      <c r="A308" s="19"/>
      <c r="B308" s="153"/>
      <c r="C308" s="294"/>
      <c r="D308" s="18"/>
      <c r="E308" s="60"/>
      <c r="F308" s="91"/>
      <c r="G308" s="19"/>
      <c r="H308" s="2"/>
      <c r="I308" s="2"/>
      <c r="J308" s="895" t="s">
        <v>486</v>
      </c>
      <c r="K308" s="895"/>
      <c r="L308" s="830" t="s">
        <v>189</v>
      </c>
      <c r="M308" s="434"/>
      <c r="N308" s="434"/>
      <c r="O308" s="434"/>
      <c r="P308" s="434"/>
      <c r="S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H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</row>
    <row r="309" spans="1:47" s="1" customFormat="1" ht="15.75" x14ac:dyDescent="0.25">
      <c r="A309" s="19"/>
      <c r="B309" s="153"/>
      <c r="C309" s="294"/>
      <c r="D309" s="18"/>
      <c r="E309" s="60"/>
      <c r="F309" s="91"/>
      <c r="G309" s="19"/>
      <c r="H309" s="2"/>
      <c r="I309" s="2"/>
      <c r="J309" s="892" t="s">
        <v>222</v>
      </c>
      <c r="K309" s="892"/>
      <c r="L309" s="830">
        <v>7500</v>
      </c>
      <c r="M309" s="434"/>
      <c r="N309" s="434"/>
      <c r="O309" s="434"/>
      <c r="P309" s="434"/>
      <c r="S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H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</row>
    <row r="310" spans="1:47" s="1" customFormat="1" ht="15.75" x14ac:dyDescent="0.25">
      <c r="A310" s="19"/>
      <c r="B310" s="153"/>
      <c r="C310" s="294"/>
      <c r="D310" s="18"/>
      <c r="E310" s="60"/>
      <c r="F310" s="91"/>
      <c r="G310" s="19"/>
      <c r="H310" s="2"/>
      <c r="I310" s="2"/>
      <c r="J310" s="892" t="s">
        <v>487</v>
      </c>
      <c r="K310" s="892"/>
      <c r="L310" s="830"/>
      <c r="M310" s="434"/>
      <c r="N310" s="434"/>
      <c r="O310" s="434"/>
      <c r="P310" s="434"/>
      <c r="S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H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</row>
    <row r="311" spans="1:47" s="1" customFormat="1" ht="15.75" x14ac:dyDescent="0.25">
      <c r="A311" s="19"/>
      <c r="B311" s="153"/>
      <c r="C311" s="294"/>
      <c r="D311" s="18"/>
      <c r="E311" s="60"/>
      <c r="F311" s="91"/>
      <c r="G311" s="19"/>
      <c r="H311" s="2"/>
      <c r="I311" s="2"/>
      <c r="J311" s="892" t="s">
        <v>213</v>
      </c>
      <c r="K311" s="892"/>
      <c r="L311" s="830" t="s">
        <v>161</v>
      </c>
      <c r="M311" s="434"/>
      <c r="N311" s="434"/>
      <c r="O311" s="434"/>
      <c r="P311" s="434"/>
      <c r="S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H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</row>
    <row r="312" spans="1:47" s="1" customFormat="1" ht="15.75" x14ac:dyDescent="0.25">
      <c r="A312" s="19"/>
      <c r="B312" s="153"/>
      <c r="C312" s="294"/>
      <c r="D312" s="18"/>
      <c r="E312" s="60"/>
      <c r="F312" s="91"/>
      <c r="G312" s="19"/>
      <c r="H312" s="2"/>
      <c r="I312" s="2" t="s">
        <v>494</v>
      </c>
      <c r="J312" s="892" t="s">
        <v>488</v>
      </c>
      <c r="K312" s="892"/>
      <c r="L312" s="485"/>
      <c r="M312" s="434"/>
      <c r="N312" s="434"/>
      <c r="O312" s="434"/>
      <c r="P312" s="434"/>
      <c r="S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H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</row>
    <row r="313" spans="1:47" s="1" customFormat="1" ht="15.75" x14ac:dyDescent="0.25">
      <c r="A313" s="19"/>
      <c r="B313" s="153"/>
      <c r="C313" s="294"/>
      <c r="D313" s="18"/>
      <c r="E313" s="60"/>
      <c r="F313" s="91"/>
      <c r="G313" s="19"/>
      <c r="H313" s="2"/>
      <c r="I313" s="2"/>
      <c r="J313" s="892" t="s">
        <v>489</v>
      </c>
      <c r="K313" s="892"/>
      <c r="L313" s="830"/>
      <c r="M313" s="434"/>
      <c r="N313" s="434"/>
      <c r="O313" s="434"/>
      <c r="P313" s="434"/>
      <c r="S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H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</row>
  </sheetData>
  <mergeCells count="179">
    <mergeCell ref="J313:K313"/>
    <mergeCell ref="J307:K307"/>
    <mergeCell ref="J308:K308"/>
    <mergeCell ref="J309:K309"/>
    <mergeCell ref="J310:K310"/>
    <mergeCell ref="J311:K311"/>
    <mergeCell ref="J312:K312"/>
    <mergeCell ref="J301:K301"/>
    <mergeCell ref="J302:K302"/>
    <mergeCell ref="J303:K303"/>
    <mergeCell ref="J304:K304"/>
    <mergeCell ref="J305:K305"/>
    <mergeCell ref="J306:K306"/>
    <mergeCell ref="J295:K295"/>
    <mergeCell ref="J296:K296"/>
    <mergeCell ref="J297:K297"/>
    <mergeCell ref="J298:K298"/>
    <mergeCell ref="J299:K299"/>
    <mergeCell ref="J300:K300"/>
    <mergeCell ref="J291:K291"/>
    <mergeCell ref="AA291:AC291"/>
    <mergeCell ref="J292:K292"/>
    <mergeCell ref="AA292:AC292"/>
    <mergeCell ref="J293:K293"/>
    <mergeCell ref="J294:K294"/>
    <mergeCell ref="J286:K286"/>
    <mergeCell ref="AA286:AC286"/>
    <mergeCell ref="J287:K287"/>
    <mergeCell ref="J288:K288"/>
    <mergeCell ref="J289:K289"/>
    <mergeCell ref="J290:K290"/>
    <mergeCell ref="J283:K283"/>
    <mergeCell ref="AA283:AC283"/>
    <mergeCell ref="J284:K284"/>
    <mergeCell ref="AA284:AC284"/>
    <mergeCell ref="J285:K285"/>
    <mergeCell ref="AA285:AC285"/>
    <mergeCell ref="J280:K280"/>
    <mergeCell ref="AA280:AC280"/>
    <mergeCell ref="J281:K281"/>
    <mergeCell ref="AA281:AC281"/>
    <mergeCell ref="J282:K282"/>
    <mergeCell ref="AA282:AC282"/>
    <mergeCell ref="J274:K274"/>
    <mergeCell ref="J275:K275"/>
    <mergeCell ref="J276:K276"/>
    <mergeCell ref="J277:K277"/>
    <mergeCell ref="J278:K278"/>
    <mergeCell ref="J279:K279"/>
    <mergeCell ref="J268:K268"/>
    <mergeCell ref="J269:K269"/>
    <mergeCell ref="J270:K270"/>
    <mergeCell ref="J271:K271"/>
    <mergeCell ref="J272:K272"/>
    <mergeCell ref="J273:K273"/>
    <mergeCell ref="AD248:AF248"/>
    <mergeCell ref="AG248:AH248"/>
    <mergeCell ref="AD262:AF262"/>
    <mergeCell ref="AG262:AH262"/>
    <mergeCell ref="J266:K266"/>
    <mergeCell ref="J267:K267"/>
    <mergeCell ref="AD232:AF232"/>
    <mergeCell ref="AG232:AH232"/>
    <mergeCell ref="AQ232:AR232"/>
    <mergeCell ref="AQ233:AR233"/>
    <mergeCell ref="B245:D245"/>
    <mergeCell ref="B247:D247"/>
    <mergeCell ref="M247:P247"/>
    <mergeCell ref="AQ228:AR228"/>
    <mergeCell ref="AQ229:AR229"/>
    <mergeCell ref="AD230:AF230"/>
    <mergeCell ref="AG230:AH230"/>
    <mergeCell ref="AQ230:AR230"/>
    <mergeCell ref="AD231:AF231"/>
    <mergeCell ref="AG231:AH231"/>
    <mergeCell ref="AQ231:AR231"/>
    <mergeCell ref="AO207:AP207"/>
    <mergeCell ref="AO208:AP208"/>
    <mergeCell ref="AO209:AP209"/>
    <mergeCell ref="AD215:AF215"/>
    <mergeCell ref="AG215:AH215"/>
    <mergeCell ref="B217:D217"/>
    <mergeCell ref="AO201:AP201"/>
    <mergeCell ref="AO202:AP202"/>
    <mergeCell ref="AO203:AP203"/>
    <mergeCell ref="AO204:AP204"/>
    <mergeCell ref="AO205:AP205"/>
    <mergeCell ref="AO206:AP206"/>
    <mergeCell ref="AO186:AQ186"/>
    <mergeCell ref="AO189:AP189"/>
    <mergeCell ref="AO190:AP190"/>
    <mergeCell ref="AO193:AP193"/>
    <mergeCell ref="AO199:AP199"/>
    <mergeCell ref="AO200:AP200"/>
    <mergeCell ref="AO177:AQ177"/>
    <mergeCell ref="AO178:AQ178"/>
    <mergeCell ref="AO182:AQ182"/>
    <mergeCell ref="AO183:AQ183"/>
    <mergeCell ref="AO184:AQ184"/>
    <mergeCell ref="AO185:AQ185"/>
    <mergeCell ref="AO168:AQ168"/>
    <mergeCell ref="AO169:AQ169"/>
    <mergeCell ref="AO170:AQ170"/>
    <mergeCell ref="AO174:AQ174"/>
    <mergeCell ref="AO175:AQ175"/>
    <mergeCell ref="AO176:AQ176"/>
    <mergeCell ref="AB163:AD163"/>
    <mergeCell ref="AB164:AD164"/>
    <mergeCell ref="AB165:AD165"/>
    <mergeCell ref="AB166:AD166"/>
    <mergeCell ref="AO166:AQ166"/>
    <mergeCell ref="AO167:AQ167"/>
    <mergeCell ref="AB156:AD156"/>
    <mergeCell ref="AB157:AD157"/>
    <mergeCell ref="AB159:AD159"/>
    <mergeCell ref="AB160:AD160"/>
    <mergeCell ref="AB161:AD161"/>
    <mergeCell ref="AB162:AD162"/>
    <mergeCell ref="W135:AB135"/>
    <mergeCell ref="AL135:AN135"/>
    <mergeCell ref="AB151:AD151"/>
    <mergeCell ref="AB153:AD153"/>
    <mergeCell ref="AB154:AD154"/>
    <mergeCell ref="B155:D155"/>
    <mergeCell ref="AB155:AD155"/>
    <mergeCell ref="W132:AB132"/>
    <mergeCell ref="AL132:AN132"/>
    <mergeCell ref="W133:AB133"/>
    <mergeCell ref="AL133:AN133"/>
    <mergeCell ref="W134:AB134"/>
    <mergeCell ref="AL134:AN134"/>
    <mergeCell ref="W127:AB127"/>
    <mergeCell ref="AL127:AN127"/>
    <mergeCell ref="W128:AB128"/>
    <mergeCell ref="AL128:AN128"/>
    <mergeCell ref="W131:AB131"/>
    <mergeCell ref="AL131:AN131"/>
    <mergeCell ref="W124:AB124"/>
    <mergeCell ref="AL124:AN124"/>
    <mergeCell ref="W125:AB125"/>
    <mergeCell ref="AL125:AN125"/>
    <mergeCell ref="W126:AB126"/>
    <mergeCell ref="AL126:AN126"/>
    <mergeCell ref="W77:AB77"/>
    <mergeCell ref="W80:AB80"/>
    <mergeCell ref="W81:AB81"/>
    <mergeCell ref="W82:AB82"/>
    <mergeCell ref="W83:AB83"/>
    <mergeCell ref="W84:AB84"/>
    <mergeCell ref="W62:AB62"/>
    <mergeCell ref="W63:AB63"/>
    <mergeCell ref="W64:AB64"/>
    <mergeCell ref="W65:AB65"/>
    <mergeCell ref="W66:AB66"/>
    <mergeCell ref="W76:AB76"/>
    <mergeCell ref="W30:AB30"/>
    <mergeCell ref="W31:AB31"/>
    <mergeCell ref="W32:AB32"/>
    <mergeCell ref="W33:AB33"/>
    <mergeCell ref="A14:A15"/>
    <mergeCell ref="B14:D15"/>
    <mergeCell ref="E14:E15"/>
    <mergeCell ref="F14:F15"/>
    <mergeCell ref="G14:G15"/>
    <mergeCell ref="H14:H15"/>
    <mergeCell ref="B35:D35"/>
    <mergeCell ref="W61:AB61"/>
    <mergeCell ref="W22:AB22"/>
    <mergeCell ref="W23:AB23"/>
    <mergeCell ref="W24:AB24"/>
    <mergeCell ref="W25:AB25"/>
    <mergeCell ref="W26:AB26"/>
    <mergeCell ref="W29:AB29"/>
    <mergeCell ref="I14:I15"/>
    <mergeCell ref="J14:J15"/>
    <mergeCell ref="K14:K15"/>
    <mergeCell ref="L14:L15"/>
    <mergeCell ref="M14:O14"/>
    <mergeCell ref="P14:P15"/>
  </mergeCells>
  <printOptions horizontalCentered="1"/>
  <pageMargins left="0.25" right="0.25" top="0.5" bottom="0.5" header="0.3" footer="0.3"/>
  <pageSetup scale="65" orientation="landscape" r:id="rId1"/>
  <headerFooter>
    <oddFooter>Page &amp;P of &amp;N</oddFooter>
  </headerFooter>
  <rowBreaks count="2" manualBreakCount="2">
    <brk id="62" max="15" man="1"/>
    <brk id="155" max="15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Y313"/>
  <sheetViews>
    <sheetView showGridLines="0" view="pageBreakPreview" topLeftCell="A85" zoomScale="80" zoomScaleNormal="85" zoomScaleSheetLayoutView="80" workbookViewId="0">
      <selection activeCell="B166" sqref="B166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9.85546875" style="18" customWidth="1"/>
    <col min="5" max="5" width="10.85546875" style="60" hidden="1" customWidth="1" outlineLevel="1"/>
    <col min="6" max="6" width="10.140625" style="91" customWidth="1" collapsed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13.85546875" style="18" bestFit="1" customWidth="1"/>
    <col min="20" max="20" width="10.5703125" style="1" bestFit="1" customWidth="1"/>
    <col min="21" max="21" width="9.140625" style="18"/>
    <col min="22" max="22" width="4.140625" style="18" customWidth="1"/>
    <col min="23" max="26" width="20.140625" style="18" customWidth="1"/>
    <col min="27" max="27" width="20.28515625" style="18" customWidth="1"/>
    <col min="28" max="28" width="15.42578125" style="18" customWidth="1"/>
    <col min="29" max="29" width="10.7109375" style="18" customWidth="1"/>
    <col min="30" max="30" width="12.85546875" style="18" customWidth="1"/>
    <col min="31" max="32" width="10.7109375" style="18" customWidth="1"/>
    <col min="33" max="33" width="14.42578125" style="1" customWidth="1"/>
    <col min="34" max="34" width="10.7109375" style="18" customWidth="1"/>
    <col min="35" max="35" width="13.42578125" style="1" customWidth="1"/>
    <col min="36" max="36" width="10.7109375" style="18" customWidth="1"/>
    <col min="37" max="37" width="13.140625" style="18" customWidth="1"/>
    <col min="38" max="44" width="9.140625" style="18"/>
    <col min="45" max="45" width="12" style="18" customWidth="1"/>
    <col min="46" max="46" width="10" style="18" customWidth="1"/>
    <col min="47" max="47" width="14.28515625" style="18" customWidth="1"/>
    <col min="48" max="48" width="11.7109375" style="18" customWidth="1"/>
    <col min="49" max="49" width="12.42578125" style="18" customWidth="1"/>
    <col min="50" max="50" width="11" style="18" customWidth="1"/>
    <col min="51" max="51" width="12.7109375" style="18" customWidth="1"/>
    <col min="52" max="16384" width="9.140625" style="18"/>
  </cols>
  <sheetData>
    <row r="1" spans="1:47" hidden="1" x14ac:dyDescent="0.25"/>
    <row r="2" spans="1:47" hidden="1" x14ac:dyDescent="0.25"/>
    <row r="3" spans="1:47" hidden="1" x14ac:dyDescent="0.25"/>
    <row r="4" spans="1:47" hidden="1" x14ac:dyDescent="0.25"/>
    <row r="5" spans="1:47" hidden="1" x14ac:dyDescent="0.25"/>
    <row r="7" spans="1:47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G7" s="325"/>
      <c r="AI7" s="325"/>
    </row>
    <row r="8" spans="1:47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G8" s="325"/>
      <c r="AI8" s="325"/>
    </row>
    <row r="9" spans="1:47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G9" s="325"/>
      <c r="AI9" s="325"/>
    </row>
    <row r="10" spans="1:47" s="28" customFormat="1" ht="15.75" x14ac:dyDescent="0.25">
      <c r="A10" s="236" t="s">
        <v>24</v>
      </c>
      <c r="B10" s="165" t="s">
        <v>1</v>
      </c>
      <c r="C10" s="299"/>
      <c r="D10" s="812">
        <v>41902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G10" s="325"/>
      <c r="AI10" s="325"/>
    </row>
    <row r="11" spans="1:47" ht="15.75" x14ac:dyDescent="0.25">
      <c r="A11" s="235"/>
      <c r="D11" s="21"/>
      <c r="E11" s="181"/>
      <c r="AO11" s="288" t="s">
        <v>317</v>
      </c>
      <c r="AP11" s="227"/>
      <c r="AQ11" s="228"/>
      <c r="AR11" s="228"/>
      <c r="AS11" s="232">
        <f>9200000*0.3</f>
        <v>2760000</v>
      </c>
      <c r="AT11" s="228"/>
      <c r="AU11" s="227"/>
    </row>
    <row r="12" spans="1:47" hidden="1" x14ac:dyDescent="0.25">
      <c r="A12" s="235"/>
      <c r="D12" s="21"/>
      <c r="E12" s="181"/>
      <c r="T12" s="224"/>
      <c r="U12" s="273"/>
      <c r="V12" s="273"/>
      <c r="AG12" s="224"/>
      <c r="AH12" s="273"/>
      <c r="AI12" s="224"/>
      <c r="AJ12" s="273"/>
      <c r="AK12" s="273"/>
      <c r="AL12" s="273"/>
      <c r="AM12" s="273"/>
      <c r="AN12" s="273"/>
      <c r="AO12" s="227" t="s">
        <v>310</v>
      </c>
      <c r="AP12" s="227"/>
      <c r="AQ12" s="228"/>
      <c r="AR12" s="228"/>
      <c r="AS12" s="228"/>
      <c r="AT12" s="228"/>
      <c r="AU12" s="229">
        <f>AS11*0.006</f>
        <v>16560</v>
      </c>
    </row>
    <row r="13" spans="1:47" ht="15.75" thickBot="1" x14ac:dyDescent="0.3">
      <c r="T13" s="224"/>
      <c r="U13" s="273"/>
      <c r="V13" s="273"/>
      <c r="AN13" s="273"/>
      <c r="AO13" s="227" t="s">
        <v>312</v>
      </c>
      <c r="AP13" s="227"/>
      <c r="AQ13" s="228"/>
      <c r="AR13" s="228"/>
      <c r="AS13" s="228"/>
      <c r="AT13" s="228"/>
      <c r="AU13" s="229">
        <f>(AU12*0.125)+30</f>
        <v>2100</v>
      </c>
    </row>
    <row r="14" spans="1:47" s="274" customFormat="1" x14ac:dyDescent="0.25">
      <c r="A14" s="944" t="s">
        <v>4</v>
      </c>
      <c r="B14" s="946" t="s">
        <v>7</v>
      </c>
      <c r="C14" s="947"/>
      <c r="D14" s="948"/>
      <c r="E14" s="952" t="s">
        <v>81</v>
      </c>
      <c r="F14" s="954" t="s">
        <v>6</v>
      </c>
      <c r="G14" s="956" t="s">
        <v>5</v>
      </c>
      <c r="H14" s="937" t="s">
        <v>174</v>
      </c>
      <c r="I14" s="937" t="s">
        <v>175</v>
      </c>
      <c r="J14" s="937" t="s">
        <v>176</v>
      </c>
      <c r="K14" s="937" t="s">
        <v>177</v>
      </c>
      <c r="L14" s="937" t="s">
        <v>178</v>
      </c>
      <c r="M14" s="939" t="s">
        <v>8</v>
      </c>
      <c r="N14" s="940"/>
      <c r="O14" s="941"/>
      <c r="P14" s="942" t="s">
        <v>11</v>
      </c>
      <c r="Q14" s="441"/>
      <c r="R14" s="441"/>
      <c r="T14" s="441"/>
      <c r="AO14" s="285" t="s">
        <v>314</v>
      </c>
      <c r="AP14" s="285"/>
      <c r="AQ14" s="286"/>
      <c r="AR14" s="286"/>
      <c r="AS14" s="286"/>
      <c r="AT14" s="286"/>
      <c r="AU14" s="127">
        <f>AU12*0.12</f>
        <v>1987.1999999999998</v>
      </c>
    </row>
    <row r="15" spans="1:47" s="274" customFormat="1" ht="15.75" thickBot="1" x14ac:dyDescent="0.3">
      <c r="A15" s="945"/>
      <c r="B15" s="949"/>
      <c r="C15" s="950"/>
      <c r="D15" s="951"/>
      <c r="E15" s="953"/>
      <c r="F15" s="955"/>
      <c r="G15" s="957"/>
      <c r="H15" s="938"/>
      <c r="I15" s="938"/>
      <c r="J15" s="938"/>
      <c r="K15" s="938"/>
      <c r="L15" s="938"/>
      <c r="M15" s="808" t="s">
        <v>9</v>
      </c>
      <c r="N15" s="808" t="s">
        <v>10</v>
      </c>
      <c r="O15" s="808" t="s">
        <v>230</v>
      </c>
      <c r="P15" s="943"/>
      <c r="Q15" s="441"/>
      <c r="R15" s="441"/>
      <c r="T15" s="441"/>
      <c r="AO15" s="285" t="s">
        <v>299</v>
      </c>
      <c r="AP15" s="285"/>
      <c r="AQ15" s="286"/>
      <c r="AR15" s="286"/>
      <c r="AS15" s="286"/>
      <c r="AT15" s="286"/>
      <c r="AU15" s="127">
        <f>AU12*0.002</f>
        <v>33.119999999999997</v>
      </c>
    </row>
    <row r="16" spans="1:47" s="225" customFormat="1" ht="15.75" x14ac:dyDescent="0.25">
      <c r="A16" s="692" t="s">
        <v>80</v>
      </c>
      <c r="B16" s="693" t="s">
        <v>315</v>
      </c>
      <c r="C16" s="694"/>
      <c r="D16" s="516"/>
      <c r="E16" s="185"/>
      <c r="F16" s="302"/>
      <c r="G16" s="695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N16" s="278"/>
      <c r="AO16" s="285" t="s">
        <v>302</v>
      </c>
      <c r="AP16" s="285"/>
      <c r="AQ16" s="286"/>
      <c r="AR16" s="286"/>
      <c r="AS16" s="286"/>
      <c r="AT16" s="286"/>
      <c r="AU16" s="127">
        <v>200</v>
      </c>
    </row>
    <row r="17" spans="1:47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266"/>
      <c r="I17" s="72">
        <f>H17*F17</f>
        <v>0</v>
      </c>
      <c r="J17" s="266"/>
      <c r="K17" s="72">
        <f>J17*F17</f>
        <v>0</v>
      </c>
      <c r="L17" s="72">
        <f>I17+K17</f>
        <v>0</v>
      </c>
      <c r="M17" s="74">
        <f t="shared" ref="M17:M33" si="0">H17/$P$264*$P$272</f>
        <v>0</v>
      </c>
      <c r="N17" s="74">
        <f t="shared" ref="N17:N33" si="1">J17/$P$264*$P$272</f>
        <v>0</v>
      </c>
      <c r="O17" s="72">
        <f t="shared" ref="O17:O33" si="2">N17+M17</f>
        <v>0</v>
      </c>
      <c r="P17" s="205">
        <f t="shared" ref="P17:P33" si="3">O17*F17</f>
        <v>0</v>
      </c>
      <c r="Q17" s="272">
        <f t="shared" ref="Q17:Q47" si="4">L17/$P$264*$P$272</f>
        <v>0</v>
      </c>
      <c r="R17" s="439">
        <f t="shared" ref="R17:R36" si="5">P17-Q17</f>
        <v>0</v>
      </c>
      <c r="S17" s="230"/>
      <c r="T17" s="439"/>
      <c r="U17" s="275"/>
      <c r="V17" s="276"/>
      <c r="AN17" s="278"/>
      <c r="AO17" s="285" t="s">
        <v>304</v>
      </c>
      <c r="AP17" s="285"/>
      <c r="AQ17" s="286"/>
      <c r="AR17" s="286"/>
      <c r="AS17" s="286"/>
      <c r="AT17" s="286"/>
      <c r="AU17" s="690">
        <f>SUM(AU12:AU16)</f>
        <v>20880.32</v>
      </c>
    </row>
    <row r="18" spans="1:47" s="225" customFormat="1" x14ac:dyDescent="0.25">
      <c r="A18" s="263"/>
      <c r="B18" s="261"/>
      <c r="C18" s="318">
        <v>2</v>
      </c>
      <c r="D18" s="516" t="s">
        <v>303</v>
      </c>
      <c r="E18" s="71">
        <v>1</v>
      </c>
      <c r="F18" s="302">
        <v>1</v>
      </c>
      <c r="G18" s="262" t="s">
        <v>301</v>
      </c>
      <c r="H18" s="266"/>
      <c r="I18" s="72">
        <f t="shared" ref="I18:I33" si="6">H18*F18</f>
        <v>0</v>
      </c>
      <c r="J18" s="266"/>
      <c r="K18" s="72">
        <f t="shared" ref="K18:K33" si="7">J18*F18</f>
        <v>0</v>
      </c>
      <c r="L18" s="72">
        <f t="shared" ref="L18:L33" si="8">I18+K18</f>
        <v>0</v>
      </c>
      <c r="M18" s="74">
        <f t="shared" si="0"/>
        <v>0</v>
      </c>
      <c r="N18" s="74">
        <f t="shared" si="1"/>
        <v>0</v>
      </c>
      <c r="O18" s="72">
        <f t="shared" si="2"/>
        <v>0</v>
      </c>
      <c r="P18" s="205">
        <f t="shared" si="3"/>
        <v>0</v>
      </c>
      <c r="Q18" s="272">
        <f t="shared" si="4"/>
        <v>0</v>
      </c>
      <c r="R18" s="439">
        <f t="shared" si="5"/>
        <v>0</v>
      </c>
      <c r="S18" s="230"/>
      <c r="T18" s="439"/>
      <c r="U18" s="275"/>
      <c r="V18" s="276"/>
      <c r="AN18" s="279"/>
      <c r="AO18" s="285" t="s">
        <v>306</v>
      </c>
      <c r="AP18" s="285"/>
      <c r="AQ18" s="286"/>
      <c r="AR18" s="286"/>
      <c r="AS18" s="286"/>
      <c r="AT18" s="286"/>
      <c r="AU18" s="127"/>
    </row>
    <row r="19" spans="1:47" s="225" customFormat="1" x14ac:dyDescent="0.25">
      <c r="A19" s="263"/>
      <c r="B19" s="261"/>
      <c r="C19" s="318">
        <v>3</v>
      </c>
      <c r="D19" s="516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6"/>
        <v>5000</v>
      </c>
      <c r="J19" s="72">
        <v>10000</v>
      </c>
      <c r="K19" s="72">
        <f t="shared" si="7"/>
        <v>10000</v>
      </c>
      <c r="L19" s="72">
        <f t="shared" si="8"/>
        <v>15000</v>
      </c>
      <c r="M19" s="74">
        <f t="shared" si="0"/>
        <v>6907.0816511129779</v>
      </c>
      <c r="N19" s="74">
        <f t="shared" si="1"/>
        <v>13814.163302225956</v>
      </c>
      <c r="O19" s="72">
        <f t="shared" si="2"/>
        <v>20721.244953338934</v>
      </c>
      <c r="P19" s="205">
        <f t="shared" si="3"/>
        <v>20721.244953338934</v>
      </c>
      <c r="Q19" s="272">
        <f t="shared" si="4"/>
        <v>20721.244953338934</v>
      </c>
      <c r="R19" s="439">
        <f t="shared" si="5"/>
        <v>0</v>
      </c>
      <c r="S19" s="230"/>
      <c r="T19" s="439"/>
      <c r="U19" s="275"/>
      <c r="V19" s="264"/>
      <c r="AN19" s="278"/>
      <c r="AO19" s="285"/>
      <c r="AP19" s="285"/>
      <c r="AQ19" s="286"/>
      <c r="AR19" s="286"/>
      <c r="AS19" s="286"/>
      <c r="AT19" s="286"/>
      <c r="AU19" s="127"/>
    </row>
    <row r="20" spans="1:47" s="225" customFormat="1" ht="15.75" x14ac:dyDescent="0.25">
      <c r="A20" s="263"/>
      <c r="B20" s="261"/>
      <c r="C20" s="318">
        <v>4</v>
      </c>
      <c r="D20" s="499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6"/>
        <v>0</v>
      </c>
      <c r="J20" s="566">
        <f>4*(24000+16000+16000)/1.06</f>
        <v>211320.75471698112</v>
      </c>
      <c r="K20" s="72">
        <f t="shared" si="7"/>
        <v>211320.75471698112</v>
      </c>
      <c r="L20" s="72">
        <f t="shared" si="8"/>
        <v>211320.75471698112</v>
      </c>
      <c r="M20" s="74">
        <f t="shared" si="0"/>
        <v>0</v>
      </c>
      <c r="N20" s="74">
        <f t="shared" si="1"/>
        <v>291921.94148100133</v>
      </c>
      <c r="O20" s="72">
        <f t="shared" si="2"/>
        <v>291921.94148100133</v>
      </c>
      <c r="P20" s="205">
        <f t="shared" si="3"/>
        <v>291921.94148100133</v>
      </c>
      <c r="Q20" s="272">
        <f t="shared" si="4"/>
        <v>291921.94148100133</v>
      </c>
      <c r="R20" s="439">
        <f t="shared" si="5"/>
        <v>0</v>
      </c>
      <c r="S20" s="230"/>
      <c r="T20" s="439"/>
      <c r="U20" s="275"/>
      <c r="V20" s="280"/>
      <c r="AN20" s="278"/>
      <c r="AO20" s="696" t="s">
        <v>308</v>
      </c>
      <c r="AP20" s="285"/>
      <c r="AQ20" s="286"/>
      <c r="AR20" s="286"/>
      <c r="AS20" s="697">
        <f>9200000*0.3</f>
        <v>2760000</v>
      </c>
      <c r="AT20" s="286"/>
      <c r="AU20" s="127"/>
    </row>
    <row r="21" spans="1:47" s="225" customFormat="1" x14ac:dyDescent="0.25">
      <c r="A21" s="263"/>
      <c r="B21" s="261"/>
      <c r="C21" s="318">
        <v>5</v>
      </c>
      <c r="D21" s="516" t="s">
        <v>307</v>
      </c>
      <c r="E21" s="71">
        <v>1</v>
      </c>
      <c r="F21" s="302">
        <v>1</v>
      </c>
      <c r="G21" s="262" t="s">
        <v>301</v>
      </c>
      <c r="H21" s="72">
        <f>(AU17+AU26+AU33)/1.07</f>
        <v>53503.15887850467</v>
      </c>
      <c r="I21" s="72">
        <f t="shared" si="6"/>
        <v>53503.15887850467</v>
      </c>
      <c r="J21" s="72">
        <v>2500</v>
      </c>
      <c r="K21" s="72">
        <f t="shared" si="7"/>
        <v>2500</v>
      </c>
      <c r="L21" s="72">
        <f t="shared" si="8"/>
        <v>56003.15887850467</v>
      </c>
      <c r="M21" s="74">
        <f t="shared" si="0"/>
        <v>73910.137393260404</v>
      </c>
      <c r="N21" s="74">
        <f t="shared" si="1"/>
        <v>3453.5408255564889</v>
      </c>
      <c r="O21" s="72">
        <f t="shared" si="2"/>
        <v>77363.678218816887</v>
      </c>
      <c r="P21" s="205">
        <f t="shared" si="3"/>
        <v>77363.678218816887</v>
      </c>
      <c r="Q21" s="272">
        <f t="shared" si="4"/>
        <v>77363.678218816887</v>
      </c>
      <c r="R21" s="439">
        <f t="shared" si="5"/>
        <v>0</v>
      </c>
      <c r="S21" s="230"/>
      <c r="T21" s="439"/>
      <c r="U21" s="275"/>
      <c r="V21" s="281"/>
      <c r="AN21" s="278"/>
      <c r="AO21" s="285" t="s">
        <v>310</v>
      </c>
      <c r="AP21" s="285"/>
      <c r="AQ21" s="286"/>
      <c r="AR21" s="286"/>
      <c r="AS21" s="286"/>
      <c r="AT21" s="286"/>
      <c r="AU21" s="127">
        <f>AS20*0.0055</f>
        <v>15180</v>
      </c>
    </row>
    <row r="22" spans="1:47" s="225" customFormat="1" x14ac:dyDescent="0.25">
      <c r="A22" s="263"/>
      <c r="B22" s="261"/>
      <c r="C22" s="318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6"/>
        <v>35000</v>
      </c>
      <c r="J22" s="72">
        <v>5000</v>
      </c>
      <c r="K22" s="72">
        <f t="shared" si="7"/>
        <v>5000</v>
      </c>
      <c r="L22" s="72">
        <f t="shared" si="8"/>
        <v>40000</v>
      </c>
      <c r="M22" s="74">
        <f t="shared" si="0"/>
        <v>48349.571557790841</v>
      </c>
      <c r="N22" s="74">
        <f t="shared" si="1"/>
        <v>6907.0816511129779</v>
      </c>
      <c r="O22" s="72">
        <f t="shared" si="2"/>
        <v>55256.653208903823</v>
      </c>
      <c r="P22" s="205">
        <f t="shared" si="3"/>
        <v>55256.653208903823</v>
      </c>
      <c r="Q22" s="272">
        <f t="shared" si="4"/>
        <v>55256.653208903823</v>
      </c>
      <c r="R22" s="439">
        <f t="shared" si="5"/>
        <v>0</v>
      </c>
      <c r="S22" s="230"/>
      <c r="T22" s="442"/>
      <c r="U22" s="275"/>
      <c r="V22" s="276"/>
      <c r="W22" s="925" t="s">
        <v>292</v>
      </c>
      <c r="X22" s="925"/>
      <c r="Y22" s="925"/>
      <c r="Z22" s="925"/>
      <c r="AA22" s="925"/>
      <c r="AB22" s="925"/>
      <c r="AC22" s="586" t="s">
        <v>243</v>
      </c>
      <c r="AD22" s="586" t="s">
        <v>244</v>
      </c>
      <c r="AE22" s="586" t="s">
        <v>245</v>
      </c>
      <c r="AF22" s="587" t="s">
        <v>246</v>
      </c>
      <c r="AG22" s="588" t="s">
        <v>247</v>
      </c>
      <c r="AH22" s="586" t="s">
        <v>248</v>
      </c>
      <c r="AI22" s="589" t="s">
        <v>249</v>
      </c>
      <c r="AN22" s="278"/>
      <c r="AO22" s="285" t="s">
        <v>312</v>
      </c>
      <c r="AP22" s="285"/>
      <c r="AQ22" s="286"/>
      <c r="AR22" s="286"/>
      <c r="AS22" s="286"/>
      <c r="AT22" s="286"/>
      <c r="AU22" s="127">
        <f>(AU21*0.125)+30</f>
        <v>1927.5</v>
      </c>
    </row>
    <row r="23" spans="1:47" s="225" customFormat="1" x14ac:dyDescent="0.25">
      <c r="A23" s="263"/>
      <c r="B23" s="261"/>
      <c r="C23" s="318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6"/>
        <v>108000</v>
      </c>
      <c r="J23" s="72"/>
      <c r="K23" s="72">
        <f t="shared" si="7"/>
        <v>0</v>
      </c>
      <c r="L23" s="72">
        <f t="shared" si="8"/>
        <v>108000</v>
      </c>
      <c r="M23" s="74">
        <f t="shared" si="0"/>
        <v>149192.96366404032</v>
      </c>
      <c r="N23" s="74">
        <f t="shared" si="1"/>
        <v>0</v>
      </c>
      <c r="O23" s="72">
        <f t="shared" si="2"/>
        <v>149192.96366404032</v>
      </c>
      <c r="P23" s="205">
        <f t="shared" si="3"/>
        <v>149192.96366404032</v>
      </c>
      <c r="Q23" s="272">
        <f t="shared" si="4"/>
        <v>149192.96366404032</v>
      </c>
      <c r="R23" s="439">
        <f t="shared" si="5"/>
        <v>0</v>
      </c>
      <c r="S23" s="230"/>
      <c r="T23" s="442"/>
      <c r="U23" s="275"/>
      <c r="V23" s="276"/>
      <c r="W23" s="926" t="s">
        <v>260</v>
      </c>
      <c r="X23" s="926"/>
      <c r="Y23" s="926"/>
      <c r="Z23" s="926"/>
      <c r="AA23" s="926"/>
      <c r="AB23" s="926"/>
      <c r="AC23" s="593" t="s">
        <v>251</v>
      </c>
      <c r="AD23" s="855">
        <v>4.93</v>
      </c>
      <c r="AE23" s="855">
        <v>5.15</v>
      </c>
      <c r="AF23" s="587">
        <f>154/1.06</f>
        <v>145.28301886792451</v>
      </c>
      <c r="AG23" s="588">
        <f>AF23*AE23</f>
        <v>748.20754716981128</v>
      </c>
      <c r="AH23" s="855">
        <v>18</v>
      </c>
      <c r="AI23" s="595">
        <f>AH23*AE23</f>
        <v>92.7</v>
      </c>
      <c r="AN23" s="278"/>
      <c r="AO23" s="285" t="s">
        <v>314</v>
      </c>
      <c r="AP23" s="285"/>
      <c r="AQ23" s="286"/>
      <c r="AR23" s="286"/>
      <c r="AS23" s="286"/>
      <c r="AT23" s="286"/>
      <c r="AU23" s="127">
        <f>AU21*0.12</f>
        <v>1821.6</v>
      </c>
    </row>
    <row r="24" spans="1:47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6"/>
        <v>0</v>
      </c>
      <c r="J24" s="72"/>
      <c r="K24" s="72">
        <f t="shared" si="7"/>
        <v>0</v>
      </c>
      <c r="L24" s="72">
        <f t="shared" si="8"/>
        <v>0</v>
      </c>
      <c r="M24" s="74">
        <f t="shared" si="0"/>
        <v>0</v>
      </c>
      <c r="N24" s="74">
        <f t="shared" si="1"/>
        <v>0</v>
      </c>
      <c r="O24" s="72">
        <f t="shared" si="2"/>
        <v>0</v>
      </c>
      <c r="P24" s="205">
        <f t="shared" si="3"/>
        <v>0</v>
      </c>
      <c r="Q24" s="272">
        <f t="shared" si="4"/>
        <v>0</v>
      </c>
      <c r="R24" s="439">
        <f t="shared" si="5"/>
        <v>0</v>
      </c>
      <c r="S24" s="230"/>
      <c r="T24" s="442"/>
      <c r="U24" s="275"/>
      <c r="V24" s="276"/>
      <c r="W24" s="878" t="s">
        <v>261</v>
      </c>
      <c r="X24" s="878"/>
      <c r="Y24" s="878"/>
      <c r="Z24" s="878"/>
      <c r="AA24" s="878"/>
      <c r="AB24" s="878"/>
      <c r="AC24" s="124" t="s">
        <v>262</v>
      </c>
      <c r="AD24" s="844">
        <v>4.9299999999999997E-2</v>
      </c>
      <c r="AE24" s="844">
        <v>0.05</v>
      </c>
      <c r="AF24" s="123">
        <f>580/1.05</f>
        <v>552.38095238095241</v>
      </c>
      <c r="AG24" s="196">
        <f>AF24*AE24</f>
        <v>27.61904761904762</v>
      </c>
      <c r="AH24" s="844"/>
      <c r="AI24" s="219">
        <f>AH24*AE24</f>
        <v>0</v>
      </c>
      <c r="AN24" s="278"/>
      <c r="AO24" s="285" t="s">
        <v>299</v>
      </c>
      <c r="AP24" s="285"/>
      <c r="AQ24" s="286"/>
      <c r="AR24" s="286"/>
      <c r="AS24" s="286"/>
      <c r="AT24" s="286"/>
      <c r="AU24" s="127">
        <f>AU21*0.002</f>
        <v>30.36</v>
      </c>
    </row>
    <row r="25" spans="1:47" s="225" customFormat="1" x14ac:dyDescent="0.25">
      <c r="A25" s="263"/>
      <c r="B25" s="261"/>
      <c r="C25" s="318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72">
        <f>155+47*5</f>
        <v>390</v>
      </c>
      <c r="I25" s="72">
        <f t="shared" si="6"/>
        <v>514800</v>
      </c>
      <c r="J25" s="72">
        <v>76</v>
      </c>
      <c r="K25" s="72">
        <f t="shared" si="7"/>
        <v>100320</v>
      </c>
      <c r="L25" s="72">
        <f t="shared" si="8"/>
        <v>615120</v>
      </c>
      <c r="M25" s="74">
        <f t="shared" si="0"/>
        <v>538.75236878681221</v>
      </c>
      <c r="N25" s="74">
        <f t="shared" si="1"/>
        <v>104.98764109691726</v>
      </c>
      <c r="O25" s="72">
        <f t="shared" si="2"/>
        <v>643.7400098837295</v>
      </c>
      <c r="P25" s="205">
        <f t="shared" si="3"/>
        <v>849736.8130465229</v>
      </c>
      <c r="Q25" s="272">
        <f t="shared" si="4"/>
        <v>849736.81304652302</v>
      </c>
      <c r="R25" s="439">
        <f t="shared" si="5"/>
        <v>0</v>
      </c>
      <c r="S25" s="230"/>
      <c r="T25" s="442"/>
      <c r="U25" s="275"/>
      <c r="V25" s="276"/>
      <c r="W25" s="878" t="str">
        <f>W65</f>
        <v>mortar (topping) included @ other item</v>
      </c>
      <c r="X25" s="878"/>
      <c r="Y25" s="878"/>
      <c r="Z25" s="878"/>
      <c r="AA25" s="878"/>
      <c r="AB25" s="878"/>
      <c r="AC25" s="124" t="s">
        <v>257</v>
      </c>
      <c r="AD25" s="844">
        <v>1</v>
      </c>
      <c r="AE25" s="844">
        <v>1</v>
      </c>
      <c r="AF25" s="123">
        <f>AF66</f>
        <v>0</v>
      </c>
      <c r="AG25" s="196">
        <f>AF25*AE25</f>
        <v>0</v>
      </c>
      <c r="AH25" s="844">
        <f>AH33</f>
        <v>0</v>
      </c>
      <c r="AI25" s="219">
        <f>AH25*AE25</f>
        <v>0</v>
      </c>
      <c r="AN25" s="278"/>
      <c r="AO25" s="285" t="s">
        <v>302</v>
      </c>
      <c r="AP25" s="285"/>
      <c r="AQ25" s="286"/>
      <c r="AR25" s="286"/>
      <c r="AS25" s="286"/>
      <c r="AT25" s="286"/>
      <c r="AU25" s="127">
        <v>200</v>
      </c>
    </row>
    <row r="26" spans="1:47" s="225" customFormat="1" x14ac:dyDescent="0.25">
      <c r="A26" s="263"/>
      <c r="B26" s="261"/>
      <c r="C26" s="318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6"/>
        <v>46601.941747572811</v>
      </c>
      <c r="J26" s="72">
        <v>4000</v>
      </c>
      <c r="K26" s="72">
        <f t="shared" si="7"/>
        <v>4000</v>
      </c>
      <c r="L26" s="72">
        <f t="shared" si="8"/>
        <v>50601.941747572811</v>
      </c>
      <c r="M26" s="74">
        <f t="shared" si="0"/>
        <v>64376.683350179199</v>
      </c>
      <c r="N26" s="74">
        <f t="shared" si="1"/>
        <v>5525.6653208903826</v>
      </c>
      <c r="O26" s="72">
        <f t="shared" si="2"/>
        <v>69902.348671069587</v>
      </c>
      <c r="P26" s="205">
        <f t="shared" si="3"/>
        <v>69902.348671069587</v>
      </c>
      <c r="Q26" s="272">
        <f t="shared" si="4"/>
        <v>69902.348671069587</v>
      </c>
      <c r="R26" s="439">
        <f t="shared" si="5"/>
        <v>0</v>
      </c>
      <c r="S26" s="230"/>
      <c r="T26" s="442"/>
      <c r="U26" s="275"/>
      <c r="V26" s="276"/>
      <c r="W26" s="878"/>
      <c r="X26" s="878"/>
      <c r="Y26" s="878"/>
      <c r="Z26" s="878"/>
      <c r="AA26" s="878"/>
      <c r="AB26" s="878"/>
      <c r="AC26" s="124"/>
      <c r="AD26" s="844"/>
      <c r="AE26" s="844"/>
      <c r="AF26" s="123"/>
      <c r="AG26" s="212">
        <f>SUM(AG23:AG25)</f>
        <v>775.82659478885887</v>
      </c>
      <c r="AH26" s="844"/>
      <c r="AI26" s="212">
        <f>SUM(AI23:AI25)</f>
        <v>92.7</v>
      </c>
      <c r="AN26" s="278"/>
      <c r="AO26" s="285" t="s">
        <v>304</v>
      </c>
      <c r="AP26" s="285"/>
      <c r="AQ26" s="286"/>
      <c r="AR26" s="286"/>
      <c r="AS26" s="286"/>
      <c r="AT26" s="286"/>
      <c r="AU26" s="690">
        <f>SUM(AU20:AU25)</f>
        <v>19159.46</v>
      </c>
    </row>
    <row r="27" spans="1:47" s="225" customFormat="1" x14ac:dyDescent="0.25">
      <c r="A27" s="698"/>
      <c r="B27" s="699"/>
      <c r="C27" s="318">
        <v>11</v>
      </c>
      <c r="D27" s="516" t="s">
        <v>311</v>
      </c>
      <c r="E27" s="71">
        <v>1</v>
      </c>
      <c r="F27" s="302">
        <v>1</v>
      </c>
      <c r="G27" s="262" t="s">
        <v>301</v>
      </c>
      <c r="H27" s="72"/>
      <c r="I27" s="72">
        <f t="shared" si="6"/>
        <v>0</v>
      </c>
      <c r="J27" s="72"/>
      <c r="K27" s="72">
        <f t="shared" si="7"/>
        <v>0</v>
      </c>
      <c r="L27" s="72">
        <f t="shared" si="8"/>
        <v>0</v>
      </c>
      <c r="M27" s="74">
        <f t="shared" si="0"/>
        <v>0</v>
      </c>
      <c r="N27" s="74">
        <f t="shared" si="1"/>
        <v>0</v>
      </c>
      <c r="O27" s="72">
        <f t="shared" si="2"/>
        <v>0</v>
      </c>
      <c r="P27" s="205">
        <f t="shared" si="3"/>
        <v>0</v>
      </c>
      <c r="Q27" s="272">
        <f t="shared" si="4"/>
        <v>0</v>
      </c>
      <c r="R27" s="439">
        <f t="shared" si="5"/>
        <v>0</v>
      </c>
      <c r="T27" s="224"/>
      <c r="U27" s="275"/>
      <c r="V27" s="276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24"/>
      <c r="AH27" s="273"/>
      <c r="AI27" s="224"/>
      <c r="AN27" s="278"/>
      <c r="AO27" s="285"/>
      <c r="AP27" s="285"/>
      <c r="AQ27" s="286"/>
      <c r="AR27" s="286"/>
      <c r="AS27" s="286"/>
      <c r="AT27" s="286"/>
      <c r="AU27" s="127"/>
    </row>
    <row r="28" spans="1:47" s="225" customFormat="1" ht="15.75" x14ac:dyDescent="0.25">
      <c r="A28" s="698"/>
      <c r="B28" s="699"/>
      <c r="C28" s="318">
        <v>12</v>
      </c>
      <c r="D28" s="516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6"/>
        <v>10000</v>
      </c>
      <c r="J28" s="72">
        <v>15000</v>
      </c>
      <c r="K28" s="72">
        <f t="shared" si="7"/>
        <v>15000</v>
      </c>
      <c r="L28" s="72">
        <f t="shared" si="8"/>
        <v>25000</v>
      </c>
      <c r="M28" s="74">
        <f t="shared" si="0"/>
        <v>13814.163302225956</v>
      </c>
      <c r="N28" s="74">
        <f t="shared" si="1"/>
        <v>20721.244953338934</v>
      </c>
      <c r="O28" s="72">
        <f t="shared" si="2"/>
        <v>34535.408255564893</v>
      </c>
      <c r="P28" s="205">
        <f t="shared" si="3"/>
        <v>34535.408255564893</v>
      </c>
      <c r="Q28" s="272">
        <f t="shared" si="4"/>
        <v>34535.408255564886</v>
      </c>
      <c r="R28" s="439">
        <f t="shared" si="5"/>
        <v>0</v>
      </c>
      <c r="T28" s="224"/>
      <c r="U28" s="275"/>
      <c r="V28" s="276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24"/>
      <c r="AH28" s="273"/>
      <c r="AI28" s="224"/>
      <c r="AN28" s="278"/>
      <c r="AO28" s="700" t="s">
        <v>318</v>
      </c>
      <c r="AP28" s="285"/>
      <c r="AQ28" s="286"/>
      <c r="AR28" s="286"/>
      <c r="AS28" s="697">
        <f>9200000</f>
        <v>9200000</v>
      </c>
      <c r="AT28" s="286"/>
      <c r="AU28" s="127"/>
    </row>
    <row r="29" spans="1:47" s="225" customFormat="1" x14ac:dyDescent="0.25">
      <c r="A29" s="263"/>
      <c r="B29" s="261"/>
      <c r="C29" s="318">
        <v>13</v>
      </c>
      <c r="D29" s="499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6"/>
        <v>45000</v>
      </c>
      <c r="J29" s="72"/>
      <c r="K29" s="72">
        <f t="shared" si="7"/>
        <v>0</v>
      </c>
      <c r="L29" s="72">
        <f t="shared" si="8"/>
        <v>45000</v>
      </c>
      <c r="M29" s="74">
        <f t="shared" si="0"/>
        <v>62163.734860016797</v>
      </c>
      <c r="N29" s="74">
        <f t="shared" si="1"/>
        <v>0</v>
      </c>
      <c r="O29" s="72">
        <f t="shared" si="2"/>
        <v>62163.734860016797</v>
      </c>
      <c r="P29" s="205">
        <f t="shared" si="3"/>
        <v>62163.734860016797</v>
      </c>
      <c r="Q29" s="272">
        <f t="shared" si="4"/>
        <v>62163.734860016797</v>
      </c>
      <c r="R29" s="439">
        <f t="shared" si="5"/>
        <v>0</v>
      </c>
      <c r="S29" s="230"/>
      <c r="T29" s="439"/>
      <c r="U29" s="275"/>
      <c r="V29" s="281"/>
      <c r="W29" s="904" t="s">
        <v>291</v>
      </c>
      <c r="X29" s="904"/>
      <c r="Y29" s="904"/>
      <c r="Z29" s="904"/>
      <c r="AA29" s="904"/>
      <c r="AB29" s="904"/>
      <c r="AC29" s="843" t="s">
        <v>243</v>
      </c>
      <c r="AD29" s="843" t="s">
        <v>244</v>
      </c>
      <c r="AE29" s="843" t="s">
        <v>245</v>
      </c>
      <c r="AF29" s="123" t="s">
        <v>246</v>
      </c>
      <c r="AG29" s="196" t="s">
        <v>247</v>
      </c>
      <c r="AH29" s="843" t="s">
        <v>248</v>
      </c>
      <c r="AI29" s="212" t="s">
        <v>249</v>
      </c>
      <c r="AN29" s="278"/>
      <c r="AO29" s="285" t="s">
        <v>310</v>
      </c>
      <c r="AP29" s="285"/>
      <c r="AQ29" s="286"/>
      <c r="AR29" s="286"/>
      <c r="AS29" s="286"/>
      <c r="AT29" s="286"/>
      <c r="AU29" s="127">
        <f>AS28*0.0015</f>
        <v>13800</v>
      </c>
    </row>
    <row r="30" spans="1:47" s="225" customFormat="1" x14ac:dyDescent="0.25">
      <c r="A30" s="263"/>
      <c r="B30" s="261"/>
      <c r="C30" s="318">
        <v>14</v>
      </c>
      <c r="D30" s="499" t="s">
        <v>498</v>
      </c>
      <c r="E30" s="71">
        <v>1</v>
      </c>
      <c r="F30" s="302">
        <v>1</v>
      </c>
      <c r="G30" s="262" t="s">
        <v>301</v>
      </c>
      <c r="H30" s="842">
        <f>4*7000/1.075</f>
        <v>26046.511627906977</v>
      </c>
      <c r="I30" s="72">
        <f t="shared" si="6"/>
        <v>26046.511627906977</v>
      </c>
      <c r="J30" s="565">
        <v>2500</v>
      </c>
      <c r="K30" s="72">
        <f t="shared" si="7"/>
        <v>2500</v>
      </c>
      <c r="L30" s="72">
        <f t="shared" si="8"/>
        <v>28546.511627906977</v>
      </c>
      <c r="M30" s="74">
        <f t="shared" si="0"/>
        <v>35981.07650812342</v>
      </c>
      <c r="N30" s="74">
        <f t="shared" si="1"/>
        <v>3453.5408255564889</v>
      </c>
      <c r="O30" s="72">
        <f t="shared" si="2"/>
        <v>39434.617333679911</v>
      </c>
      <c r="P30" s="205">
        <f t="shared" si="3"/>
        <v>39434.617333679911</v>
      </c>
      <c r="Q30" s="272">
        <f t="shared" si="4"/>
        <v>39434.617333679904</v>
      </c>
      <c r="R30" s="439">
        <f t="shared" si="5"/>
        <v>0</v>
      </c>
      <c r="S30" s="230"/>
      <c r="T30" s="442"/>
      <c r="U30" s="275"/>
      <c r="V30" s="276"/>
      <c r="W30" s="878" t="s">
        <v>250</v>
      </c>
      <c r="X30" s="878"/>
      <c r="Y30" s="878"/>
      <c r="Z30" s="878"/>
      <c r="AA30" s="878"/>
      <c r="AB30" s="878"/>
      <c r="AC30" s="124" t="s">
        <v>251</v>
      </c>
      <c r="AD30" s="844">
        <v>2.77</v>
      </c>
      <c r="AE30" s="844">
        <v>2.9</v>
      </c>
      <c r="AF30" s="123">
        <f>489.5/1.06</f>
        <v>461.79245283018867</v>
      </c>
      <c r="AG30" s="196">
        <f>AF30*AE30</f>
        <v>1339.1981132075471</v>
      </c>
      <c r="AH30" s="844">
        <v>74</v>
      </c>
      <c r="AI30" s="219">
        <f>AH30*AE30</f>
        <v>214.6</v>
      </c>
      <c r="AN30" s="278"/>
      <c r="AO30" s="285" t="s">
        <v>312</v>
      </c>
      <c r="AP30" s="285"/>
      <c r="AQ30" s="286"/>
      <c r="AR30" s="286"/>
      <c r="AS30" s="286"/>
      <c r="AT30" s="286"/>
      <c r="AU30" s="127">
        <f>AU29*0.125</f>
        <v>1725</v>
      </c>
    </row>
    <row r="31" spans="1:47" s="225" customFormat="1" x14ac:dyDescent="0.25">
      <c r="A31" s="698"/>
      <c r="B31" s="699"/>
      <c r="C31" s="318">
        <v>15</v>
      </c>
      <c r="D31" s="499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6"/>
        <v>51650.485436893199</v>
      </c>
      <c r="J31" s="483">
        <f>(4*14000/1.03+20000/1.03)*0.3</f>
        <v>22135.922330097088</v>
      </c>
      <c r="K31" s="72">
        <f t="shared" si="7"/>
        <v>22135.922330097088</v>
      </c>
      <c r="L31" s="72">
        <f t="shared" si="8"/>
        <v>73786.407766990291</v>
      </c>
      <c r="M31" s="74">
        <f t="shared" si="0"/>
        <v>71350.824046448615</v>
      </c>
      <c r="N31" s="74">
        <f t="shared" si="1"/>
        <v>30578.924591335122</v>
      </c>
      <c r="O31" s="72">
        <f t="shared" si="2"/>
        <v>101929.74863778373</v>
      </c>
      <c r="P31" s="205">
        <f t="shared" si="3"/>
        <v>101929.74863778373</v>
      </c>
      <c r="Q31" s="272">
        <f t="shared" si="4"/>
        <v>101929.74863778373</v>
      </c>
      <c r="R31" s="439">
        <f t="shared" si="5"/>
        <v>0</v>
      </c>
      <c r="T31" s="224"/>
      <c r="U31" s="275"/>
      <c r="V31" s="276"/>
      <c r="W31" s="878" t="s">
        <v>252</v>
      </c>
      <c r="X31" s="878"/>
      <c r="Y31" s="878"/>
      <c r="Z31" s="878"/>
      <c r="AA31" s="878"/>
      <c r="AB31" s="878"/>
      <c r="AC31" s="124" t="s">
        <v>253</v>
      </c>
      <c r="AD31" s="844">
        <v>0.25</v>
      </c>
      <c r="AE31" s="844">
        <v>0.25</v>
      </c>
      <c r="AF31" s="123">
        <f>AF133</f>
        <v>279.41176470588238</v>
      </c>
      <c r="AG31" s="196">
        <f>AF31*AE31</f>
        <v>69.852941176470594</v>
      </c>
      <c r="AH31" s="844"/>
      <c r="AI31" s="219">
        <f>AH31*AE31</f>
        <v>0</v>
      </c>
      <c r="AN31" s="278"/>
      <c r="AO31" s="285" t="s">
        <v>314</v>
      </c>
      <c r="AP31" s="285"/>
      <c r="AQ31" s="286"/>
      <c r="AR31" s="286"/>
      <c r="AS31" s="286"/>
      <c r="AT31" s="286"/>
      <c r="AU31" s="127">
        <f>AU29*0.12</f>
        <v>1656</v>
      </c>
    </row>
    <row r="32" spans="1:47" s="225" customFormat="1" x14ac:dyDescent="0.25">
      <c r="A32" s="698"/>
      <c r="B32" s="699"/>
      <c r="C32" s="318">
        <v>16</v>
      </c>
      <c r="D32" s="499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6"/>
        <v>15000</v>
      </c>
      <c r="J32" s="72">
        <f>1700*5</f>
        <v>8500</v>
      </c>
      <c r="K32" s="72">
        <f t="shared" si="7"/>
        <v>8500</v>
      </c>
      <c r="L32" s="72">
        <f t="shared" si="8"/>
        <v>23500</v>
      </c>
      <c r="M32" s="74">
        <f t="shared" si="0"/>
        <v>20721.244953338934</v>
      </c>
      <c r="N32" s="74">
        <f t="shared" si="1"/>
        <v>11742.03880689206</v>
      </c>
      <c r="O32" s="72">
        <f t="shared" si="2"/>
        <v>32463.283760230996</v>
      </c>
      <c r="P32" s="205">
        <f t="shared" si="3"/>
        <v>32463.283760230996</v>
      </c>
      <c r="Q32" s="272">
        <f t="shared" si="4"/>
        <v>32463.283760230996</v>
      </c>
      <c r="R32" s="439">
        <f t="shared" si="5"/>
        <v>0</v>
      </c>
      <c r="T32" s="224"/>
      <c r="U32" s="275"/>
      <c r="V32" s="276"/>
      <c r="W32" s="878" t="s">
        <v>254</v>
      </c>
      <c r="X32" s="878"/>
      <c r="Y32" s="878"/>
      <c r="Z32" s="878"/>
      <c r="AA32" s="878"/>
      <c r="AB32" s="878"/>
      <c r="AC32" s="124" t="s">
        <v>255</v>
      </c>
      <c r="AD32" s="844">
        <v>0.25</v>
      </c>
      <c r="AE32" s="844">
        <v>0.35</v>
      </c>
      <c r="AF32" s="123">
        <f>37/1.06</f>
        <v>34.905660377358487</v>
      </c>
      <c r="AG32" s="196">
        <f>AF32*AE32</f>
        <v>12.216981132075469</v>
      </c>
      <c r="AH32" s="844"/>
      <c r="AI32" s="219">
        <f>AH32*AE32</f>
        <v>0</v>
      </c>
      <c r="AN32" s="278"/>
      <c r="AO32" s="285" t="s">
        <v>299</v>
      </c>
      <c r="AP32" s="285"/>
      <c r="AQ32" s="286"/>
      <c r="AR32" s="286"/>
      <c r="AS32" s="286"/>
      <c r="AT32" s="286"/>
      <c r="AU32" s="127">
        <f>AU29*0.002</f>
        <v>27.6</v>
      </c>
    </row>
    <row r="33" spans="1:47" s="225" customFormat="1" x14ac:dyDescent="0.25">
      <c r="A33" s="698"/>
      <c r="B33" s="699"/>
      <c r="C33" s="318">
        <v>17</v>
      </c>
      <c r="D33" s="499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6"/>
        <v>10000</v>
      </c>
      <c r="J33" s="72">
        <v>5000</v>
      </c>
      <c r="K33" s="72">
        <f t="shared" si="7"/>
        <v>5000</v>
      </c>
      <c r="L33" s="72">
        <f t="shared" si="8"/>
        <v>15000</v>
      </c>
      <c r="M33" s="74">
        <f t="shared" si="0"/>
        <v>13814.163302225956</v>
      </c>
      <c r="N33" s="74">
        <f t="shared" si="1"/>
        <v>6907.0816511129779</v>
      </c>
      <c r="O33" s="72">
        <f t="shared" si="2"/>
        <v>20721.244953338934</v>
      </c>
      <c r="P33" s="205">
        <f t="shared" si="3"/>
        <v>20721.244953338934</v>
      </c>
      <c r="Q33" s="272">
        <f t="shared" si="4"/>
        <v>20721.244953338934</v>
      </c>
      <c r="R33" s="439">
        <f t="shared" si="5"/>
        <v>0</v>
      </c>
      <c r="T33" s="224"/>
      <c r="U33" s="275"/>
      <c r="V33" s="276"/>
      <c r="W33" s="878" t="s">
        <v>256</v>
      </c>
      <c r="X33" s="878"/>
      <c r="Y33" s="878"/>
      <c r="Z33" s="878"/>
      <c r="AA33" s="878"/>
      <c r="AB33" s="878"/>
      <c r="AC33" s="124" t="s">
        <v>257</v>
      </c>
      <c r="AD33" s="844">
        <v>1</v>
      </c>
      <c r="AE33" s="844">
        <v>1</v>
      </c>
      <c r="AF33" s="123">
        <v>0</v>
      </c>
      <c r="AG33" s="196">
        <f>AF33*AE33</f>
        <v>0</v>
      </c>
      <c r="AH33" s="844">
        <v>0</v>
      </c>
      <c r="AI33" s="219">
        <f>AH33*AE33</f>
        <v>0</v>
      </c>
      <c r="AN33" s="278"/>
      <c r="AO33" s="285" t="s">
        <v>304</v>
      </c>
      <c r="AP33" s="285"/>
      <c r="AQ33" s="286"/>
      <c r="AR33" s="286"/>
      <c r="AS33" s="286"/>
      <c r="AT33" s="286"/>
      <c r="AU33" s="690">
        <f>SUM(AU28:AU32)</f>
        <v>17208.599999999999</v>
      </c>
    </row>
    <row r="34" spans="1:47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4"/>
        <v>0</v>
      </c>
      <c r="R34" s="439">
        <f t="shared" si="5"/>
        <v>0</v>
      </c>
      <c r="T34" s="224"/>
      <c r="U34" s="275"/>
      <c r="V34" s="276"/>
      <c r="W34" s="126"/>
      <c r="X34" s="126"/>
      <c r="Y34" s="126"/>
      <c r="Z34" s="126"/>
      <c r="AA34" s="126"/>
      <c r="AB34" s="126"/>
      <c r="AC34" s="126"/>
      <c r="AD34" s="844"/>
      <c r="AE34" s="844"/>
      <c r="AF34" s="123"/>
      <c r="AG34" s="212">
        <f>SUM(AG30:AG33)</f>
        <v>1421.2680355160931</v>
      </c>
      <c r="AH34" s="843"/>
      <c r="AI34" s="212">
        <f>SUM(AI30:AI33)</f>
        <v>214.6</v>
      </c>
      <c r="AN34" s="278"/>
      <c r="AO34" s="225"/>
      <c r="AP34" s="225"/>
    </row>
    <row r="35" spans="1:47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920602.09769087762</v>
      </c>
      <c r="J35" s="312"/>
      <c r="K35" s="313">
        <f>SUM(K16:K34)</f>
        <v>386276.67704707815</v>
      </c>
      <c r="L35" s="313">
        <f>SUM(L16:L34)</f>
        <v>1306878.7747379558</v>
      </c>
      <c r="M35" s="312"/>
      <c r="N35" s="312"/>
      <c r="O35" s="313"/>
      <c r="P35" s="314">
        <f>SUM(P16:P34)</f>
        <v>1805343.6810443092</v>
      </c>
      <c r="Q35" s="272">
        <f t="shared" si="4"/>
        <v>1805343.6810443089</v>
      </c>
      <c r="R35" s="439">
        <f t="shared" si="5"/>
        <v>0</v>
      </c>
      <c r="T35" s="443"/>
      <c r="U35" s="275"/>
      <c r="V35" s="276"/>
      <c r="AN35" s="278"/>
      <c r="AO35" s="225"/>
      <c r="AP35" s="282"/>
    </row>
    <row r="36" spans="1:47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4"/>
        <v>0</v>
      </c>
      <c r="R36" s="439">
        <f t="shared" si="5"/>
        <v>0</v>
      </c>
      <c r="T36" s="224"/>
      <c r="U36" s="283"/>
      <c r="V36" s="284"/>
      <c r="AN36" s="127"/>
    </row>
    <row r="37" spans="1:47" s="273" customFormat="1" x14ac:dyDescent="0.25">
      <c r="A37" s="411"/>
      <c r="B37" s="412" t="s">
        <v>319</v>
      </c>
      <c r="C37" s="413" t="s">
        <v>25</v>
      </c>
      <c r="D37" s="712"/>
      <c r="E37" s="242"/>
      <c r="F37" s="302"/>
      <c r="G37" s="75"/>
      <c r="H37" s="74"/>
      <c r="I37" s="74"/>
      <c r="J37" s="74"/>
      <c r="K37" s="74"/>
      <c r="L37" s="74"/>
      <c r="M37" s="76"/>
      <c r="N37" s="76"/>
      <c r="O37" s="76"/>
      <c r="P37" s="205"/>
      <c r="Q37" s="272">
        <f t="shared" si="4"/>
        <v>0</v>
      </c>
      <c r="R37" s="439"/>
      <c r="T37" s="224"/>
    </row>
    <row r="38" spans="1:47" s="273" customFormat="1" x14ac:dyDescent="0.25">
      <c r="A38" s="411"/>
      <c r="B38" s="689"/>
      <c r="C38" s="318">
        <v>1</v>
      </c>
      <c r="D38" s="83" t="s">
        <v>529</v>
      </c>
      <c r="E38" s="242">
        <f>491+3.8</f>
        <v>494.8</v>
      </c>
      <c r="F38" s="302">
        <v>498</v>
      </c>
      <c r="G38" s="75" t="s">
        <v>16</v>
      </c>
      <c r="H38" s="328">
        <f>AG34</f>
        <v>1421.2680355160931</v>
      </c>
      <c r="I38" s="74">
        <f>F38*H38</f>
        <v>707791.48168701434</v>
      </c>
      <c r="J38" s="328">
        <f>AI34</f>
        <v>214.6</v>
      </c>
      <c r="K38" s="74">
        <f>F38*J38</f>
        <v>106870.8</v>
      </c>
      <c r="L38" s="74">
        <f>K38+I38</f>
        <v>814662.28168701439</v>
      </c>
      <c r="M38" s="74">
        <f t="shared" ref="M38:M47" si="9">H38/$P$264*$P$272</f>
        <v>1963.3628738853185</v>
      </c>
      <c r="N38" s="74">
        <f t="shared" ref="N38:N47" si="10">J38/$P$264*$P$272</f>
        <v>296.45194446576897</v>
      </c>
      <c r="O38" s="72">
        <f t="shared" ref="O38:O53" si="11">N38+M38</f>
        <v>2259.8148183510875</v>
      </c>
      <c r="P38" s="205">
        <f t="shared" ref="P38:P53" si="12">O38*F38</f>
        <v>1125387.7795388417</v>
      </c>
      <c r="Q38" s="272">
        <f t="shared" si="4"/>
        <v>1125387.7795388419</v>
      </c>
      <c r="R38" s="439">
        <f t="shared" ref="R38:R53" si="13">P38-Q38</f>
        <v>0</v>
      </c>
      <c r="T38" s="224"/>
    </row>
    <row r="39" spans="1:47" s="273" customFormat="1" x14ac:dyDescent="0.25">
      <c r="A39" s="350"/>
      <c r="B39" s="689"/>
      <c r="C39" s="318">
        <v>2</v>
      </c>
      <c r="D39" s="83" t="s">
        <v>530</v>
      </c>
      <c r="E39" s="242">
        <f>262</f>
        <v>262</v>
      </c>
      <c r="F39" s="302">
        <v>265</v>
      </c>
      <c r="G39" s="75" t="s">
        <v>16</v>
      </c>
      <c r="H39" s="328">
        <f>AG26</f>
        <v>775.82659478885887</v>
      </c>
      <c r="I39" s="74">
        <f>F39*H39</f>
        <v>205594.0476190476</v>
      </c>
      <c r="J39" s="328">
        <v>75</v>
      </c>
      <c r="K39" s="74">
        <f t="shared" ref="K39:K47" si="14">F39*J39</f>
        <v>19875</v>
      </c>
      <c r="L39" s="74">
        <f t="shared" ref="L39:L47" si="15">K39+I39</f>
        <v>225469.0476190476</v>
      </c>
      <c r="M39" s="74">
        <f t="shared" si="9"/>
        <v>1071.7395274623179</v>
      </c>
      <c r="N39" s="74">
        <f t="shared" si="10"/>
        <v>103.60622476669467</v>
      </c>
      <c r="O39" s="72">
        <f t="shared" si="11"/>
        <v>1175.3457522290125</v>
      </c>
      <c r="P39" s="205">
        <f t="shared" si="12"/>
        <v>311466.62434068834</v>
      </c>
      <c r="Q39" s="272">
        <f t="shared" si="4"/>
        <v>311466.6243406884</v>
      </c>
      <c r="R39" s="439">
        <f t="shared" si="13"/>
        <v>0</v>
      </c>
      <c r="T39" s="224"/>
    </row>
    <row r="40" spans="1:47" s="273" customFormat="1" x14ac:dyDescent="0.25">
      <c r="A40" s="350"/>
      <c r="B40" s="689"/>
      <c r="C40" s="318">
        <v>3</v>
      </c>
      <c r="D40" s="83" t="s">
        <v>533</v>
      </c>
      <c r="E40" s="242">
        <f>23.6</f>
        <v>23.6</v>
      </c>
      <c r="F40" s="302">
        <v>26</v>
      </c>
      <c r="G40" s="75" t="s">
        <v>16</v>
      </c>
      <c r="H40" s="328">
        <f>AG67</f>
        <v>402.77580466148731</v>
      </c>
      <c r="I40" s="74">
        <f t="shared" ref="I40:I47" si="16">F40*H40</f>
        <v>10472.170921198671</v>
      </c>
      <c r="J40" s="328">
        <f>AI67</f>
        <v>216</v>
      </c>
      <c r="K40" s="74">
        <f t="shared" si="14"/>
        <v>5616</v>
      </c>
      <c r="L40" s="74">
        <f t="shared" si="15"/>
        <v>16088.170921198671</v>
      </c>
      <c r="M40" s="74">
        <f t="shared" si="9"/>
        <v>556.40107397792474</v>
      </c>
      <c r="N40" s="74">
        <f t="shared" si="10"/>
        <v>298.38592732808064</v>
      </c>
      <c r="O40" s="72">
        <f t="shared" si="11"/>
        <v>854.78700130600532</v>
      </c>
      <c r="P40" s="205">
        <f t="shared" si="12"/>
        <v>22224.462033956137</v>
      </c>
      <c r="Q40" s="272">
        <f t="shared" si="4"/>
        <v>22224.462033956144</v>
      </c>
      <c r="R40" s="439">
        <f t="shared" si="13"/>
        <v>0</v>
      </c>
      <c r="T40" s="224"/>
    </row>
    <row r="41" spans="1:47" s="273" customFormat="1" x14ac:dyDescent="0.25">
      <c r="A41" s="350"/>
      <c r="B41" s="689"/>
      <c r="C41" s="318">
        <v>4</v>
      </c>
      <c r="D41" s="83" t="s">
        <v>535</v>
      </c>
      <c r="E41" s="242">
        <v>7.44</v>
      </c>
      <c r="F41" s="302">
        <v>8</v>
      </c>
      <c r="G41" s="75" t="s">
        <v>16</v>
      </c>
      <c r="H41" s="328">
        <f>AG129</f>
        <v>1573.2463928967813</v>
      </c>
      <c r="I41" s="74">
        <f>F41*H41</f>
        <v>12585.971143174251</v>
      </c>
      <c r="J41" s="328">
        <f>AI129</f>
        <v>214.5</v>
      </c>
      <c r="K41" s="74">
        <f t="shared" si="14"/>
        <v>1716</v>
      </c>
      <c r="L41" s="74">
        <f t="shared" si="15"/>
        <v>14301.971143174251</v>
      </c>
      <c r="M41" s="74">
        <f t="shared" si="9"/>
        <v>2173.3082586114074</v>
      </c>
      <c r="N41" s="74">
        <f t="shared" si="10"/>
        <v>296.31380283274677</v>
      </c>
      <c r="O41" s="72">
        <f t="shared" si="11"/>
        <v>2469.622061444154</v>
      </c>
      <c r="P41" s="205">
        <f t="shared" si="12"/>
        <v>19756.976491553232</v>
      </c>
      <c r="Q41" s="272">
        <f t="shared" si="4"/>
        <v>19756.976491553232</v>
      </c>
      <c r="R41" s="439">
        <f t="shared" si="13"/>
        <v>0</v>
      </c>
      <c r="T41" s="224"/>
    </row>
    <row r="42" spans="1:47" s="273" customFormat="1" x14ac:dyDescent="0.25">
      <c r="A42" s="350"/>
      <c r="B42" s="689"/>
      <c r="C42" s="318">
        <v>5</v>
      </c>
      <c r="D42" s="83" t="s">
        <v>534</v>
      </c>
      <c r="E42" s="242">
        <v>11.16</v>
      </c>
      <c r="F42" s="302">
        <v>12</v>
      </c>
      <c r="G42" s="75" t="s">
        <v>16</v>
      </c>
      <c r="H42" s="328">
        <f>AG136</f>
        <v>1167.3640399556048</v>
      </c>
      <c r="I42" s="74">
        <f t="shared" si="16"/>
        <v>14008.368479467257</v>
      </c>
      <c r="J42" s="328">
        <f>AI136</f>
        <v>215.1</v>
      </c>
      <c r="K42" s="74">
        <f t="shared" si="14"/>
        <v>2581.1999999999998</v>
      </c>
      <c r="L42" s="74">
        <f t="shared" si="15"/>
        <v>16589.568479467256</v>
      </c>
      <c r="M42" s="74">
        <f t="shared" si="9"/>
        <v>1612.6157481092948</v>
      </c>
      <c r="N42" s="74">
        <f t="shared" si="10"/>
        <v>297.14265263088026</v>
      </c>
      <c r="O42" s="72">
        <f t="shared" si="11"/>
        <v>1909.7584007401751</v>
      </c>
      <c r="P42" s="205">
        <f t="shared" si="12"/>
        <v>22917.100808882104</v>
      </c>
      <c r="Q42" s="272">
        <f t="shared" si="4"/>
        <v>22917.1008088821</v>
      </c>
      <c r="R42" s="439">
        <f t="shared" si="13"/>
        <v>0</v>
      </c>
      <c r="T42" s="224"/>
    </row>
    <row r="43" spans="1:47" s="273" customFormat="1" x14ac:dyDescent="0.25">
      <c r="A43" s="350"/>
      <c r="B43" s="689"/>
      <c r="C43" s="318">
        <v>6</v>
      </c>
      <c r="D43" s="83" t="s">
        <v>536</v>
      </c>
      <c r="E43" s="242">
        <v>7.2</v>
      </c>
      <c r="F43" s="302">
        <v>8</v>
      </c>
      <c r="G43" s="75" t="s">
        <v>16</v>
      </c>
      <c r="H43" s="328">
        <f>AS129</f>
        <v>2628.4535701072882</v>
      </c>
      <c r="I43" s="74">
        <f>F43*H43</f>
        <v>21027.628560858306</v>
      </c>
      <c r="J43" s="328">
        <f>AU129</f>
        <v>214.5</v>
      </c>
      <c r="K43" s="74">
        <f t="shared" si="14"/>
        <v>1716</v>
      </c>
      <c r="L43" s="74">
        <f t="shared" si="15"/>
        <v>22743.628560858306</v>
      </c>
      <c r="M43" s="74">
        <f t="shared" si="9"/>
        <v>3630.9886849780896</v>
      </c>
      <c r="N43" s="74">
        <f t="shared" si="10"/>
        <v>296.31380283274677</v>
      </c>
      <c r="O43" s="72">
        <f t="shared" si="11"/>
        <v>3927.3024878108363</v>
      </c>
      <c r="P43" s="205">
        <f t="shared" si="12"/>
        <v>31418.41990248669</v>
      </c>
      <c r="Q43" s="272">
        <f t="shared" si="4"/>
        <v>31418.419902486694</v>
      </c>
      <c r="R43" s="439">
        <f t="shared" si="13"/>
        <v>0</v>
      </c>
      <c r="T43" s="224"/>
    </row>
    <row r="44" spans="1:47" s="273" customFormat="1" x14ac:dyDescent="0.25">
      <c r="A44" s="350"/>
      <c r="B44" s="689"/>
      <c r="C44" s="318">
        <v>7</v>
      </c>
      <c r="D44" s="83" t="s">
        <v>537</v>
      </c>
      <c r="E44" s="242">
        <v>10.8</v>
      </c>
      <c r="F44" s="302">
        <v>11</v>
      </c>
      <c r="G44" s="75" t="s">
        <v>16</v>
      </c>
      <c r="H44" s="328">
        <f>AS136</f>
        <v>2011.7869034406215</v>
      </c>
      <c r="I44" s="74">
        <f t="shared" ref="I44" si="17">F44*H44</f>
        <v>22129.655937846837</v>
      </c>
      <c r="J44" s="328">
        <f>AU136</f>
        <v>215.1</v>
      </c>
      <c r="K44" s="74">
        <f t="shared" si="14"/>
        <v>2366.1</v>
      </c>
      <c r="L44" s="74">
        <f t="shared" si="15"/>
        <v>24495.755937846836</v>
      </c>
      <c r="M44" s="74">
        <f t="shared" si="9"/>
        <v>2779.1152813408221</v>
      </c>
      <c r="N44" s="74">
        <f t="shared" si="10"/>
        <v>297.14265263088026</v>
      </c>
      <c r="O44" s="72">
        <f t="shared" si="11"/>
        <v>3076.2579339717022</v>
      </c>
      <c r="P44" s="205">
        <f t="shared" si="12"/>
        <v>33838.837273688725</v>
      </c>
      <c r="Q44" s="272">
        <f t="shared" si="4"/>
        <v>33838.837273688732</v>
      </c>
      <c r="R44" s="439">
        <f t="shared" si="13"/>
        <v>0</v>
      </c>
      <c r="T44" s="224"/>
    </row>
    <row r="45" spans="1:47" s="273" customFormat="1" x14ac:dyDescent="0.25">
      <c r="A45" s="350"/>
      <c r="B45" s="689"/>
      <c r="C45" s="318">
        <v>8</v>
      </c>
      <c r="D45" s="83" t="s">
        <v>44</v>
      </c>
      <c r="E45" s="242">
        <v>45.86</v>
      </c>
      <c r="F45" s="302">
        <v>48</v>
      </c>
      <c r="G45" s="75" t="s">
        <v>16</v>
      </c>
      <c r="H45" s="328">
        <v>100</v>
      </c>
      <c r="I45" s="74">
        <f t="shared" si="16"/>
        <v>4800</v>
      </c>
      <c r="J45" s="328">
        <v>100</v>
      </c>
      <c r="K45" s="74">
        <f t="shared" si="14"/>
        <v>4800</v>
      </c>
      <c r="L45" s="74">
        <f t="shared" si="15"/>
        <v>9600</v>
      </c>
      <c r="M45" s="74">
        <f t="shared" si="9"/>
        <v>138.14163302225955</v>
      </c>
      <c r="N45" s="74">
        <f t="shared" si="10"/>
        <v>138.14163302225955</v>
      </c>
      <c r="O45" s="72">
        <f t="shared" si="11"/>
        <v>276.28326604451911</v>
      </c>
      <c r="P45" s="205">
        <f t="shared" si="12"/>
        <v>13261.596770136917</v>
      </c>
      <c r="Q45" s="272">
        <f t="shared" si="4"/>
        <v>13261.596770136917</v>
      </c>
      <c r="R45" s="439">
        <f t="shared" si="13"/>
        <v>0</v>
      </c>
      <c r="T45" s="224"/>
    </row>
    <row r="46" spans="1:47" s="273" customFormat="1" x14ac:dyDescent="0.25">
      <c r="A46" s="350"/>
      <c r="B46" s="689"/>
      <c r="C46" s="318">
        <v>9</v>
      </c>
      <c r="D46" s="83" t="s">
        <v>162</v>
      </c>
      <c r="E46" s="242">
        <v>238.71</v>
      </c>
      <c r="F46" s="302">
        <v>242</v>
      </c>
      <c r="G46" s="75" t="s">
        <v>16</v>
      </c>
      <c r="H46" s="328">
        <f>AV171</f>
        <v>1203.5652494113497</v>
      </c>
      <c r="I46" s="74">
        <f t="shared" si="16"/>
        <v>291262.79035754665</v>
      </c>
      <c r="J46" s="328">
        <f>AX171</f>
        <v>215.10000000000002</v>
      </c>
      <c r="K46" s="74">
        <f t="shared" si="14"/>
        <v>52054.200000000004</v>
      </c>
      <c r="L46" s="74">
        <f t="shared" si="15"/>
        <v>343316.99035754666</v>
      </c>
      <c r="M46" s="74">
        <f t="shared" si="9"/>
        <v>1662.6246900252695</v>
      </c>
      <c r="N46" s="74">
        <f t="shared" si="10"/>
        <v>297.14265263088032</v>
      </c>
      <c r="O46" s="72">
        <f t="shared" si="11"/>
        <v>1959.7673426561498</v>
      </c>
      <c r="P46" s="205">
        <f t="shared" si="12"/>
        <v>474263.69692278828</v>
      </c>
      <c r="Q46" s="272">
        <f t="shared" si="4"/>
        <v>474263.69692278828</v>
      </c>
      <c r="R46" s="439">
        <f t="shared" si="13"/>
        <v>0</v>
      </c>
      <c r="T46" s="224"/>
    </row>
    <row r="47" spans="1:47" s="273" customFormat="1" x14ac:dyDescent="0.25">
      <c r="A47" s="350"/>
      <c r="B47" s="713"/>
      <c r="C47" s="318">
        <v>10</v>
      </c>
      <c r="D47" s="714" t="s">
        <v>287</v>
      </c>
      <c r="E47" s="715">
        <f>96.84+64.56+11.89</f>
        <v>173.29000000000002</v>
      </c>
      <c r="F47" s="716">
        <v>0</v>
      </c>
      <c r="G47" s="717" t="s">
        <v>16</v>
      </c>
      <c r="H47" s="192"/>
      <c r="I47" s="192">
        <f t="shared" si="16"/>
        <v>0</v>
      </c>
      <c r="J47" s="192"/>
      <c r="K47" s="192">
        <f t="shared" si="14"/>
        <v>0</v>
      </c>
      <c r="L47" s="192">
        <f t="shared" si="15"/>
        <v>0</v>
      </c>
      <c r="M47" s="74">
        <f t="shared" si="9"/>
        <v>0</v>
      </c>
      <c r="N47" s="74">
        <f t="shared" si="10"/>
        <v>0</v>
      </c>
      <c r="O47" s="72">
        <f t="shared" si="11"/>
        <v>0</v>
      </c>
      <c r="P47" s="305" t="s">
        <v>39</v>
      </c>
      <c r="Q47" s="272">
        <f t="shared" si="4"/>
        <v>0</v>
      </c>
      <c r="R47" s="439" t="e">
        <f t="shared" si="13"/>
        <v>#VALUE!</v>
      </c>
      <c r="T47" s="224"/>
    </row>
    <row r="48" spans="1:47" s="273" customFormat="1" x14ac:dyDescent="0.25">
      <c r="A48" s="350"/>
      <c r="B48" s="689"/>
      <c r="C48" s="318"/>
      <c r="D48" s="83"/>
      <c r="E48" s="242"/>
      <c r="F48" s="302"/>
      <c r="G48" s="74"/>
      <c r="H48" s="74"/>
      <c r="I48" s="74"/>
      <c r="J48" s="74"/>
      <c r="K48" s="74"/>
      <c r="L48" s="74"/>
      <c r="M48" s="74"/>
      <c r="N48" s="74"/>
      <c r="O48" s="72"/>
      <c r="P48" s="205"/>
      <c r="Q48" s="272"/>
      <c r="R48" s="439"/>
      <c r="T48" s="224"/>
    </row>
    <row r="49" spans="1:47" s="273" customFormat="1" x14ac:dyDescent="0.25">
      <c r="A49" s="411"/>
      <c r="B49" s="412" t="s">
        <v>320</v>
      </c>
      <c r="C49" s="413" t="s">
        <v>83</v>
      </c>
      <c r="D49" s="712"/>
      <c r="E49" s="242"/>
      <c r="F49" s="302"/>
      <c r="G49" s="75"/>
      <c r="H49" s="74"/>
      <c r="I49" s="74"/>
      <c r="J49" s="74"/>
      <c r="K49" s="74"/>
      <c r="L49" s="74"/>
      <c r="M49" s="74"/>
      <c r="N49" s="74"/>
      <c r="O49" s="72"/>
      <c r="P49" s="205"/>
      <c r="Q49" s="272"/>
      <c r="R49" s="439"/>
      <c r="T49" s="224"/>
    </row>
    <row r="50" spans="1:47" s="273" customFormat="1" x14ac:dyDescent="0.25">
      <c r="A50" s="411"/>
      <c r="B50" s="689"/>
      <c r="C50" s="318">
        <v>1</v>
      </c>
      <c r="D50" s="83" t="s">
        <v>538</v>
      </c>
      <c r="E50" s="242">
        <v>6.24</v>
      </c>
      <c r="F50" s="302">
        <v>7</v>
      </c>
      <c r="G50" s="77" t="s">
        <v>101</v>
      </c>
      <c r="H50" s="328">
        <f>H42</f>
        <v>1167.3640399556048</v>
      </c>
      <c r="I50" s="74">
        <f>F50*H50</f>
        <v>8171.5482796892338</v>
      </c>
      <c r="J50" s="328">
        <f>J42</f>
        <v>215.1</v>
      </c>
      <c r="K50" s="74">
        <f>F50*J50</f>
        <v>1505.7</v>
      </c>
      <c r="L50" s="74">
        <f>K50+I50</f>
        <v>9677.2482796892346</v>
      </c>
      <c r="M50" s="74">
        <f t="shared" ref="M50:M56" si="18">H50/$P$264*$P$272</f>
        <v>1612.6157481092948</v>
      </c>
      <c r="N50" s="74">
        <f t="shared" ref="N50:N56" si="19">J50/$P$264*$P$272</f>
        <v>297.14265263088026</v>
      </c>
      <c r="O50" s="72">
        <f t="shared" si="11"/>
        <v>1909.7584007401751</v>
      </c>
      <c r="P50" s="205">
        <f t="shared" si="12"/>
        <v>13368.308805181226</v>
      </c>
      <c r="Q50" s="272">
        <f t="shared" ref="Q50:Q56" si="20">L50/$P$264*$P$272</f>
        <v>13368.308805181228</v>
      </c>
      <c r="R50" s="439">
        <f t="shared" si="13"/>
        <v>0</v>
      </c>
      <c r="T50" s="224"/>
      <c r="AG50" s="224"/>
      <c r="AI50" s="224"/>
    </row>
    <row r="51" spans="1:47" s="273" customFormat="1" x14ac:dyDescent="0.25">
      <c r="A51" s="411"/>
      <c r="B51" s="689"/>
      <c r="C51" s="318">
        <v>2</v>
      </c>
      <c r="D51" s="83" t="s">
        <v>539</v>
      </c>
      <c r="E51" s="242">
        <v>16.04</v>
      </c>
      <c r="F51" s="302">
        <v>17</v>
      </c>
      <c r="G51" s="77" t="s">
        <v>101</v>
      </c>
      <c r="H51" s="328">
        <f>H50</f>
        <v>1167.3640399556048</v>
      </c>
      <c r="I51" s="74">
        <f t="shared" ref="I51" si="21">F51*H51</f>
        <v>19845.188679245282</v>
      </c>
      <c r="J51" s="328">
        <f>J50</f>
        <v>215.1</v>
      </c>
      <c r="K51" s="74">
        <f t="shared" ref="K51" si="22">F51*J51</f>
        <v>3656.7</v>
      </c>
      <c r="L51" s="74">
        <f t="shared" ref="L51" si="23">K51+I51</f>
        <v>23501.888679245283</v>
      </c>
      <c r="M51" s="74">
        <f t="shared" si="18"/>
        <v>1612.6157481092948</v>
      </c>
      <c r="N51" s="74">
        <f t="shared" si="19"/>
        <v>297.14265263088026</v>
      </c>
      <c r="O51" s="72">
        <f t="shared" si="11"/>
        <v>1909.7584007401751</v>
      </c>
      <c r="P51" s="205">
        <f t="shared" si="12"/>
        <v>32465.892812582977</v>
      </c>
      <c r="Q51" s="272">
        <f t="shared" si="20"/>
        <v>32465.892812582984</v>
      </c>
      <c r="R51" s="439">
        <f t="shared" si="13"/>
        <v>0</v>
      </c>
      <c r="T51" s="224"/>
      <c r="AG51" s="224"/>
      <c r="AI51" s="224"/>
    </row>
    <row r="52" spans="1:47" s="273" customFormat="1" x14ac:dyDescent="0.25">
      <c r="A52" s="411"/>
      <c r="B52" s="689"/>
      <c r="C52" s="318">
        <v>3</v>
      </c>
      <c r="D52" s="83" t="s">
        <v>540</v>
      </c>
      <c r="E52" s="242">
        <v>12.18</v>
      </c>
      <c r="F52" s="302">
        <v>13</v>
      </c>
      <c r="G52" s="77" t="s">
        <v>101</v>
      </c>
      <c r="H52" s="328">
        <f>H42</f>
        <v>1167.3640399556048</v>
      </c>
      <c r="I52" s="74">
        <f>F52*H52</f>
        <v>15175.732519422862</v>
      </c>
      <c r="J52" s="328">
        <f>J42</f>
        <v>215.1</v>
      </c>
      <c r="K52" s="74">
        <f>F52*J52</f>
        <v>2796.2999999999997</v>
      </c>
      <c r="L52" s="74">
        <f>K52+I52</f>
        <v>17972.032519422861</v>
      </c>
      <c r="M52" s="74">
        <f t="shared" si="18"/>
        <v>1612.6157481092948</v>
      </c>
      <c r="N52" s="74">
        <f t="shared" si="19"/>
        <v>297.14265263088026</v>
      </c>
      <c r="O52" s="72">
        <f t="shared" si="11"/>
        <v>1909.7584007401751</v>
      </c>
      <c r="P52" s="205">
        <f t="shared" si="12"/>
        <v>24826.859209622278</v>
      </c>
      <c r="Q52" s="272">
        <f t="shared" si="20"/>
        <v>24826.859209622278</v>
      </c>
      <c r="R52" s="439">
        <f t="shared" si="13"/>
        <v>0</v>
      </c>
      <c r="T52" s="224"/>
      <c r="AG52" s="224"/>
      <c r="AI52" s="224"/>
    </row>
    <row r="53" spans="1:47" s="273" customFormat="1" x14ac:dyDescent="0.25">
      <c r="A53" s="411"/>
      <c r="B53" s="689"/>
      <c r="C53" s="318">
        <v>4</v>
      </c>
      <c r="D53" s="83" t="s">
        <v>541</v>
      </c>
      <c r="E53" s="242">
        <v>28.68</v>
      </c>
      <c r="F53" s="302">
        <v>30</v>
      </c>
      <c r="G53" s="77" t="s">
        <v>101</v>
      </c>
      <c r="H53" s="328">
        <f>H52</f>
        <v>1167.3640399556048</v>
      </c>
      <c r="I53" s="74">
        <f t="shared" ref="I53" si="24">F53*H53</f>
        <v>35020.92119866814</v>
      </c>
      <c r="J53" s="328">
        <f>J52</f>
        <v>215.1</v>
      </c>
      <c r="K53" s="74">
        <f t="shared" ref="K53" si="25">F53*J53</f>
        <v>6453</v>
      </c>
      <c r="L53" s="74">
        <f t="shared" ref="L53" si="26">K53+I53</f>
        <v>41473.92119866814</v>
      </c>
      <c r="M53" s="74">
        <f t="shared" si="18"/>
        <v>1612.6157481092948</v>
      </c>
      <c r="N53" s="74">
        <f t="shared" si="19"/>
        <v>297.14265263088026</v>
      </c>
      <c r="O53" s="72">
        <f t="shared" si="11"/>
        <v>1909.7584007401751</v>
      </c>
      <c r="P53" s="205">
        <f t="shared" si="12"/>
        <v>57292.752022205255</v>
      </c>
      <c r="Q53" s="272">
        <f t="shared" si="20"/>
        <v>57292.752022205255</v>
      </c>
      <c r="R53" s="439">
        <f t="shared" si="13"/>
        <v>0</v>
      </c>
      <c r="T53" s="224"/>
      <c r="AG53" s="224"/>
      <c r="AI53" s="224"/>
    </row>
    <row r="54" spans="1:47" s="273" customFormat="1" x14ac:dyDescent="0.25">
      <c r="A54" s="411"/>
      <c r="B54" s="689"/>
      <c r="C54" s="318">
        <v>5</v>
      </c>
      <c r="D54" s="83" t="s">
        <v>490</v>
      </c>
      <c r="E54" s="242">
        <f>1350+85</f>
        <v>1435</v>
      </c>
      <c r="F54" s="302">
        <v>1450</v>
      </c>
      <c r="G54" s="77" t="s">
        <v>101</v>
      </c>
      <c r="H54" s="818">
        <f>165-5</f>
        <v>160</v>
      </c>
      <c r="I54" s="74">
        <f>F54*H54</f>
        <v>232000</v>
      </c>
      <c r="J54" s="818">
        <f>165-5</f>
        <v>160</v>
      </c>
      <c r="K54" s="74">
        <f>F54*J54</f>
        <v>232000</v>
      </c>
      <c r="L54" s="74">
        <f>K54+I54</f>
        <v>464000</v>
      </c>
      <c r="M54" s="74">
        <f t="shared" si="18"/>
        <v>221.02661283561528</v>
      </c>
      <c r="N54" s="74">
        <f t="shared" si="19"/>
        <v>221.02661283561528</v>
      </c>
      <c r="O54" s="72">
        <f>N54+M54</f>
        <v>442.05322567123056</v>
      </c>
      <c r="P54" s="205">
        <f>O54*F54</f>
        <v>640977.17722328426</v>
      </c>
      <c r="Q54" s="272">
        <f t="shared" si="20"/>
        <v>640977.17722328426</v>
      </c>
      <c r="R54" s="439">
        <f>P54-Q54</f>
        <v>0</v>
      </c>
    </row>
    <row r="55" spans="1:47" s="273" customFormat="1" x14ac:dyDescent="0.25">
      <c r="A55" s="411"/>
      <c r="B55" s="689"/>
      <c r="C55" s="318">
        <v>6</v>
      </c>
      <c r="D55" s="83" t="s">
        <v>491</v>
      </c>
      <c r="E55" s="242">
        <f>685+46</f>
        <v>731</v>
      </c>
      <c r="F55" s="302">
        <v>744</v>
      </c>
      <c r="G55" s="77" t="s">
        <v>101</v>
      </c>
      <c r="H55" s="818">
        <f>180-10</f>
        <v>170</v>
      </c>
      <c r="I55" s="74">
        <f>F55*H55</f>
        <v>126480</v>
      </c>
      <c r="J55" s="818">
        <f>190-5</f>
        <v>185</v>
      </c>
      <c r="K55" s="74">
        <f>F55*J55</f>
        <v>137640</v>
      </c>
      <c r="L55" s="74">
        <f>K55+I55</f>
        <v>264120</v>
      </c>
      <c r="M55" s="74">
        <f t="shared" si="18"/>
        <v>234.84077613784126</v>
      </c>
      <c r="N55" s="74">
        <f t="shared" si="19"/>
        <v>255.56202109118016</v>
      </c>
      <c r="O55" s="72">
        <f t="shared" ref="O55:O83" si="27">N55+M55</f>
        <v>490.40279722902142</v>
      </c>
      <c r="P55" s="205">
        <f t="shared" ref="P55:P83" si="28">O55*F55</f>
        <v>364859.68113839196</v>
      </c>
      <c r="Q55" s="272">
        <f t="shared" si="20"/>
        <v>364859.6811383919</v>
      </c>
      <c r="R55" s="439">
        <f t="shared" ref="R55:R83" si="29">P55-Q55</f>
        <v>0</v>
      </c>
    </row>
    <row r="56" spans="1:47" s="273" customFormat="1" x14ac:dyDescent="0.25">
      <c r="A56" s="411"/>
      <c r="B56" s="689"/>
      <c r="C56" s="318">
        <v>7</v>
      </c>
      <c r="D56" s="83" t="s">
        <v>334</v>
      </c>
      <c r="E56" s="306" t="s">
        <v>39</v>
      </c>
      <c r="F56" s="302">
        <v>0</v>
      </c>
      <c r="G56" s="77"/>
      <c r="H56" s="74"/>
      <c r="I56" s="74"/>
      <c r="J56" s="74"/>
      <c r="K56" s="74"/>
      <c r="L56" s="74"/>
      <c r="M56" s="74">
        <f t="shared" si="18"/>
        <v>0</v>
      </c>
      <c r="N56" s="74">
        <f t="shared" si="19"/>
        <v>0</v>
      </c>
      <c r="O56" s="72">
        <f t="shared" si="27"/>
        <v>0</v>
      </c>
      <c r="P56" s="205">
        <f t="shared" si="28"/>
        <v>0</v>
      </c>
      <c r="Q56" s="272">
        <f t="shared" si="20"/>
        <v>0</v>
      </c>
      <c r="R56" s="439">
        <f t="shared" si="29"/>
        <v>0</v>
      </c>
      <c r="T56" s="224"/>
      <c r="AG56" s="224"/>
      <c r="AI56" s="224"/>
    </row>
    <row r="57" spans="1:47" s="273" customFormat="1" x14ac:dyDescent="0.25">
      <c r="A57" s="411"/>
      <c r="B57" s="689"/>
      <c r="C57" s="318"/>
      <c r="D57" s="82"/>
      <c r="E57" s="242"/>
      <c r="F57" s="302"/>
      <c r="G57" s="75"/>
      <c r="H57" s="74"/>
      <c r="I57" s="74"/>
      <c r="J57" s="74"/>
      <c r="K57" s="74"/>
      <c r="L57" s="74"/>
      <c r="M57" s="74"/>
      <c r="N57" s="74"/>
      <c r="O57" s="72"/>
      <c r="P57" s="205"/>
      <c r="Q57" s="272"/>
      <c r="R57" s="439"/>
      <c r="T57" s="224"/>
      <c r="AG57" s="224"/>
      <c r="AI57" s="224"/>
    </row>
    <row r="58" spans="1:47" s="273" customFormat="1" x14ac:dyDescent="0.25">
      <c r="A58" s="411"/>
      <c r="B58" s="412" t="s">
        <v>321</v>
      </c>
      <c r="C58" s="413" t="s">
        <v>87</v>
      </c>
      <c r="D58" s="82"/>
      <c r="E58" s="242"/>
      <c r="F58" s="302"/>
      <c r="G58" s="75"/>
      <c r="H58" s="74"/>
      <c r="I58" s="74"/>
      <c r="J58" s="74"/>
      <c r="K58" s="74"/>
      <c r="L58" s="74"/>
      <c r="M58" s="74"/>
      <c r="N58" s="74"/>
      <c r="O58" s="72"/>
      <c r="P58" s="205"/>
      <c r="Q58" s="272"/>
      <c r="R58" s="439"/>
      <c r="T58" s="224"/>
      <c r="AG58" s="224"/>
      <c r="AI58" s="224"/>
    </row>
    <row r="59" spans="1:47" s="273" customFormat="1" x14ac:dyDescent="0.25">
      <c r="A59" s="411"/>
      <c r="B59" s="689"/>
      <c r="C59" s="318">
        <v>1</v>
      </c>
      <c r="D59" s="83" t="s">
        <v>322</v>
      </c>
      <c r="E59" s="242">
        <v>269</v>
      </c>
      <c r="F59" s="302">
        <v>273</v>
      </c>
      <c r="G59" s="77" t="s">
        <v>101</v>
      </c>
      <c r="H59" s="347">
        <f>430*0.98</f>
        <v>421.4</v>
      </c>
      <c r="I59" s="74">
        <f>F59*H59</f>
        <v>115042.2</v>
      </c>
      <c r="J59" s="74">
        <f>375*0.98</f>
        <v>367.5</v>
      </c>
      <c r="K59" s="74">
        <f t="shared" ref="K59:K60" si="30">F59*J59</f>
        <v>100327.5</v>
      </c>
      <c r="L59" s="72">
        <f t="shared" ref="L59:L60" si="31">I59+K59</f>
        <v>215369.7</v>
      </c>
      <c r="M59" s="74">
        <f>H59/$P$264*$P$272</f>
        <v>582.12884155580173</v>
      </c>
      <c r="N59" s="74">
        <f>J59/$P$264*$P$272</f>
        <v>507.67050135680387</v>
      </c>
      <c r="O59" s="72">
        <f t="shared" si="27"/>
        <v>1089.7993429126057</v>
      </c>
      <c r="P59" s="205">
        <f t="shared" si="28"/>
        <v>297515.22061514133</v>
      </c>
      <c r="Q59" s="272">
        <f>L59/$P$264*$P$272</f>
        <v>297515.22061514133</v>
      </c>
      <c r="R59" s="439">
        <f t="shared" si="29"/>
        <v>0</v>
      </c>
      <c r="T59" s="224"/>
    </row>
    <row r="60" spans="1:47" s="273" customFormat="1" ht="15" customHeight="1" x14ac:dyDescent="0.25">
      <c r="A60" s="411"/>
      <c r="B60" s="689"/>
      <c r="C60" s="318">
        <v>2</v>
      </c>
      <c r="D60" s="83" t="s">
        <v>90</v>
      </c>
      <c r="E60" s="242">
        <v>36.700000000000003</v>
      </c>
      <c r="F60" s="302">
        <v>39</v>
      </c>
      <c r="G60" s="77" t="s">
        <v>101</v>
      </c>
      <c r="H60" s="347">
        <f>(167+175)+150</f>
        <v>492</v>
      </c>
      <c r="I60" s="74">
        <f>F60*H60</f>
        <v>19188</v>
      </c>
      <c r="J60" s="74">
        <f>225+150</f>
        <v>375</v>
      </c>
      <c r="K60" s="74">
        <f t="shared" si="30"/>
        <v>14625</v>
      </c>
      <c r="L60" s="72">
        <f t="shared" si="31"/>
        <v>33813</v>
      </c>
      <c r="M60" s="74">
        <f>H60/$P$264*$P$272</f>
        <v>679.65683446951709</v>
      </c>
      <c r="N60" s="74">
        <f>J60/$P$264*$P$272</f>
        <v>518.03112383347332</v>
      </c>
      <c r="O60" s="72">
        <f t="shared" si="27"/>
        <v>1197.6879583029904</v>
      </c>
      <c r="P60" s="205">
        <f t="shared" si="28"/>
        <v>46709.830373816629</v>
      </c>
      <c r="Q60" s="272">
        <f>L60/$P$264*$P$272</f>
        <v>46709.830373816614</v>
      </c>
      <c r="R60" s="439">
        <f t="shared" si="29"/>
        <v>0</v>
      </c>
      <c r="T60" s="224"/>
      <c r="AG60" s="224"/>
      <c r="AI60" s="224"/>
      <c r="AO60" s="285"/>
      <c r="AP60" s="285"/>
      <c r="AQ60" s="286"/>
      <c r="AR60" s="286"/>
      <c r="AS60" s="286"/>
      <c r="AT60" s="286"/>
      <c r="AU60" s="127"/>
    </row>
    <row r="61" spans="1:47" s="273" customFormat="1" ht="15" customHeight="1" x14ac:dyDescent="0.25">
      <c r="A61" s="411"/>
      <c r="B61" s="689"/>
      <c r="C61" s="318"/>
      <c r="D61" s="83" t="s">
        <v>155</v>
      </c>
      <c r="E61" s="242"/>
      <c r="F61" s="302"/>
      <c r="G61" s="75"/>
      <c r="H61" s="347"/>
      <c r="I61" s="74"/>
      <c r="J61" s="74"/>
      <c r="K61" s="74"/>
      <c r="L61" s="74"/>
      <c r="M61" s="74"/>
      <c r="N61" s="74"/>
      <c r="O61" s="72"/>
      <c r="P61" s="205"/>
      <c r="Q61" s="272"/>
      <c r="R61" s="439"/>
      <c r="T61" s="224"/>
      <c r="W61" s="904" t="s">
        <v>293</v>
      </c>
      <c r="X61" s="904"/>
      <c r="Y61" s="904"/>
      <c r="Z61" s="904"/>
      <c r="AA61" s="904"/>
      <c r="AB61" s="904"/>
      <c r="AC61" s="843" t="s">
        <v>243</v>
      </c>
      <c r="AD61" s="843" t="s">
        <v>244</v>
      </c>
      <c r="AE61" s="843" t="s">
        <v>245</v>
      </c>
      <c r="AF61" s="123" t="s">
        <v>246</v>
      </c>
      <c r="AG61" s="196" t="s">
        <v>247</v>
      </c>
      <c r="AH61" s="843" t="s">
        <v>248</v>
      </c>
      <c r="AI61" s="212" t="s">
        <v>249</v>
      </c>
      <c r="AO61" s="285"/>
      <c r="AP61" s="285"/>
      <c r="AQ61" s="286"/>
      <c r="AR61" s="286"/>
      <c r="AS61" s="286"/>
      <c r="AT61" s="286"/>
      <c r="AU61" s="127"/>
    </row>
    <row r="62" spans="1:47" s="273" customFormat="1" x14ac:dyDescent="0.25">
      <c r="A62" s="411"/>
      <c r="B62" s="689"/>
      <c r="C62" s="318">
        <v>3</v>
      </c>
      <c r="D62" s="83" t="s">
        <v>92</v>
      </c>
      <c r="E62" s="242">
        <v>62</v>
      </c>
      <c r="F62" s="302">
        <v>64</v>
      </c>
      <c r="G62" s="77" t="s">
        <v>101</v>
      </c>
      <c r="H62" s="347">
        <f>((177+155)+150)*0.98</f>
        <v>472.36</v>
      </c>
      <c r="I62" s="74">
        <f>F62*H62</f>
        <v>30231.040000000001</v>
      </c>
      <c r="J62" s="74">
        <f>(225+150)*0.98</f>
        <v>367.5</v>
      </c>
      <c r="K62" s="74">
        <f t="shared" ref="K62" si="32">F62*J62</f>
        <v>23520</v>
      </c>
      <c r="L62" s="72">
        <f t="shared" ref="L62" si="33">I62+K62</f>
        <v>53751.040000000001</v>
      </c>
      <c r="M62" s="74">
        <f>H62/$P$264*$P$272</f>
        <v>652.52581774394525</v>
      </c>
      <c r="N62" s="74">
        <f>J62/$P$264*$P$272</f>
        <v>507.67050135680387</v>
      </c>
      <c r="O62" s="72">
        <f t="shared" si="27"/>
        <v>1160.1963191007492</v>
      </c>
      <c r="P62" s="205">
        <f t="shared" si="28"/>
        <v>74252.564422447947</v>
      </c>
      <c r="Q62" s="272">
        <f>L62/$P$264*$P$272</f>
        <v>74252.564422447933</v>
      </c>
      <c r="R62" s="439">
        <f t="shared" si="29"/>
        <v>0</v>
      </c>
      <c r="T62" s="224"/>
      <c r="W62" s="878" t="s">
        <v>258</v>
      </c>
      <c r="X62" s="878"/>
      <c r="Y62" s="878"/>
      <c r="Z62" s="878"/>
      <c r="AA62" s="878"/>
      <c r="AB62" s="878"/>
      <c r="AC62" s="124" t="s">
        <v>251</v>
      </c>
      <c r="AD62" s="844">
        <v>11.11</v>
      </c>
      <c r="AE62" s="844">
        <v>12</v>
      </c>
      <c r="AF62" s="123">
        <f>27.26/1.02</f>
        <v>26.725490196078432</v>
      </c>
      <c r="AG62" s="196">
        <f>AF62*AE62</f>
        <v>320.70588235294122</v>
      </c>
      <c r="AH62" s="844">
        <v>18</v>
      </c>
      <c r="AI62" s="219">
        <f>AH62*AE62</f>
        <v>216</v>
      </c>
      <c r="AO62" s="285"/>
      <c r="AP62" s="285"/>
      <c r="AQ62" s="286"/>
      <c r="AR62" s="286"/>
      <c r="AS62" s="286"/>
      <c r="AT62" s="286"/>
      <c r="AU62" s="690"/>
    </row>
    <row r="63" spans="1:47" s="273" customFormat="1" x14ac:dyDescent="0.25">
      <c r="A63" s="411"/>
      <c r="B63" s="718"/>
      <c r="C63" s="719"/>
      <c r="D63" s="83" t="s">
        <v>154</v>
      </c>
      <c r="E63" s="242"/>
      <c r="F63" s="302"/>
      <c r="G63" s="75"/>
      <c r="H63" s="74"/>
      <c r="I63" s="74"/>
      <c r="J63" s="74"/>
      <c r="K63" s="74"/>
      <c r="L63" s="74"/>
      <c r="M63" s="74"/>
      <c r="N63" s="74"/>
      <c r="O63" s="72"/>
      <c r="P63" s="205"/>
      <c r="Q63" s="272"/>
      <c r="R63" s="439"/>
      <c r="T63" s="224"/>
      <c r="W63" s="878" t="s">
        <v>252</v>
      </c>
      <c r="X63" s="878"/>
      <c r="Y63" s="878"/>
      <c r="Z63" s="878"/>
      <c r="AA63" s="878"/>
      <c r="AB63" s="878"/>
      <c r="AC63" s="124" t="s">
        <v>253</v>
      </c>
      <c r="AD63" s="844">
        <v>0.25</v>
      </c>
      <c r="AE63" s="844">
        <v>0.25</v>
      </c>
      <c r="AF63" s="123">
        <f>AF133</f>
        <v>279.41176470588238</v>
      </c>
      <c r="AG63" s="196">
        <f>AF63*AE63</f>
        <v>69.852941176470594</v>
      </c>
      <c r="AH63" s="844"/>
      <c r="AI63" s="219">
        <f t="shared" ref="AI63:AI65" si="34">AH63*AE63</f>
        <v>0</v>
      </c>
    </row>
    <row r="64" spans="1:47" s="273" customFormat="1" x14ac:dyDescent="0.25">
      <c r="A64" s="411"/>
      <c r="B64" s="689"/>
      <c r="C64" s="318">
        <v>4</v>
      </c>
      <c r="D64" s="83" t="s">
        <v>93</v>
      </c>
      <c r="E64" s="242">
        <v>252</v>
      </c>
      <c r="F64" s="302">
        <v>255</v>
      </c>
      <c r="G64" s="77" t="s">
        <v>101</v>
      </c>
      <c r="H64" s="74">
        <f>(230+185)/1.05</f>
        <v>395.23809523809524</v>
      </c>
      <c r="I64" s="74">
        <f>F64*H64</f>
        <v>100785.71428571429</v>
      </c>
      <c r="J64" s="74">
        <v>225</v>
      </c>
      <c r="K64" s="74">
        <f t="shared" ref="K64" si="35">F64*J64</f>
        <v>57375</v>
      </c>
      <c r="L64" s="72">
        <f t="shared" ref="L64" si="36">I64+K64</f>
        <v>158160.71428571429</v>
      </c>
      <c r="M64" s="74">
        <f>H64/$P$264*$P$272</f>
        <v>545.98835908797821</v>
      </c>
      <c r="N64" s="74">
        <f>J64/$P$264*$P$272</f>
        <v>310.81867430008401</v>
      </c>
      <c r="O64" s="72">
        <f t="shared" si="27"/>
        <v>856.80703338806222</v>
      </c>
      <c r="P64" s="205">
        <f t="shared" si="28"/>
        <v>218485.79351395587</v>
      </c>
      <c r="Q64" s="272">
        <f>L64/$P$264*$P$272</f>
        <v>218485.79351395587</v>
      </c>
      <c r="R64" s="439">
        <f t="shared" si="29"/>
        <v>0</v>
      </c>
      <c r="T64" s="224"/>
      <c r="W64" s="878" t="s">
        <v>254</v>
      </c>
      <c r="X64" s="878"/>
      <c r="Y64" s="878"/>
      <c r="Z64" s="878"/>
      <c r="AA64" s="878"/>
      <c r="AB64" s="878"/>
      <c r="AC64" s="124" t="s">
        <v>255</v>
      </c>
      <c r="AD64" s="844">
        <v>0.25</v>
      </c>
      <c r="AE64" s="844">
        <v>0.35</v>
      </c>
      <c r="AF64" s="123">
        <f>AF32</f>
        <v>34.905660377358487</v>
      </c>
      <c r="AG64" s="196">
        <f t="shared" ref="AG64:AG65" si="37">AF64*AE64</f>
        <v>12.216981132075469</v>
      </c>
      <c r="AH64" s="844"/>
      <c r="AI64" s="219">
        <f t="shared" si="34"/>
        <v>0</v>
      </c>
    </row>
    <row r="65" spans="1:35" s="273" customFormat="1" x14ac:dyDescent="0.25">
      <c r="A65" s="411"/>
      <c r="B65" s="718"/>
      <c r="C65" s="719"/>
      <c r="D65" s="83" t="s">
        <v>94</v>
      </c>
      <c r="E65" s="242"/>
      <c r="F65" s="302"/>
      <c r="G65" s="75"/>
      <c r="H65" s="74"/>
      <c r="I65" s="74"/>
      <c r="J65" s="74"/>
      <c r="K65" s="74"/>
      <c r="L65" s="74"/>
      <c r="M65" s="74"/>
      <c r="N65" s="74"/>
      <c r="O65" s="72"/>
      <c r="P65" s="205"/>
      <c r="Q65" s="272"/>
      <c r="R65" s="439"/>
      <c r="T65" s="224"/>
      <c r="W65" s="878" t="str">
        <f>W33</f>
        <v>mortar (topping) included @ other item</v>
      </c>
      <c r="X65" s="878"/>
      <c r="Y65" s="878"/>
      <c r="Z65" s="878"/>
      <c r="AA65" s="878"/>
      <c r="AB65" s="878"/>
      <c r="AC65" s="124" t="s">
        <v>257</v>
      </c>
      <c r="AD65" s="844">
        <v>1</v>
      </c>
      <c r="AE65" s="844">
        <v>1</v>
      </c>
      <c r="AF65" s="123">
        <f>AF33</f>
        <v>0</v>
      </c>
      <c r="AG65" s="196">
        <f t="shared" si="37"/>
        <v>0</v>
      </c>
      <c r="AH65" s="844">
        <f>AH33</f>
        <v>0</v>
      </c>
      <c r="AI65" s="219">
        <f t="shared" si="34"/>
        <v>0</v>
      </c>
    </row>
    <row r="66" spans="1:35" s="273" customFormat="1" x14ac:dyDescent="0.25">
      <c r="A66" s="411"/>
      <c r="B66" s="689"/>
      <c r="C66" s="318">
        <v>5</v>
      </c>
      <c r="D66" s="83" t="s">
        <v>160</v>
      </c>
      <c r="E66" s="720">
        <f>29.2+51.05</f>
        <v>80.25</v>
      </c>
      <c r="F66" s="721">
        <v>82</v>
      </c>
      <c r="G66" s="77" t="s">
        <v>101</v>
      </c>
      <c r="H66" s="74"/>
      <c r="I66" s="74">
        <f>F66*H66</f>
        <v>0</v>
      </c>
      <c r="J66" s="74"/>
      <c r="K66" s="74">
        <f t="shared" ref="K66:K69" si="38">F66*J66</f>
        <v>0</v>
      </c>
      <c r="L66" s="72">
        <f t="shared" ref="L66:L67" si="39">I66+K66</f>
        <v>0</v>
      </c>
      <c r="M66" s="74">
        <f>H66/$P$264*$P$272</f>
        <v>0</v>
      </c>
      <c r="N66" s="74">
        <f>J66/$P$264*$P$272</f>
        <v>0</v>
      </c>
      <c r="O66" s="72">
        <f t="shared" si="27"/>
        <v>0</v>
      </c>
      <c r="P66" s="205">
        <f t="shared" si="28"/>
        <v>0</v>
      </c>
      <c r="Q66" s="272">
        <f>L66/$P$264*$P$272</f>
        <v>0</v>
      </c>
      <c r="R66" s="439">
        <f t="shared" si="29"/>
        <v>0</v>
      </c>
      <c r="T66" s="224"/>
      <c r="W66" s="878" t="s">
        <v>259</v>
      </c>
      <c r="X66" s="878"/>
      <c r="Y66" s="878"/>
      <c r="Z66" s="878"/>
      <c r="AA66" s="878"/>
      <c r="AB66" s="878"/>
      <c r="AC66" s="124" t="s">
        <v>257</v>
      </c>
      <c r="AD66" s="844">
        <v>1</v>
      </c>
      <c r="AE66" s="844">
        <v>1</v>
      </c>
      <c r="AF66" s="123">
        <f>AF33</f>
        <v>0</v>
      </c>
      <c r="AG66" s="196">
        <f>AF66*AE66</f>
        <v>0</v>
      </c>
      <c r="AH66" s="844">
        <f>AH33</f>
        <v>0</v>
      </c>
      <c r="AI66" s="219">
        <f>AH66*AE66</f>
        <v>0</v>
      </c>
    </row>
    <row r="67" spans="1:35" s="273" customFormat="1" x14ac:dyDescent="0.25">
      <c r="A67" s="411"/>
      <c r="B67" s="689"/>
      <c r="C67" s="318">
        <v>6</v>
      </c>
      <c r="D67" s="83" t="s">
        <v>492</v>
      </c>
      <c r="E67" s="242">
        <v>61.7</v>
      </c>
      <c r="F67" s="302">
        <v>63</v>
      </c>
      <c r="G67" s="77" t="s">
        <v>100</v>
      </c>
      <c r="H67" s="74">
        <v>130</v>
      </c>
      <c r="I67" s="74">
        <f>F67*H67</f>
        <v>8190</v>
      </c>
      <c r="J67" s="74">
        <v>120</v>
      </c>
      <c r="K67" s="74">
        <f t="shared" si="38"/>
        <v>7560</v>
      </c>
      <c r="L67" s="72">
        <f t="shared" si="39"/>
        <v>15750</v>
      </c>
      <c r="M67" s="74">
        <f>H67/$P$264*$P$272</f>
        <v>179.58412292893743</v>
      </c>
      <c r="N67" s="74">
        <f>J67/$P$264*$P$272</f>
        <v>165.76995962671145</v>
      </c>
      <c r="O67" s="72">
        <f t="shared" si="27"/>
        <v>345.35408255564892</v>
      </c>
      <c r="P67" s="205">
        <f t="shared" si="28"/>
        <v>21757.307201005882</v>
      </c>
      <c r="Q67" s="272">
        <f>L67/$P$264*$P$272</f>
        <v>21757.307201005882</v>
      </c>
      <c r="R67" s="439">
        <f t="shared" si="29"/>
        <v>0</v>
      </c>
      <c r="T67" s="224"/>
      <c r="W67" s="126"/>
      <c r="X67" s="126"/>
      <c r="Y67" s="126"/>
      <c r="Z67" s="126"/>
      <c r="AA67" s="126"/>
      <c r="AB67" s="126"/>
      <c r="AC67" s="126"/>
      <c r="AD67" s="844"/>
      <c r="AE67" s="844"/>
      <c r="AF67" s="123"/>
      <c r="AG67" s="212">
        <f>SUM(AG62:AG66)</f>
        <v>402.77580466148731</v>
      </c>
      <c r="AH67" s="843"/>
      <c r="AI67" s="212">
        <f>SUM(AI62:AI66)</f>
        <v>216</v>
      </c>
    </row>
    <row r="68" spans="1:35" s="273" customFormat="1" hidden="1" x14ac:dyDescent="0.25">
      <c r="A68" s="411"/>
      <c r="B68" s="689"/>
      <c r="C68" s="318"/>
      <c r="D68" s="83"/>
      <c r="E68" s="242"/>
      <c r="F68" s="302"/>
      <c r="G68" s="75"/>
      <c r="H68" s="74"/>
      <c r="I68" s="74"/>
      <c r="J68" s="74"/>
      <c r="K68" s="74"/>
      <c r="L68" s="74"/>
      <c r="M68" s="74">
        <f>H68/$P$264*$P$272</f>
        <v>0</v>
      </c>
      <c r="N68" s="74">
        <f>J68/$P$264*$P$272</f>
        <v>0</v>
      </c>
      <c r="O68" s="72">
        <f t="shared" si="27"/>
        <v>0</v>
      </c>
      <c r="P68" s="205">
        <f t="shared" si="28"/>
        <v>0</v>
      </c>
      <c r="Q68" s="272">
        <f>L68/$P$264*$P$272</f>
        <v>0</v>
      </c>
      <c r="R68" s="439">
        <f t="shared" si="29"/>
        <v>0</v>
      </c>
      <c r="T68" s="224"/>
      <c r="AG68" s="224"/>
      <c r="AI68" s="224"/>
    </row>
    <row r="69" spans="1:35" s="273" customFormat="1" x14ac:dyDescent="0.25">
      <c r="A69" s="411"/>
      <c r="B69" s="689"/>
      <c r="C69" s="318">
        <v>7</v>
      </c>
      <c r="D69" s="83" t="s">
        <v>357</v>
      </c>
      <c r="E69" s="242">
        <v>152.9</v>
      </c>
      <c r="F69" s="302">
        <v>154</v>
      </c>
      <c r="G69" s="77" t="s">
        <v>101</v>
      </c>
      <c r="H69" s="74"/>
      <c r="I69" s="74">
        <f>F69*H69</f>
        <v>0</v>
      </c>
      <c r="J69" s="74"/>
      <c r="K69" s="74">
        <f t="shared" si="38"/>
        <v>0</v>
      </c>
      <c r="L69" s="72">
        <f t="shared" ref="L69" si="40">I69+K69</f>
        <v>0</v>
      </c>
      <c r="M69" s="74">
        <f>H69/$P$264*$P$272</f>
        <v>0</v>
      </c>
      <c r="N69" s="74">
        <f>J69/$P$264*$P$272</f>
        <v>0</v>
      </c>
      <c r="O69" s="72">
        <f t="shared" si="27"/>
        <v>0</v>
      </c>
      <c r="P69" s="305" t="s">
        <v>39</v>
      </c>
      <c r="Q69" s="272">
        <f>L69/$P$264*$P$272</f>
        <v>0</v>
      </c>
      <c r="R69" s="439" t="e">
        <f t="shared" si="29"/>
        <v>#VALUE!</v>
      </c>
      <c r="T69" s="224"/>
      <c r="AG69" s="224"/>
      <c r="AI69" s="224"/>
    </row>
    <row r="70" spans="1:35" s="273" customFormat="1" x14ac:dyDescent="0.25">
      <c r="A70" s="411"/>
      <c r="B70" s="718"/>
      <c r="C70" s="719"/>
      <c r="D70" s="83"/>
      <c r="E70" s="242"/>
      <c r="F70" s="302"/>
      <c r="G70" s="75"/>
      <c r="H70" s="74"/>
      <c r="I70" s="74"/>
      <c r="J70" s="74"/>
      <c r="K70" s="74"/>
      <c r="L70" s="74"/>
      <c r="M70" s="74"/>
      <c r="N70" s="74"/>
      <c r="O70" s="72"/>
      <c r="P70" s="205"/>
      <c r="Q70" s="272"/>
      <c r="R70" s="439"/>
      <c r="T70" s="224"/>
      <c r="AG70" s="224"/>
      <c r="AI70" s="224"/>
    </row>
    <row r="71" spans="1:35" s="273" customFormat="1" x14ac:dyDescent="0.25">
      <c r="A71" s="411"/>
      <c r="B71" s="412" t="s">
        <v>323</v>
      </c>
      <c r="C71" s="413" t="s">
        <v>26</v>
      </c>
      <c r="D71" s="82"/>
      <c r="E71" s="242"/>
      <c r="F71" s="302"/>
      <c r="G71" s="75"/>
      <c r="H71" s="74"/>
      <c r="I71" s="74"/>
      <c r="J71" s="74"/>
      <c r="K71" s="74"/>
      <c r="L71" s="74"/>
      <c r="M71" s="74"/>
      <c r="N71" s="74"/>
      <c r="O71" s="72"/>
      <c r="P71" s="205"/>
      <c r="Q71" s="272"/>
      <c r="R71" s="439"/>
      <c r="T71" s="224"/>
      <c r="AG71" s="224"/>
      <c r="AI71" s="224"/>
    </row>
    <row r="72" spans="1:35" s="273" customFormat="1" hidden="1" x14ac:dyDescent="0.25">
      <c r="A72" s="350"/>
      <c r="B72" s="317"/>
      <c r="C72" s="318">
        <v>1</v>
      </c>
      <c r="D72" s="83" t="s">
        <v>104</v>
      </c>
      <c r="E72" s="242">
        <v>3</v>
      </c>
      <c r="F72" s="302">
        <v>3</v>
      </c>
      <c r="G72" s="77" t="s">
        <v>28</v>
      </c>
      <c r="H72" s="74"/>
      <c r="I72" s="74">
        <f>F72*H72</f>
        <v>0</v>
      </c>
      <c r="J72" s="74"/>
      <c r="K72" s="74">
        <f t="shared" ref="K72" si="41">F72*J72</f>
        <v>0</v>
      </c>
      <c r="L72" s="72">
        <f t="shared" ref="L72" si="42">I72+K72</f>
        <v>0</v>
      </c>
      <c r="M72" s="74">
        <f t="shared" ref="M72:M81" si="43">H72/$P$264*$P$272</f>
        <v>0</v>
      </c>
      <c r="N72" s="74">
        <f t="shared" ref="N72:N81" si="44">J72/$P$264*$P$272</f>
        <v>0</v>
      </c>
      <c r="O72" s="72">
        <f t="shared" si="27"/>
        <v>0</v>
      </c>
      <c r="P72" s="205">
        <f t="shared" si="28"/>
        <v>0</v>
      </c>
      <c r="Q72" s="272">
        <f t="shared" ref="Q72:Q81" si="45">L72/$P$264*$P$272</f>
        <v>0</v>
      </c>
      <c r="R72" s="439">
        <f t="shared" si="29"/>
        <v>0</v>
      </c>
      <c r="T72" s="224"/>
      <c r="AG72" s="224"/>
      <c r="AI72" s="224"/>
    </row>
    <row r="73" spans="1:35" s="273" customFormat="1" hidden="1" x14ac:dyDescent="0.25">
      <c r="A73" s="350"/>
      <c r="B73" s="319"/>
      <c r="C73" s="318"/>
      <c r="D73" s="83" t="s">
        <v>324</v>
      </c>
      <c r="E73" s="242"/>
      <c r="F73" s="302"/>
      <c r="G73" s="75"/>
      <c r="H73" s="74"/>
      <c r="I73" s="74"/>
      <c r="J73" s="74"/>
      <c r="K73" s="74"/>
      <c r="L73" s="74"/>
      <c r="M73" s="74">
        <f t="shared" si="43"/>
        <v>0</v>
      </c>
      <c r="N73" s="74">
        <f t="shared" si="44"/>
        <v>0</v>
      </c>
      <c r="O73" s="72">
        <f t="shared" si="27"/>
        <v>0</v>
      </c>
      <c r="P73" s="205">
        <f t="shared" si="28"/>
        <v>0</v>
      </c>
      <c r="Q73" s="272">
        <f t="shared" si="45"/>
        <v>0</v>
      </c>
      <c r="R73" s="439">
        <f t="shared" si="29"/>
        <v>0</v>
      </c>
      <c r="T73" s="224"/>
    </row>
    <row r="74" spans="1:35" s="273" customFormat="1" hidden="1" x14ac:dyDescent="0.25">
      <c r="A74" s="350"/>
      <c r="B74" s="317"/>
      <c r="C74" s="318">
        <v>2</v>
      </c>
      <c r="D74" s="83" t="s">
        <v>105</v>
      </c>
      <c r="E74" s="242">
        <v>1</v>
      </c>
      <c r="F74" s="302">
        <v>1</v>
      </c>
      <c r="G74" s="77" t="s">
        <v>55</v>
      </c>
      <c r="H74" s="74"/>
      <c r="I74" s="74">
        <f>F74*H74</f>
        <v>0</v>
      </c>
      <c r="J74" s="74"/>
      <c r="K74" s="74">
        <f t="shared" ref="K74" si="46">F74*J74</f>
        <v>0</v>
      </c>
      <c r="L74" s="72">
        <f t="shared" ref="L74" si="47">I74+K74</f>
        <v>0</v>
      </c>
      <c r="M74" s="74">
        <f t="shared" si="43"/>
        <v>0</v>
      </c>
      <c r="N74" s="74">
        <f t="shared" si="44"/>
        <v>0</v>
      </c>
      <c r="O74" s="72">
        <f t="shared" si="27"/>
        <v>0</v>
      </c>
      <c r="P74" s="205">
        <f t="shared" si="28"/>
        <v>0</v>
      </c>
      <c r="Q74" s="272">
        <f t="shared" si="45"/>
        <v>0</v>
      </c>
      <c r="R74" s="439">
        <f t="shared" si="29"/>
        <v>0</v>
      </c>
      <c r="T74" s="224"/>
    </row>
    <row r="75" spans="1:35" s="273" customFormat="1" hidden="1" x14ac:dyDescent="0.25">
      <c r="A75" s="350"/>
      <c r="B75" s="319"/>
      <c r="C75" s="318"/>
      <c r="D75" s="83" t="s">
        <v>325</v>
      </c>
      <c r="E75" s="242"/>
      <c r="F75" s="302"/>
      <c r="G75" s="75"/>
      <c r="H75" s="74"/>
      <c r="I75" s="74"/>
      <c r="J75" s="74"/>
      <c r="K75" s="74"/>
      <c r="L75" s="74"/>
      <c r="M75" s="74">
        <f t="shared" si="43"/>
        <v>0</v>
      </c>
      <c r="N75" s="74">
        <f t="shared" si="44"/>
        <v>0</v>
      </c>
      <c r="O75" s="72">
        <f t="shared" si="27"/>
        <v>0</v>
      </c>
      <c r="P75" s="205">
        <f t="shared" si="28"/>
        <v>0</v>
      </c>
      <c r="Q75" s="272">
        <f t="shared" si="45"/>
        <v>0</v>
      </c>
      <c r="R75" s="439">
        <f t="shared" si="29"/>
        <v>0</v>
      </c>
      <c r="T75" s="224"/>
      <c r="AG75" s="224"/>
      <c r="AI75" s="224"/>
    </row>
    <row r="76" spans="1:35" s="273" customFormat="1" x14ac:dyDescent="0.25">
      <c r="A76" s="350"/>
      <c r="B76" s="317"/>
      <c r="C76" s="318">
        <v>1</v>
      </c>
      <c r="D76" s="83" t="s">
        <v>106</v>
      </c>
      <c r="E76" s="242">
        <v>2</v>
      </c>
      <c r="F76" s="302">
        <v>2</v>
      </c>
      <c r="G76" s="77" t="s">
        <v>28</v>
      </c>
      <c r="H76" s="74">
        <f>(4000+1750+1000)/1.03</f>
        <v>6553.3980582524273</v>
      </c>
      <c r="I76" s="74">
        <f t="shared" ref="I76:I81" si="48">F76*H76</f>
        <v>13106.796116504855</v>
      </c>
      <c r="J76" s="74">
        <v>700</v>
      </c>
      <c r="K76" s="74">
        <f t="shared" ref="K76:K81" si="49">F76*J76</f>
        <v>1400</v>
      </c>
      <c r="L76" s="72">
        <f t="shared" ref="L76:L81" si="50">I76+K76</f>
        <v>14506.796116504855</v>
      </c>
      <c r="M76" s="74">
        <f t="shared" si="43"/>
        <v>9052.9710961189503</v>
      </c>
      <c r="N76" s="74">
        <f t="shared" si="44"/>
        <v>966.99143115581683</v>
      </c>
      <c r="O76" s="72">
        <f t="shared" si="27"/>
        <v>10019.962527274767</v>
      </c>
      <c r="P76" s="205">
        <f t="shared" si="28"/>
        <v>20039.925054549534</v>
      </c>
      <c r="Q76" s="272">
        <f t="shared" si="45"/>
        <v>20039.925054549534</v>
      </c>
      <c r="R76" s="439">
        <f t="shared" si="29"/>
        <v>0</v>
      </c>
      <c r="T76" s="224"/>
      <c r="W76" s="878" t="s">
        <v>254</v>
      </c>
      <c r="X76" s="878"/>
      <c r="Y76" s="878"/>
      <c r="Z76" s="878"/>
      <c r="AA76" s="878"/>
      <c r="AB76" s="878"/>
      <c r="AC76" s="124" t="s">
        <v>255</v>
      </c>
      <c r="AD76" s="844">
        <v>0.25</v>
      </c>
      <c r="AE76" s="844">
        <v>0.35</v>
      </c>
      <c r="AF76" s="123">
        <f>37/1.06</f>
        <v>34.905660377358487</v>
      </c>
      <c r="AG76" s="196">
        <f>AF76*AE76</f>
        <v>12.216981132075469</v>
      </c>
      <c r="AH76" s="844"/>
      <c r="AI76" s="219">
        <f>AH76*AE76</f>
        <v>0</v>
      </c>
    </row>
    <row r="77" spans="1:35" s="273" customFormat="1" x14ac:dyDescent="0.25">
      <c r="A77" s="350"/>
      <c r="B77" s="317"/>
      <c r="C77" s="318">
        <v>2</v>
      </c>
      <c r="D77" s="83" t="s">
        <v>107</v>
      </c>
      <c r="E77" s="242">
        <v>4</v>
      </c>
      <c r="F77" s="302">
        <v>4</v>
      </c>
      <c r="G77" s="77" t="s">
        <v>28</v>
      </c>
      <c r="H77" s="74">
        <f>(4000+1750+1000)/1.03</f>
        <v>6553.3980582524273</v>
      </c>
      <c r="I77" s="74">
        <f t="shared" si="48"/>
        <v>26213.592233009709</v>
      </c>
      <c r="J77" s="74">
        <f>J76</f>
        <v>700</v>
      </c>
      <c r="K77" s="74">
        <f t="shared" si="49"/>
        <v>2800</v>
      </c>
      <c r="L77" s="72">
        <f t="shared" si="50"/>
        <v>29013.592233009709</v>
      </c>
      <c r="M77" s="74">
        <f t="shared" si="43"/>
        <v>9052.9710961189503</v>
      </c>
      <c r="N77" s="74">
        <f t="shared" si="44"/>
        <v>966.99143115581683</v>
      </c>
      <c r="O77" s="72">
        <f t="shared" si="27"/>
        <v>10019.962527274767</v>
      </c>
      <c r="P77" s="205">
        <f t="shared" si="28"/>
        <v>40079.850109099069</v>
      </c>
      <c r="Q77" s="272">
        <f t="shared" si="45"/>
        <v>40079.850109099069</v>
      </c>
      <c r="R77" s="439">
        <f t="shared" si="29"/>
        <v>0</v>
      </c>
      <c r="T77" s="224"/>
      <c r="W77" s="878" t="s">
        <v>256</v>
      </c>
      <c r="X77" s="878"/>
      <c r="Y77" s="878"/>
      <c r="Z77" s="878"/>
      <c r="AA77" s="878"/>
      <c r="AB77" s="878"/>
      <c r="AC77" s="124" t="s">
        <v>257</v>
      </c>
      <c r="AD77" s="844">
        <v>1</v>
      </c>
      <c r="AE77" s="844">
        <v>1</v>
      </c>
      <c r="AF77" s="123">
        <f>AQ68</f>
        <v>0</v>
      </c>
      <c r="AG77" s="196">
        <f>AF77*AE77</f>
        <v>0</v>
      </c>
      <c r="AH77" s="844"/>
      <c r="AI77" s="219">
        <f>AH77*AE77</f>
        <v>0</v>
      </c>
    </row>
    <row r="78" spans="1:35" s="273" customFormat="1" x14ac:dyDescent="0.25">
      <c r="A78" s="350"/>
      <c r="B78" s="317"/>
      <c r="C78" s="318">
        <v>3</v>
      </c>
      <c r="D78" s="83" t="s">
        <v>326</v>
      </c>
      <c r="E78" s="242">
        <v>7</v>
      </c>
      <c r="F78" s="302">
        <v>7</v>
      </c>
      <c r="G78" s="77" t="s">
        <v>28</v>
      </c>
      <c r="H78" s="74">
        <f>(6000+1750+1000)/1.03</f>
        <v>8495.1456310679605</v>
      </c>
      <c r="I78" s="74">
        <f t="shared" si="48"/>
        <v>59466.01941747572</v>
      </c>
      <c r="J78" s="74">
        <f>J77</f>
        <v>700</v>
      </c>
      <c r="K78" s="74">
        <f t="shared" si="49"/>
        <v>4900</v>
      </c>
      <c r="L78" s="72">
        <f t="shared" si="50"/>
        <v>64366.01941747572</v>
      </c>
      <c r="M78" s="74">
        <f t="shared" si="43"/>
        <v>11735.332902376418</v>
      </c>
      <c r="N78" s="74">
        <f t="shared" si="44"/>
        <v>966.99143115581683</v>
      </c>
      <c r="O78" s="72">
        <f t="shared" si="27"/>
        <v>12702.324333532235</v>
      </c>
      <c r="P78" s="205">
        <f t="shared" si="28"/>
        <v>88916.270334725647</v>
      </c>
      <c r="Q78" s="272">
        <f t="shared" si="45"/>
        <v>88916.270334725647</v>
      </c>
      <c r="R78" s="439">
        <f t="shared" si="29"/>
        <v>0</v>
      </c>
      <c r="T78" s="224"/>
      <c r="W78" s="126"/>
      <c r="X78" s="126"/>
      <c r="Y78" s="126"/>
      <c r="Z78" s="126"/>
      <c r="AA78" s="126"/>
      <c r="AB78" s="126"/>
      <c r="AC78" s="126"/>
      <c r="AD78" s="844"/>
      <c r="AE78" s="844"/>
      <c r="AF78" s="123"/>
      <c r="AG78" s="212">
        <f>SUM(AG74:AG77)</f>
        <v>12.216981132075469</v>
      </c>
      <c r="AH78" s="843"/>
      <c r="AI78" s="212">
        <f>SUM(AI74:AI77)</f>
        <v>0</v>
      </c>
    </row>
    <row r="79" spans="1:35" s="273" customFormat="1" x14ac:dyDescent="0.25">
      <c r="A79" s="350"/>
      <c r="B79" s="317"/>
      <c r="C79" s="318">
        <v>4</v>
      </c>
      <c r="D79" s="83" t="s">
        <v>327</v>
      </c>
      <c r="E79" s="242">
        <v>1</v>
      </c>
      <c r="F79" s="302">
        <v>1</v>
      </c>
      <c r="G79" s="77" t="s">
        <v>55</v>
      </c>
      <c r="H79" s="74">
        <f>(6000+1750+1000)/1.03</f>
        <v>8495.1456310679605</v>
      </c>
      <c r="I79" s="74">
        <f t="shared" si="48"/>
        <v>8495.1456310679605</v>
      </c>
      <c r="J79" s="74">
        <f>J78</f>
        <v>700</v>
      </c>
      <c r="K79" s="74">
        <f t="shared" si="49"/>
        <v>700</v>
      </c>
      <c r="L79" s="72">
        <f t="shared" si="50"/>
        <v>9195.1456310679605</v>
      </c>
      <c r="M79" s="74">
        <f t="shared" si="43"/>
        <v>11735.332902376418</v>
      </c>
      <c r="N79" s="74">
        <f t="shared" si="44"/>
        <v>966.99143115581683</v>
      </c>
      <c r="O79" s="72">
        <f t="shared" si="27"/>
        <v>12702.324333532235</v>
      </c>
      <c r="P79" s="205">
        <f t="shared" si="28"/>
        <v>12702.324333532235</v>
      </c>
      <c r="Q79" s="272">
        <f t="shared" si="45"/>
        <v>12702.324333532233</v>
      </c>
      <c r="R79" s="439">
        <f t="shared" si="29"/>
        <v>0</v>
      </c>
      <c r="T79" s="224"/>
      <c r="AG79" s="224"/>
      <c r="AI79" s="224"/>
    </row>
    <row r="80" spans="1:35" s="273" customFormat="1" x14ac:dyDescent="0.25">
      <c r="A80" s="350"/>
      <c r="B80" s="317"/>
      <c r="C80" s="318">
        <v>5</v>
      </c>
      <c r="D80" s="83" t="s">
        <v>328</v>
      </c>
      <c r="E80" s="242">
        <v>2</v>
      </c>
      <c r="F80" s="302">
        <v>2</v>
      </c>
      <c r="G80" s="77" t="s">
        <v>28</v>
      </c>
      <c r="H80" s="74">
        <f>(5000+1550+1000)/1.03</f>
        <v>7330.0970873786409</v>
      </c>
      <c r="I80" s="74">
        <f t="shared" si="48"/>
        <v>14660.194174757282</v>
      </c>
      <c r="J80" s="74">
        <v>650</v>
      </c>
      <c r="K80" s="74">
        <f t="shared" si="49"/>
        <v>1300</v>
      </c>
      <c r="L80" s="72">
        <f t="shared" si="50"/>
        <v>15960.194174757282</v>
      </c>
      <c r="M80" s="74">
        <f t="shared" si="43"/>
        <v>10125.915818621939</v>
      </c>
      <c r="N80" s="74">
        <f t="shared" si="44"/>
        <v>897.92061464468702</v>
      </c>
      <c r="O80" s="72">
        <f t="shared" si="27"/>
        <v>11023.836433266626</v>
      </c>
      <c r="P80" s="205">
        <f t="shared" si="28"/>
        <v>22047.672866533252</v>
      </c>
      <c r="Q80" s="272">
        <f t="shared" si="45"/>
        <v>22047.672866533248</v>
      </c>
      <c r="R80" s="439">
        <f t="shared" si="29"/>
        <v>0</v>
      </c>
      <c r="T80" s="224"/>
      <c r="W80" s="904" t="s">
        <v>295</v>
      </c>
      <c r="X80" s="904"/>
      <c r="Y80" s="904"/>
      <c r="Z80" s="904"/>
      <c r="AA80" s="904"/>
      <c r="AB80" s="904"/>
      <c r="AC80" s="843" t="s">
        <v>243</v>
      </c>
      <c r="AD80" s="843" t="s">
        <v>244</v>
      </c>
      <c r="AE80" s="843" t="s">
        <v>245</v>
      </c>
      <c r="AF80" s="123" t="s">
        <v>246</v>
      </c>
      <c r="AG80" s="196" t="s">
        <v>247</v>
      </c>
      <c r="AH80" s="843" t="s">
        <v>248</v>
      </c>
      <c r="AI80" s="212" t="s">
        <v>249</v>
      </c>
    </row>
    <row r="81" spans="1:35" s="273" customFormat="1" x14ac:dyDescent="0.25">
      <c r="A81" s="350"/>
      <c r="B81" s="317"/>
      <c r="C81" s="318">
        <v>6</v>
      </c>
      <c r="D81" s="83" t="s">
        <v>111</v>
      </c>
      <c r="E81" s="242">
        <v>3</v>
      </c>
      <c r="F81" s="302">
        <v>3</v>
      </c>
      <c r="G81" s="77" t="s">
        <v>28</v>
      </c>
      <c r="H81" s="74">
        <f>8350/1.06</f>
        <v>7877.3584905660373</v>
      </c>
      <c r="I81" s="74">
        <f t="shared" si="48"/>
        <v>23632.07547169811</v>
      </c>
      <c r="J81" s="74">
        <v>700</v>
      </c>
      <c r="K81" s="74">
        <f t="shared" si="49"/>
        <v>2100</v>
      </c>
      <c r="L81" s="72">
        <f t="shared" si="50"/>
        <v>25732.07547169811</v>
      </c>
      <c r="M81" s="74">
        <f t="shared" si="43"/>
        <v>10881.911657885541</v>
      </c>
      <c r="N81" s="74">
        <f t="shared" si="44"/>
        <v>966.99143115581683</v>
      </c>
      <c r="O81" s="72">
        <f t="shared" si="27"/>
        <v>11848.903089041358</v>
      </c>
      <c r="P81" s="205">
        <f t="shared" si="28"/>
        <v>35546.709267124075</v>
      </c>
      <c r="Q81" s="272">
        <f t="shared" si="45"/>
        <v>35546.709267124068</v>
      </c>
      <c r="R81" s="439">
        <f t="shared" si="29"/>
        <v>0</v>
      </c>
      <c r="T81" s="224"/>
      <c r="W81" s="878" t="s">
        <v>271</v>
      </c>
      <c r="X81" s="878"/>
      <c r="Y81" s="878"/>
      <c r="Z81" s="878"/>
      <c r="AA81" s="878"/>
      <c r="AB81" s="878"/>
      <c r="AC81" s="124" t="s">
        <v>251</v>
      </c>
      <c r="AD81" s="844">
        <v>8.33</v>
      </c>
      <c r="AE81" s="844">
        <v>9</v>
      </c>
      <c r="AF81" s="123">
        <f>143/1.02</f>
        <v>140.19607843137254</v>
      </c>
      <c r="AG81" s="196">
        <f>AF81*AE81</f>
        <v>1261.7647058823529</v>
      </c>
      <c r="AH81" s="844">
        <v>23.9</v>
      </c>
      <c r="AI81" s="219">
        <f>AH81*AE81</f>
        <v>215.1</v>
      </c>
    </row>
    <row r="82" spans="1:35" s="273" customFormat="1" x14ac:dyDescent="0.25">
      <c r="A82" s="350"/>
      <c r="B82" s="319"/>
      <c r="C82" s="318"/>
      <c r="D82" s="83" t="s">
        <v>49</v>
      </c>
      <c r="E82" s="242"/>
      <c r="F82" s="302"/>
      <c r="G82" s="75"/>
      <c r="H82" s="74"/>
      <c r="I82" s="74"/>
      <c r="J82" s="74"/>
      <c r="K82" s="74"/>
      <c r="L82" s="74"/>
      <c r="M82" s="74"/>
      <c r="N82" s="74"/>
      <c r="O82" s="72"/>
      <c r="P82" s="205"/>
      <c r="Q82" s="272"/>
      <c r="R82" s="439"/>
      <c r="T82" s="224"/>
      <c r="W82" s="878" t="s">
        <v>252</v>
      </c>
      <c r="X82" s="878"/>
      <c r="Y82" s="878"/>
      <c r="Z82" s="878"/>
      <c r="AA82" s="878"/>
      <c r="AB82" s="878"/>
      <c r="AC82" s="124" t="s">
        <v>253</v>
      </c>
      <c r="AD82" s="844">
        <v>0.25</v>
      </c>
      <c r="AE82" s="844">
        <v>0.25</v>
      </c>
      <c r="AF82" s="123">
        <f>AF75</f>
        <v>0</v>
      </c>
      <c r="AG82" s="196">
        <f>AF82*AE82</f>
        <v>0</v>
      </c>
      <c r="AH82" s="844"/>
      <c r="AI82" s="219">
        <f>AH82*AE82</f>
        <v>0</v>
      </c>
    </row>
    <row r="83" spans="1:35" s="273" customFormat="1" x14ac:dyDescent="0.25">
      <c r="A83" s="350"/>
      <c r="B83" s="317"/>
      <c r="C83" s="318">
        <v>7</v>
      </c>
      <c r="D83" s="83" t="s">
        <v>112</v>
      </c>
      <c r="E83" s="242">
        <v>1</v>
      </c>
      <c r="F83" s="302">
        <v>1</v>
      </c>
      <c r="G83" s="77" t="s">
        <v>55</v>
      </c>
      <c r="H83" s="74">
        <f>9100/1.06</f>
        <v>8584.9056603773588</v>
      </c>
      <c r="I83" s="74">
        <f>F83*H83</f>
        <v>8584.9056603773588</v>
      </c>
      <c r="J83" s="74">
        <f>J81</f>
        <v>700</v>
      </c>
      <c r="K83" s="74">
        <f t="shared" ref="K83" si="51">F83*J83</f>
        <v>700</v>
      </c>
      <c r="L83" s="72">
        <f t="shared" ref="L83" si="52">I83+K83</f>
        <v>9284.9056603773588</v>
      </c>
      <c r="M83" s="74">
        <f>H83/$P$264*$P$272</f>
        <v>11859.328872665677</v>
      </c>
      <c r="N83" s="74">
        <f>J83/$P$264*$P$272</f>
        <v>966.99143115581683</v>
      </c>
      <c r="O83" s="72">
        <f t="shared" si="27"/>
        <v>12826.320303821494</v>
      </c>
      <c r="P83" s="205">
        <f t="shared" si="28"/>
        <v>12826.320303821494</v>
      </c>
      <c r="Q83" s="272">
        <f>L83/$P$264*$P$272</f>
        <v>12826.320303821496</v>
      </c>
      <c r="R83" s="439">
        <f t="shared" si="29"/>
        <v>0</v>
      </c>
      <c r="T83" s="224"/>
      <c r="W83" s="878" t="s">
        <v>254</v>
      </c>
      <c r="X83" s="878"/>
      <c r="Y83" s="878"/>
      <c r="Z83" s="878"/>
      <c r="AA83" s="878"/>
      <c r="AB83" s="878"/>
      <c r="AC83" s="124" t="s">
        <v>255</v>
      </c>
      <c r="AD83" s="844">
        <v>0.25</v>
      </c>
      <c r="AE83" s="844">
        <v>0.35</v>
      </c>
      <c r="AF83" s="123">
        <f>37/1.06</f>
        <v>34.905660377358487</v>
      </c>
      <c r="AG83" s="196">
        <f>AF83*AE83</f>
        <v>12.216981132075469</v>
      </c>
      <c r="AH83" s="844"/>
      <c r="AI83" s="219">
        <f>AH83*AE83</f>
        <v>0</v>
      </c>
    </row>
    <row r="84" spans="1:35" s="273" customFormat="1" x14ac:dyDescent="0.25">
      <c r="A84" s="350"/>
      <c r="B84" s="319"/>
      <c r="C84" s="318"/>
      <c r="D84" s="83" t="s">
        <v>50</v>
      </c>
      <c r="E84" s="242"/>
      <c r="F84" s="302"/>
      <c r="G84" s="75"/>
      <c r="H84" s="74"/>
      <c r="I84" s="74"/>
      <c r="J84" s="74"/>
      <c r="K84" s="74"/>
      <c r="L84" s="74"/>
      <c r="M84" s="74"/>
      <c r="N84" s="74"/>
      <c r="O84" s="72"/>
      <c r="P84" s="205"/>
      <c r="Q84" s="272"/>
      <c r="R84" s="439"/>
      <c r="T84" s="224"/>
      <c r="W84" s="878" t="s">
        <v>256</v>
      </c>
      <c r="X84" s="878"/>
      <c r="Y84" s="878"/>
      <c r="Z84" s="878"/>
      <c r="AA84" s="878"/>
      <c r="AB84" s="878"/>
      <c r="AC84" s="124" t="s">
        <v>257</v>
      </c>
      <c r="AD84" s="844">
        <v>1</v>
      </c>
      <c r="AE84" s="844">
        <v>1</v>
      </c>
      <c r="AF84" s="123">
        <v>0</v>
      </c>
      <c r="AG84" s="196">
        <f>AF84*AE84</f>
        <v>0</v>
      </c>
      <c r="AH84" s="844">
        <v>0</v>
      </c>
      <c r="AI84" s="219">
        <f>AH84*AE84</f>
        <v>0</v>
      </c>
    </row>
    <row r="85" spans="1:35" s="273" customFormat="1" x14ac:dyDescent="0.25">
      <c r="A85" s="350"/>
      <c r="B85" s="319"/>
      <c r="C85" s="318"/>
      <c r="D85" s="82"/>
      <c r="E85" s="242"/>
      <c r="F85" s="302"/>
      <c r="G85" s="75"/>
      <c r="H85" s="440">
        <v>1.07</v>
      </c>
      <c r="I85" s="74"/>
      <c r="J85" s="440"/>
      <c r="K85" s="74"/>
      <c r="L85" s="74"/>
      <c r="M85" s="74"/>
      <c r="N85" s="74"/>
      <c r="O85" s="72"/>
      <c r="P85" s="205"/>
      <c r="Q85" s="272"/>
      <c r="R85" s="439"/>
      <c r="T85" s="224"/>
      <c r="AG85" s="224"/>
      <c r="AI85" s="224"/>
    </row>
    <row r="86" spans="1:35" s="273" customFormat="1" hidden="1" x14ac:dyDescent="0.25">
      <c r="A86" s="411"/>
      <c r="B86" s="412" t="s">
        <v>329</v>
      </c>
      <c r="C86" s="413" t="s">
        <v>510</v>
      </c>
      <c r="D86" s="82"/>
      <c r="E86" s="242"/>
      <c r="F86" s="302"/>
      <c r="G86" s="75"/>
      <c r="H86" s="74"/>
      <c r="I86" s="74"/>
      <c r="J86" s="74"/>
      <c r="K86" s="74"/>
      <c r="L86" s="74"/>
      <c r="M86" s="74"/>
      <c r="N86" s="74"/>
      <c r="O86" s="72"/>
      <c r="P86" s="205"/>
      <c r="Q86" s="272"/>
      <c r="R86" s="439"/>
      <c r="T86" s="224"/>
      <c r="AG86" s="224"/>
      <c r="AI86" s="224"/>
    </row>
    <row r="87" spans="1:35" s="273" customFormat="1" ht="15" hidden="1" customHeight="1" x14ac:dyDescent="0.25">
      <c r="A87" s="350"/>
      <c r="B87" s="317"/>
      <c r="C87" s="318">
        <v>1</v>
      </c>
      <c r="D87" s="84" t="s">
        <v>113</v>
      </c>
      <c r="E87" s="243">
        <v>1</v>
      </c>
      <c r="F87" s="302">
        <v>1</v>
      </c>
      <c r="G87" s="77" t="s">
        <v>55</v>
      </c>
      <c r="H87" s="72"/>
      <c r="I87" s="74">
        <f>F87*H87</f>
        <v>0</v>
      </c>
      <c r="J87" s="72"/>
      <c r="K87" s="74">
        <f t="shared" ref="K87" si="53">F87*J87</f>
        <v>0</v>
      </c>
      <c r="L87" s="72">
        <f t="shared" ref="L87" si="54">I87+K87</f>
        <v>0</v>
      </c>
      <c r="M87" s="74"/>
      <c r="N87" s="74"/>
      <c r="O87" s="72"/>
      <c r="P87" s="205"/>
      <c r="Q87" s="272"/>
      <c r="R87" s="439"/>
      <c r="S87" s="72">
        <f>278766*0.85</f>
        <v>236951.1</v>
      </c>
      <c r="T87" s="72">
        <f>278766*0.15</f>
        <v>41814.9</v>
      </c>
    </row>
    <row r="88" spans="1:35" s="273" customFormat="1" ht="15" hidden="1" customHeight="1" x14ac:dyDescent="0.25">
      <c r="A88" s="350"/>
      <c r="B88" s="319"/>
      <c r="C88" s="318"/>
      <c r="D88" s="84" t="s">
        <v>54</v>
      </c>
      <c r="E88" s="243"/>
      <c r="F88" s="302"/>
      <c r="G88" s="77"/>
      <c r="H88" s="74"/>
      <c r="I88" s="74"/>
      <c r="J88" s="74"/>
      <c r="K88" s="74"/>
      <c r="L88" s="74"/>
      <c r="M88" s="74"/>
      <c r="N88" s="74"/>
      <c r="O88" s="72"/>
      <c r="P88" s="205"/>
      <c r="Q88" s="272"/>
      <c r="R88" s="439"/>
      <c r="S88" s="74"/>
      <c r="T88" s="74"/>
    </row>
    <row r="89" spans="1:35" s="273" customFormat="1" ht="15" hidden="1" customHeight="1" x14ac:dyDescent="0.25">
      <c r="A89" s="350"/>
      <c r="B89" s="317"/>
      <c r="C89" s="318">
        <v>2</v>
      </c>
      <c r="D89" s="84" t="s">
        <v>114</v>
      </c>
      <c r="E89" s="243">
        <v>1</v>
      </c>
      <c r="F89" s="302">
        <v>1</v>
      </c>
      <c r="G89" s="77" t="s">
        <v>55</v>
      </c>
      <c r="H89" s="72"/>
      <c r="I89" s="74">
        <f>F89*H89</f>
        <v>0</v>
      </c>
      <c r="J89" s="72"/>
      <c r="K89" s="74">
        <f t="shared" ref="K89" si="55">F89*J89</f>
        <v>0</v>
      </c>
      <c r="L89" s="72">
        <f t="shared" ref="L89" si="56">I89+K89</f>
        <v>0</v>
      </c>
      <c r="M89" s="74"/>
      <c r="N89" s="74"/>
      <c r="O89" s="72"/>
      <c r="P89" s="205"/>
      <c r="Q89" s="272"/>
      <c r="R89" s="439"/>
      <c r="S89" s="72">
        <f>120447*0.85</f>
        <v>102379.95</v>
      </c>
      <c r="T89" s="72">
        <f>120447*0.15</f>
        <v>18067.05</v>
      </c>
    </row>
    <row r="90" spans="1:35" s="273" customFormat="1" ht="15" hidden="1" customHeight="1" x14ac:dyDescent="0.25">
      <c r="A90" s="350"/>
      <c r="B90" s="319"/>
      <c r="C90" s="318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4"/>
      <c r="N90" s="74"/>
      <c r="O90" s="72"/>
      <c r="P90" s="205"/>
      <c r="Q90" s="272"/>
      <c r="R90" s="439"/>
      <c r="S90" s="74"/>
      <c r="T90" s="74"/>
    </row>
    <row r="91" spans="1:35" s="273" customFormat="1" ht="15" hidden="1" customHeight="1" x14ac:dyDescent="0.25">
      <c r="A91" s="350"/>
      <c r="B91" s="317"/>
      <c r="C91" s="318">
        <v>3</v>
      </c>
      <c r="D91" s="84" t="s">
        <v>115</v>
      </c>
      <c r="E91" s="243">
        <v>1</v>
      </c>
      <c r="F91" s="302">
        <v>1</v>
      </c>
      <c r="G91" s="77" t="s">
        <v>55</v>
      </c>
      <c r="H91" s="72"/>
      <c r="I91" s="74">
        <f>F91*H91</f>
        <v>0</v>
      </c>
      <c r="J91" s="72"/>
      <c r="K91" s="74">
        <f t="shared" ref="K91" si="57">F91*J91</f>
        <v>0</v>
      </c>
      <c r="L91" s="72">
        <f t="shared" ref="L91" si="58">I91+K91</f>
        <v>0</v>
      </c>
      <c r="M91" s="74"/>
      <c r="N91" s="74"/>
      <c r="O91" s="72"/>
      <c r="P91" s="205"/>
      <c r="Q91" s="272"/>
      <c r="R91" s="439"/>
      <c r="S91" s="72">
        <f>95427.5*0.85</f>
        <v>81113.375</v>
      </c>
      <c r="T91" s="72">
        <f>95427.5*0.15</f>
        <v>14314.125</v>
      </c>
    </row>
    <row r="92" spans="1:35" s="273" customFormat="1" ht="15" hidden="1" customHeight="1" x14ac:dyDescent="0.25">
      <c r="A92" s="350"/>
      <c r="B92" s="319"/>
      <c r="C92" s="318"/>
      <c r="D92" s="84" t="s">
        <v>37</v>
      </c>
      <c r="E92" s="243"/>
      <c r="F92" s="302"/>
      <c r="G92" s="77"/>
      <c r="H92" s="74"/>
      <c r="I92" s="74"/>
      <c r="J92" s="74"/>
      <c r="K92" s="74"/>
      <c r="L92" s="74"/>
      <c r="M92" s="74"/>
      <c r="N92" s="74"/>
      <c r="O92" s="72"/>
      <c r="P92" s="205"/>
      <c r="Q92" s="272"/>
      <c r="R92" s="439"/>
      <c r="S92" s="74"/>
      <c r="T92" s="74"/>
    </row>
    <row r="93" spans="1:35" s="273" customFormat="1" ht="15" hidden="1" customHeight="1" x14ac:dyDescent="0.25">
      <c r="A93" s="350"/>
      <c r="B93" s="317"/>
      <c r="C93" s="318">
        <v>4</v>
      </c>
      <c r="D93" s="84" t="s">
        <v>116</v>
      </c>
      <c r="E93" s="243">
        <v>1</v>
      </c>
      <c r="F93" s="302">
        <v>1</v>
      </c>
      <c r="G93" s="77" t="s">
        <v>55</v>
      </c>
      <c r="H93" s="72"/>
      <c r="I93" s="74">
        <f>F93*H93</f>
        <v>0</v>
      </c>
      <c r="J93" s="72"/>
      <c r="K93" s="74">
        <f t="shared" ref="K93" si="59">F93*J93</f>
        <v>0</v>
      </c>
      <c r="L93" s="72">
        <f t="shared" ref="L93" si="60">I93+K93</f>
        <v>0</v>
      </c>
      <c r="M93" s="74"/>
      <c r="N93" s="74"/>
      <c r="O93" s="72"/>
      <c r="P93" s="205"/>
      <c r="Q93" s="272"/>
      <c r="R93" s="439"/>
      <c r="S93" s="72">
        <f>45342*0.85</f>
        <v>38540.699999999997</v>
      </c>
      <c r="T93" s="72">
        <f>45342*0.15</f>
        <v>6801.3</v>
      </c>
    </row>
    <row r="94" spans="1:35" s="273" customFormat="1" ht="15" hidden="1" customHeight="1" x14ac:dyDescent="0.25">
      <c r="A94" s="350"/>
      <c r="B94" s="319"/>
      <c r="C94" s="318"/>
      <c r="D94" s="84" t="s">
        <v>37</v>
      </c>
      <c r="E94" s="243"/>
      <c r="F94" s="302"/>
      <c r="G94" s="77"/>
      <c r="H94" s="74"/>
      <c r="I94" s="74"/>
      <c r="J94" s="74"/>
      <c r="K94" s="74"/>
      <c r="L94" s="74"/>
      <c r="M94" s="74"/>
      <c r="N94" s="74"/>
      <c r="O94" s="72"/>
      <c r="P94" s="205"/>
      <c r="Q94" s="272"/>
      <c r="R94" s="439"/>
      <c r="S94" s="74"/>
      <c r="T94" s="74"/>
    </row>
    <row r="95" spans="1:35" s="273" customFormat="1" ht="15" hidden="1" customHeight="1" x14ac:dyDescent="0.25">
      <c r="A95" s="350"/>
      <c r="B95" s="317"/>
      <c r="C95" s="318">
        <v>5</v>
      </c>
      <c r="D95" s="84" t="s">
        <v>117</v>
      </c>
      <c r="E95" s="243">
        <v>2</v>
      </c>
      <c r="F95" s="302">
        <v>2</v>
      </c>
      <c r="G95" s="77" t="s">
        <v>28</v>
      </c>
      <c r="H95" s="72"/>
      <c r="I95" s="74">
        <f>F95*H95</f>
        <v>0</v>
      </c>
      <c r="J95" s="72"/>
      <c r="K95" s="74">
        <f t="shared" ref="K95" si="61">F95*J95</f>
        <v>0</v>
      </c>
      <c r="L95" s="72">
        <f t="shared" ref="L95" si="62">I95+K95</f>
        <v>0</v>
      </c>
      <c r="M95" s="74"/>
      <c r="N95" s="74"/>
      <c r="O95" s="72"/>
      <c r="P95" s="205"/>
      <c r="Q95" s="272"/>
      <c r="R95" s="439"/>
      <c r="S95" s="74">
        <f>14025*0.85*0.9</f>
        <v>10729.125</v>
      </c>
      <c r="T95" s="74">
        <f>14025*0.15*0.9</f>
        <v>1893.375</v>
      </c>
    </row>
    <row r="96" spans="1:35" s="273" customFormat="1" ht="15" hidden="1" customHeight="1" x14ac:dyDescent="0.25">
      <c r="A96" s="350"/>
      <c r="B96" s="319"/>
      <c r="C96" s="318"/>
      <c r="D96" s="84" t="s">
        <v>38</v>
      </c>
      <c r="E96" s="243"/>
      <c r="F96" s="302"/>
      <c r="G96" s="75"/>
      <c r="H96" s="74"/>
      <c r="I96" s="74"/>
      <c r="J96" s="74"/>
      <c r="K96" s="74"/>
      <c r="L96" s="74"/>
      <c r="M96" s="74"/>
      <c r="N96" s="74"/>
      <c r="O96" s="72"/>
      <c r="P96" s="205"/>
      <c r="Q96" s="272"/>
      <c r="R96" s="439"/>
      <c r="S96" s="74"/>
      <c r="T96" s="74"/>
    </row>
    <row r="97" spans="1:20" s="273" customFormat="1" ht="15" hidden="1" customHeight="1" x14ac:dyDescent="0.25">
      <c r="A97" s="350"/>
      <c r="B97" s="317"/>
      <c r="C97" s="318">
        <v>6</v>
      </c>
      <c r="D97" s="83" t="s">
        <v>118</v>
      </c>
      <c r="E97" s="242">
        <v>2</v>
      </c>
      <c r="F97" s="302">
        <v>2</v>
      </c>
      <c r="G97" s="77" t="s">
        <v>28</v>
      </c>
      <c r="H97" s="72"/>
      <c r="I97" s="74">
        <f>F97*H97</f>
        <v>0</v>
      </c>
      <c r="J97" s="72"/>
      <c r="K97" s="74">
        <f t="shared" ref="K97" si="63">F97*J97</f>
        <v>0</v>
      </c>
      <c r="L97" s="72">
        <f t="shared" ref="L97" si="64">I97+K97</f>
        <v>0</v>
      </c>
      <c r="M97" s="74"/>
      <c r="N97" s="74"/>
      <c r="O97" s="72"/>
      <c r="P97" s="205"/>
      <c r="Q97" s="272"/>
      <c r="R97" s="439"/>
      <c r="S97" s="74">
        <f>18105*0.85*0.9</f>
        <v>13850.325000000001</v>
      </c>
      <c r="T97" s="74">
        <f>18105*0.15*0.9</f>
        <v>2444.1750000000002</v>
      </c>
    </row>
    <row r="98" spans="1:20" s="273" customFormat="1" ht="15" hidden="1" customHeight="1" x14ac:dyDescent="0.25">
      <c r="A98" s="350"/>
      <c r="B98" s="319"/>
      <c r="C98" s="318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4"/>
      <c r="N98" s="74"/>
      <c r="O98" s="72"/>
      <c r="P98" s="205"/>
      <c r="Q98" s="272"/>
      <c r="R98" s="439"/>
      <c r="S98" s="74"/>
      <c r="T98" s="74"/>
    </row>
    <row r="99" spans="1:20" s="273" customFormat="1" ht="15" hidden="1" customHeight="1" x14ac:dyDescent="0.25">
      <c r="A99" s="350"/>
      <c r="B99" s="317"/>
      <c r="C99" s="318">
        <v>7</v>
      </c>
      <c r="D99" s="83" t="s">
        <v>119</v>
      </c>
      <c r="E99" s="242">
        <v>4</v>
      </c>
      <c r="F99" s="302">
        <v>4</v>
      </c>
      <c r="G99" s="77" t="s">
        <v>28</v>
      </c>
      <c r="H99" s="72"/>
      <c r="I99" s="74">
        <f>F99*H99</f>
        <v>0</v>
      </c>
      <c r="J99" s="72"/>
      <c r="K99" s="74">
        <f t="shared" ref="K99" si="65">F99*J99</f>
        <v>0</v>
      </c>
      <c r="L99" s="72">
        <f t="shared" ref="L99" si="66">I99+K99</f>
        <v>0</v>
      </c>
      <c r="M99" s="74"/>
      <c r="N99" s="74"/>
      <c r="O99" s="72"/>
      <c r="P99" s="205"/>
      <c r="Q99" s="272"/>
      <c r="R99" s="439"/>
      <c r="S99" s="74">
        <f>9180*0.85*0.9</f>
        <v>7022.7</v>
      </c>
      <c r="T99" s="74">
        <f>9180*0.15*0.9</f>
        <v>1239.3</v>
      </c>
    </row>
    <row r="100" spans="1:20" s="273" customFormat="1" ht="15" hidden="1" customHeight="1" x14ac:dyDescent="0.25">
      <c r="A100" s="350"/>
      <c r="B100" s="319"/>
      <c r="C100" s="318"/>
      <c r="D100" s="83" t="s">
        <v>38</v>
      </c>
      <c r="E100" s="242"/>
      <c r="F100" s="302"/>
      <c r="G100" s="75"/>
      <c r="H100" s="74"/>
      <c r="I100" s="74"/>
      <c r="J100" s="74"/>
      <c r="K100" s="74"/>
      <c r="L100" s="74"/>
      <c r="M100" s="74"/>
      <c r="N100" s="74"/>
      <c r="O100" s="72"/>
      <c r="P100" s="205"/>
      <c r="Q100" s="272"/>
      <c r="R100" s="439"/>
      <c r="S100" s="74"/>
      <c r="T100" s="74"/>
    </row>
    <row r="101" spans="1:20" s="273" customFormat="1" ht="15" hidden="1" customHeight="1" x14ac:dyDescent="0.25">
      <c r="A101" s="350"/>
      <c r="B101" s="317"/>
      <c r="C101" s="318">
        <v>8</v>
      </c>
      <c r="D101" s="83" t="s">
        <v>120</v>
      </c>
      <c r="E101" s="242">
        <v>1</v>
      </c>
      <c r="F101" s="302">
        <v>1</v>
      </c>
      <c r="G101" s="77" t="s">
        <v>55</v>
      </c>
      <c r="H101" s="72"/>
      <c r="I101" s="74">
        <f>F101*H101</f>
        <v>0</v>
      </c>
      <c r="J101" s="72"/>
      <c r="K101" s="74">
        <f t="shared" ref="K101" si="67">F101*J101</f>
        <v>0</v>
      </c>
      <c r="L101" s="72">
        <f t="shared" ref="L101" si="68">I101+K101</f>
        <v>0</v>
      </c>
      <c r="M101" s="74"/>
      <c r="N101" s="74"/>
      <c r="O101" s="72"/>
      <c r="P101" s="205"/>
      <c r="Q101" s="272"/>
      <c r="R101" s="439"/>
      <c r="S101" s="74">
        <f>4590*0.85*0.9</f>
        <v>3511.35</v>
      </c>
      <c r="T101" s="74">
        <f>4590*0.15*0.9</f>
        <v>619.65</v>
      </c>
    </row>
    <row r="102" spans="1:20" s="273" customFormat="1" ht="15" hidden="1" customHeight="1" x14ac:dyDescent="0.25">
      <c r="A102" s="350"/>
      <c r="B102" s="319"/>
      <c r="C102" s="318"/>
      <c r="D102" s="83" t="s">
        <v>51</v>
      </c>
      <c r="E102" s="242"/>
      <c r="F102" s="302"/>
      <c r="G102" s="75"/>
      <c r="H102" s="74"/>
      <c r="I102" s="74"/>
      <c r="J102" s="74"/>
      <c r="K102" s="74"/>
      <c r="L102" s="74"/>
      <c r="M102" s="74"/>
      <c r="N102" s="74"/>
      <c r="O102" s="72"/>
      <c r="P102" s="205"/>
      <c r="Q102" s="272"/>
      <c r="R102" s="439"/>
      <c r="S102" s="74"/>
      <c r="T102" s="74"/>
    </row>
    <row r="103" spans="1:20" s="273" customFormat="1" ht="15" hidden="1" customHeight="1" x14ac:dyDescent="0.25">
      <c r="A103" s="350"/>
      <c r="B103" s="317"/>
      <c r="C103" s="318">
        <v>9</v>
      </c>
      <c r="D103" s="83" t="s">
        <v>121</v>
      </c>
      <c r="E103" s="242">
        <v>1</v>
      </c>
      <c r="F103" s="302">
        <v>1</v>
      </c>
      <c r="G103" s="77" t="s">
        <v>55</v>
      </c>
      <c r="H103" s="72"/>
      <c r="I103" s="74">
        <f>F103*H103</f>
        <v>0</v>
      </c>
      <c r="J103" s="72"/>
      <c r="K103" s="74">
        <f t="shared" ref="K103" si="69">F103*J103</f>
        <v>0</v>
      </c>
      <c r="L103" s="72">
        <f t="shared" ref="L103" si="70">I103+K103</f>
        <v>0</v>
      </c>
      <c r="M103" s="74"/>
      <c r="N103" s="74"/>
      <c r="O103" s="72"/>
      <c r="P103" s="205"/>
      <c r="Q103" s="272"/>
      <c r="R103" s="439"/>
      <c r="S103" s="72">
        <f>183816*0.85</f>
        <v>156243.6</v>
      </c>
      <c r="T103" s="72">
        <f>183816*0.15</f>
        <v>27572.399999999998</v>
      </c>
    </row>
    <row r="104" spans="1:20" s="273" customFormat="1" ht="15" hidden="1" customHeight="1" x14ac:dyDescent="0.25">
      <c r="A104" s="350"/>
      <c r="B104" s="319"/>
      <c r="C104" s="318"/>
      <c r="D104" s="83" t="s">
        <v>54</v>
      </c>
      <c r="E104" s="242"/>
      <c r="F104" s="302"/>
      <c r="G104" s="77"/>
      <c r="H104" s="74"/>
      <c r="I104" s="74"/>
      <c r="J104" s="74"/>
      <c r="K104" s="74"/>
      <c r="L104" s="72"/>
      <c r="M104" s="74"/>
      <c r="N104" s="74"/>
      <c r="O104" s="72"/>
      <c r="P104" s="205"/>
      <c r="Q104" s="272"/>
      <c r="R104" s="439"/>
      <c r="S104" s="74"/>
      <c r="T104" s="74"/>
    </row>
    <row r="105" spans="1:20" s="273" customFormat="1" ht="15" hidden="1" customHeight="1" x14ac:dyDescent="0.25">
      <c r="A105" s="350"/>
      <c r="B105" s="317"/>
      <c r="C105" s="318">
        <v>10</v>
      </c>
      <c r="D105" s="83" t="s">
        <v>122</v>
      </c>
      <c r="E105" s="242">
        <v>1</v>
      </c>
      <c r="F105" s="302">
        <v>1</v>
      </c>
      <c r="G105" s="77" t="s">
        <v>55</v>
      </c>
      <c r="H105" s="72"/>
      <c r="I105" s="74">
        <f>F105*H105</f>
        <v>0</v>
      </c>
      <c r="J105" s="72"/>
      <c r="K105" s="74">
        <f t="shared" ref="K105" si="71">F105*J105</f>
        <v>0</v>
      </c>
      <c r="L105" s="72">
        <f t="shared" ref="L105" si="72">I105+K105</f>
        <v>0</v>
      </c>
      <c r="M105" s="74"/>
      <c r="N105" s="74"/>
      <c r="O105" s="72"/>
      <c r="P105" s="205"/>
      <c r="Q105" s="272"/>
      <c r="R105" s="439"/>
      <c r="S105" s="72">
        <f>200214*0.85</f>
        <v>170181.9</v>
      </c>
      <c r="T105" s="72">
        <f>200214*0.15</f>
        <v>30032.1</v>
      </c>
    </row>
    <row r="106" spans="1:20" s="273" customFormat="1" ht="15" hidden="1" customHeight="1" x14ac:dyDescent="0.25">
      <c r="A106" s="350"/>
      <c r="B106" s="319"/>
      <c r="C106" s="318"/>
      <c r="D106" s="83" t="s">
        <v>37</v>
      </c>
      <c r="E106" s="242"/>
      <c r="F106" s="302"/>
      <c r="G106" s="77"/>
      <c r="H106" s="74"/>
      <c r="I106" s="74"/>
      <c r="J106" s="74"/>
      <c r="K106" s="74"/>
      <c r="L106" s="72"/>
      <c r="M106" s="74"/>
      <c r="N106" s="74"/>
      <c r="O106" s="72"/>
      <c r="P106" s="205"/>
      <c r="Q106" s="272"/>
      <c r="R106" s="439"/>
      <c r="S106" s="74"/>
      <c r="T106" s="74"/>
    </row>
    <row r="107" spans="1:20" s="273" customFormat="1" ht="15" hidden="1" customHeight="1" x14ac:dyDescent="0.25">
      <c r="A107" s="350"/>
      <c r="B107" s="317"/>
      <c r="C107" s="318">
        <v>11</v>
      </c>
      <c r="D107" s="83" t="s">
        <v>123</v>
      </c>
      <c r="E107" s="242">
        <v>24</v>
      </c>
      <c r="F107" s="302">
        <v>24</v>
      </c>
      <c r="G107" s="77" t="s">
        <v>28</v>
      </c>
      <c r="H107" s="72"/>
      <c r="I107" s="74">
        <f>F107*H107</f>
        <v>0</v>
      </c>
      <c r="J107" s="72"/>
      <c r="K107" s="74">
        <f t="shared" ref="K107" si="73">F107*J107</f>
        <v>0</v>
      </c>
      <c r="L107" s="72">
        <f t="shared" ref="L107" si="74">I107+K107</f>
        <v>0</v>
      </c>
      <c r="M107" s="74"/>
      <c r="N107" s="74"/>
      <c r="O107" s="72"/>
      <c r="P107" s="205"/>
      <c r="Q107" s="272"/>
      <c r="R107" s="439"/>
      <c r="S107" s="72">
        <f>18360*0.85</f>
        <v>15606</v>
      </c>
      <c r="T107" s="72">
        <f>18360*0.15</f>
        <v>2754</v>
      </c>
    </row>
    <row r="108" spans="1:20" s="273" customFormat="1" ht="15" hidden="1" customHeight="1" x14ac:dyDescent="0.25">
      <c r="A108" s="350"/>
      <c r="B108" s="319"/>
      <c r="C108" s="318"/>
      <c r="D108" s="83" t="s">
        <v>52</v>
      </c>
      <c r="E108" s="242"/>
      <c r="F108" s="302"/>
      <c r="G108" s="75"/>
      <c r="H108" s="74"/>
      <c r="I108" s="74"/>
      <c r="J108" s="74"/>
      <c r="K108" s="74"/>
      <c r="L108" s="72"/>
      <c r="M108" s="74"/>
      <c r="N108" s="74"/>
      <c r="O108" s="72"/>
      <c r="P108" s="205"/>
      <c r="Q108" s="272"/>
      <c r="R108" s="439"/>
      <c r="S108" s="74"/>
      <c r="T108" s="74"/>
    </row>
    <row r="109" spans="1:20" s="273" customFormat="1" ht="15" hidden="1" customHeight="1" x14ac:dyDescent="0.25">
      <c r="A109" s="350"/>
      <c r="B109" s="319"/>
      <c r="C109" s="318"/>
      <c r="D109" s="83" t="s">
        <v>58</v>
      </c>
      <c r="E109" s="242"/>
      <c r="F109" s="302"/>
      <c r="G109" s="75"/>
      <c r="H109" s="74"/>
      <c r="I109" s="74"/>
      <c r="J109" s="74"/>
      <c r="K109" s="74"/>
      <c r="L109" s="72"/>
      <c r="M109" s="74"/>
      <c r="N109" s="74"/>
      <c r="O109" s="72"/>
      <c r="P109" s="205"/>
      <c r="Q109" s="272"/>
      <c r="R109" s="439"/>
      <c r="S109" s="74"/>
      <c r="T109" s="74"/>
    </row>
    <row r="110" spans="1:20" s="273" customFormat="1" ht="15" hidden="1" customHeight="1" x14ac:dyDescent="0.25">
      <c r="A110" s="350"/>
      <c r="B110" s="317"/>
      <c r="C110" s="318">
        <v>12</v>
      </c>
      <c r="D110" s="83" t="s">
        <v>124</v>
      </c>
      <c r="E110" s="242">
        <v>1</v>
      </c>
      <c r="F110" s="302">
        <v>1</v>
      </c>
      <c r="G110" s="77" t="s">
        <v>55</v>
      </c>
      <c r="H110" s="72"/>
      <c r="I110" s="74">
        <f>F110*H110</f>
        <v>0</v>
      </c>
      <c r="J110" s="72"/>
      <c r="K110" s="74">
        <f t="shared" ref="K110" si="75">F110*J110</f>
        <v>0</v>
      </c>
      <c r="L110" s="72">
        <f t="shared" ref="L110" si="76">I110+K110</f>
        <v>0</v>
      </c>
      <c r="M110" s="74"/>
      <c r="N110" s="74"/>
      <c r="O110" s="72"/>
      <c r="P110" s="205"/>
      <c r="Q110" s="272"/>
      <c r="R110" s="439"/>
      <c r="S110" s="72">
        <f>24480*0.85</f>
        <v>20808</v>
      </c>
      <c r="T110" s="72">
        <f>24480*0.15</f>
        <v>3672</v>
      </c>
    </row>
    <row r="111" spans="1:20" s="273" customFormat="1" ht="15" hidden="1" customHeight="1" x14ac:dyDescent="0.25">
      <c r="A111" s="350"/>
      <c r="B111" s="319"/>
      <c r="C111" s="318"/>
      <c r="D111" s="83" t="s">
        <v>53</v>
      </c>
      <c r="E111" s="242"/>
      <c r="F111" s="302"/>
      <c r="G111" s="75"/>
      <c r="H111" s="74"/>
      <c r="I111" s="74"/>
      <c r="J111" s="74"/>
      <c r="K111" s="74"/>
      <c r="L111" s="72"/>
      <c r="M111" s="74"/>
      <c r="N111" s="74"/>
      <c r="O111" s="72"/>
      <c r="P111" s="205"/>
      <c r="Q111" s="272"/>
      <c r="R111" s="439"/>
      <c r="S111" s="74"/>
      <c r="T111" s="74"/>
    </row>
    <row r="112" spans="1:20" s="273" customFormat="1" ht="15" hidden="1" customHeight="1" x14ac:dyDescent="0.25">
      <c r="A112" s="722"/>
      <c r="B112" s="319"/>
      <c r="C112" s="318"/>
      <c r="D112" s="83" t="s">
        <v>59</v>
      </c>
      <c r="E112" s="242"/>
      <c r="F112" s="302"/>
      <c r="G112" s="75"/>
      <c r="H112" s="74"/>
      <c r="I112" s="74"/>
      <c r="J112" s="74"/>
      <c r="K112" s="74"/>
      <c r="L112" s="72"/>
      <c r="M112" s="74"/>
      <c r="N112" s="74"/>
      <c r="O112" s="72"/>
      <c r="P112" s="205"/>
      <c r="Q112" s="272"/>
      <c r="R112" s="439"/>
      <c r="S112" s="74"/>
      <c r="T112" s="74"/>
    </row>
    <row r="113" spans="1:47" s="273" customFormat="1" ht="15" hidden="1" customHeight="1" x14ac:dyDescent="0.25">
      <c r="A113" s="723"/>
      <c r="B113" s="317"/>
      <c r="C113" s="318">
        <v>13</v>
      </c>
      <c r="D113" s="83" t="s">
        <v>125</v>
      </c>
      <c r="E113" s="242">
        <v>1</v>
      </c>
      <c r="F113" s="302">
        <v>1</v>
      </c>
      <c r="G113" s="77" t="s">
        <v>55</v>
      </c>
      <c r="H113" s="72"/>
      <c r="I113" s="74">
        <f>F113*H113</f>
        <v>0</v>
      </c>
      <c r="J113" s="72"/>
      <c r="K113" s="74">
        <f t="shared" ref="K113" si="77">F113*J113</f>
        <v>0</v>
      </c>
      <c r="L113" s="72">
        <f t="shared" ref="L113" si="78">I113+K113</f>
        <v>0</v>
      </c>
      <c r="M113" s="74"/>
      <c r="N113" s="74"/>
      <c r="O113" s="72"/>
      <c r="P113" s="205"/>
      <c r="Q113" s="272"/>
      <c r="R113" s="439"/>
      <c r="S113" s="72">
        <f>(65520+7560+5880)*0.85</f>
        <v>67116</v>
      </c>
      <c r="T113" s="72">
        <f>(65520+7560+5880)*0.15</f>
        <v>11844</v>
      </c>
    </row>
    <row r="114" spans="1:47" s="273" customFormat="1" ht="15" hidden="1" customHeight="1" x14ac:dyDescent="0.25">
      <c r="A114" s="350"/>
      <c r="B114" s="319"/>
      <c r="C114" s="318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4"/>
      <c r="N114" s="74"/>
      <c r="O114" s="72"/>
      <c r="P114" s="205"/>
      <c r="Q114" s="272"/>
      <c r="R114" s="439"/>
      <c r="S114" s="74"/>
      <c r="T114" s="74"/>
    </row>
    <row r="115" spans="1:47" s="273" customFormat="1" ht="15" hidden="1" customHeight="1" x14ac:dyDescent="0.25">
      <c r="A115" s="350"/>
      <c r="B115" s="317"/>
      <c r="C115" s="318">
        <v>14</v>
      </c>
      <c r="D115" s="83" t="s">
        <v>126</v>
      </c>
      <c r="E115" s="242">
        <v>1</v>
      </c>
      <c r="F115" s="302">
        <v>1</v>
      </c>
      <c r="G115" s="77" t="s">
        <v>55</v>
      </c>
      <c r="H115" s="72"/>
      <c r="I115" s="74">
        <f>F115*H115</f>
        <v>0</v>
      </c>
      <c r="J115" s="72"/>
      <c r="K115" s="74">
        <f t="shared" ref="K115" si="79">F115*J115</f>
        <v>0</v>
      </c>
      <c r="L115" s="72">
        <f t="shared" ref="L115" si="80">I115+K115</f>
        <v>0</v>
      </c>
      <c r="M115" s="74"/>
      <c r="N115" s="74"/>
      <c r="O115" s="72"/>
      <c r="P115" s="205"/>
      <c r="Q115" s="272"/>
      <c r="R115" s="439"/>
      <c r="S115" s="72">
        <f>151200*0.85</f>
        <v>128520</v>
      </c>
      <c r="T115" s="72">
        <f>151200*0.15</f>
        <v>22680</v>
      </c>
    </row>
    <row r="116" spans="1:47" s="273" customFormat="1" ht="15" hidden="1" customHeight="1" x14ac:dyDescent="0.25">
      <c r="A116" s="350"/>
      <c r="B116" s="319"/>
      <c r="C116" s="318"/>
      <c r="D116" s="83" t="s">
        <v>164</v>
      </c>
      <c r="E116" s="242"/>
      <c r="F116" s="302"/>
      <c r="G116" s="75"/>
      <c r="H116" s="74"/>
      <c r="I116" s="74"/>
      <c r="J116" s="74"/>
      <c r="K116" s="74"/>
      <c r="L116" s="72"/>
      <c r="M116" s="74"/>
      <c r="N116" s="74"/>
      <c r="O116" s="72"/>
      <c r="P116" s="205"/>
      <c r="Q116" s="272"/>
      <c r="R116" s="439"/>
      <c r="S116" s="74"/>
      <c r="T116" s="74"/>
    </row>
    <row r="117" spans="1:47" s="273" customFormat="1" ht="15" hidden="1" customHeight="1" x14ac:dyDescent="0.25">
      <c r="A117" s="350"/>
      <c r="B117" s="317"/>
      <c r="C117" s="318">
        <v>15</v>
      </c>
      <c r="D117" s="83" t="s">
        <v>127</v>
      </c>
      <c r="E117" s="242">
        <v>1</v>
      </c>
      <c r="F117" s="302">
        <v>1</v>
      </c>
      <c r="G117" s="77" t="s">
        <v>55</v>
      </c>
      <c r="H117" s="72"/>
      <c r="I117" s="74">
        <f>F117*H117</f>
        <v>0</v>
      </c>
      <c r="J117" s="72"/>
      <c r="K117" s="74">
        <f t="shared" ref="K117" si="81">F117*J117</f>
        <v>0</v>
      </c>
      <c r="L117" s="72">
        <f t="shared" ref="L117" si="82">I117+K117</f>
        <v>0</v>
      </c>
      <c r="M117" s="74"/>
      <c r="N117" s="74"/>
      <c r="O117" s="72"/>
      <c r="P117" s="205"/>
      <c r="Q117" s="272"/>
      <c r="R117" s="439"/>
      <c r="S117" s="72">
        <f>80640*0.85</f>
        <v>68544</v>
      </c>
      <c r="T117" s="72">
        <f>80640*0.15</f>
        <v>12096</v>
      </c>
    </row>
    <row r="118" spans="1:47" s="273" customFormat="1" ht="15" hidden="1" customHeight="1" x14ac:dyDescent="0.25">
      <c r="A118" s="350"/>
      <c r="B118" s="319"/>
      <c r="C118" s="318"/>
      <c r="D118" s="83" t="s">
        <v>164</v>
      </c>
      <c r="E118" s="242"/>
      <c r="F118" s="302"/>
      <c r="G118" s="75"/>
      <c r="H118" s="74"/>
      <c r="I118" s="74"/>
      <c r="J118" s="74"/>
      <c r="K118" s="74"/>
      <c r="L118" s="72"/>
      <c r="M118" s="74"/>
      <c r="N118" s="74"/>
      <c r="O118" s="72"/>
      <c r="P118" s="205"/>
      <c r="Q118" s="272"/>
      <c r="R118" s="439"/>
      <c r="S118" s="74"/>
      <c r="T118" s="74"/>
    </row>
    <row r="119" spans="1:47" s="273" customFormat="1" ht="15" hidden="1" customHeight="1" x14ac:dyDescent="0.25">
      <c r="A119" s="350"/>
      <c r="B119" s="317"/>
      <c r="C119" s="318">
        <v>16</v>
      </c>
      <c r="D119" s="83" t="s">
        <v>128</v>
      </c>
      <c r="E119" s="242">
        <v>1</v>
      </c>
      <c r="F119" s="302">
        <v>1</v>
      </c>
      <c r="G119" s="77" t="s">
        <v>55</v>
      </c>
      <c r="H119" s="72"/>
      <c r="I119" s="74">
        <f>F119*H119</f>
        <v>0</v>
      </c>
      <c r="J119" s="72"/>
      <c r="K119" s="74">
        <f t="shared" ref="K119" si="83">F119*J119</f>
        <v>0</v>
      </c>
      <c r="L119" s="72">
        <f t="shared" ref="L119" si="84">I119+K119</f>
        <v>0</v>
      </c>
      <c r="M119" s="74"/>
      <c r="N119" s="74"/>
      <c r="O119" s="72"/>
      <c r="P119" s="205"/>
      <c r="Q119" s="272"/>
      <c r="R119" s="439"/>
      <c r="S119" s="72">
        <f>(27888+33600)*0.85</f>
        <v>52264.799999999996</v>
      </c>
      <c r="T119" s="72">
        <f>(27888+33600)*0.15</f>
        <v>9223.1999999999989</v>
      </c>
    </row>
    <row r="120" spans="1:47" s="273" customFormat="1" ht="15" hidden="1" customHeight="1" x14ac:dyDescent="0.25">
      <c r="A120" s="350"/>
      <c r="B120" s="319"/>
      <c r="C120" s="318"/>
      <c r="D120" s="83" t="s">
        <v>164</v>
      </c>
      <c r="E120" s="242"/>
      <c r="F120" s="302"/>
      <c r="G120" s="75"/>
      <c r="H120" s="74"/>
      <c r="I120" s="74"/>
      <c r="J120" s="74"/>
      <c r="K120" s="74"/>
      <c r="L120" s="74"/>
      <c r="M120" s="74"/>
      <c r="N120" s="74"/>
      <c r="O120" s="72"/>
      <c r="P120" s="205"/>
      <c r="Q120" s="272"/>
      <c r="R120" s="439"/>
      <c r="S120" s="74"/>
      <c r="T120" s="224"/>
    </row>
    <row r="121" spans="1:47" s="273" customFormat="1" hidden="1" x14ac:dyDescent="0.25">
      <c r="A121" s="350"/>
      <c r="B121" s="319"/>
      <c r="C121" s="318"/>
      <c r="D121" s="83"/>
      <c r="E121" s="242"/>
      <c r="F121" s="302"/>
      <c r="G121" s="75"/>
      <c r="H121" s="74"/>
      <c r="I121" s="74"/>
      <c r="J121" s="74"/>
      <c r="K121" s="74"/>
      <c r="L121" s="74"/>
      <c r="M121" s="74"/>
      <c r="N121" s="74"/>
      <c r="O121" s="72"/>
      <c r="P121" s="205"/>
      <c r="Q121" s="272"/>
      <c r="R121" s="439"/>
      <c r="T121" s="224"/>
      <c r="AG121" s="224"/>
      <c r="AI121" s="224"/>
    </row>
    <row r="122" spans="1:47" s="273" customFormat="1" x14ac:dyDescent="0.25">
      <c r="A122" s="350"/>
      <c r="B122" s="724" t="s">
        <v>330</v>
      </c>
      <c r="C122" s="725" t="s">
        <v>141</v>
      </c>
      <c r="D122" s="83"/>
      <c r="E122" s="242"/>
      <c r="F122" s="302"/>
      <c r="G122" s="75"/>
      <c r="H122" s="74"/>
      <c r="I122" s="74"/>
      <c r="J122" s="74"/>
      <c r="K122" s="74"/>
      <c r="L122" s="74"/>
      <c r="M122" s="74"/>
      <c r="N122" s="74"/>
      <c r="O122" s="72"/>
      <c r="P122" s="205"/>
      <c r="Q122" s="272"/>
      <c r="R122" s="439"/>
      <c r="T122" s="224"/>
      <c r="AG122" s="224"/>
      <c r="AI122" s="224"/>
    </row>
    <row r="123" spans="1:47" s="273" customFormat="1" x14ac:dyDescent="0.25">
      <c r="A123" s="350"/>
      <c r="B123" s="317"/>
      <c r="C123" s="318">
        <v>1</v>
      </c>
      <c r="D123" s="83" t="s">
        <v>455</v>
      </c>
      <c r="E123" s="242">
        <v>20</v>
      </c>
      <c r="F123" s="302">
        <v>20</v>
      </c>
      <c r="G123" s="77" t="s">
        <v>28</v>
      </c>
      <c r="H123" s="74">
        <f>2400/1.05</f>
        <v>2285.7142857142858</v>
      </c>
      <c r="I123" s="74">
        <f>F123*H123</f>
        <v>45714.285714285717</v>
      </c>
      <c r="J123" s="74">
        <v>350</v>
      </c>
      <c r="K123" s="74">
        <f t="shared" ref="K123:K124" si="85">F123*J123</f>
        <v>7000</v>
      </c>
      <c r="L123" s="72">
        <f t="shared" ref="L123:L124" si="86">I123+K123</f>
        <v>52714.285714285717</v>
      </c>
      <c r="M123" s="74">
        <f>H123/$P$264*$P$272</f>
        <v>3157.5230405087896</v>
      </c>
      <c r="N123" s="74">
        <f>J123/$P$264*$P$272</f>
        <v>483.49571557790841</v>
      </c>
      <c r="O123" s="72">
        <f t="shared" ref="O123:O148" si="87">N123+M123</f>
        <v>3641.018756086698</v>
      </c>
      <c r="P123" s="205">
        <f t="shared" ref="P123:P148" si="88">O123*F123</f>
        <v>72820.37512173396</v>
      </c>
      <c r="Q123" s="272">
        <f>L123/$P$264*$P$272</f>
        <v>72820.37512173396</v>
      </c>
      <c r="R123" s="439">
        <f t="shared" ref="R123:R148" si="89">P123-Q123</f>
        <v>0</v>
      </c>
      <c r="T123" s="224"/>
      <c r="AG123" s="224"/>
      <c r="AI123" s="224"/>
    </row>
    <row r="124" spans="1:47" s="273" customFormat="1" x14ac:dyDescent="0.25">
      <c r="A124" s="350"/>
      <c r="B124" s="317"/>
      <c r="C124" s="318">
        <v>2</v>
      </c>
      <c r="D124" s="83" t="s">
        <v>143</v>
      </c>
      <c r="E124" s="242">
        <f>(20-4)*3</f>
        <v>48</v>
      </c>
      <c r="F124" s="302">
        <v>48</v>
      </c>
      <c r="G124" s="77" t="s">
        <v>283</v>
      </c>
      <c r="H124" s="74">
        <f>350/1.05</f>
        <v>333.33333333333331</v>
      </c>
      <c r="I124" s="74">
        <f>F124*H124</f>
        <v>16000</v>
      </c>
      <c r="J124" s="74">
        <v>75</v>
      </c>
      <c r="K124" s="74">
        <f t="shared" si="85"/>
        <v>3600</v>
      </c>
      <c r="L124" s="72">
        <f t="shared" si="86"/>
        <v>19600</v>
      </c>
      <c r="M124" s="74">
        <f>H124/$P$264*$P$272</f>
        <v>460.47211007419844</v>
      </c>
      <c r="N124" s="74">
        <f>J124/$P$264*$P$272</f>
        <v>103.60622476669467</v>
      </c>
      <c r="O124" s="72">
        <f t="shared" si="87"/>
        <v>564.07833484089315</v>
      </c>
      <c r="P124" s="205">
        <f t="shared" si="88"/>
        <v>27075.760072362871</v>
      </c>
      <c r="Q124" s="272">
        <f>L124/$P$264*$P$272</f>
        <v>27075.760072362875</v>
      </c>
      <c r="R124" s="439">
        <f t="shared" si="89"/>
        <v>0</v>
      </c>
      <c r="T124" s="224"/>
      <c r="W124" s="904" t="s">
        <v>542</v>
      </c>
      <c r="X124" s="904"/>
      <c r="Y124" s="904"/>
      <c r="Z124" s="904"/>
      <c r="AA124" s="904"/>
      <c r="AB124" s="904"/>
      <c r="AC124" s="843" t="s">
        <v>243</v>
      </c>
      <c r="AD124" s="843" t="s">
        <v>244</v>
      </c>
      <c r="AE124" s="843" t="s">
        <v>245</v>
      </c>
      <c r="AF124" s="123" t="s">
        <v>246</v>
      </c>
      <c r="AG124" s="196" t="s">
        <v>247</v>
      </c>
      <c r="AH124" s="843" t="s">
        <v>248</v>
      </c>
      <c r="AI124" s="212" t="s">
        <v>249</v>
      </c>
      <c r="AL124" s="904" t="s">
        <v>544</v>
      </c>
      <c r="AM124" s="904"/>
      <c r="AN124" s="904"/>
      <c r="AO124" s="843" t="s">
        <v>243</v>
      </c>
      <c r="AP124" s="843" t="s">
        <v>244</v>
      </c>
      <c r="AQ124" s="843" t="s">
        <v>245</v>
      </c>
      <c r="AR124" s="123" t="s">
        <v>246</v>
      </c>
      <c r="AS124" s="196" t="s">
        <v>247</v>
      </c>
      <c r="AT124" s="843" t="s">
        <v>248</v>
      </c>
      <c r="AU124" s="212" t="s">
        <v>249</v>
      </c>
    </row>
    <row r="125" spans="1:47" s="273" customFormat="1" x14ac:dyDescent="0.25">
      <c r="A125" s="350"/>
      <c r="B125" s="319"/>
      <c r="C125" s="318"/>
      <c r="D125" s="83" t="s">
        <v>331</v>
      </c>
      <c r="E125" s="242"/>
      <c r="F125" s="302"/>
      <c r="G125" s="75"/>
      <c r="H125" s="74"/>
      <c r="I125" s="74"/>
      <c r="J125" s="74"/>
      <c r="K125" s="74"/>
      <c r="L125" s="74"/>
      <c r="M125" s="74"/>
      <c r="N125" s="74"/>
      <c r="O125" s="72"/>
      <c r="P125" s="205"/>
      <c r="Q125" s="272"/>
      <c r="R125" s="439"/>
      <c r="T125" s="224"/>
      <c r="W125" s="878" t="s">
        <v>272</v>
      </c>
      <c r="X125" s="878"/>
      <c r="Y125" s="878"/>
      <c r="Z125" s="878"/>
      <c r="AA125" s="878"/>
      <c r="AB125" s="878"/>
      <c r="AC125" s="124" t="s">
        <v>251</v>
      </c>
      <c r="AD125" s="844">
        <v>12.5</v>
      </c>
      <c r="AE125" s="844">
        <v>13</v>
      </c>
      <c r="AF125" s="123">
        <f>117/1.02</f>
        <v>114.70588235294117</v>
      </c>
      <c r="AG125" s="196">
        <f>AF125*AE125</f>
        <v>1491.1764705882354</v>
      </c>
      <c r="AH125" s="844">
        <v>16.5</v>
      </c>
      <c r="AI125" s="219">
        <f>AH125*AE125</f>
        <v>214.5</v>
      </c>
      <c r="AL125" s="878" t="s">
        <v>272</v>
      </c>
      <c r="AM125" s="878"/>
      <c r="AN125" s="878"/>
      <c r="AO125" s="124" t="s">
        <v>251</v>
      </c>
      <c r="AP125" s="844">
        <v>12.5</v>
      </c>
      <c r="AQ125" s="844">
        <v>13</v>
      </c>
      <c r="AR125" s="123">
        <f>200/1.02</f>
        <v>196.07843137254901</v>
      </c>
      <c r="AS125" s="196">
        <f>AR125*AQ125</f>
        <v>2549.0196078431372</v>
      </c>
      <c r="AT125" s="844">
        <v>16.5</v>
      </c>
      <c r="AU125" s="219">
        <f>AT125*AQ125</f>
        <v>214.5</v>
      </c>
    </row>
    <row r="126" spans="1:47" s="273" customFormat="1" x14ac:dyDescent="0.25">
      <c r="A126" s="350"/>
      <c r="B126" s="317"/>
      <c r="C126" s="318">
        <v>3</v>
      </c>
      <c r="D126" s="83" t="s">
        <v>146</v>
      </c>
      <c r="E126" s="242">
        <v>4</v>
      </c>
      <c r="F126" s="302">
        <v>4</v>
      </c>
      <c r="G126" s="77" t="s">
        <v>28</v>
      </c>
      <c r="H126" s="74">
        <f>4000/1.05</f>
        <v>3809.5238095238092</v>
      </c>
      <c r="I126" s="74">
        <f>F126*H126</f>
        <v>15238.095238095237</v>
      </c>
      <c r="J126" s="74">
        <v>400</v>
      </c>
      <c r="K126" s="74">
        <f t="shared" ref="K126:K127" si="90">F126*J126</f>
        <v>1600</v>
      </c>
      <c r="L126" s="72">
        <f t="shared" ref="L126:L127" si="91">I126+K126</f>
        <v>16838.095238095237</v>
      </c>
      <c r="M126" s="74">
        <f>H126/$P$264*$P$272</f>
        <v>5262.5384008479823</v>
      </c>
      <c r="N126" s="74">
        <f>J126/$P$264*$P$272</f>
        <v>552.56653208903822</v>
      </c>
      <c r="O126" s="72">
        <f t="shared" si="87"/>
        <v>5815.1049329370207</v>
      </c>
      <c r="P126" s="205">
        <f t="shared" si="88"/>
        <v>23260.419731748083</v>
      </c>
      <c r="Q126" s="272">
        <f>L126/$P$264*$P$272</f>
        <v>23260.419731748083</v>
      </c>
      <c r="R126" s="439">
        <f t="shared" si="89"/>
        <v>0</v>
      </c>
      <c r="T126" s="224"/>
      <c r="W126" s="878" t="s">
        <v>252</v>
      </c>
      <c r="X126" s="878"/>
      <c r="Y126" s="878"/>
      <c r="Z126" s="878"/>
      <c r="AA126" s="878"/>
      <c r="AB126" s="878"/>
      <c r="AC126" s="124" t="s">
        <v>253</v>
      </c>
      <c r="AD126" s="844">
        <v>0.25</v>
      </c>
      <c r="AE126" s="844">
        <v>0.25</v>
      </c>
      <c r="AF126" s="123">
        <f>285/1.02</f>
        <v>279.41176470588238</v>
      </c>
      <c r="AG126" s="196">
        <f>AF126*AE126</f>
        <v>69.852941176470594</v>
      </c>
      <c r="AH126" s="844"/>
      <c r="AI126" s="219">
        <f>AH126*AE126</f>
        <v>0</v>
      </c>
      <c r="AL126" s="878" t="s">
        <v>252</v>
      </c>
      <c r="AM126" s="878"/>
      <c r="AN126" s="878"/>
      <c r="AO126" s="124" t="s">
        <v>253</v>
      </c>
      <c r="AP126" s="844">
        <v>0.25</v>
      </c>
      <c r="AQ126" s="844">
        <v>0.25</v>
      </c>
      <c r="AR126" s="123">
        <f>285/1.06</f>
        <v>268.8679245283019</v>
      </c>
      <c r="AS126" s="196">
        <f>AR126*AQ126</f>
        <v>67.216981132075475</v>
      </c>
      <c r="AT126" s="844"/>
      <c r="AU126" s="219">
        <f>AT126*AQ126</f>
        <v>0</v>
      </c>
    </row>
    <row r="127" spans="1:47" s="273" customFormat="1" x14ac:dyDescent="0.25">
      <c r="A127" s="350"/>
      <c r="B127" s="317"/>
      <c r="C127" s="318">
        <v>4</v>
      </c>
      <c r="D127" s="83" t="s">
        <v>147</v>
      </c>
      <c r="E127" s="242">
        <f>4*4</f>
        <v>16</v>
      </c>
      <c r="F127" s="302">
        <v>16</v>
      </c>
      <c r="G127" s="77" t="s">
        <v>28</v>
      </c>
      <c r="H127" s="74">
        <f>750/1.05</f>
        <v>714.28571428571422</v>
      </c>
      <c r="I127" s="74">
        <f>F127*H127</f>
        <v>11428.571428571428</v>
      </c>
      <c r="J127" s="74">
        <v>75</v>
      </c>
      <c r="K127" s="74">
        <f t="shared" si="90"/>
        <v>1200</v>
      </c>
      <c r="L127" s="72">
        <f t="shared" si="91"/>
        <v>12628.571428571428</v>
      </c>
      <c r="M127" s="74">
        <f>H127/$P$264*$P$272</f>
        <v>986.72595015899674</v>
      </c>
      <c r="N127" s="74">
        <f>J127/$P$264*$P$272</f>
        <v>103.60622476669467</v>
      </c>
      <c r="O127" s="72">
        <f t="shared" si="87"/>
        <v>1090.3321749256913</v>
      </c>
      <c r="P127" s="205">
        <f t="shared" si="88"/>
        <v>17445.314798811061</v>
      </c>
      <c r="Q127" s="272">
        <f>L127/$P$264*$P$272</f>
        <v>17445.314798811061</v>
      </c>
      <c r="R127" s="439">
        <f t="shared" si="89"/>
        <v>0</v>
      </c>
      <c r="T127" s="224"/>
      <c r="W127" s="878" t="s">
        <v>254</v>
      </c>
      <c r="X127" s="878"/>
      <c r="Y127" s="878"/>
      <c r="Z127" s="878"/>
      <c r="AA127" s="878"/>
      <c r="AB127" s="878"/>
      <c r="AC127" s="124" t="s">
        <v>255</v>
      </c>
      <c r="AD127" s="844">
        <v>0.25</v>
      </c>
      <c r="AE127" s="844">
        <v>0.35</v>
      </c>
      <c r="AF127" s="123">
        <f>37/1.06</f>
        <v>34.905660377358487</v>
      </c>
      <c r="AG127" s="196">
        <f>AF127*AE127</f>
        <v>12.216981132075469</v>
      </c>
      <c r="AH127" s="844"/>
      <c r="AI127" s="219">
        <f>AH127*AE127</f>
        <v>0</v>
      </c>
      <c r="AL127" s="878" t="s">
        <v>254</v>
      </c>
      <c r="AM127" s="878"/>
      <c r="AN127" s="878"/>
      <c r="AO127" s="124" t="s">
        <v>255</v>
      </c>
      <c r="AP127" s="844">
        <v>0.25</v>
      </c>
      <c r="AQ127" s="844">
        <v>0.35</v>
      </c>
      <c r="AR127" s="123">
        <f>37/1.06</f>
        <v>34.905660377358487</v>
      </c>
      <c r="AS127" s="196">
        <f>AR127*AQ127</f>
        <v>12.216981132075469</v>
      </c>
      <c r="AT127" s="844"/>
      <c r="AU127" s="219">
        <f>AT127*AQ127</f>
        <v>0</v>
      </c>
    </row>
    <row r="128" spans="1:47" s="273" customFormat="1" x14ac:dyDescent="0.25">
      <c r="A128" s="350"/>
      <c r="B128" s="319"/>
      <c r="C128" s="318"/>
      <c r="D128" s="83"/>
      <c r="E128" s="242"/>
      <c r="F128" s="302"/>
      <c r="G128" s="75"/>
      <c r="H128" s="74"/>
      <c r="I128" s="74"/>
      <c r="J128" s="74"/>
      <c r="K128" s="74"/>
      <c r="L128" s="74"/>
      <c r="M128" s="74"/>
      <c r="N128" s="74"/>
      <c r="O128" s="72"/>
      <c r="P128" s="205"/>
      <c r="Q128" s="272"/>
      <c r="R128" s="439"/>
      <c r="T128" s="224"/>
      <c r="W128" s="878" t="s">
        <v>256</v>
      </c>
      <c r="X128" s="878"/>
      <c r="Y128" s="878"/>
      <c r="Z128" s="878"/>
      <c r="AA128" s="878"/>
      <c r="AB128" s="878"/>
      <c r="AC128" s="124" t="s">
        <v>257</v>
      </c>
      <c r="AD128" s="844">
        <v>1</v>
      </c>
      <c r="AE128" s="844">
        <v>1</v>
      </c>
      <c r="AF128" s="123">
        <f>AQ68</f>
        <v>0</v>
      </c>
      <c r="AG128" s="196">
        <f>AF128*AE128</f>
        <v>0</v>
      </c>
      <c r="AH128" s="844"/>
      <c r="AI128" s="219">
        <f>AH128*AE128</f>
        <v>0</v>
      </c>
      <c r="AL128" s="878" t="s">
        <v>256</v>
      </c>
      <c r="AM128" s="878"/>
      <c r="AN128" s="878"/>
      <c r="AO128" s="124" t="s">
        <v>257</v>
      </c>
      <c r="AP128" s="844">
        <v>1</v>
      </c>
      <c r="AQ128" s="844">
        <v>1</v>
      </c>
      <c r="AR128" s="123">
        <f>BC68</f>
        <v>0</v>
      </c>
      <c r="AS128" s="196">
        <f>AR128*AQ128</f>
        <v>0</v>
      </c>
      <c r="AT128" s="844"/>
      <c r="AU128" s="219">
        <f>AT128*AQ128</f>
        <v>0</v>
      </c>
    </row>
    <row r="129" spans="1:47" s="273" customFormat="1" x14ac:dyDescent="0.25">
      <c r="A129" s="350"/>
      <c r="B129" s="724" t="s">
        <v>332</v>
      </c>
      <c r="C129" s="725" t="s">
        <v>148</v>
      </c>
      <c r="D129" s="83"/>
      <c r="E129" s="242"/>
      <c r="F129" s="302"/>
      <c r="G129" s="75"/>
      <c r="H129" s="74"/>
      <c r="I129" s="74"/>
      <c r="J129" s="74"/>
      <c r="K129" s="74"/>
      <c r="L129" s="74"/>
      <c r="M129" s="74"/>
      <c r="N129" s="74"/>
      <c r="O129" s="72"/>
      <c r="P129" s="205"/>
      <c r="Q129" s="272"/>
      <c r="R129" s="439"/>
      <c r="T129" s="224"/>
      <c r="W129" s="126"/>
      <c r="X129" s="126"/>
      <c r="Y129" s="126"/>
      <c r="Z129" s="126"/>
      <c r="AA129" s="126"/>
      <c r="AB129" s="126"/>
      <c r="AC129" s="126"/>
      <c r="AD129" s="844"/>
      <c r="AE129" s="844"/>
      <c r="AF129" s="123"/>
      <c r="AG129" s="212">
        <f>SUM(AG125:AG128)</f>
        <v>1573.2463928967813</v>
      </c>
      <c r="AH129" s="843"/>
      <c r="AI129" s="212">
        <f>SUM(AI125:AI128)</f>
        <v>214.5</v>
      </c>
      <c r="AL129" s="126"/>
      <c r="AM129" s="126"/>
      <c r="AN129" s="126"/>
      <c r="AO129" s="126"/>
      <c r="AP129" s="844"/>
      <c r="AQ129" s="844"/>
      <c r="AR129" s="123"/>
      <c r="AS129" s="212">
        <f>SUM(AS125:AS128)</f>
        <v>2628.4535701072882</v>
      </c>
      <c r="AT129" s="843"/>
      <c r="AU129" s="212">
        <f>SUM(AU125:AU128)</f>
        <v>214.5</v>
      </c>
    </row>
    <row r="130" spans="1:47" s="273" customFormat="1" x14ac:dyDescent="0.25">
      <c r="A130" s="350"/>
      <c r="B130" s="317"/>
      <c r="C130" s="318">
        <v>1</v>
      </c>
      <c r="D130" s="83" t="s">
        <v>149</v>
      </c>
      <c r="E130" s="242">
        <v>76.8</v>
      </c>
      <c r="F130" s="302">
        <v>78</v>
      </c>
      <c r="G130" s="77" t="s">
        <v>100</v>
      </c>
      <c r="H130" s="74">
        <f>231/1.05</f>
        <v>220</v>
      </c>
      <c r="I130" s="74">
        <f t="shared" ref="I130:I136" si="92">F130*H130</f>
        <v>17160</v>
      </c>
      <c r="J130" s="74">
        <v>75</v>
      </c>
      <c r="K130" s="74">
        <f t="shared" ref="K130:K136" si="93">F130*J130</f>
        <v>5850</v>
      </c>
      <c r="L130" s="72">
        <f t="shared" ref="L130:L136" si="94">I130+K130</f>
        <v>23010</v>
      </c>
      <c r="M130" s="74">
        <f>H130/$P$264*$P$272</f>
        <v>303.91159264897101</v>
      </c>
      <c r="N130" s="74">
        <f>J130/$P$264*$P$272</f>
        <v>103.60622476669467</v>
      </c>
      <c r="O130" s="72">
        <f t="shared" si="87"/>
        <v>407.51781741566566</v>
      </c>
      <c r="P130" s="205">
        <f t="shared" si="88"/>
        <v>31786.389758421923</v>
      </c>
      <c r="Q130" s="272">
        <f>L130/$P$264*$P$272</f>
        <v>31786.389758421919</v>
      </c>
      <c r="R130" s="439">
        <f t="shared" si="89"/>
        <v>0</v>
      </c>
      <c r="T130" s="224"/>
      <c r="AG130" s="224"/>
      <c r="AI130" s="224"/>
      <c r="AS130" s="224"/>
      <c r="AU130" s="224"/>
    </row>
    <row r="131" spans="1:47" s="273" customFormat="1" x14ac:dyDescent="0.25">
      <c r="A131" s="350"/>
      <c r="B131" s="317"/>
      <c r="C131" s="318">
        <v>2</v>
      </c>
      <c r="D131" s="83" t="s">
        <v>150</v>
      </c>
      <c r="E131" s="242">
        <v>56.4</v>
      </c>
      <c r="F131" s="302">
        <v>58</v>
      </c>
      <c r="G131" s="77" t="s">
        <v>100</v>
      </c>
      <c r="H131" s="74">
        <f>140/1.05</f>
        <v>133.33333333333331</v>
      </c>
      <c r="I131" s="74">
        <f t="shared" si="92"/>
        <v>7733.3333333333321</v>
      </c>
      <c r="J131" s="74">
        <v>75</v>
      </c>
      <c r="K131" s="74">
        <f t="shared" si="93"/>
        <v>4350</v>
      </c>
      <c r="L131" s="72">
        <f t="shared" si="94"/>
        <v>12083.333333333332</v>
      </c>
      <c r="M131" s="74">
        <f>H131/$P$264*$P$272</f>
        <v>184.18884402967936</v>
      </c>
      <c r="N131" s="74">
        <f>J131/$P$264*$P$272</f>
        <v>103.60622476669467</v>
      </c>
      <c r="O131" s="72">
        <f t="shared" si="87"/>
        <v>287.79506879637404</v>
      </c>
      <c r="P131" s="205">
        <f t="shared" si="88"/>
        <v>16692.113990189693</v>
      </c>
      <c r="Q131" s="272">
        <f>L131/$P$264*$P$272</f>
        <v>16692.113990189693</v>
      </c>
      <c r="R131" s="439">
        <f t="shared" si="89"/>
        <v>0</v>
      </c>
      <c r="T131" s="224"/>
      <c r="W131" s="904" t="s">
        <v>543</v>
      </c>
      <c r="X131" s="904"/>
      <c r="Y131" s="904"/>
      <c r="Z131" s="904"/>
      <c r="AA131" s="904"/>
      <c r="AB131" s="904"/>
      <c r="AC131" s="843" t="s">
        <v>243</v>
      </c>
      <c r="AD131" s="843" t="s">
        <v>244</v>
      </c>
      <c r="AE131" s="843" t="s">
        <v>245</v>
      </c>
      <c r="AF131" s="123" t="s">
        <v>246</v>
      </c>
      <c r="AG131" s="196" t="s">
        <v>247</v>
      </c>
      <c r="AH131" s="843" t="s">
        <v>248</v>
      </c>
      <c r="AI131" s="212" t="s">
        <v>249</v>
      </c>
      <c r="AL131" s="904" t="s">
        <v>545</v>
      </c>
      <c r="AM131" s="904"/>
      <c r="AN131" s="904"/>
      <c r="AO131" s="843" t="s">
        <v>243</v>
      </c>
      <c r="AP131" s="843" t="s">
        <v>244</v>
      </c>
      <c r="AQ131" s="843" t="s">
        <v>245</v>
      </c>
      <c r="AR131" s="123" t="s">
        <v>246</v>
      </c>
      <c r="AS131" s="196" t="s">
        <v>247</v>
      </c>
      <c r="AT131" s="843" t="s">
        <v>248</v>
      </c>
      <c r="AU131" s="212" t="s">
        <v>249</v>
      </c>
    </row>
    <row r="132" spans="1:47" s="273" customFormat="1" x14ac:dyDescent="0.25">
      <c r="A132" s="350"/>
      <c r="B132" s="317"/>
      <c r="C132" s="318">
        <v>3</v>
      </c>
      <c r="D132" s="83" t="s">
        <v>354</v>
      </c>
      <c r="E132" s="242">
        <f>7.83+5.5*2</f>
        <v>18.829999999999998</v>
      </c>
      <c r="F132" s="302">
        <v>19.5</v>
      </c>
      <c r="G132" s="77" t="s">
        <v>100</v>
      </c>
      <c r="H132" s="74">
        <f>825/1.05</f>
        <v>785.71428571428567</v>
      </c>
      <c r="I132" s="74">
        <f t="shared" si="92"/>
        <v>15321.428571428571</v>
      </c>
      <c r="J132" s="74">
        <v>120</v>
      </c>
      <c r="K132" s="74">
        <f t="shared" si="93"/>
        <v>2340</v>
      </c>
      <c r="L132" s="72">
        <f t="shared" si="94"/>
        <v>17661.428571428572</v>
      </c>
      <c r="M132" s="74">
        <f>H132/$P$264*$P$272</f>
        <v>1085.3985451748965</v>
      </c>
      <c r="N132" s="74">
        <f>J132/$P$264*$P$272</f>
        <v>165.76995962671145</v>
      </c>
      <c r="O132" s="72">
        <f t="shared" si="87"/>
        <v>1251.1685048016079</v>
      </c>
      <c r="P132" s="205">
        <f t="shared" si="88"/>
        <v>24397.785843631355</v>
      </c>
      <c r="Q132" s="272">
        <f>L132/$P$264*$P$272</f>
        <v>24397.785843631358</v>
      </c>
      <c r="R132" s="439">
        <f t="shared" si="89"/>
        <v>0</v>
      </c>
      <c r="T132" s="224"/>
      <c r="W132" s="878" t="s">
        <v>271</v>
      </c>
      <c r="X132" s="878"/>
      <c r="Y132" s="878"/>
      <c r="Z132" s="878"/>
      <c r="AA132" s="878"/>
      <c r="AB132" s="878"/>
      <c r="AC132" s="124" t="s">
        <v>251</v>
      </c>
      <c r="AD132" s="844">
        <v>8.33</v>
      </c>
      <c r="AE132" s="844">
        <v>9</v>
      </c>
      <c r="AF132" s="123">
        <f>123/1.02</f>
        <v>120.58823529411764</v>
      </c>
      <c r="AG132" s="196">
        <f>AF132*AE132</f>
        <v>1085.2941176470588</v>
      </c>
      <c r="AH132" s="844">
        <v>23.9</v>
      </c>
      <c r="AI132" s="219">
        <f>AH132*AE132</f>
        <v>215.1</v>
      </c>
      <c r="AL132" s="878" t="s">
        <v>271</v>
      </c>
      <c r="AM132" s="878"/>
      <c r="AN132" s="878"/>
      <c r="AO132" s="124" t="s">
        <v>251</v>
      </c>
      <c r="AP132" s="844">
        <v>8.33</v>
      </c>
      <c r="AQ132" s="844">
        <v>9</v>
      </c>
      <c r="AR132" s="123">
        <f>219/1.02</f>
        <v>214.70588235294116</v>
      </c>
      <c r="AS132" s="196">
        <f>AR132*AQ132</f>
        <v>1932.3529411764705</v>
      </c>
      <c r="AT132" s="844">
        <v>23.9</v>
      </c>
      <c r="AU132" s="219">
        <f>AT132*AQ132</f>
        <v>215.1</v>
      </c>
    </row>
    <row r="133" spans="1:47" s="273" customFormat="1" x14ac:dyDescent="0.25">
      <c r="A133" s="350"/>
      <c r="B133" s="317"/>
      <c r="C133" s="318">
        <v>4</v>
      </c>
      <c r="D133" s="83" t="s">
        <v>297</v>
      </c>
      <c r="E133" s="306">
        <v>2</v>
      </c>
      <c r="F133" s="302">
        <v>2</v>
      </c>
      <c r="G133" s="77" t="s">
        <v>100</v>
      </c>
      <c r="H133" s="74">
        <f>1200/1.05</f>
        <v>1142.8571428571429</v>
      </c>
      <c r="I133" s="74">
        <f t="shared" si="92"/>
        <v>2285.7142857142858</v>
      </c>
      <c r="J133" s="74">
        <v>175</v>
      </c>
      <c r="K133" s="74">
        <f t="shared" si="93"/>
        <v>350</v>
      </c>
      <c r="L133" s="72">
        <f t="shared" si="94"/>
        <v>2635.7142857142858</v>
      </c>
      <c r="M133" s="74">
        <f>H133/$P$264*$P$272</f>
        <v>1578.7615202543948</v>
      </c>
      <c r="N133" s="74">
        <f>J133/$P$264*$P$272</f>
        <v>241.74785778895421</v>
      </c>
      <c r="O133" s="72">
        <f t="shared" si="87"/>
        <v>1820.509378043349</v>
      </c>
      <c r="P133" s="205">
        <f t="shared" si="88"/>
        <v>3641.018756086698</v>
      </c>
      <c r="Q133" s="272">
        <f>L133/$P$264*$P$272</f>
        <v>3641.018756086698</v>
      </c>
      <c r="R133" s="439">
        <f t="shared" si="89"/>
        <v>0</v>
      </c>
      <c r="T133" s="224"/>
      <c r="W133" s="878" t="s">
        <v>252</v>
      </c>
      <c r="X133" s="878"/>
      <c r="Y133" s="878"/>
      <c r="Z133" s="878"/>
      <c r="AA133" s="878"/>
      <c r="AB133" s="878"/>
      <c r="AC133" s="124" t="s">
        <v>253</v>
      </c>
      <c r="AD133" s="844">
        <v>0.25</v>
      </c>
      <c r="AE133" s="844">
        <v>0.25</v>
      </c>
      <c r="AF133" s="123">
        <f>AF126</f>
        <v>279.41176470588238</v>
      </c>
      <c r="AG133" s="196">
        <f>AF133*AE133</f>
        <v>69.852941176470594</v>
      </c>
      <c r="AH133" s="844"/>
      <c r="AI133" s="219">
        <f>AH133*AE133</f>
        <v>0</v>
      </c>
      <c r="AL133" s="878" t="s">
        <v>252</v>
      </c>
      <c r="AM133" s="878"/>
      <c r="AN133" s="878"/>
      <c r="AO133" s="124" t="s">
        <v>253</v>
      </c>
      <c r="AP133" s="844">
        <v>0.25</v>
      </c>
      <c r="AQ133" s="844">
        <v>0.25</v>
      </c>
      <c r="AR133" s="123">
        <f>AR126</f>
        <v>268.8679245283019</v>
      </c>
      <c r="AS133" s="196">
        <f>AR133*AQ133</f>
        <v>67.216981132075475</v>
      </c>
      <c r="AT133" s="844"/>
      <c r="AU133" s="219">
        <f>AT133*AQ133</f>
        <v>0</v>
      </c>
    </row>
    <row r="134" spans="1:47" s="273" customFormat="1" x14ac:dyDescent="0.25">
      <c r="A134" s="350"/>
      <c r="B134" s="317"/>
      <c r="C134" s="318">
        <v>5</v>
      </c>
      <c r="D134" s="83" t="s">
        <v>416</v>
      </c>
      <c r="E134" s="306" t="s">
        <v>39</v>
      </c>
      <c r="F134" s="302"/>
      <c r="G134" s="75"/>
      <c r="H134" s="74"/>
      <c r="I134" s="74">
        <f t="shared" si="92"/>
        <v>0</v>
      </c>
      <c r="J134" s="74"/>
      <c r="K134" s="74">
        <f t="shared" si="93"/>
        <v>0</v>
      </c>
      <c r="L134" s="72">
        <f t="shared" si="94"/>
        <v>0</v>
      </c>
      <c r="M134" s="74"/>
      <c r="N134" s="74"/>
      <c r="O134" s="72"/>
      <c r="P134" s="305" t="s">
        <v>39</v>
      </c>
      <c r="Q134" s="272"/>
      <c r="R134" s="439"/>
      <c r="T134" s="224"/>
      <c r="W134" s="878" t="s">
        <v>254</v>
      </c>
      <c r="X134" s="878"/>
      <c r="Y134" s="878"/>
      <c r="Z134" s="878"/>
      <c r="AA134" s="878"/>
      <c r="AB134" s="878"/>
      <c r="AC134" s="124" t="s">
        <v>255</v>
      </c>
      <c r="AD134" s="844">
        <v>0.25</v>
      </c>
      <c r="AE134" s="844">
        <v>0.35</v>
      </c>
      <c r="AF134" s="123">
        <f>37/1.06</f>
        <v>34.905660377358487</v>
      </c>
      <c r="AG134" s="196">
        <f>AF134*AE134</f>
        <v>12.216981132075469</v>
      </c>
      <c r="AH134" s="844"/>
      <c r="AI134" s="219">
        <f>AH134*AE134</f>
        <v>0</v>
      </c>
      <c r="AL134" s="878" t="s">
        <v>254</v>
      </c>
      <c r="AM134" s="878"/>
      <c r="AN134" s="878"/>
      <c r="AO134" s="124" t="s">
        <v>255</v>
      </c>
      <c r="AP134" s="844">
        <v>0.25</v>
      </c>
      <c r="AQ134" s="844">
        <v>0.35</v>
      </c>
      <c r="AR134" s="123">
        <f>37/1.06</f>
        <v>34.905660377358487</v>
      </c>
      <c r="AS134" s="196">
        <f>AR134*AQ134</f>
        <v>12.216981132075469</v>
      </c>
      <c r="AT134" s="844"/>
      <c r="AU134" s="219">
        <f>AT134*AQ134</f>
        <v>0</v>
      </c>
    </row>
    <row r="135" spans="1:47" s="224" customFormat="1" x14ac:dyDescent="0.25">
      <c r="A135" s="350"/>
      <c r="B135" s="726"/>
      <c r="C135" s="318">
        <v>6</v>
      </c>
      <c r="D135" s="83" t="s">
        <v>159</v>
      </c>
      <c r="E135" s="306" t="s">
        <v>39</v>
      </c>
      <c r="F135" s="302"/>
      <c r="G135" s="75"/>
      <c r="H135" s="74"/>
      <c r="I135" s="74">
        <f t="shared" si="92"/>
        <v>0</v>
      </c>
      <c r="J135" s="74"/>
      <c r="K135" s="74">
        <f t="shared" si="93"/>
        <v>0</v>
      </c>
      <c r="L135" s="72">
        <f t="shared" si="94"/>
        <v>0</v>
      </c>
      <c r="M135" s="74"/>
      <c r="N135" s="74"/>
      <c r="O135" s="72"/>
      <c r="P135" s="305" t="s">
        <v>39</v>
      </c>
      <c r="Q135" s="272"/>
      <c r="R135" s="439"/>
      <c r="S135" s="273"/>
      <c r="W135" s="878" t="s">
        <v>256</v>
      </c>
      <c r="X135" s="878"/>
      <c r="Y135" s="878"/>
      <c r="Z135" s="878"/>
      <c r="AA135" s="878"/>
      <c r="AB135" s="878"/>
      <c r="AC135" s="124" t="s">
        <v>257</v>
      </c>
      <c r="AD135" s="844">
        <v>1</v>
      </c>
      <c r="AE135" s="844">
        <v>1</v>
      </c>
      <c r="AF135" s="123">
        <v>0</v>
      </c>
      <c r="AG135" s="196">
        <f>AF135*AE135</f>
        <v>0</v>
      </c>
      <c r="AH135" s="844">
        <v>0</v>
      </c>
      <c r="AI135" s="219">
        <f>AH135*AE135</f>
        <v>0</v>
      </c>
      <c r="AL135" s="878" t="s">
        <v>256</v>
      </c>
      <c r="AM135" s="878"/>
      <c r="AN135" s="878"/>
      <c r="AO135" s="124" t="s">
        <v>257</v>
      </c>
      <c r="AP135" s="844">
        <v>1</v>
      </c>
      <c r="AQ135" s="844">
        <v>1</v>
      </c>
      <c r="AR135" s="123">
        <v>0</v>
      </c>
      <c r="AS135" s="196">
        <f>AR135*AQ135</f>
        <v>0</v>
      </c>
      <c r="AT135" s="844">
        <v>0</v>
      </c>
      <c r="AU135" s="219">
        <f>AT135*AQ135</f>
        <v>0</v>
      </c>
    </row>
    <row r="136" spans="1:47" s="224" customFormat="1" x14ac:dyDescent="0.25">
      <c r="A136" s="350"/>
      <c r="B136" s="726"/>
      <c r="C136" s="318">
        <v>7</v>
      </c>
      <c r="D136" s="83" t="s">
        <v>417</v>
      </c>
      <c r="E136" s="306">
        <v>7.5</v>
      </c>
      <c r="F136" s="302">
        <v>8</v>
      </c>
      <c r="G136" s="77" t="s">
        <v>101</v>
      </c>
      <c r="H136" s="566">
        <f>5878*0.85/1.075</f>
        <v>4647.7209302325582</v>
      </c>
      <c r="I136" s="74">
        <f t="shared" si="92"/>
        <v>37181.767441860466</v>
      </c>
      <c r="J136" s="566">
        <f>5878*0.15/1.075</f>
        <v>820.18604651162786</v>
      </c>
      <c r="K136" s="74">
        <f t="shared" si="93"/>
        <v>6561.4883720930229</v>
      </c>
      <c r="L136" s="72">
        <f t="shared" si="94"/>
        <v>43743.255813953489</v>
      </c>
      <c r="M136" s="74">
        <f>H136/$P$264*$P$272</f>
        <v>6420.4375913406093</v>
      </c>
      <c r="N136" s="74">
        <f>J136/$P$264*$P$272</f>
        <v>1133.0183984718719</v>
      </c>
      <c r="O136" s="72">
        <f t="shared" si="87"/>
        <v>7553.4559898124808</v>
      </c>
      <c r="P136" s="205">
        <f t="shared" si="88"/>
        <v>60427.647918499846</v>
      </c>
      <c r="Q136" s="272">
        <f>L136/$P$264*$P$272</f>
        <v>60427.647918499839</v>
      </c>
      <c r="R136" s="439">
        <f t="shared" si="89"/>
        <v>0</v>
      </c>
      <c r="S136" s="273"/>
      <c r="W136" s="126"/>
      <c r="X136" s="126"/>
      <c r="Y136" s="126"/>
      <c r="Z136" s="126"/>
      <c r="AA136" s="126"/>
      <c r="AB136" s="126"/>
      <c r="AC136" s="126"/>
      <c r="AD136" s="844"/>
      <c r="AE136" s="844"/>
      <c r="AF136" s="123"/>
      <c r="AG136" s="212">
        <f>SUM(AG132:AG135)</f>
        <v>1167.3640399556048</v>
      </c>
      <c r="AH136" s="843"/>
      <c r="AI136" s="212">
        <f>SUM(AI132:AI135)</f>
        <v>215.1</v>
      </c>
      <c r="AL136" s="126"/>
      <c r="AM136" s="126"/>
      <c r="AN136" s="126"/>
      <c r="AO136" s="126"/>
      <c r="AP136" s="844"/>
      <c r="AQ136" s="844"/>
      <c r="AR136" s="123"/>
      <c r="AS136" s="212">
        <f>SUM(AS132:AS135)</f>
        <v>2011.7869034406215</v>
      </c>
      <c r="AT136" s="843"/>
      <c r="AU136" s="212">
        <f>SUM(AU132:AU135)</f>
        <v>215.1</v>
      </c>
    </row>
    <row r="137" spans="1:47" s="224" customFormat="1" ht="15" customHeight="1" x14ac:dyDescent="0.25">
      <c r="A137" s="350"/>
      <c r="B137" s="319"/>
      <c r="C137" s="318"/>
      <c r="D137" s="82"/>
      <c r="E137" s="242"/>
      <c r="F137" s="302"/>
      <c r="G137" s="75"/>
      <c r="H137" s="74"/>
      <c r="I137" s="74"/>
      <c r="J137" s="74"/>
      <c r="K137" s="74"/>
      <c r="L137" s="74"/>
      <c r="M137" s="74"/>
      <c r="N137" s="74"/>
      <c r="O137" s="72"/>
      <c r="P137" s="205"/>
      <c r="Q137" s="272"/>
      <c r="R137" s="439"/>
      <c r="S137" s="273"/>
    </row>
    <row r="138" spans="1:47" s="273" customFormat="1" x14ac:dyDescent="0.25">
      <c r="A138" s="350"/>
      <c r="B138" s="412" t="s">
        <v>335</v>
      </c>
      <c r="C138" s="413" t="s">
        <v>413</v>
      </c>
      <c r="D138" s="83"/>
      <c r="E138" s="242"/>
      <c r="F138" s="302"/>
      <c r="G138" s="75"/>
      <c r="H138" s="74"/>
      <c r="I138" s="74"/>
      <c r="J138" s="74"/>
      <c r="K138" s="74"/>
      <c r="L138" s="74"/>
      <c r="M138" s="74"/>
      <c r="N138" s="74"/>
      <c r="O138" s="72"/>
      <c r="P138" s="205"/>
      <c r="Q138" s="272"/>
      <c r="R138" s="439"/>
    </row>
    <row r="139" spans="1:47" s="273" customFormat="1" x14ac:dyDescent="0.25">
      <c r="A139" s="350"/>
      <c r="B139" s="317"/>
      <c r="C139" s="318">
        <v>1</v>
      </c>
      <c r="D139" s="83" t="s">
        <v>414</v>
      </c>
      <c r="E139" s="242">
        <v>15.7</v>
      </c>
      <c r="F139" s="302">
        <v>16.5</v>
      </c>
      <c r="G139" s="77" t="s">
        <v>100</v>
      </c>
      <c r="H139" s="566">
        <f>152640*0.85/F139/1.075</f>
        <v>7314.6723044397468</v>
      </c>
      <c r="I139" s="74">
        <f>F139*H139</f>
        <v>120692.09302325582</v>
      </c>
      <c r="J139" s="566">
        <f>152640*0.15/F139/1.075</f>
        <v>1290.8245243128965</v>
      </c>
      <c r="K139" s="74">
        <f t="shared" ref="K139:K142" si="95">F139*J139</f>
        <v>21298.604651162794</v>
      </c>
      <c r="L139" s="72">
        <f t="shared" ref="L139:L142" si="96">I139+K139</f>
        <v>141990.69767441862</v>
      </c>
      <c r="M139" s="74">
        <f>H139/$P$264*$P$272</f>
        <v>10104.607771580009</v>
      </c>
      <c r="N139" s="74">
        <f>J139/$P$264*$P$272</f>
        <v>1783.1660773376491</v>
      </c>
      <c r="O139" s="72">
        <f t="shared" si="87"/>
        <v>11887.773848917659</v>
      </c>
      <c r="P139" s="205">
        <f t="shared" si="88"/>
        <v>196148.26850714139</v>
      </c>
      <c r="Q139" s="272">
        <f>L139/$P$264*$P$272</f>
        <v>196148.26850714142</v>
      </c>
      <c r="R139" s="439">
        <f t="shared" si="89"/>
        <v>0</v>
      </c>
    </row>
    <row r="140" spans="1:47" s="273" customFormat="1" x14ac:dyDescent="0.25">
      <c r="A140" s="350"/>
      <c r="B140" s="317"/>
      <c r="C140" s="318">
        <v>2</v>
      </c>
      <c r="D140" s="83" t="s">
        <v>415</v>
      </c>
      <c r="E140" s="242">
        <v>8.5</v>
      </c>
      <c r="F140" s="302">
        <v>9</v>
      </c>
      <c r="G140" s="77" t="s">
        <v>100</v>
      </c>
      <c r="H140" s="566">
        <f>59360*0.8/F140/1.075</f>
        <v>4908.3204134366924</v>
      </c>
      <c r="I140" s="74">
        <f>F140*H140</f>
        <v>44174.883720930229</v>
      </c>
      <c r="J140" s="566">
        <f>59360*0.2/F140/1.075</f>
        <v>1227.0801033591731</v>
      </c>
      <c r="K140" s="74">
        <f t="shared" si="95"/>
        <v>11043.720930232557</v>
      </c>
      <c r="L140" s="72">
        <f t="shared" si="96"/>
        <v>55218.604651162786</v>
      </c>
      <c r="M140" s="74">
        <f>H140/$P$264*$P$272</f>
        <v>6780.4339730863685</v>
      </c>
      <c r="N140" s="74">
        <f>J140/$P$264*$P$272</f>
        <v>1695.1084932715921</v>
      </c>
      <c r="O140" s="72">
        <f t="shared" si="87"/>
        <v>8475.5424663579615</v>
      </c>
      <c r="P140" s="205">
        <f t="shared" si="88"/>
        <v>76279.882197221654</v>
      </c>
      <c r="Q140" s="272">
        <f>L140/$P$264*$P$272</f>
        <v>76279.882197221639</v>
      </c>
      <c r="R140" s="439">
        <f t="shared" si="89"/>
        <v>0</v>
      </c>
    </row>
    <row r="141" spans="1:47" s="273" customFormat="1" x14ac:dyDescent="0.25">
      <c r="A141" s="350"/>
      <c r="B141" s="317"/>
      <c r="C141" s="318">
        <v>3</v>
      </c>
      <c r="D141" s="83" t="s">
        <v>336</v>
      </c>
      <c r="E141" s="242">
        <v>4</v>
      </c>
      <c r="F141" s="302">
        <v>4</v>
      </c>
      <c r="G141" s="77" t="s">
        <v>100</v>
      </c>
      <c r="H141" s="74">
        <f>AU210/F141</f>
        <v>6588.8095238095229</v>
      </c>
      <c r="I141" s="74">
        <f>F141*H141</f>
        <v>26355.238095238092</v>
      </c>
      <c r="J141" s="74">
        <f>AW210/F141</f>
        <v>3442.5</v>
      </c>
      <c r="K141" s="74">
        <f t="shared" si="95"/>
        <v>13770</v>
      </c>
      <c r="L141" s="72">
        <f t="shared" si="96"/>
        <v>40125.238095238092</v>
      </c>
      <c r="M141" s="74">
        <f>H141/$P$264*$P$272</f>
        <v>9101.8890729166378</v>
      </c>
      <c r="N141" s="74">
        <f>J141/$P$264*$P$272</f>
        <v>4755.525716791285</v>
      </c>
      <c r="O141" s="72">
        <f t="shared" si="87"/>
        <v>13857.414789707924</v>
      </c>
      <c r="P141" s="205">
        <f t="shared" si="88"/>
        <v>55429.659158831695</v>
      </c>
      <c r="Q141" s="272">
        <f>L141/$P$264*$P$272</f>
        <v>55429.659158831688</v>
      </c>
      <c r="R141" s="439">
        <f t="shared" si="89"/>
        <v>0</v>
      </c>
      <c r="T141" s="224"/>
      <c r="AG141" s="224"/>
      <c r="AI141" s="224"/>
    </row>
    <row r="142" spans="1:47" s="273" customFormat="1" x14ac:dyDescent="0.25">
      <c r="A142" s="350"/>
      <c r="B142" s="317"/>
      <c r="C142" s="318">
        <v>4</v>
      </c>
      <c r="D142" s="83" t="s">
        <v>337</v>
      </c>
      <c r="E142" s="242">
        <v>56</v>
      </c>
      <c r="F142" s="302">
        <v>58</v>
      </c>
      <c r="G142" s="77" t="s">
        <v>101</v>
      </c>
      <c r="H142" s="74">
        <v>185</v>
      </c>
      <c r="I142" s="74">
        <f>F142*H142</f>
        <v>10730</v>
      </c>
      <c r="J142" s="74">
        <v>185</v>
      </c>
      <c r="K142" s="74">
        <f t="shared" si="95"/>
        <v>10730</v>
      </c>
      <c r="L142" s="72">
        <f t="shared" si="96"/>
        <v>21460</v>
      </c>
      <c r="M142" s="74">
        <f>H142/$P$264*$P$272</f>
        <v>255.56202109118016</v>
      </c>
      <c r="N142" s="74">
        <f>J142/$P$264*$P$272</f>
        <v>255.56202109118016</v>
      </c>
      <c r="O142" s="72">
        <f t="shared" si="87"/>
        <v>511.12404218236031</v>
      </c>
      <c r="P142" s="205">
        <f t="shared" si="88"/>
        <v>29645.194446576897</v>
      </c>
      <c r="Q142" s="272">
        <f>L142/$P$264*$P$272</f>
        <v>29645.194446576901</v>
      </c>
      <c r="R142" s="439">
        <f t="shared" si="89"/>
        <v>0</v>
      </c>
      <c r="T142" s="224"/>
      <c r="AG142" s="224"/>
      <c r="AI142" s="224"/>
    </row>
    <row r="143" spans="1:47" s="273" customFormat="1" x14ac:dyDescent="0.25">
      <c r="A143" s="350"/>
      <c r="B143" s="724"/>
      <c r="C143" s="725"/>
      <c r="D143" s="83"/>
      <c r="E143" s="242"/>
      <c r="F143" s="302"/>
      <c r="G143" s="75"/>
      <c r="H143" s="74"/>
      <c r="I143" s="74"/>
      <c r="J143" s="74"/>
      <c r="K143" s="74"/>
      <c r="L143" s="74"/>
      <c r="M143" s="74"/>
      <c r="N143" s="74"/>
      <c r="O143" s="72"/>
      <c r="P143" s="205"/>
      <c r="Q143" s="272"/>
      <c r="R143" s="439"/>
    </row>
    <row r="144" spans="1:47" s="273" customFormat="1" x14ac:dyDescent="0.25">
      <c r="A144" s="350"/>
      <c r="B144" s="317"/>
      <c r="C144" s="318"/>
      <c r="D144" s="83"/>
      <c r="E144" s="242"/>
      <c r="F144" s="302"/>
      <c r="G144" s="77"/>
      <c r="H144" s="74"/>
      <c r="I144" s="74"/>
      <c r="J144" s="74"/>
      <c r="K144" s="74"/>
      <c r="L144" s="72"/>
      <c r="M144" s="74"/>
      <c r="N144" s="74"/>
      <c r="O144" s="72"/>
      <c r="P144" s="205"/>
      <c r="Q144" s="272"/>
      <c r="R144" s="439"/>
    </row>
    <row r="145" spans="1:42" s="224" customFormat="1" x14ac:dyDescent="0.25">
      <c r="A145" s="411"/>
      <c r="B145" s="412" t="s">
        <v>338</v>
      </c>
      <c r="C145" s="413" t="s">
        <v>131</v>
      </c>
      <c r="D145" s="82"/>
      <c r="E145" s="242"/>
      <c r="F145" s="302"/>
      <c r="G145" s="77"/>
      <c r="H145" s="74"/>
      <c r="I145" s="74"/>
      <c r="J145" s="74"/>
      <c r="K145" s="74"/>
      <c r="L145" s="72"/>
      <c r="M145" s="74"/>
      <c r="N145" s="74"/>
      <c r="O145" s="72"/>
      <c r="P145" s="205"/>
      <c r="Q145" s="272"/>
      <c r="R145" s="439"/>
      <c r="S145" s="273"/>
    </row>
    <row r="146" spans="1:42" s="224" customFormat="1" x14ac:dyDescent="0.25">
      <c r="A146" s="411"/>
      <c r="B146" s="412"/>
      <c r="C146" s="413">
        <v>1</v>
      </c>
      <c r="D146" s="83" t="s">
        <v>456</v>
      </c>
      <c r="E146" s="242">
        <v>1</v>
      </c>
      <c r="F146" s="302">
        <v>1</v>
      </c>
      <c r="G146" s="77" t="s">
        <v>55</v>
      </c>
      <c r="H146" s="566">
        <f>(23600+74200)*0.85/1.3889/1.075</f>
        <v>55677.32202328428</v>
      </c>
      <c r="I146" s="74">
        <f t="shared" ref="I146:I148" si="97">F146*H146</f>
        <v>55677.32202328428</v>
      </c>
      <c r="J146" s="566">
        <f>(23600+74200)*0.15/1.3889/1.075</f>
        <v>9825.409768814874</v>
      </c>
      <c r="K146" s="74">
        <f t="shared" ref="K146:K148" si="98">F146*J146</f>
        <v>9825.409768814874</v>
      </c>
      <c r="L146" s="72">
        <f t="shared" ref="L146:L148" si="99">I146+K146</f>
        <v>65502.731792099155</v>
      </c>
      <c r="M146" s="74">
        <f>H146/$P$264*$P$272</f>
        <v>76913.56186602707</v>
      </c>
      <c r="N146" s="74">
        <f>J146/$P$264*$P$272</f>
        <v>13572.981505769485</v>
      </c>
      <c r="O146" s="72">
        <f t="shared" si="87"/>
        <v>90486.54337179655</v>
      </c>
      <c r="P146" s="205">
        <f t="shared" si="88"/>
        <v>90486.54337179655</v>
      </c>
      <c r="Q146" s="272">
        <f>L146/$P$264*$P$272</f>
        <v>90486.54337179655</v>
      </c>
      <c r="R146" s="439">
        <f t="shared" si="89"/>
        <v>0</v>
      </c>
      <c r="S146" s="273"/>
    </row>
    <row r="147" spans="1:42" s="224" customFormat="1" x14ac:dyDescent="0.25">
      <c r="A147" s="350"/>
      <c r="B147" s="412"/>
      <c r="C147" s="413">
        <v>2</v>
      </c>
      <c r="D147" s="83" t="s">
        <v>457</v>
      </c>
      <c r="E147" s="242">
        <v>1</v>
      </c>
      <c r="F147" s="302">
        <v>1</v>
      </c>
      <c r="G147" s="77" t="s">
        <v>55</v>
      </c>
      <c r="H147" s="566">
        <f>(58600+74200)*0.85/1.3889/1.075</f>
        <v>75602.74401525718</v>
      </c>
      <c r="I147" s="74">
        <f t="shared" si="97"/>
        <v>75602.74401525718</v>
      </c>
      <c r="J147" s="566">
        <f>(58600+74200)*0.15/1.3889/1.075</f>
        <v>13341.660708574798</v>
      </c>
      <c r="K147" s="74">
        <f t="shared" si="98"/>
        <v>13341.660708574798</v>
      </c>
      <c r="L147" s="72">
        <f t="shared" si="99"/>
        <v>88944.404723831976</v>
      </c>
      <c r="M147" s="74">
        <f>H147/$P$264*$P$272</f>
        <v>104438.86519231486</v>
      </c>
      <c r="N147" s="74">
        <f>J147/$P$264*$P$272</f>
        <v>18430.38797511439</v>
      </c>
      <c r="O147" s="72">
        <f t="shared" si="87"/>
        <v>122869.25316742924</v>
      </c>
      <c r="P147" s="205">
        <f t="shared" si="88"/>
        <v>122869.25316742924</v>
      </c>
      <c r="Q147" s="272">
        <f>L147/$P$264*$P$272</f>
        <v>122869.25316742927</v>
      </c>
      <c r="R147" s="439">
        <f t="shared" si="89"/>
        <v>0</v>
      </c>
      <c r="S147" s="273"/>
      <c r="U147" s="225"/>
      <c r="V147" s="225"/>
    </row>
    <row r="148" spans="1:42" s="224" customFormat="1" x14ac:dyDescent="0.25">
      <c r="A148" s="411"/>
      <c r="B148" s="412"/>
      <c r="C148" s="413">
        <v>3</v>
      </c>
      <c r="D148" s="83" t="s">
        <v>418</v>
      </c>
      <c r="E148" s="242">
        <v>1</v>
      </c>
      <c r="F148" s="302">
        <v>1</v>
      </c>
      <c r="G148" s="77" t="s">
        <v>55</v>
      </c>
      <c r="H148" s="74">
        <f>5900*0.85/1.3889/1.03</f>
        <v>3505.6030231369796</v>
      </c>
      <c r="I148" s="74">
        <f t="shared" si="97"/>
        <v>3505.6030231369796</v>
      </c>
      <c r="J148" s="74">
        <f>5900*0.15/1.3889/1.03</f>
        <v>618.63582761240821</v>
      </c>
      <c r="K148" s="74">
        <f t="shared" si="98"/>
        <v>618.63582761240821</v>
      </c>
      <c r="L148" s="72">
        <f t="shared" si="99"/>
        <v>4124.2388507493879</v>
      </c>
      <c r="M148" s="74">
        <f>H148/$P$264*$P$272</f>
        <v>4842.6972634391223</v>
      </c>
      <c r="N148" s="74">
        <f>J148/$P$264*$P$272</f>
        <v>854.59363472455107</v>
      </c>
      <c r="O148" s="72">
        <f t="shared" si="87"/>
        <v>5697.2908981636738</v>
      </c>
      <c r="P148" s="205">
        <f t="shared" si="88"/>
        <v>5697.2908981636738</v>
      </c>
      <c r="Q148" s="272">
        <f>L148/$P$264*$P$272</f>
        <v>5697.2908981636747</v>
      </c>
      <c r="R148" s="439">
        <f t="shared" si="89"/>
        <v>0</v>
      </c>
      <c r="S148" s="273"/>
      <c r="U148" s="225"/>
      <c r="V148" s="225"/>
    </row>
    <row r="149" spans="1:42" s="224" customFormat="1" x14ac:dyDescent="0.25">
      <c r="A149" s="350"/>
      <c r="B149" s="718"/>
      <c r="C149" s="719"/>
      <c r="D149" s="82"/>
      <c r="E149" s="242"/>
      <c r="F149" s="302"/>
      <c r="G149" s="75"/>
      <c r="H149" s="74"/>
      <c r="I149" s="74"/>
      <c r="J149" s="74"/>
      <c r="K149" s="74"/>
      <c r="L149" s="74"/>
      <c r="M149" s="74"/>
      <c r="N149" s="74"/>
      <c r="O149" s="72"/>
      <c r="P149" s="205"/>
      <c r="Q149" s="272"/>
      <c r="R149" s="439"/>
      <c r="S149" s="273"/>
      <c r="U149" s="225"/>
      <c r="V149" s="225"/>
    </row>
    <row r="150" spans="1:42" s="273" customFormat="1" x14ac:dyDescent="0.25">
      <c r="A150" s="350"/>
      <c r="B150" s="412" t="s">
        <v>339</v>
      </c>
      <c r="C150" s="413" t="s">
        <v>340</v>
      </c>
      <c r="D150" s="83"/>
      <c r="E150" s="242"/>
      <c r="F150" s="302"/>
      <c r="G150" s="75"/>
      <c r="H150" s="74"/>
      <c r="I150" s="74"/>
      <c r="J150" s="74"/>
      <c r="K150" s="74"/>
      <c r="L150" s="74"/>
      <c r="M150" s="74"/>
      <c r="N150" s="74"/>
      <c r="O150" s="72"/>
      <c r="P150" s="205"/>
      <c r="Q150" s="272"/>
      <c r="R150" s="439"/>
      <c r="T150" s="224"/>
      <c r="AG150" s="224"/>
      <c r="AI150" s="224"/>
    </row>
    <row r="151" spans="1:42" s="273" customFormat="1" x14ac:dyDescent="0.25">
      <c r="A151" s="350"/>
      <c r="B151" s="317"/>
      <c r="C151" s="318">
        <v>1</v>
      </c>
      <c r="D151" s="83" t="s">
        <v>341</v>
      </c>
      <c r="E151" s="242">
        <v>1</v>
      </c>
      <c r="F151" s="302">
        <v>1</v>
      </c>
      <c r="G151" s="77" t="s">
        <v>55</v>
      </c>
      <c r="H151" s="566">
        <f>79415.5*0.7/1.085</f>
        <v>51235.806451612902</v>
      </c>
      <c r="I151" s="74">
        <f>F151*H151</f>
        <v>51235.806451612902</v>
      </c>
      <c r="J151" s="566">
        <f>79415.5*0.3/1.085</f>
        <v>21958.202764976959</v>
      </c>
      <c r="K151" s="74">
        <f t="shared" ref="K151:K153" si="100">F151*J151</f>
        <v>21958.202764976959</v>
      </c>
      <c r="L151" s="72">
        <f t="shared" ref="L151:L153" si="101">I151+K151</f>
        <v>73194.009216589853</v>
      </c>
      <c r="M151" s="74">
        <f t="shared" ref="M151:M152" si="102">H151/$P$264*$P$272</f>
        <v>70777.979724382269</v>
      </c>
      <c r="N151" s="74">
        <f t="shared" ref="N151:N152" si="103">J151/$P$264*$P$272</f>
        <v>30333.419881878122</v>
      </c>
      <c r="O151" s="72">
        <f t="shared" ref="O151:O153" si="104">N151+M151</f>
        <v>101111.39960626038</v>
      </c>
      <c r="P151" s="205">
        <f t="shared" ref="P151:P153" si="105">O151*F151</f>
        <v>101111.39960626038</v>
      </c>
      <c r="Q151" s="272">
        <f t="shared" ref="Q151:Q152" si="106">L151/$P$264*$P$272</f>
        <v>101111.39960626038</v>
      </c>
      <c r="R151" s="439">
        <f t="shared" ref="R151:R153" si="107">P151-Q151</f>
        <v>0</v>
      </c>
      <c r="T151" s="224"/>
      <c r="V151" s="224"/>
      <c r="W151" s="225"/>
      <c r="X151" s="225"/>
      <c r="Y151" s="225"/>
      <c r="Z151" s="225"/>
      <c r="AA151" s="225"/>
      <c r="AB151" s="932" t="s">
        <v>366</v>
      </c>
      <c r="AC151" s="932"/>
      <c r="AD151" s="932"/>
      <c r="AE151" s="857"/>
      <c r="AF151" s="857"/>
      <c r="AG151" s="857"/>
      <c r="AH151" s="857"/>
      <c r="AI151" s="857"/>
      <c r="AJ151" s="728"/>
      <c r="AK151" s="728"/>
    </row>
    <row r="152" spans="1:42" s="273" customFormat="1" x14ac:dyDescent="0.25">
      <c r="A152" s="350"/>
      <c r="B152" s="317"/>
      <c r="C152" s="318">
        <v>2</v>
      </c>
      <c r="D152" s="83" t="s">
        <v>342</v>
      </c>
      <c r="E152" s="242">
        <v>1</v>
      </c>
      <c r="F152" s="302">
        <v>1</v>
      </c>
      <c r="G152" s="77" t="s">
        <v>55</v>
      </c>
      <c r="H152" s="566">
        <f>120317.5*0.7/1.085</f>
        <v>77624.193548387106</v>
      </c>
      <c r="I152" s="74">
        <f>F152*H152</f>
        <v>77624.193548387106</v>
      </c>
      <c r="J152" s="566">
        <f>120317.5*0.3/1.085</f>
        <v>33267.511520737331</v>
      </c>
      <c r="K152" s="74">
        <f t="shared" si="100"/>
        <v>33267.511520737331</v>
      </c>
      <c r="L152" s="72">
        <f t="shared" si="101"/>
        <v>110891.70506912444</v>
      </c>
      <c r="M152" s="74">
        <f t="shared" si="102"/>
        <v>107231.32858810139</v>
      </c>
      <c r="N152" s="74">
        <f t="shared" si="103"/>
        <v>45956.283680614877</v>
      </c>
      <c r="O152" s="72">
        <f t="shared" si="104"/>
        <v>153187.61226871627</v>
      </c>
      <c r="P152" s="205">
        <f t="shared" si="105"/>
        <v>153187.61226871627</v>
      </c>
      <c r="Q152" s="272">
        <f t="shared" si="106"/>
        <v>153187.61226871627</v>
      </c>
      <c r="R152" s="439">
        <f t="shared" si="107"/>
        <v>0</v>
      </c>
      <c r="T152" s="224"/>
      <c r="V152" s="224"/>
      <c r="W152" s="225"/>
      <c r="X152" s="225"/>
      <c r="Y152" s="225"/>
      <c r="Z152" s="225"/>
      <c r="AA152" s="225"/>
      <c r="AB152" s="354"/>
      <c r="AC152" s="354"/>
      <c r="AD152" s="354"/>
      <c r="AE152" s="857" t="s">
        <v>81</v>
      </c>
      <c r="AF152" s="857" t="s">
        <v>6</v>
      </c>
      <c r="AG152" s="857" t="s">
        <v>5</v>
      </c>
      <c r="AH152" s="857" t="s">
        <v>174</v>
      </c>
      <c r="AI152" s="857" t="s">
        <v>175</v>
      </c>
      <c r="AJ152" s="728" t="s">
        <v>176</v>
      </c>
      <c r="AK152" s="728" t="s">
        <v>177</v>
      </c>
    </row>
    <row r="153" spans="1:42" s="273" customFormat="1" x14ac:dyDescent="0.25">
      <c r="A153" s="350"/>
      <c r="B153" s="317"/>
      <c r="C153" s="318">
        <v>3</v>
      </c>
      <c r="D153" s="83" t="s">
        <v>359</v>
      </c>
      <c r="E153" s="242">
        <v>6.3</v>
      </c>
      <c r="F153" s="302">
        <v>6.5</v>
      </c>
      <c r="G153" s="77" t="s">
        <v>100</v>
      </c>
      <c r="H153" s="74">
        <f>(AH218*2+AH236*3)/F153/1.085</f>
        <v>2993.8319744771361</v>
      </c>
      <c r="I153" s="74">
        <f>F153*H153</f>
        <v>19459.907834101385</v>
      </c>
      <c r="J153" s="74">
        <f>(AH225*2+AH243*3)/F153/1.085</f>
        <v>2819.5675292449487</v>
      </c>
      <c r="K153" s="74">
        <f t="shared" si="100"/>
        <v>18327.188940092165</v>
      </c>
      <c r="L153" s="72">
        <f t="shared" si="101"/>
        <v>37787.096774193546</v>
      </c>
      <c r="M153" s="74">
        <f>H153/$P$264*$P$272</f>
        <v>4135.7283794852729</v>
      </c>
      <c r="N153" s="74">
        <f>J153/$P$264*$P$272</f>
        <v>3894.9966290643474</v>
      </c>
      <c r="O153" s="72">
        <f t="shared" si="104"/>
        <v>8030.7250085496198</v>
      </c>
      <c r="P153" s="205">
        <f t="shared" si="105"/>
        <v>52199.712555572529</v>
      </c>
      <c r="Q153" s="272">
        <f>L153/$P$264*$P$272</f>
        <v>52199.712555572522</v>
      </c>
      <c r="R153" s="439">
        <f t="shared" si="107"/>
        <v>0</v>
      </c>
      <c r="T153" s="224"/>
      <c r="V153" s="224"/>
      <c r="W153" s="225"/>
      <c r="X153" s="225"/>
      <c r="Y153" s="225"/>
      <c r="Z153" s="225"/>
      <c r="AA153" s="225"/>
      <c r="AB153" s="931" t="s">
        <v>367</v>
      </c>
      <c r="AC153" s="931"/>
      <c r="AD153" s="931"/>
      <c r="AE153" s="729">
        <f>5.925*5.9</f>
        <v>34.957500000000003</v>
      </c>
      <c r="AF153" s="856">
        <v>35</v>
      </c>
      <c r="AG153" s="856" t="s">
        <v>101</v>
      </c>
      <c r="AH153" s="730">
        <f>4500/1.12</f>
        <v>4017.8571428571427</v>
      </c>
      <c r="AI153" s="730">
        <f>AH153*AF153</f>
        <v>140625</v>
      </c>
      <c r="AJ153" s="731">
        <v>375</v>
      </c>
      <c r="AK153" s="731">
        <f>AJ153*AF153</f>
        <v>13125</v>
      </c>
    </row>
    <row r="154" spans="1:42" s="273" customFormat="1" ht="15.75" thickBot="1" x14ac:dyDescent="0.3">
      <c r="A154" s="350"/>
      <c r="B154" s="724"/>
      <c r="C154" s="725"/>
      <c r="D154" s="83"/>
      <c r="E154" s="242"/>
      <c r="F154" s="302"/>
      <c r="G154" s="75"/>
      <c r="H154" s="74"/>
      <c r="I154" s="74"/>
      <c r="J154" s="74"/>
      <c r="K154" s="74"/>
      <c r="L154" s="74"/>
      <c r="M154" s="72"/>
      <c r="N154" s="72"/>
      <c r="O154" s="72"/>
      <c r="P154" s="205"/>
      <c r="Q154" s="272">
        <f>L154/$P$264*$P$272</f>
        <v>0</v>
      </c>
      <c r="R154" s="439"/>
      <c r="T154" s="224"/>
      <c r="V154" s="224"/>
      <c r="W154" s="225"/>
      <c r="X154" s="225"/>
      <c r="Y154" s="225"/>
      <c r="Z154" s="225"/>
      <c r="AA154" s="225"/>
      <c r="AB154" s="931" t="s">
        <v>368</v>
      </c>
      <c r="AC154" s="931"/>
      <c r="AD154" s="931"/>
      <c r="AE154" s="856">
        <f>2*3.5</f>
        <v>7</v>
      </c>
      <c r="AF154" s="856">
        <v>12</v>
      </c>
      <c r="AG154" s="856" t="s">
        <v>100</v>
      </c>
      <c r="AH154" s="730">
        <f>7.4*50</f>
        <v>370</v>
      </c>
      <c r="AI154" s="730">
        <f>AH154*AF154</f>
        <v>4440</v>
      </c>
      <c r="AJ154" s="731">
        <v>85</v>
      </c>
      <c r="AK154" s="731">
        <f>AJ154*AF154</f>
        <v>1020</v>
      </c>
    </row>
    <row r="155" spans="1:42" s="234" customFormat="1" ht="15.75" thickBot="1" x14ac:dyDescent="0.3">
      <c r="A155" s="308"/>
      <c r="B155" s="910" t="s">
        <v>343</v>
      </c>
      <c r="C155" s="911"/>
      <c r="D155" s="912"/>
      <c r="E155" s="309"/>
      <c r="F155" s="310"/>
      <c r="G155" s="311"/>
      <c r="H155" s="312"/>
      <c r="I155" s="313">
        <f>SUM(I36:I154)</f>
        <v>2807082.176122278</v>
      </c>
      <c r="J155" s="312"/>
      <c r="K155" s="313">
        <f>SUM(K36:K154)</f>
        <v>985986.923484297</v>
      </c>
      <c r="L155" s="313">
        <f>SUM(L36:L154)</f>
        <v>3793069.099606575</v>
      </c>
      <c r="M155" s="312"/>
      <c r="N155" s="312"/>
      <c r="O155" s="313"/>
      <c r="P155" s="315">
        <f>SUM(P36:P154)</f>
        <v>5239807.5958592398</v>
      </c>
      <c r="Q155" s="272">
        <f>L155/$P$264*$P$272</f>
        <v>5239807.5958592389</v>
      </c>
      <c r="R155" s="439">
        <f t="shared" ref="R155" si="108">P155-Q155</f>
        <v>0</v>
      </c>
      <c r="T155" s="211"/>
      <c r="V155" s="224"/>
      <c r="W155" s="225"/>
      <c r="X155" s="225"/>
      <c r="Y155" s="225"/>
      <c r="Z155" s="225"/>
      <c r="AA155" s="225"/>
      <c r="AB155" s="899" t="s">
        <v>369</v>
      </c>
      <c r="AC155" s="899"/>
      <c r="AD155" s="899"/>
      <c r="AE155" s="850">
        <v>11.8</v>
      </c>
      <c r="AF155" s="850">
        <v>12</v>
      </c>
      <c r="AG155" s="850" t="s">
        <v>100</v>
      </c>
      <c r="AH155" s="360">
        <f>47.1*36/1.12</f>
        <v>1513.9285714285713</v>
      </c>
      <c r="AI155" s="360">
        <f>AH155*AF155</f>
        <v>18167.142857142855</v>
      </c>
      <c r="AJ155" s="362">
        <v>200</v>
      </c>
      <c r="AK155" s="362">
        <f>AJ155*AF155</f>
        <v>2400</v>
      </c>
      <c r="AL155" s="277"/>
      <c r="AM155" s="277"/>
      <c r="AN155" s="278"/>
      <c r="AO155" s="225"/>
      <c r="AP155" s="282"/>
    </row>
    <row r="156" spans="1:42" s="225" customFormat="1" ht="15.75" x14ac:dyDescent="0.25">
      <c r="A156" s="517" t="s">
        <v>86</v>
      </c>
      <c r="B156" s="513" t="s">
        <v>344</v>
      </c>
      <c r="C156" s="514"/>
      <c r="D156" s="515"/>
      <c r="E156" s="709"/>
      <c r="F156" s="710"/>
      <c r="G156" s="711"/>
      <c r="H156" s="256"/>
      <c r="I156" s="256"/>
      <c r="J156" s="256"/>
      <c r="K156" s="256"/>
      <c r="L156" s="256"/>
      <c r="M156" s="256"/>
      <c r="N156" s="256"/>
      <c r="O156" s="256"/>
      <c r="P156" s="257"/>
      <c r="Q156" s="272"/>
      <c r="R156" s="439"/>
      <c r="T156" s="224"/>
      <c r="V156" s="224"/>
      <c r="AB156" s="931" t="s">
        <v>370</v>
      </c>
      <c r="AC156" s="931"/>
      <c r="AD156" s="931"/>
      <c r="AE156" s="363">
        <f>(5.825*7)+(5.9*2)</f>
        <v>52.575000000000003</v>
      </c>
      <c r="AF156" s="856">
        <v>54</v>
      </c>
      <c r="AG156" s="856" t="s">
        <v>100</v>
      </c>
      <c r="AH156" s="730">
        <f>33*36/1.12</f>
        <v>1060.7142857142856</v>
      </c>
      <c r="AI156" s="730">
        <f>AH156*AF156</f>
        <v>57278.57142857142</v>
      </c>
      <c r="AJ156" s="731">
        <v>130</v>
      </c>
      <c r="AK156" s="731">
        <f>AJ156*AF156</f>
        <v>7020</v>
      </c>
      <c r="AL156" s="286"/>
      <c r="AM156" s="286"/>
      <c r="AN156" s="127"/>
      <c r="AO156" s="285"/>
    </row>
    <row r="157" spans="1:42" s="224" customFormat="1" x14ac:dyDescent="0.25">
      <c r="A157" s="350"/>
      <c r="B157" s="412" t="s">
        <v>319</v>
      </c>
      <c r="C157" s="413" t="s">
        <v>132</v>
      </c>
      <c r="D157" s="316"/>
      <c r="E157" s="244"/>
      <c r="F157" s="30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/>
      <c r="R157" s="439"/>
      <c r="S157" s="273"/>
      <c r="W157" s="225"/>
      <c r="X157" s="225"/>
      <c r="Y157" s="225"/>
      <c r="Z157" s="225"/>
      <c r="AA157" s="225"/>
      <c r="AB157" s="931" t="s">
        <v>371</v>
      </c>
      <c r="AC157" s="931"/>
      <c r="AD157" s="931"/>
      <c r="AE157" s="363">
        <f>(5.825*1)</f>
        <v>5.8250000000000002</v>
      </c>
      <c r="AF157" s="856">
        <v>6</v>
      </c>
      <c r="AG157" s="856" t="s">
        <v>100</v>
      </c>
      <c r="AH157" s="730">
        <f>9.42*36/1.075</f>
        <v>315.46046511627907</v>
      </c>
      <c r="AI157" s="730">
        <f>AH157*AF157</f>
        <v>1892.7627906976745</v>
      </c>
      <c r="AJ157" s="731">
        <v>35</v>
      </c>
      <c r="AK157" s="731">
        <f>AJ157*AF157</f>
        <v>210</v>
      </c>
    </row>
    <row r="158" spans="1:42" s="224" customFormat="1" x14ac:dyDescent="0.25">
      <c r="A158" s="350"/>
      <c r="B158" s="317"/>
      <c r="C158" s="318">
        <v>1</v>
      </c>
      <c r="D158" s="83" t="s">
        <v>419</v>
      </c>
      <c r="E158" s="242">
        <f>61+1+5</f>
        <v>67</v>
      </c>
      <c r="F158" s="242">
        <f>61+1+5</f>
        <v>67</v>
      </c>
      <c r="G158" s="77" t="s">
        <v>283</v>
      </c>
      <c r="H158" s="74">
        <f>360/1.05</f>
        <v>342.85714285714283</v>
      </c>
      <c r="I158" s="74">
        <f>F158*H158</f>
        <v>22971.428571428569</v>
      </c>
      <c r="J158" s="74">
        <v>130</v>
      </c>
      <c r="K158" s="74">
        <f t="shared" ref="K158:K161" si="109">F158*J158</f>
        <v>8710</v>
      </c>
      <c r="L158" s="72">
        <f t="shared" ref="L158:L161" si="110">I158+K158</f>
        <v>31681.428571428569</v>
      </c>
      <c r="M158" s="74">
        <f>X158/$S$217*$S$218</f>
        <v>457.70956227863775</v>
      </c>
      <c r="N158" s="74">
        <f>Y158/$S$217*$S$218</f>
        <v>173.54820903065018</v>
      </c>
      <c r="O158" s="72">
        <f t="shared" ref="O158:O215" si="111">N158+M158</f>
        <v>631.25777130928793</v>
      </c>
      <c r="P158" s="205">
        <f t="shared" ref="P158:P215" si="112">O158*F158</f>
        <v>42294.270677722292</v>
      </c>
      <c r="Q158" s="272">
        <f>L158/$P$264*$P$272</f>
        <v>43765.242793352147</v>
      </c>
      <c r="R158" s="439">
        <f t="shared" ref="R158:R215" si="113">P158-Q158</f>
        <v>-1470.9721156298547</v>
      </c>
      <c r="S158" s="273"/>
      <c r="T158" s="74">
        <f>360/1.05</f>
        <v>342.85714285714283</v>
      </c>
      <c r="W158" s="838"/>
      <c r="X158" s="841">
        <v>475.7688989331981</v>
      </c>
      <c r="Y158" s="841">
        <v>180.39570751217099</v>
      </c>
      <c r="Z158" s="841"/>
      <c r="AA158" s="838"/>
      <c r="AB158" s="838" t="s">
        <v>372</v>
      </c>
      <c r="AC158" s="838"/>
      <c r="AD158" s="838"/>
      <c r="AE158" s="729">
        <f>7*5.925</f>
        <v>41.475000000000001</v>
      </c>
      <c r="AF158" s="856">
        <v>42</v>
      </c>
      <c r="AG158" s="732" t="s">
        <v>100</v>
      </c>
      <c r="AH158" s="730">
        <f>4.7*70/1.12</f>
        <v>293.75</v>
      </c>
      <c r="AI158" s="730">
        <f t="shared" ref="AI158:AI161" si="114">AH158*AF158</f>
        <v>12337.5</v>
      </c>
      <c r="AJ158" s="731">
        <v>60</v>
      </c>
      <c r="AK158" s="731">
        <f t="shared" ref="AK158:AK161" si="115">AJ158*AF158</f>
        <v>2520</v>
      </c>
    </row>
    <row r="159" spans="1:42" s="224" customFormat="1" x14ac:dyDescent="0.25">
      <c r="A159" s="350"/>
      <c r="B159" s="317"/>
      <c r="C159" s="318">
        <v>2</v>
      </c>
      <c r="D159" s="83" t="s">
        <v>134</v>
      </c>
      <c r="E159" s="242">
        <v>88</v>
      </c>
      <c r="F159" s="242">
        <v>88</v>
      </c>
      <c r="G159" s="77" t="s">
        <v>283</v>
      </c>
      <c r="H159" s="74">
        <f>837/1.05</f>
        <v>797.14285714285711</v>
      </c>
      <c r="I159" s="74">
        <f>F159*H159</f>
        <v>70148.57142857142</v>
      </c>
      <c r="J159" s="74">
        <f>J158</f>
        <v>130</v>
      </c>
      <c r="K159" s="74">
        <f t="shared" si="109"/>
        <v>11440</v>
      </c>
      <c r="L159" s="72">
        <f t="shared" si="110"/>
        <v>81588.57142857142</v>
      </c>
      <c r="M159" s="74">
        <f t="shared" ref="M159:N161" si="116">X159/$S$217*$S$218</f>
        <v>1064.1747322978329</v>
      </c>
      <c r="N159" s="74">
        <f t="shared" si="116"/>
        <v>173.54820903065018</v>
      </c>
      <c r="O159" s="72">
        <f t="shared" si="111"/>
        <v>1237.7229413284831</v>
      </c>
      <c r="P159" s="205">
        <f t="shared" si="112"/>
        <v>108919.61883690651</v>
      </c>
      <c r="Q159" s="272">
        <f>L159/$P$264*$P$272</f>
        <v>112707.78493096124</v>
      </c>
      <c r="R159" s="439">
        <f t="shared" si="113"/>
        <v>-3788.1660940547299</v>
      </c>
      <c r="S159" s="273"/>
      <c r="T159" s="74">
        <f>837/1.05</f>
        <v>797.14285714285711</v>
      </c>
      <c r="W159" s="225"/>
      <c r="X159" s="839">
        <v>1106.1626900196857</v>
      </c>
      <c r="Y159" s="839">
        <v>180.39570751217099</v>
      </c>
      <c r="Z159" s="839"/>
      <c r="AA159" s="225"/>
      <c r="AB159" s="931" t="s">
        <v>373</v>
      </c>
      <c r="AC159" s="931"/>
      <c r="AD159" s="931"/>
      <c r="AE159" s="729">
        <v>5.83</v>
      </c>
      <c r="AF159" s="856">
        <v>6</v>
      </c>
      <c r="AG159" s="732" t="s">
        <v>100</v>
      </c>
      <c r="AH159" s="730">
        <f>600/1.05</f>
        <v>571.42857142857144</v>
      </c>
      <c r="AI159" s="730">
        <f t="shared" si="114"/>
        <v>3428.5714285714284</v>
      </c>
      <c r="AJ159" s="731">
        <v>150</v>
      </c>
      <c r="AK159" s="731">
        <f t="shared" si="115"/>
        <v>900</v>
      </c>
    </row>
    <row r="160" spans="1:42" s="224" customFormat="1" x14ac:dyDescent="0.25">
      <c r="A160" s="350"/>
      <c r="B160" s="317"/>
      <c r="C160" s="318">
        <v>3</v>
      </c>
      <c r="D160" s="83" t="s">
        <v>135</v>
      </c>
      <c r="E160" s="242">
        <f>3+1</f>
        <v>4</v>
      </c>
      <c r="F160" s="242">
        <f>3+1</f>
        <v>4</v>
      </c>
      <c r="G160" s="77" t="s">
        <v>283</v>
      </c>
      <c r="H160" s="74">
        <f>260/1.05</f>
        <v>247.61904761904762</v>
      </c>
      <c r="I160" s="74">
        <f>F160*H160</f>
        <v>990.47619047619048</v>
      </c>
      <c r="J160" s="74">
        <f>J158</f>
        <v>130</v>
      </c>
      <c r="K160" s="74">
        <f t="shared" si="109"/>
        <v>520</v>
      </c>
      <c r="L160" s="72">
        <f t="shared" si="110"/>
        <v>1510.4761904761904</v>
      </c>
      <c r="M160" s="74">
        <f t="shared" si="116"/>
        <v>330.56801720123843</v>
      </c>
      <c r="N160" s="74">
        <f t="shared" si="116"/>
        <v>173.54820903065018</v>
      </c>
      <c r="O160" s="72">
        <f t="shared" si="111"/>
        <v>504.11622623188862</v>
      </c>
      <c r="P160" s="205">
        <f t="shared" si="112"/>
        <v>2016.4649049275545</v>
      </c>
      <c r="Q160" s="272">
        <f>L160/$P$264*$P$272</f>
        <v>2086.596475936225</v>
      </c>
      <c r="R160" s="439">
        <f t="shared" si="113"/>
        <v>-70.131571008670562</v>
      </c>
      <c r="S160" s="273"/>
      <c r="T160" s="74">
        <f>260/1.05</f>
        <v>247.61904761904762</v>
      </c>
      <c r="U160" s="273"/>
      <c r="W160" s="225"/>
      <c r="X160" s="839">
        <v>343.61087145175424</v>
      </c>
      <c r="Y160" s="839">
        <v>180.39570751217099</v>
      </c>
      <c r="Z160" s="839"/>
      <c r="AA160" s="225"/>
      <c r="AB160" s="931" t="s">
        <v>374</v>
      </c>
      <c r="AC160" s="931"/>
      <c r="AD160" s="931"/>
      <c r="AE160" s="729">
        <v>2</v>
      </c>
      <c r="AF160" s="856">
        <v>2</v>
      </c>
      <c r="AG160" s="732" t="s">
        <v>283</v>
      </c>
      <c r="AH160" s="730">
        <f>14.13*60</f>
        <v>847.80000000000007</v>
      </c>
      <c r="AI160" s="730">
        <f t="shared" si="114"/>
        <v>1695.6000000000001</v>
      </c>
      <c r="AJ160" s="731">
        <v>151</v>
      </c>
      <c r="AK160" s="731">
        <f t="shared" si="115"/>
        <v>302</v>
      </c>
    </row>
    <row r="161" spans="1:50" s="224" customFormat="1" x14ac:dyDescent="0.25">
      <c r="A161" s="350"/>
      <c r="B161" s="317"/>
      <c r="C161" s="318">
        <v>4</v>
      </c>
      <c r="D161" s="83" t="s">
        <v>136</v>
      </c>
      <c r="E161" s="242">
        <v>18</v>
      </c>
      <c r="F161" s="242">
        <v>18</v>
      </c>
      <c r="G161" s="77" t="s">
        <v>283</v>
      </c>
      <c r="H161" s="74">
        <f>1980/1.05</f>
        <v>1885.7142857142856</v>
      </c>
      <c r="I161" s="74">
        <f>F161*H161</f>
        <v>33942.857142857138</v>
      </c>
      <c r="J161" s="74">
        <v>210</v>
      </c>
      <c r="K161" s="74">
        <f t="shared" si="109"/>
        <v>3780</v>
      </c>
      <c r="L161" s="72">
        <f t="shared" si="110"/>
        <v>37722.857142857138</v>
      </c>
      <c r="M161" s="74">
        <f t="shared" si="116"/>
        <v>2517.4025925325077</v>
      </c>
      <c r="N161" s="74">
        <f t="shared" si="116"/>
        <v>280.34710689566566</v>
      </c>
      <c r="O161" s="72">
        <f t="shared" si="111"/>
        <v>2797.7496994281732</v>
      </c>
      <c r="P161" s="205">
        <f t="shared" si="112"/>
        <v>50359.494589707116</v>
      </c>
      <c r="Q161" s="272">
        <f>L161/$P$264*$P$272</f>
        <v>52110.970879796929</v>
      </c>
      <c r="R161" s="439">
        <f t="shared" si="113"/>
        <v>-1751.4762900898131</v>
      </c>
      <c r="S161" s="273"/>
      <c r="T161" s="74">
        <f>1980/1.05</f>
        <v>1885.7142857142856</v>
      </c>
      <c r="U161" s="273"/>
      <c r="W161" s="225"/>
      <c r="X161" s="839">
        <v>2616.7289441325897</v>
      </c>
      <c r="Y161" s="839">
        <v>291.40845059658386</v>
      </c>
      <c r="Z161" s="839"/>
      <c r="AA161" s="225"/>
      <c r="AB161" s="931" t="s">
        <v>375</v>
      </c>
      <c r="AC161" s="931"/>
      <c r="AD161" s="931"/>
      <c r="AE161" s="729">
        <v>2</v>
      </c>
      <c r="AF161" s="856">
        <v>2</v>
      </c>
      <c r="AG161" s="732" t="s">
        <v>283</v>
      </c>
      <c r="AH161" s="730">
        <f>24.72*60</f>
        <v>1483.1999999999998</v>
      </c>
      <c r="AI161" s="730">
        <f t="shared" si="114"/>
        <v>2966.3999999999996</v>
      </c>
      <c r="AJ161" s="731">
        <v>152</v>
      </c>
      <c r="AK161" s="731">
        <f t="shared" si="115"/>
        <v>304</v>
      </c>
    </row>
    <row r="162" spans="1:50" s="224" customFormat="1" x14ac:dyDescent="0.25">
      <c r="A162" s="350"/>
      <c r="B162" s="319"/>
      <c r="C162" s="318"/>
      <c r="D162" s="83" t="s">
        <v>137</v>
      </c>
      <c r="E162" s="242"/>
      <c r="F162" s="242"/>
      <c r="G162" s="75"/>
      <c r="H162" s="74"/>
      <c r="I162" s="74"/>
      <c r="J162" s="74"/>
      <c r="K162" s="74"/>
      <c r="L162" s="74"/>
      <c r="M162" s="74"/>
      <c r="N162" s="74"/>
      <c r="O162" s="72"/>
      <c r="P162" s="205"/>
      <c r="Q162" s="272"/>
      <c r="R162" s="439"/>
      <c r="S162" s="273"/>
      <c r="T162" s="74"/>
      <c r="U162" s="273"/>
      <c r="W162" s="225"/>
      <c r="X162" s="839"/>
      <c r="Y162" s="839"/>
      <c r="Z162" s="839"/>
      <c r="AA162" s="225"/>
      <c r="AB162" s="931" t="s">
        <v>370</v>
      </c>
      <c r="AC162" s="931"/>
      <c r="AD162" s="931"/>
      <c r="AE162" s="363">
        <f>(5.825*7)+(5.9*2)</f>
        <v>52.575000000000003</v>
      </c>
      <c r="AF162" s="856">
        <v>54</v>
      </c>
      <c r="AG162" s="856" t="s">
        <v>100</v>
      </c>
      <c r="AH162" s="730">
        <f>33*36/1.12</f>
        <v>1060.7142857142856</v>
      </c>
      <c r="AI162" s="730">
        <f>AH162*AF162</f>
        <v>57278.57142857142</v>
      </c>
      <c r="AJ162" s="731">
        <v>130</v>
      </c>
      <c r="AK162" s="731">
        <f>AJ162*AF162</f>
        <v>7020</v>
      </c>
    </row>
    <row r="163" spans="1:50" s="224" customFormat="1" x14ac:dyDescent="0.25">
      <c r="A163" s="350"/>
      <c r="B163" s="317"/>
      <c r="C163" s="318">
        <v>5</v>
      </c>
      <c r="D163" s="83" t="s">
        <v>138</v>
      </c>
      <c r="E163" s="242">
        <v>3</v>
      </c>
      <c r="F163" s="242">
        <v>3</v>
      </c>
      <c r="G163" s="77" t="s">
        <v>283</v>
      </c>
      <c r="H163" s="74">
        <f>1620/1.05</f>
        <v>1542.8571428571429</v>
      </c>
      <c r="I163" s="74">
        <f>F163*H163</f>
        <v>4628.5714285714284</v>
      </c>
      <c r="J163" s="74">
        <v>210</v>
      </c>
      <c r="K163" s="74">
        <f t="shared" ref="K163:K164" si="117">F163*J163</f>
        <v>630</v>
      </c>
      <c r="L163" s="72">
        <f t="shared" ref="L163:L164" si="118">I163+K163</f>
        <v>5258.5714285714284</v>
      </c>
      <c r="M163" s="74">
        <f t="shared" ref="M163:N164" si="119">X163/$S$217*$S$218</f>
        <v>2059.6930302538703</v>
      </c>
      <c r="N163" s="74">
        <f t="shared" si="119"/>
        <v>280.34710689566566</v>
      </c>
      <c r="O163" s="72">
        <f t="shared" si="111"/>
        <v>2340.0401371495359</v>
      </c>
      <c r="P163" s="205">
        <f t="shared" si="112"/>
        <v>7020.1204114486081</v>
      </c>
      <c r="Q163" s="272">
        <f>L163/$P$264*$P$272</f>
        <v>7264.2764450705336</v>
      </c>
      <c r="R163" s="439">
        <f t="shared" si="113"/>
        <v>-244.15603362192542</v>
      </c>
      <c r="S163" s="273"/>
      <c r="T163" s="74">
        <f>1620/1.05</f>
        <v>1542.8571428571429</v>
      </c>
      <c r="U163" s="273"/>
      <c r="W163" s="273"/>
      <c r="X163" s="839">
        <v>2140.960045199392</v>
      </c>
      <c r="Y163" s="839">
        <v>291.40845059658386</v>
      </c>
      <c r="Z163" s="839"/>
      <c r="AA163" s="273"/>
      <c r="AB163" s="931" t="s">
        <v>376</v>
      </c>
      <c r="AC163" s="931"/>
      <c r="AD163" s="931"/>
      <c r="AE163" s="729">
        <f>4*4</f>
        <v>16</v>
      </c>
      <c r="AF163" s="856">
        <v>16</v>
      </c>
      <c r="AG163" s="732" t="s">
        <v>283</v>
      </c>
      <c r="AH163" s="730">
        <v>160</v>
      </c>
      <c r="AI163" s="730">
        <f>AH163*AF163</f>
        <v>2560</v>
      </c>
      <c r="AJ163" s="731">
        <v>35</v>
      </c>
      <c r="AK163" s="731">
        <f>AJ163*AF163</f>
        <v>560</v>
      </c>
    </row>
    <row r="164" spans="1:50" s="224" customFormat="1" x14ac:dyDescent="0.25">
      <c r="A164" s="350"/>
      <c r="B164" s="412"/>
      <c r="C164" s="318">
        <v>6</v>
      </c>
      <c r="D164" s="83" t="s">
        <v>139</v>
      </c>
      <c r="E164" s="242">
        <v>44</v>
      </c>
      <c r="F164" s="242">
        <v>44</v>
      </c>
      <c r="G164" s="77" t="s">
        <v>283</v>
      </c>
      <c r="H164" s="74">
        <f>3500/1.05</f>
        <v>3333.333333333333</v>
      </c>
      <c r="I164" s="74">
        <f>F164*H164</f>
        <v>146666.66666666666</v>
      </c>
      <c r="J164" s="74">
        <v>210</v>
      </c>
      <c r="K164" s="74">
        <f t="shared" si="117"/>
        <v>9240</v>
      </c>
      <c r="L164" s="72">
        <f t="shared" si="118"/>
        <v>155906.66666666666</v>
      </c>
      <c r="M164" s="74">
        <f t="shared" si="119"/>
        <v>4449.9540777089787</v>
      </c>
      <c r="N164" s="74">
        <f t="shared" si="119"/>
        <v>280.34710689566566</v>
      </c>
      <c r="O164" s="72">
        <f t="shared" si="111"/>
        <v>4730.3011846046447</v>
      </c>
      <c r="P164" s="205">
        <f t="shared" si="112"/>
        <v>208133.25212260438</v>
      </c>
      <c r="Q164" s="272">
        <f>L164/$P$264*$P$272</f>
        <v>215372.01532390411</v>
      </c>
      <c r="R164" s="439">
        <f t="shared" si="113"/>
        <v>-7238.7632012997346</v>
      </c>
      <c r="S164" s="273"/>
      <c r="T164" s="74">
        <f>3500/1.05</f>
        <v>3333.333333333333</v>
      </c>
      <c r="W164" s="273"/>
      <c r="X164" s="839">
        <v>4625.530961850538</v>
      </c>
      <c r="Y164" s="839">
        <v>291.40845059658386</v>
      </c>
      <c r="Z164" s="839"/>
      <c r="AA164" s="273"/>
      <c r="AB164" s="931" t="s">
        <v>377</v>
      </c>
      <c r="AC164" s="931"/>
      <c r="AD164" s="931"/>
      <c r="AE164" s="729">
        <v>58</v>
      </c>
      <c r="AF164" s="856">
        <v>60</v>
      </c>
      <c r="AG164" s="732" t="s">
        <v>101</v>
      </c>
      <c r="AH164" s="730">
        <v>65</v>
      </c>
      <c r="AI164" s="730">
        <f>AH164*AF164</f>
        <v>3900</v>
      </c>
      <c r="AJ164" s="731">
        <v>65</v>
      </c>
      <c r="AK164" s="731">
        <f>AJ164*AF164</f>
        <v>3900</v>
      </c>
    </row>
    <row r="165" spans="1:50" s="224" customFormat="1" x14ac:dyDescent="0.25">
      <c r="A165" s="350"/>
      <c r="B165" s="317"/>
      <c r="C165" s="318"/>
      <c r="D165" s="83" t="s">
        <v>140</v>
      </c>
      <c r="E165" s="242"/>
      <c r="F165" s="242"/>
      <c r="G165" s="75"/>
      <c r="H165" s="74"/>
      <c r="I165" s="74"/>
      <c r="J165" s="74"/>
      <c r="K165" s="74"/>
      <c r="L165" s="72"/>
      <c r="M165" s="74"/>
      <c r="N165" s="74"/>
      <c r="O165" s="72"/>
      <c r="P165" s="205"/>
      <c r="Q165" s="272"/>
      <c r="R165" s="439"/>
      <c r="S165" s="273"/>
      <c r="T165" s="74"/>
      <c r="V165" s="856"/>
      <c r="W165" s="856"/>
      <c r="X165" s="841"/>
      <c r="Y165" s="841"/>
      <c r="Z165" s="841"/>
      <c r="AA165" s="856"/>
      <c r="AB165" s="931" t="s">
        <v>378</v>
      </c>
      <c r="AC165" s="931"/>
      <c r="AD165" s="931"/>
      <c r="AE165" s="856">
        <v>1</v>
      </c>
      <c r="AF165" s="856">
        <v>1</v>
      </c>
      <c r="AG165" s="856" t="s">
        <v>301</v>
      </c>
      <c r="AH165" s="730">
        <v>2000</v>
      </c>
      <c r="AI165" s="730">
        <f>AH165*AF165</f>
        <v>2000</v>
      </c>
      <c r="AJ165" s="731">
        <v>500</v>
      </c>
      <c r="AK165" s="731">
        <f>AJ165*AF165</f>
        <v>500</v>
      </c>
    </row>
    <row r="166" spans="1:50" s="224" customFormat="1" x14ac:dyDescent="0.25">
      <c r="A166" s="350"/>
      <c r="B166" s="317"/>
      <c r="C166" s="318">
        <v>7</v>
      </c>
      <c r="D166" s="83" t="s">
        <v>412</v>
      </c>
      <c r="E166" s="242">
        <v>25</v>
      </c>
      <c r="F166" s="302">
        <v>25</v>
      </c>
      <c r="G166" s="77" t="s">
        <v>283</v>
      </c>
      <c r="H166" s="74">
        <f>3100/1.05</f>
        <v>2952.3809523809523</v>
      </c>
      <c r="I166" s="74">
        <f>F166*H166</f>
        <v>73809.523809523802</v>
      </c>
      <c r="J166" s="74">
        <v>210</v>
      </c>
      <c r="K166" s="74">
        <f t="shared" ref="K166:K179" si="120">F166*J166</f>
        <v>5250</v>
      </c>
      <c r="L166" s="72">
        <f t="shared" ref="L166:L179" si="121">I166+K166</f>
        <v>79059.523809523802</v>
      </c>
      <c r="M166" s="74">
        <f t="shared" ref="M166:N167" si="122">X166/$S$217*$S$218</f>
        <v>3941.3878973993819</v>
      </c>
      <c r="N166" s="74">
        <f t="shared" si="122"/>
        <v>280.34710689566566</v>
      </c>
      <c r="O166" s="72">
        <f t="shared" si="111"/>
        <v>4221.7350042950475</v>
      </c>
      <c r="P166" s="205">
        <f t="shared" si="112"/>
        <v>105543.37510737618</v>
      </c>
      <c r="Q166" s="272">
        <f>L166/$P$264*$P$272</f>
        <v>109214.11725009828</v>
      </c>
      <c r="R166" s="439">
        <f t="shared" si="113"/>
        <v>-3670.7421427220979</v>
      </c>
      <c r="S166" s="273"/>
      <c r="T166" s="74">
        <f>3100/1.05</f>
        <v>2952.3809523809523</v>
      </c>
      <c r="W166" s="225"/>
      <c r="X166" s="839">
        <v>4096.8988519247623</v>
      </c>
      <c r="Y166" s="839">
        <v>291.40845059658386</v>
      </c>
      <c r="Z166" s="839"/>
      <c r="AA166" s="225"/>
      <c r="AB166" s="931" t="s">
        <v>379</v>
      </c>
      <c r="AC166" s="931"/>
      <c r="AD166" s="931"/>
      <c r="AE166" s="856">
        <v>1</v>
      </c>
      <c r="AF166" s="856">
        <v>1</v>
      </c>
      <c r="AG166" s="856" t="s">
        <v>301</v>
      </c>
      <c r="AH166" s="730">
        <v>2000</v>
      </c>
      <c r="AI166" s="730">
        <f>AH166*AF166</f>
        <v>2000</v>
      </c>
      <c r="AJ166" s="731">
        <v>1000</v>
      </c>
      <c r="AK166" s="731">
        <f>AJ166*AF166</f>
        <v>1000</v>
      </c>
      <c r="AO166" s="904" t="s">
        <v>350</v>
      </c>
      <c r="AP166" s="904"/>
      <c r="AQ166" s="904"/>
      <c r="AR166" s="843" t="s">
        <v>243</v>
      </c>
      <c r="AS166" s="843" t="s">
        <v>244</v>
      </c>
      <c r="AT166" s="843" t="s">
        <v>245</v>
      </c>
      <c r="AU166" s="123" t="s">
        <v>246</v>
      </c>
      <c r="AV166" s="196" t="s">
        <v>247</v>
      </c>
      <c r="AW166" s="843" t="s">
        <v>248</v>
      </c>
      <c r="AX166" s="212" t="s">
        <v>249</v>
      </c>
    </row>
    <row r="167" spans="1:50" s="224" customFormat="1" x14ac:dyDescent="0.25">
      <c r="A167" s="350"/>
      <c r="B167" s="317"/>
      <c r="C167" s="318">
        <v>8</v>
      </c>
      <c r="D167" s="83" t="s">
        <v>286</v>
      </c>
      <c r="E167" s="242">
        <v>4</v>
      </c>
      <c r="F167" s="302">
        <v>4</v>
      </c>
      <c r="G167" s="77" t="s">
        <v>283</v>
      </c>
      <c r="H167" s="74">
        <f>2400/1.05</f>
        <v>2285.7142857142858</v>
      </c>
      <c r="I167" s="74">
        <f>F167*H167</f>
        <v>9142.8571428571431</v>
      </c>
      <c r="J167" s="74">
        <v>210</v>
      </c>
      <c r="K167" s="74">
        <f t="shared" si="120"/>
        <v>840</v>
      </c>
      <c r="L167" s="72">
        <f t="shared" si="121"/>
        <v>9982.8571428571431</v>
      </c>
      <c r="M167" s="74">
        <f t="shared" si="122"/>
        <v>3051.3970818575858</v>
      </c>
      <c r="N167" s="74">
        <f t="shared" si="122"/>
        <v>280.34710689566566</v>
      </c>
      <c r="O167" s="72">
        <f t="shared" si="111"/>
        <v>3331.7441887532514</v>
      </c>
      <c r="P167" s="205">
        <f t="shared" si="112"/>
        <v>13326.976755013005</v>
      </c>
      <c r="Q167" s="272">
        <f>L167/$P$264*$P$272</f>
        <v>13790.481879422139</v>
      </c>
      <c r="R167" s="439">
        <f t="shared" si="113"/>
        <v>-463.50512440913371</v>
      </c>
      <c r="S167" s="273"/>
      <c r="T167" s="74">
        <f>2400/1.05</f>
        <v>2285.7142857142858</v>
      </c>
      <c r="W167" s="225"/>
      <c r="X167" s="839">
        <v>3171.7926595546546</v>
      </c>
      <c r="Y167" s="839">
        <v>291.40845059658386</v>
      </c>
      <c r="Z167" s="839"/>
      <c r="AA167" s="225"/>
      <c r="AB167" s="225"/>
      <c r="AC167" s="225"/>
      <c r="AD167" s="225"/>
      <c r="AE167" s="225"/>
      <c r="AF167" s="225"/>
      <c r="AG167" s="225"/>
      <c r="AH167" s="225"/>
      <c r="AI167" s="733">
        <f>SUM(AI153:AI166)</f>
        <v>310570.11993355479</v>
      </c>
      <c r="AJ167" s="734"/>
      <c r="AK167" s="735">
        <f>SUM(AK153:AK166)</f>
        <v>40781</v>
      </c>
      <c r="AO167" s="878" t="s">
        <v>250</v>
      </c>
      <c r="AP167" s="878"/>
      <c r="AQ167" s="878"/>
      <c r="AR167" s="124" t="s">
        <v>251</v>
      </c>
      <c r="AS167" s="844">
        <v>2.77</v>
      </c>
      <c r="AT167" s="844">
        <v>3</v>
      </c>
      <c r="AU167" s="123">
        <f>400/1.07</f>
        <v>373.83177570093454</v>
      </c>
      <c r="AV167" s="196">
        <f>AU167*AT167</f>
        <v>1121.4953271028037</v>
      </c>
      <c r="AW167" s="844">
        <v>71.7</v>
      </c>
      <c r="AX167" s="219">
        <f>AW167*AT167</f>
        <v>215.10000000000002</v>
      </c>
    </row>
    <row r="168" spans="1:50" s="224" customFormat="1" x14ac:dyDescent="0.25">
      <c r="A168" s="350"/>
      <c r="B168" s="317"/>
      <c r="C168" s="318"/>
      <c r="D168" s="83"/>
      <c r="E168" s="242"/>
      <c r="F168" s="302"/>
      <c r="G168" s="77"/>
      <c r="H168" s="74"/>
      <c r="I168" s="74"/>
      <c r="J168" s="74"/>
      <c r="K168" s="74"/>
      <c r="L168" s="72"/>
      <c r="M168" s="74"/>
      <c r="N168" s="74"/>
      <c r="O168" s="72"/>
      <c r="P168" s="205"/>
      <c r="Q168" s="272"/>
      <c r="R168" s="439"/>
      <c r="S168" s="273"/>
      <c r="X168" s="839"/>
      <c r="Y168" s="839"/>
      <c r="Z168" s="839"/>
      <c r="AO168" s="878" t="s">
        <v>252</v>
      </c>
      <c r="AP168" s="878"/>
      <c r="AQ168" s="878"/>
      <c r="AR168" s="124" t="s">
        <v>253</v>
      </c>
      <c r="AS168" s="844">
        <v>0.25</v>
      </c>
      <c r="AT168" s="844">
        <v>0.25</v>
      </c>
      <c r="AU168" s="123">
        <f>AF31</f>
        <v>279.41176470588238</v>
      </c>
      <c r="AV168" s="196">
        <f>AU168*AT168</f>
        <v>69.852941176470594</v>
      </c>
      <c r="AW168" s="844"/>
      <c r="AX168" s="219">
        <f>AW168*AT168</f>
        <v>0</v>
      </c>
    </row>
    <row r="169" spans="1:50" s="224" customFormat="1" x14ac:dyDescent="0.25">
      <c r="A169" s="350"/>
      <c r="B169" s="412" t="s">
        <v>320</v>
      </c>
      <c r="C169" s="413" t="s">
        <v>420</v>
      </c>
      <c r="D169" s="316"/>
      <c r="E169" s="244"/>
      <c r="F169" s="302"/>
      <c r="G169" s="75"/>
      <c r="H169" s="440">
        <v>0.87</v>
      </c>
      <c r="I169" s="74"/>
      <c r="J169" s="440">
        <v>0.85</v>
      </c>
      <c r="K169" s="74"/>
      <c r="L169" s="74"/>
      <c r="M169" s="74"/>
      <c r="N169" s="74"/>
      <c r="O169" s="72"/>
      <c r="P169" s="205"/>
      <c r="Q169" s="272"/>
      <c r="R169" s="439"/>
      <c r="S169" s="273"/>
      <c r="X169" s="839"/>
      <c r="Y169" s="839"/>
      <c r="Z169" s="839"/>
      <c r="AO169" s="878" t="s">
        <v>254</v>
      </c>
      <c r="AP169" s="878"/>
      <c r="AQ169" s="878"/>
      <c r="AR169" s="124" t="s">
        <v>255</v>
      </c>
      <c r="AS169" s="844">
        <v>0.25</v>
      </c>
      <c r="AT169" s="844">
        <v>0.35</v>
      </c>
      <c r="AU169" s="123">
        <f>AF32</f>
        <v>34.905660377358487</v>
      </c>
      <c r="AV169" s="196">
        <f>AU169*AT169</f>
        <v>12.216981132075469</v>
      </c>
      <c r="AW169" s="844"/>
      <c r="AX169" s="219">
        <f>AW169*AT169</f>
        <v>0</v>
      </c>
    </row>
    <row r="170" spans="1:50" s="224" customFormat="1" x14ac:dyDescent="0.25">
      <c r="A170" s="350"/>
      <c r="B170" s="317"/>
      <c r="C170" s="318">
        <v>1</v>
      </c>
      <c r="D170" s="83" t="s">
        <v>421</v>
      </c>
      <c r="E170" s="242">
        <v>2284</v>
      </c>
      <c r="F170" s="242">
        <v>2450</v>
      </c>
      <c r="G170" s="77" t="s">
        <v>100</v>
      </c>
      <c r="H170" s="74">
        <f>T170/$H$169</f>
        <v>17.241379310344829</v>
      </c>
      <c r="I170" s="74">
        <f>F170*H170</f>
        <v>42241.379310344833</v>
      </c>
      <c r="J170" s="74">
        <f>W170/$J$169</f>
        <v>5.882352941176471</v>
      </c>
      <c r="K170" s="74">
        <f t="shared" si="120"/>
        <v>14411.764705882353</v>
      </c>
      <c r="L170" s="72">
        <f t="shared" si="121"/>
        <v>56653.14401622719</v>
      </c>
      <c r="M170" s="74">
        <f t="shared" ref="M170:N179" si="123">X170/$S$217*$S$218</f>
        <v>23.01700385021886</v>
      </c>
      <c r="N170" s="74">
        <f t="shared" si="123"/>
        <v>7.8528601371334936</v>
      </c>
      <c r="O170" s="72">
        <f t="shared" si="111"/>
        <v>30.869863987352353</v>
      </c>
      <c r="P170" s="205">
        <f t="shared" si="112"/>
        <v>75631.16676901326</v>
      </c>
      <c r="Q170" s="272">
        <f t="shared" ref="Q170:Q179" si="124">L170/$P$264*$P$272</f>
        <v>78261.578302468755</v>
      </c>
      <c r="R170" s="439">
        <f t="shared" si="113"/>
        <v>-2630.4115334554954</v>
      </c>
      <c r="S170" s="273"/>
      <c r="T170" s="74">
        <v>15</v>
      </c>
      <c r="U170" s="273"/>
      <c r="V170" s="273"/>
      <c r="W170" s="74">
        <v>5</v>
      </c>
      <c r="X170" s="840">
        <v>23.925160147502783</v>
      </c>
      <c r="Y170" s="840">
        <v>8.1627016973833033</v>
      </c>
      <c r="Z170" s="840"/>
      <c r="AO170" s="878" t="s">
        <v>256</v>
      </c>
      <c r="AP170" s="878"/>
      <c r="AQ170" s="878"/>
      <c r="AR170" s="124" t="s">
        <v>257</v>
      </c>
      <c r="AS170" s="844">
        <v>1</v>
      </c>
      <c r="AT170" s="844">
        <v>1</v>
      </c>
      <c r="AU170" s="123">
        <v>0</v>
      </c>
      <c r="AV170" s="196">
        <f>AU170*AT170</f>
        <v>0</v>
      </c>
      <c r="AW170" s="844">
        <v>0</v>
      </c>
      <c r="AX170" s="219">
        <f>AW170*AT170</f>
        <v>0</v>
      </c>
    </row>
    <row r="171" spans="1:50" s="224" customFormat="1" x14ac:dyDescent="0.25">
      <c r="A171" s="350"/>
      <c r="B171" s="317"/>
      <c r="C171" s="318">
        <v>2</v>
      </c>
      <c r="D171" s="83" t="s">
        <v>422</v>
      </c>
      <c r="E171" s="242">
        <v>6464</v>
      </c>
      <c r="F171" s="242">
        <v>6880</v>
      </c>
      <c r="G171" s="77" t="s">
        <v>100</v>
      </c>
      <c r="H171" s="74">
        <f>T171/$H$169</f>
        <v>25.287356321839081</v>
      </c>
      <c r="I171" s="74">
        <f t="shared" ref="I171:I179" si="125">F171*H171</f>
        <v>173977.01149425289</v>
      </c>
      <c r="J171" s="74">
        <f>W171/$J$169</f>
        <v>8.2352941176470598</v>
      </c>
      <c r="K171" s="74">
        <f t="shared" si="120"/>
        <v>56658.823529411769</v>
      </c>
      <c r="L171" s="72">
        <f t="shared" si="121"/>
        <v>230635.83502366467</v>
      </c>
      <c r="M171" s="74">
        <f t="shared" si="123"/>
        <v>33.758272313654324</v>
      </c>
      <c r="N171" s="74">
        <f t="shared" si="123"/>
        <v>10.994004191986891</v>
      </c>
      <c r="O171" s="72">
        <f t="shared" si="111"/>
        <v>44.752276505641213</v>
      </c>
      <c r="P171" s="205">
        <f t="shared" si="112"/>
        <v>307895.66235881153</v>
      </c>
      <c r="Q171" s="272">
        <f t="shared" si="124"/>
        <v>318604.10883621481</v>
      </c>
      <c r="R171" s="439">
        <f t="shared" si="113"/>
        <v>-10708.446477403282</v>
      </c>
      <c r="S171" s="273"/>
      <c r="T171" s="74">
        <v>22</v>
      </c>
      <c r="U171" s="273"/>
      <c r="V171" s="273"/>
      <c r="W171" s="74">
        <v>7</v>
      </c>
      <c r="X171" s="840">
        <v>35.090234883004079</v>
      </c>
      <c r="Y171" s="840">
        <v>11.427782376336625</v>
      </c>
      <c r="Z171" s="840"/>
      <c r="AO171" s="126"/>
      <c r="AP171" s="126"/>
      <c r="AQ171" s="126"/>
      <c r="AR171" s="126"/>
      <c r="AS171" s="844"/>
      <c r="AT171" s="844"/>
      <c r="AU171" s="123"/>
      <c r="AV171" s="212">
        <f>SUM(AV167:AV170)</f>
        <v>1203.5652494113497</v>
      </c>
      <c r="AW171" s="843"/>
      <c r="AX171" s="212">
        <f>SUM(AX167:AX170)</f>
        <v>215.10000000000002</v>
      </c>
    </row>
    <row r="172" spans="1:50" s="224" customFormat="1" x14ac:dyDescent="0.25">
      <c r="A172" s="350"/>
      <c r="B172" s="317"/>
      <c r="C172" s="318">
        <v>3</v>
      </c>
      <c r="D172" s="83" t="s">
        <v>423</v>
      </c>
      <c r="E172" s="242">
        <v>1087</v>
      </c>
      <c r="F172" s="242">
        <v>1215</v>
      </c>
      <c r="G172" s="77" t="s">
        <v>100</v>
      </c>
      <c r="H172" s="74">
        <f t="shared" ref="H172:H179" si="126">T172/$H$169</f>
        <v>37.931034482758619</v>
      </c>
      <c r="I172" s="74">
        <f t="shared" si="125"/>
        <v>46086.206896551725</v>
      </c>
      <c r="J172" s="74">
        <f t="shared" ref="J172:J179" si="127">W172/$J$169</f>
        <v>18.823529411764707</v>
      </c>
      <c r="K172" s="74">
        <f t="shared" si="120"/>
        <v>22870.588235294119</v>
      </c>
      <c r="L172" s="72">
        <f t="shared" si="121"/>
        <v>68956.795131845836</v>
      </c>
      <c r="M172" s="74">
        <f t="shared" si="123"/>
        <v>50.637408470481482</v>
      </c>
      <c r="N172" s="74">
        <f t="shared" si="123"/>
        <v>25.129152438827177</v>
      </c>
      <c r="O172" s="72">
        <f t="shared" si="111"/>
        <v>75.766560909308652</v>
      </c>
      <c r="P172" s="205">
        <f t="shared" si="112"/>
        <v>92056.371504810013</v>
      </c>
      <c r="Q172" s="272">
        <f t="shared" si="124"/>
        <v>95258.042874945822</v>
      </c>
      <c r="R172" s="439">
        <f t="shared" si="113"/>
        <v>-3201.6713701358094</v>
      </c>
      <c r="S172" s="273"/>
      <c r="T172" s="74">
        <v>33</v>
      </c>
      <c r="U172" s="273"/>
      <c r="V172" s="273"/>
      <c r="W172" s="74">
        <v>16</v>
      </c>
      <c r="X172" s="840">
        <v>52.635352324506115</v>
      </c>
      <c r="Y172" s="840">
        <v>26.120645431626567</v>
      </c>
      <c r="Z172" s="840"/>
      <c r="AO172" s="273"/>
      <c r="AP172" s="273"/>
      <c r="AQ172" s="273"/>
      <c r="AR172" s="273"/>
      <c r="AS172" s="273"/>
      <c r="AT172" s="273"/>
      <c r="AU172" s="273"/>
      <c r="AW172" s="273"/>
    </row>
    <row r="173" spans="1:50" s="224" customFormat="1" x14ac:dyDescent="0.25">
      <c r="A173" s="350"/>
      <c r="B173" s="317"/>
      <c r="C173" s="318">
        <v>4</v>
      </c>
      <c r="D173" s="83" t="s">
        <v>430</v>
      </c>
      <c r="E173" s="242">
        <v>1771</v>
      </c>
      <c r="F173" s="242">
        <v>1880</v>
      </c>
      <c r="G173" s="77" t="s">
        <v>100</v>
      </c>
      <c r="H173" s="74">
        <f t="shared" si="126"/>
        <v>60.919540229885058</v>
      </c>
      <c r="I173" s="74">
        <f t="shared" si="125"/>
        <v>114528.7356321839</v>
      </c>
      <c r="J173" s="74">
        <f t="shared" si="127"/>
        <v>18.823529411764707</v>
      </c>
      <c r="K173" s="74">
        <f t="shared" si="120"/>
        <v>35388.23529411765</v>
      </c>
      <c r="L173" s="72">
        <f t="shared" si="121"/>
        <v>149916.97092630155</v>
      </c>
      <c r="M173" s="74">
        <f t="shared" si="123"/>
        <v>81.326746937439964</v>
      </c>
      <c r="N173" s="74">
        <f t="shared" si="123"/>
        <v>25.129152438827177</v>
      </c>
      <c r="O173" s="72">
        <f t="shared" si="111"/>
        <v>106.45589937626714</v>
      </c>
      <c r="P173" s="205">
        <f t="shared" si="112"/>
        <v>200137.09082738223</v>
      </c>
      <c r="Q173" s="272">
        <f t="shared" si="124"/>
        <v>207097.75181509904</v>
      </c>
      <c r="R173" s="439">
        <f t="shared" si="113"/>
        <v>-6960.6609877168084</v>
      </c>
      <c r="S173" s="273"/>
      <c r="T173" s="74">
        <v>53</v>
      </c>
      <c r="U173" s="273"/>
      <c r="V173" s="273"/>
      <c r="W173" s="74">
        <v>16</v>
      </c>
      <c r="X173" s="840">
        <v>84.535565854509841</v>
      </c>
      <c r="Y173" s="840">
        <v>26.120645431626567</v>
      </c>
      <c r="Z173" s="840"/>
      <c r="AO173" s="273"/>
      <c r="AP173" s="273"/>
      <c r="AQ173" s="273"/>
      <c r="AR173" s="273"/>
      <c r="AS173" s="273"/>
      <c r="AT173" s="273"/>
      <c r="AU173" s="273"/>
      <c r="AW173" s="273"/>
    </row>
    <row r="174" spans="1:50" s="224" customFormat="1" x14ac:dyDescent="0.25">
      <c r="A174" s="350"/>
      <c r="B174" s="317"/>
      <c r="C174" s="318">
        <v>5</v>
      </c>
      <c r="D174" s="83" t="s">
        <v>424</v>
      </c>
      <c r="E174" s="242">
        <v>21</v>
      </c>
      <c r="F174" s="242">
        <v>23</v>
      </c>
      <c r="G174" s="77" t="s">
        <v>100</v>
      </c>
      <c r="H174" s="74">
        <f t="shared" si="126"/>
        <v>95.402298850574709</v>
      </c>
      <c r="I174" s="74">
        <f t="shared" si="125"/>
        <v>2194.2528735632181</v>
      </c>
      <c r="J174" s="74">
        <f t="shared" si="127"/>
        <v>29.411764705882355</v>
      </c>
      <c r="K174" s="74">
        <f t="shared" si="120"/>
        <v>676.47058823529414</v>
      </c>
      <c r="L174" s="72">
        <f t="shared" si="121"/>
        <v>2870.7234617985123</v>
      </c>
      <c r="M174" s="74">
        <f t="shared" si="123"/>
        <v>127.36075463787766</v>
      </c>
      <c r="N174" s="74">
        <f t="shared" si="123"/>
        <v>39.264300685667465</v>
      </c>
      <c r="O174" s="72">
        <f t="shared" si="111"/>
        <v>166.62505532354513</v>
      </c>
      <c r="P174" s="205">
        <f t="shared" si="112"/>
        <v>3832.3762724415378</v>
      </c>
      <c r="Q174" s="272">
        <f t="shared" si="124"/>
        <v>3965.6642696816061</v>
      </c>
      <c r="R174" s="439">
        <f t="shared" si="113"/>
        <v>-133.28799724006831</v>
      </c>
      <c r="S174" s="273"/>
      <c r="T174" s="74">
        <v>83</v>
      </c>
      <c r="U174" s="273"/>
      <c r="V174" s="273"/>
      <c r="W174" s="74">
        <v>25</v>
      </c>
      <c r="X174" s="840">
        <v>132.38588614951539</v>
      </c>
      <c r="Y174" s="840">
        <v>40.813508486916511</v>
      </c>
      <c r="Z174" s="840"/>
      <c r="AO174" s="900" t="s">
        <v>351</v>
      </c>
      <c r="AP174" s="900"/>
      <c r="AQ174" s="900"/>
      <c r="AR174" s="843" t="s">
        <v>243</v>
      </c>
      <c r="AS174" s="843" t="s">
        <v>244</v>
      </c>
      <c r="AT174" s="843" t="s">
        <v>245</v>
      </c>
      <c r="AU174" s="123" t="s">
        <v>246</v>
      </c>
      <c r="AV174" s="196" t="s">
        <v>247</v>
      </c>
      <c r="AW174" s="843" t="s">
        <v>248</v>
      </c>
      <c r="AX174" s="212" t="s">
        <v>249</v>
      </c>
    </row>
    <row r="175" spans="1:50" s="224" customFormat="1" x14ac:dyDescent="0.25">
      <c r="A175" s="350"/>
      <c r="B175" s="319"/>
      <c r="C175" s="318">
        <v>6</v>
      </c>
      <c r="D175" s="83" t="s">
        <v>425</v>
      </c>
      <c r="E175" s="242">
        <v>24</v>
      </c>
      <c r="F175" s="242">
        <v>27</v>
      </c>
      <c r="G175" s="77" t="s">
        <v>100</v>
      </c>
      <c r="H175" s="74">
        <f t="shared" si="126"/>
        <v>149.42528735632183</v>
      </c>
      <c r="I175" s="74">
        <f t="shared" si="125"/>
        <v>4034.4827586206893</v>
      </c>
      <c r="J175" s="74">
        <f t="shared" si="127"/>
        <v>45.882352941176471</v>
      </c>
      <c r="K175" s="74">
        <f t="shared" si="120"/>
        <v>1238.8235294117646</v>
      </c>
      <c r="L175" s="72">
        <f t="shared" si="121"/>
        <v>5273.3062880324542</v>
      </c>
      <c r="M175" s="74">
        <f t="shared" si="123"/>
        <v>199.48070003523006</v>
      </c>
      <c r="N175" s="74">
        <f t="shared" si="123"/>
        <v>61.252309069641242</v>
      </c>
      <c r="O175" s="72">
        <f t="shared" si="111"/>
        <v>260.73300910487131</v>
      </c>
      <c r="P175" s="205">
        <f t="shared" si="112"/>
        <v>7039.7912458315259</v>
      </c>
      <c r="Q175" s="272">
        <f t="shared" si="124"/>
        <v>7284.63142055353</v>
      </c>
      <c r="R175" s="439">
        <f t="shared" si="113"/>
        <v>-244.84017472200412</v>
      </c>
      <c r="S175" s="273"/>
      <c r="T175" s="74">
        <v>130</v>
      </c>
      <c r="U175" s="273"/>
      <c r="V175" s="273"/>
      <c r="W175" s="74">
        <v>39</v>
      </c>
      <c r="X175" s="840">
        <v>207.3513879450241</v>
      </c>
      <c r="Y175" s="840">
        <v>63.669073239589757</v>
      </c>
      <c r="Z175" s="840"/>
      <c r="AO175" s="878" t="s">
        <v>352</v>
      </c>
      <c r="AP175" s="878"/>
      <c r="AQ175" s="878"/>
      <c r="AR175" s="124" t="s">
        <v>251</v>
      </c>
      <c r="AS175" s="844">
        <v>8.33</v>
      </c>
      <c r="AT175" s="844">
        <v>9</v>
      </c>
      <c r="AU175" s="123">
        <f>130/1.06</f>
        <v>122.64150943396226</v>
      </c>
      <c r="AV175" s="196">
        <f>AU175*AT175</f>
        <v>1103.7735849056603</v>
      </c>
      <c r="AW175" s="844">
        <f>AH132</f>
        <v>23.9</v>
      </c>
      <c r="AX175" s="219">
        <f>AW175*AT175</f>
        <v>215.1</v>
      </c>
    </row>
    <row r="176" spans="1:50" s="224" customFormat="1" x14ac:dyDescent="0.25">
      <c r="A176" s="350"/>
      <c r="B176" s="317"/>
      <c r="C176" s="318">
        <v>7</v>
      </c>
      <c r="D176" s="83" t="s">
        <v>426</v>
      </c>
      <c r="E176" s="242">
        <v>9</v>
      </c>
      <c r="F176" s="242">
        <v>11</v>
      </c>
      <c r="G176" s="77" t="s">
        <v>100</v>
      </c>
      <c r="H176" s="74">
        <f t="shared" si="126"/>
        <v>218.39080459770116</v>
      </c>
      <c r="I176" s="74">
        <f t="shared" si="125"/>
        <v>2402.2988505747126</v>
      </c>
      <c r="J176" s="74">
        <f t="shared" si="127"/>
        <v>67.058823529411768</v>
      </c>
      <c r="K176" s="74">
        <f t="shared" si="120"/>
        <v>737.64705882352951</v>
      </c>
      <c r="L176" s="72">
        <f t="shared" si="121"/>
        <v>3139.9459093982423</v>
      </c>
      <c r="M176" s="74">
        <f t="shared" si="123"/>
        <v>291.54871543610551</v>
      </c>
      <c r="N176" s="74">
        <f t="shared" si="123"/>
        <v>89.522605563321804</v>
      </c>
      <c r="O176" s="72">
        <f t="shared" si="111"/>
        <v>381.07132099942731</v>
      </c>
      <c r="P176" s="205">
        <f t="shared" si="112"/>
        <v>4191.7845309937002</v>
      </c>
      <c r="Q176" s="272">
        <f t="shared" si="124"/>
        <v>4337.5725552583699</v>
      </c>
      <c r="R176" s="439">
        <f t="shared" si="113"/>
        <v>-145.78802426466973</v>
      </c>
      <c r="S176" s="273"/>
      <c r="T176" s="74">
        <v>190</v>
      </c>
      <c r="U176" s="273"/>
      <c r="V176" s="273"/>
      <c r="W176" s="74">
        <v>57</v>
      </c>
      <c r="X176" s="840">
        <v>303.05202853503522</v>
      </c>
      <c r="Y176" s="840">
        <v>93.054799350169645</v>
      </c>
      <c r="Z176" s="840"/>
      <c r="AO176" s="878" t="s">
        <v>252</v>
      </c>
      <c r="AP176" s="878"/>
      <c r="AQ176" s="878"/>
      <c r="AR176" s="124" t="s">
        <v>253</v>
      </c>
      <c r="AS176" s="844">
        <v>0.25</v>
      </c>
      <c r="AT176" s="844">
        <v>0.25</v>
      </c>
      <c r="AU176" s="123">
        <f>260/1.06</f>
        <v>245.28301886792451</v>
      </c>
      <c r="AV176" s="196">
        <f>AU176*AT176</f>
        <v>61.320754716981128</v>
      </c>
      <c r="AW176" s="844"/>
      <c r="AX176" s="219">
        <f>AW176*AT176</f>
        <v>0</v>
      </c>
    </row>
    <row r="177" spans="1:50" s="224" customFormat="1" x14ac:dyDescent="0.25">
      <c r="A177" s="350"/>
      <c r="B177" s="317"/>
      <c r="C177" s="318">
        <v>8</v>
      </c>
      <c r="D177" s="83" t="s">
        <v>427</v>
      </c>
      <c r="E177" s="242">
        <v>34</v>
      </c>
      <c r="F177" s="242">
        <v>47</v>
      </c>
      <c r="G177" s="77" t="s">
        <v>100</v>
      </c>
      <c r="H177" s="74">
        <f t="shared" si="126"/>
        <v>356.32183908045977</v>
      </c>
      <c r="I177" s="74">
        <f t="shared" si="125"/>
        <v>16747.126436781607</v>
      </c>
      <c r="J177" s="74">
        <f t="shared" si="127"/>
        <v>109.41176470588236</v>
      </c>
      <c r="K177" s="74">
        <f t="shared" si="120"/>
        <v>5142.3529411764712</v>
      </c>
      <c r="L177" s="72">
        <f t="shared" si="121"/>
        <v>21889.47937795808</v>
      </c>
      <c r="M177" s="74">
        <f t="shared" si="123"/>
        <v>475.68474623785636</v>
      </c>
      <c r="N177" s="74">
        <f t="shared" si="123"/>
        <v>146.06319855068296</v>
      </c>
      <c r="O177" s="72">
        <f t="shared" si="111"/>
        <v>621.74794478853937</v>
      </c>
      <c r="P177" s="205">
        <f t="shared" si="112"/>
        <v>29222.153405061352</v>
      </c>
      <c r="Q177" s="272">
        <f t="shared" si="124"/>
        <v>30238.484272782036</v>
      </c>
      <c r="R177" s="439">
        <f t="shared" si="113"/>
        <v>-1016.3308677206842</v>
      </c>
      <c r="S177" s="273"/>
      <c r="T177" s="74">
        <v>310</v>
      </c>
      <c r="U177" s="273"/>
      <c r="V177" s="273"/>
      <c r="W177" s="74">
        <v>93</v>
      </c>
      <c r="X177" s="840">
        <v>494.45330971505751</v>
      </c>
      <c r="Y177" s="840">
        <v>151.82625157132941</v>
      </c>
      <c r="Z177" s="840"/>
      <c r="AO177" s="878" t="s">
        <v>254</v>
      </c>
      <c r="AP177" s="878"/>
      <c r="AQ177" s="878"/>
      <c r="AR177" s="124" t="s">
        <v>255</v>
      </c>
      <c r="AS177" s="844">
        <v>0.25</v>
      </c>
      <c r="AT177" s="844">
        <v>0.35</v>
      </c>
      <c r="AU177" s="123">
        <f>37/1.06</f>
        <v>34.905660377358487</v>
      </c>
      <c r="AV177" s="196">
        <f>AU177*AT177</f>
        <v>12.216981132075469</v>
      </c>
      <c r="AW177" s="844"/>
      <c r="AX177" s="219">
        <f>AW177*AT177</f>
        <v>0</v>
      </c>
    </row>
    <row r="178" spans="1:50" s="224" customFormat="1" x14ac:dyDescent="0.25">
      <c r="A178" s="350"/>
      <c r="B178" s="317"/>
      <c r="C178" s="318">
        <v>9</v>
      </c>
      <c r="D178" s="83" t="s">
        <v>428</v>
      </c>
      <c r="E178" s="242">
        <v>27</v>
      </c>
      <c r="F178" s="242">
        <v>37</v>
      </c>
      <c r="G178" s="77" t="s">
        <v>100</v>
      </c>
      <c r="H178" s="74">
        <f t="shared" si="126"/>
        <v>1018.3908045977012</v>
      </c>
      <c r="I178" s="74">
        <f t="shared" si="125"/>
        <v>37680.45977011494</v>
      </c>
      <c r="J178" s="74">
        <f t="shared" si="127"/>
        <v>311.76470588235293</v>
      </c>
      <c r="K178" s="74">
        <f t="shared" si="120"/>
        <v>11535.294117647058</v>
      </c>
      <c r="L178" s="72">
        <f t="shared" si="121"/>
        <v>49215.753887761995</v>
      </c>
      <c r="M178" s="74">
        <f t="shared" si="123"/>
        <v>1359.5376940862602</v>
      </c>
      <c r="N178" s="74">
        <f t="shared" si="123"/>
        <v>416.20158726807512</v>
      </c>
      <c r="O178" s="72">
        <f t="shared" si="111"/>
        <v>1775.7392813543354</v>
      </c>
      <c r="P178" s="205">
        <f t="shared" si="112"/>
        <v>65702.353410110416</v>
      </c>
      <c r="Q178" s="272">
        <f t="shared" si="124"/>
        <v>67987.446124770606</v>
      </c>
      <c r="R178" s="439">
        <f t="shared" si="113"/>
        <v>-2285.0927146601898</v>
      </c>
      <c r="S178" s="273"/>
      <c r="T178" s="74">
        <v>886</v>
      </c>
      <c r="U178" s="273"/>
      <c r="V178" s="273"/>
      <c r="W178" s="74">
        <v>265</v>
      </c>
      <c r="X178" s="840">
        <v>1413.1794593791642</v>
      </c>
      <c r="Y178" s="840">
        <v>432.62318996131501</v>
      </c>
      <c r="Z178" s="840"/>
      <c r="AO178" s="878" t="s">
        <v>256</v>
      </c>
      <c r="AP178" s="878"/>
      <c r="AQ178" s="878"/>
      <c r="AR178" s="124" t="s">
        <v>257</v>
      </c>
      <c r="AS178" s="844">
        <v>1</v>
      </c>
      <c r="AT178" s="844">
        <v>1</v>
      </c>
      <c r="AU178" s="123">
        <v>0</v>
      </c>
      <c r="AV178" s="196">
        <f>AU178*AT178</f>
        <v>0</v>
      </c>
      <c r="AW178" s="844">
        <v>0</v>
      </c>
      <c r="AX178" s="219">
        <f>AW178*AT178</f>
        <v>0</v>
      </c>
    </row>
    <row r="179" spans="1:50" s="224" customFormat="1" x14ac:dyDescent="0.25">
      <c r="A179" s="350"/>
      <c r="B179" s="317"/>
      <c r="C179" s="318">
        <v>10</v>
      </c>
      <c r="D179" s="83" t="s">
        <v>429</v>
      </c>
      <c r="E179" s="242">
        <v>102</v>
      </c>
      <c r="F179" s="242">
        <v>125</v>
      </c>
      <c r="G179" s="77" t="s">
        <v>100</v>
      </c>
      <c r="H179" s="74">
        <f t="shared" si="126"/>
        <v>1650.5747126436781</v>
      </c>
      <c r="I179" s="74">
        <f t="shared" si="125"/>
        <v>206321.83908045976</v>
      </c>
      <c r="J179" s="74">
        <f t="shared" si="127"/>
        <v>505.88235294117646</v>
      </c>
      <c r="K179" s="74">
        <f t="shared" si="120"/>
        <v>63235.294117647056</v>
      </c>
      <c r="L179" s="72">
        <f t="shared" si="121"/>
        <v>269557.13319810684</v>
      </c>
      <c r="M179" s="74">
        <f t="shared" si="123"/>
        <v>2203.4945019276183</v>
      </c>
      <c r="N179" s="74">
        <f t="shared" si="123"/>
        <v>675.34597179348032</v>
      </c>
      <c r="O179" s="72">
        <f t="shared" si="111"/>
        <v>2878.8404737210985</v>
      </c>
      <c r="P179" s="205">
        <f t="shared" si="112"/>
        <v>359855.05921513733</v>
      </c>
      <c r="Q179" s="272">
        <f t="shared" si="124"/>
        <v>372370.62572785211</v>
      </c>
      <c r="R179" s="439">
        <f t="shared" si="113"/>
        <v>-12515.56651271478</v>
      </c>
      <c r="S179" s="273"/>
      <c r="T179" s="74">
        <v>1436</v>
      </c>
      <c r="U179" s="273"/>
      <c r="V179" s="273"/>
      <c r="W179" s="74">
        <v>430</v>
      </c>
      <c r="X179" s="840">
        <v>2290.4353314542664</v>
      </c>
      <c r="Y179" s="840">
        <v>701.992345974964</v>
      </c>
      <c r="Z179" s="840"/>
      <c r="AO179" s="126"/>
      <c r="AP179" s="126"/>
      <c r="AQ179" s="126"/>
      <c r="AR179" s="126"/>
      <c r="AS179" s="844"/>
      <c r="AT179" s="844"/>
      <c r="AU179" s="123"/>
      <c r="AV179" s="212">
        <f>SUM(AV175:AV178)</f>
        <v>1177.3113207547169</v>
      </c>
      <c r="AW179" s="843"/>
      <c r="AX179" s="212">
        <f>SUM(AX175:AX178)</f>
        <v>215.1</v>
      </c>
    </row>
    <row r="180" spans="1:50" s="224" customFormat="1" x14ac:dyDescent="0.25">
      <c r="A180" s="350"/>
      <c r="B180" s="317"/>
      <c r="C180" s="318"/>
      <c r="D180" s="83"/>
      <c r="E180" s="242"/>
      <c r="F180" s="242"/>
      <c r="G180" s="77"/>
      <c r="H180" s="74"/>
      <c r="I180" s="74"/>
      <c r="J180" s="74"/>
      <c r="K180" s="74"/>
      <c r="L180" s="72"/>
      <c r="M180" s="74"/>
      <c r="N180" s="74"/>
      <c r="O180" s="72"/>
      <c r="P180" s="205"/>
      <c r="Q180" s="272"/>
      <c r="R180" s="439"/>
      <c r="S180" s="273"/>
      <c r="T180" s="74"/>
      <c r="U180" s="273"/>
      <c r="V180" s="273"/>
      <c r="W180" s="74"/>
      <c r="X180" s="840"/>
      <c r="Y180" s="840"/>
      <c r="Z180" s="840"/>
      <c r="AA180" s="858"/>
      <c r="AB180" s="858"/>
      <c r="AC180" s="858"/>
      <c r="AD180" s="858"/>
      <c r="AE180" s="858"/>
      <c r="AF180" s="858"/>
      <c r="AG180" s="858"/>
      <c r="AH180" s="858"/>
      <c r="AI180" s="737"/>
      <c r="AJ180" s="687"/>
      <c r="AK180" s="687"/>
      <c r="AL180" s="687"/>
      <c r="AM180" s="687"/>
      <c r="AN180" s="687"/>
      <c r="AO180" s="273"/>
      <c r="AP180" s="273"/>
      <c r="AQ180" s="273"/>
      <c r="AR180" s="273"/>
      <c r="AS180" s="273"/>
      <c r="AT180" s="273"/>
      <c r="AU180" s="273"/>
      <c r="AW180" s="273"/>
    </row>
    <row r="181" spans="1:50" s="224" customFormat="1" x14ac:dyDescent="0.25">
      <c r="A181" s="350"/>
      <c r="B181" s="412" t="s">
        <v>321</v>
      </c>
      <c r="C181" s="413" t="s">
        <v>431</v>
      </c>
      <c r="D181" s="316"/>
      <c r="E181" s="244"/>
      <c r="F181" s="302"/>
      <c r="G181" s="75"/>
      <c r="H181" s="74"/>
      <c r="I181" s="74"/>
      <c r="J181" s="74"/>
      <c r="K181" s="74"/>
      <c r="L181" s="74"/>
      <c r="M181" s="74"/>
      <c r="N181" s="74"/>
      <c r="O181" s="72"/>
      <c r="P181" s="205"/>
      <c r="Q181" s="272"/>
      <c r="R181" s="439"/>
      <c r="S181" s="273"/>
      <c r="T181" s="74"/>
      <c r="W181" s="74"/>
      <c r="X181" s="840"/>
      <c r="Y181" s="840"/>
      <c r="Z181" s="840"/>
      <c r="AO181" s="273"/>
      <c r="AP181" s="273"/>
      <c r="AQ181" s="273"/>
      <c r="AR181" s="273"/>
      <c r="AS181" s="273"/>
      <c r="AT181" s="273"/>
      <c r="AU181" s="273"/>
      <c r="AW181" s="273"/>
    </row>
    <row r="182" spans="1:50" s="224" customFormat="1" x14ac:dyDescent="0.25">
      <c r="A182" s="350"/>
      <c r="B182" s="317"/>
      <c r="C182" s="318">
        <v>1</v>
      </c>
      <c r="D182" s="83" t="s">
        <v>432</v>
      </c>
      <c r="E182" s="242">
        <v>24</v>
      </c>
      <c r="F182" s="242">
        <v>24</v>
      </c>
      <c r="G182" s="77" t="s">
        <v>28</v>
      </c>
      <c r="H182" s="74">
        <f t="shared" ref="H182:H188" si="128">T182/$H$169</f>
        <v>108.04597701149426</v>
      </c>
      <c r="I182" s="74">
        <f>F182*H182</f>
        <v>2593.1034482758623</v>
      </c>
      <c r="J182" s="74">
        <f t="shared" ref="J182:J188" si="129">W182/$J$169</f>
        <v>44.705882352941181</v>
      </c>
      <c r="K182" s="74">
        <f t="shared" ref="K182:K188" si="130">F182*J182</f>
        <v>1072.9411764705883</v>
      </c>
      <c r="L182" s="72">
        <f t="shared" ref="L182:L188" si="131">I182+K182</f>
        <v>3666.0446247464506</v>
      </c>
      <c r="M182" s="74">
        <f t="shared" ref="M182:N188" si="132">X182/$S$217*$S$218</f>
        <v>144.23989079470482</v>
      </c>
      <c r="N182" s="74">
        <f t="shared" si="132"/>
        <v>59.68173704221455</v>
      </c>
      <c r="O182" s="72">
        <f t="shared" si="111"/>
        <v>203.92162783691936</v>
      </c>
      <c r="P182" s="205">
        <f t="shared" si="112"/>
        <v>4894.1190680860645</v>
      </c>
      <c r="Q182" s="272">
        <f t="shared" ref="Q182:Q188" si="133">L182/$P$264*$P$272</f>
        <v>5064.333911949514</v>
      </c>
      <c r="R182" s="439">
        <f t="shared" si="113"/>
        <v>-170.21484386344946</v>
      </c>
      <c r="S182" s="273"/>
      <c r="T182" s="74">
        <v>94</v>
      </c>
      <c r="U182" s="273"/>
      <c r="V182" s="273"/>
      <c r="W182" s="74">
        <v>38</v>
      </c>
      <c r="X182" s="840">
        <v>149.93100359101743</v>
      </c>
      <c r="Y182" s="840">
        <v>62.036532900113102</v>
      </c>
      <c r="Z182" s="840"/>
      <c r="AO182" s="900" t="s">
        <v>351</v>
      </c>
      <c r="AP182" s="900"/>
      <c r="AQ182" s="900"/>
      <c r="AR182" s="843" t="s">
        <v>243</v>
      </c>
      <c r="AS182" s="843" t="s">
        <v>244</v>
      </c>
      <c r="AT182" s="843" t="s">
        <v>245</v>
      </c>
      <c r="AU182" s="123" t="s">
        <v>246</v>
      </c>
      <c r="AV182" s="123" t="s">
        <v>247</v>
      </c>
      <c r="AW182" s="843" t="s">
        <v>248</v>
      </c>
      <c r="AX182" s="843" t="s">
        <v>249</v>
      </c>
    </row>
    <row r="183" spans="1:50" s="224" customFormat="1" x14ac:dyDescent="0.25">
      <c r="A183" s="350"/>
      <c r="B183" s="317"/>
      <c r="C183" s="318">
        <v>2</v>
      </c>
      <c r="D183" s="83" t="s">
        <v>433</v>
      </c>
      <c r="E183" s="242">
        <v>6</v>
      </c>
      <c r="F183" s="242">
        <v>6</v>
      </c>
      <c r="G183" s="77" t="s">
        <v>28</v>
      </c>
      <c r="H183" s="74">
        <f t="shared" si="128"/>
        <v>163.2183908045977</v>
      </c>
      <c r="I183" s="74">
        <f t="shared" ref="I183:I185" si="134">F183*H183</f>
        <v>979.31034482758628</v>
      </c>
      <c r="J183" s="74">
        <f t="shared" si="129"/>
        <v>52.941176470588239</v>
      </c>
      <c r="K183" s="74">
        <f t="shared" si="130"/>
        <v>317.64705882352945</v>
      </c>
      <c r="L183" s="72">
        <f t="shared" si="131"/>
        <v>1296.9574036511158</v>
      </c>
      <c r="M183" s="74">
        <f t="shared" si="132"/>
        <v>217.89430311540519</v>
      </c>
      <c r="N183" s="74">
        <f t="shared" si="132"/>
        <v>70.675741234201439</v>
      </c>
      <c r="O183" s="72">
        <f t="shared" si="111"/>
        <v>288.57004434960663</v>
      </c>
      <c r="P183" s="205">
        <f t="shared" si="112"/>
        <v>1731.4202660976398</v>
      </c>
      <c r="Q183" s="272">
        <f t="shared" si="133"/>
        <v>1791.6381370067497</v>
      </c>
      <c r="R183" s="439">
        <f t="shared" si="113"/>
        <v>-60.217870909109934</v>
      </c>
      <c r="S183" s="273"/>
      <c r="T183" s="74">
        <v>142</v>
      </c>
      <c r="U183" s="273"/>
      <c r="V183" s="273"/>
      <c r="W183" s="74">
        <v>45</v>
      </c>
      <c r="X183" s="840">
        <v>226.49151606302635</v>
      </c>
      <c r="Y183" s="840">
        <v>73.464315276449724</v>
      </c>
      <c r="Z183" s="840"/>
      <c r="AO183" s="878" t="s">
        <v>353</v>
      </c>
      <c r="AP183" s="878"/>
      <c r="AQ183" s="878"/>
      <c r="AR183" s="124" t="s">
        <v>251</v>
      </c>
      <c r="AS183" s="844">
        <v>8.33</v>
      </c>
      <c r="AT183" s="844">
        <v>9</v>
      </c>
      <c r="AU183" s="123">
        <f>143/1.06</f>
        <v>134.90566037735849</v>
      </c>
      <c r="AV183" s="123">
        <f>AU183*AT183</f>
        <v>1214.1509433962265</v>
      </c>
      <c r="AW183" s="844">
        <f>AW175</f>
        <v>23.9</v>
      </c>
      <c r="AX183" s="219">
        <f>AW183*AT183</f>
        <v>215.1</v>
      </c>
    </row>
    <row r="184" spans="1:50" s="224" customFormat="1" x14ac:dyDescent="0.25">
      <c r="A184" s="350"/>
      <c r="B184" s="317"/>
      <c r="C184" s="318">
        <v>3</v>
      </c>
      <c r="D184" s="83" t="s">
        <v>434</v>
      </c>
      <c r="E184" s="242">
        <v>3</v>
      </c>
      <c r="F184" s="242">
        <v>3</v>
      </c>
      <c r="G184" s="77" t="s">
        <v>28</v>
      </c>
      <c r="H184" s="74">
        <f t="shared" si="128"/>
        <v>235.63218390804599</v>
      </c>
      <c r="I184" s="74">
        <f t="shared" si="134"/>
        <v>706.89655172413791</v>
      </c>
      <c r="J184" s="74">
        <f t="shared" si="129"/>
        <v>72.941176470588232</v>
      </c>
      <c r="K184" s="74">
        <f t="shared" si="130"/>
        <v>218.8235294117647</v>
      </c>
      <c r="L184" s="72">
        <f t="shared" si="131"/>
        <v>925.72008113590255</v>
      </c>
      <c r="M184" s="74">
        <f t="shared" si="132"/>
        <v>314.56571928632439</v>
      </c>
      <c r="N184" s="74">
        <f t="shared" si="132"/>
        <v>97.375465700455308</v>
      </c>
      <c r="O184" s="72">
        <f t="shared" si="111"/>
        <v>411.94118498677972</v>
      </c>
      <c r="P184" s="205">
        <f t="shared" si="112"/>
        <v>1235.8235549603392</v>
      </c>
      <c r="Q184" s="272">
        <f t="shared" si="133"/>
        <v>1278.8048372961218</v>
      </c>
      <c r="R184" s="439">
        <f t="shared" si="113"/>
        <v>-42.98128233578268</v>
      </c>
      <c r="S184" s="273"/>
      <c r="T184" s="74">
        <v>205</v>
      </c>
      <c r="U184" s="273"/>
      <c r="V184" s="273"/>
      <c r="W184" s="74">
        <v>62</v>
      </c>
      <c r="X184" s="840">
        <v>326.97718868253804</v>
      </c>
      <c r="Y184" s="840">
        <v>101.21750104755294</v>
      </c>
      <c r="Z184" s="840"/>
      <c r="AA184" s="273"/>
      <c r="AB184" s="273"/>
      <c r="AC184" s="273"/>
      <c r="AD184" s="273"/>
      <c r="AE184" s="273"/>
      <c r="AF184" s="273"/>
      <c r="AH184" s="273"/>
      <c r="AJ184" s="738"/>
      <c r="AO184" s="878" t="s">
        <v>252</v>
      </c>
      <c r="AP184" s="878"/>
      <c r="AQ184" s="878"/>
      <c r="AR184" s="124" t="s">
        <v>253</v>
      </c>
      <c r="AS184" s="844">
        <v>0.25</v>
      </c>
      <c r="AT184" s="844">
        <v>0.25</v>
      </c>
      <c r="AU184" s="123">
        <f>260/1.06</f>
        <v>245.28301886792451</v>
      </c>
      <c r="AV184" s="123">
        <f>AU184*AT184</f>
        <v>61.320754716981128</v>
      </c>
      <c r="AW184" s="844"/>
      <c r="AX184" s="219">
        <f>AW184*AT184</f>
        <v>0</v>
      </c>
    </row>
    <row r="185" spans="1:50" s="224" customFormat="1" x14ac:dyDescent="0.25">
      <c r="A185" s="350"/>
      <c r="B185" s="317"/>
      <c r="C185" s="318">
        <v>4</v>
      </c>
      <c r="D185" s="83" t="s">
        <v>435</v>
      </c>
      <c r="E185" s="242">
        <v>4</v>
      </c>
      <c r="F185" s="242">
        <v>4</v>
      </c>
      <c r="G185" s="77" t="s">
        <v>28</v>
      </c>
      <c r="H185" s="74">
        <f t="shared" si="128"/>
        <v>168.9655172413793</v>
      </c>
      <c r="I185" s="74">
        <f t="shared" si="134"/>
        <v>675.86206896551721</v>
      </c>
      <c r="J185" s="74">
        <f t="shared" si="129"/>
        <v>51.764705882352942</v>
      </c>
      <c r="K185" s="74">
        <f t="shared" si="130"/>
        <v>207.05882352941177</v>
      </c>
      <c r="L185" s="72">
        <f t="shared" si="131"/>
        <v>882.92089249492892</v>
      </c>
      <c r="M185" s="74">
        <f t="shared" si="132"/>
        <v>225.56663773214478</v>
      </c>
      <c r="N185" s="74">
        <f t="shared" si="132"/>
        <v>69.105169206774733</v>
      </c>
      <c r="O185" s="72">
        <f t="shared" si="111"/>
        <v>294.67180693891953</v>
      </c>
      <c r="P185" s="205">
        <f t="shared" si="112"/>
        <v>1178.6872277556781</v>
      </c>
      <c r="Q185" s="272">
        <f t="shared" si="133"/>
        <v>1219.6813391872035</v>
      </c>
      <c r="R185" s="439">
        <f t="shared" si="113"/>
        <v>-40.994111431525425</v>
      </c>
      <c r="S185" s="273"/>
      <c r="T185" s="74">
        <v>147</v>
      </c>
      <c r="U185" s="273"/>
      <c r="V185" s="273"/>
      <c r="W185" s="74">
        <v>44</v>
      </c>
      <c r="X185" s="840">
        <v>234.46656944552726</v>
      </c>
      <c r="Y185" s="840">
        <v>71.831774936973062</v>
      </c>
      <c r="Z185" s="840"/>
      <c r="AA185" s="273"/>
      <c r="AB185" s="273"/>
      <c r="AC185" s="273"/>
      <c r="AD185" s="273"/>
      <c r="AE185" s="273"/>
      <c r="AF185" s="273"/>
      <c r="AH185" s="273"/>
      <c r="AO185" s="878" t="s">
        <v>254</v>
      </c>
      <c r="AP185" s="878"/>
      <c r="AQ185" s="878"/>
      <c r="AR185" s="124" t="s">
        <v>255</v>
      </c>
      <c r="AS185" s="844">
        <v>0.25</v>
      </c>
      <c r="AT185" s="844">
        <v>0.35</v>
      </c>
      <c r="AU185" s="123">
        <f>37/1.06</f>
        <v>34.905660377358487</v>
      </c>
      <c r="AV185" s="123">
        <f>AU185*AT185</f>
        <v>12.216981132075469</v>
      </c>
      <c r="AW185" s="844"/>
      <c r="AX185" s="219">
        <f>AW185*AT185</f>
        <v>0</v>
      </c>
    </row>
    <row r="186" spans="1:50" s="224" customFormat="1" x14ac:dyDescent="0.25">
      <c r="A186" s="350"/>
      <c r="B186" s="317"/>
      <c r="C186" s="318">
        <v>5</v>
      </c>
      <c r="D186" s="83" t="s">
        <v>436</v>
      </c>
      <c r="E186" s="242">
        <v>104</v>
      </c>
      <c r="F186" s="242">
        <v>104</v>
      </c>
      <c r="G186" s="77" t="s">
        <v>28</v>
      </c>
      <c r="H186" s="74">
        <f t="shared" si="128"/>
        <v>275.86206896551727</v>
      </c>
      <c r="I186" s="74">
        <f>F186*H186</f>
        <v>28689.655172413797</v>
      </c>
      <c r="J186" s="74">
        <f t="shared" si="129"/>
        <v>84.705882352941174</v>
      </c>
      <c r="K186" s="74">
        <f t="shared" si="130"/>
        <v>8809.4117647058829</v>
      </c>
      <c r="L186" s="72">
        <f t="shared" si="131"/>
        <v>37499.066937119678</v>
      </c>
      <c r="M186" s="74">
        <f t="shared" si="132"/>
        <v>368.27206160350175</v>
      </c>
      <c r="N186" s="74">
        <f t="shared" si="132"/>
        <v>113.08118597472229</v>
      </c>
      <c r="O186" s="72">
        <f t="shared" si="111"/>
        <v>481.35324757822406</v>
      </c>
      <c r="P186" s="205">
        <f t="shared" si="112"/>
        <v>50060.737748135303</v>
      </c>
      <c r="Q186" s="272">
        <f t="shared" si="133"/>
        <v>51801.823435047329</v>
      </c>
      <c r="R186" s="439">
        <f t="shared" si="113"/>
        <v>-1741.0856869120253</v>
      </c>
      <c r="S186" s="273"/>
      <c r="T186" s="74">
        <v>240</v>
      </c>
      <c r="U186" s="273"/>
      <c r="V186" s="273"/>
      <c r="W186" s="74">
        <v>72</v>
      </c>
      <c r="X186" s="840">
        <v>382.80256236004453</v>
      </c>
      <c r="Y186" s="840">
        <v>117.54290444231955</v>
      </c>
      <c r="Z186" s="840"/>
      <c r="AO186" s="878" t="s">
        <v>256</v>
      </c>
      <c r="AP186" s="878"/>
      <c r="AQ186" s="878"/>
      <c r="AR186" s="124" t="s">
        <v>257</v>
      </c>
      <c r="AS186" s="844">
        <v>1</v>
      </c>
      <c r="AT186" s="844">
        <v>1</v>
      </c>
      <c r="AU186" s="123">
        <f>BA108</f>
        <v>0</v>
      </c>
      <c r="AV186" s="123">
        <f>AU186*AT186</f>
        <v>0</v>
      </c>
      <c r="AW186" s="844"/>
      <c r="AX186" s="219">
        <f>AW186*AT186</f>
        <v>0</v>
      </c>
    </row>
    <row r="187" spans="1:50" s="224" customFormat="1" x14ac:dyDescent="0.25">
      <c r="A187" s="350"/>
      <c r="B187" s="317"/>
      <c r="C187" s="318">
        <v>6</v>
      </c>
      <c r="D187" s="83" t="s">
        <v>437</v>
      </c>
      <c r="E187" s="242">
        <v>5</v>
      </c>
      <c r="F187" s="242">
        <v>5</v>
      </c>
      <c r="G187" s="77" t="s">
        <v>28</v>
      </c>
      <c r="H187" s="74">
        <f t="shared" si="128"/>
        <v>180.45977011494253</v>
      </c>
      <c r="I187" s="74">
        <f t="shared" ref="I187:I188" si="135">F187*H187</f>
        <v>902.29885057471267</v>
      </c>
      <c r="J187" s="74">
        <f t="shared" si="129"/>
        <v>55.294117647058826</v>
      </c>
      <c r="K187" s="74">
        <f t="shared" si="130"/>
        <v>276.47058823529414</v>
      </c>
      <c r="L187" s="72">
        <f t="shared" si="131"/>
        <v>1178.7694388100067</v>
      </c>
      <c r="M187" s="74">
        <f t="shared" si="132"/>
        <v>240.91130696562405</v>
      </c>
      <c r="N187" s="74">
        <f t="shared" si="132"/>
        <v>73.816885289054824</v>
      </c>
      <c r="O187" s="72">
        <f t="shared" si="111"/>
        <v>314.7281922546789</v>
      </c>
      <c r="P187" s="205">
        <f t="shared" si="112"/>
        <v>1573.6409612733946</v>
      </c>
      <c r="Q187" s="272">
        <f t="shared" si="133"/>
        <v>1628.3713523394676</v>
      </c>
      <c r="R187" s="439">
        <f t="shared" si="113"/>
        <v>-54.730391066073025</v>
      </c>
      <c r="S187" s="273"/>
      <c r="T187" s="74">
        <v>157</v>
      </c>
      <c r="U187" s="273"/>
      <c r="V187" s="273"/>
      <c r="W187" s="74">
        <v>47</v>
      </c>
      <c r="X187" s="840">
        <v>250.41667621052912</v>
      </c>
      <c r="Y187" s="840">
        <v>76.729395955403049</v>
      </c>
      <c r="Z187" s="840"/>
      <c r="AO187" s="126"/>
      <c r="AP187" s="126"/>
      <c r="AQ187" s="126"/>
      <c r="AR187" s="126"/>
      <c r="AS187" s="844"/>
      <c r="AT187" s="844"/>
      <c r="AU187" s="123"/>
      <c r="AV187" s="212">
        <f>SUM(AV183:AV186)</f>
        <v>1287.6886792452831</v>
      </c>
      <c r="AW187" s="843"/>
      <c r="AX187" s="212">
        <f>SUM(AX183:AX186)</f>
        <v>215.1</v>
      </c>
    </row>
    <row r="188" spans="1:50" s="224" customFormat="1" x14ac:dyDescent="0.25">
      <c r="A188" s="350"/>
      <c r="B188" s="317"/>
      <c r="C188" s="318">
        <v>7</v>
      </c>
      <c r="D188" s="83" t="s">
        <v>438</v>
      </c>
      <c r="E188" s="242">
        <v>10</v>
      </c>
      <c r="F188" s="242">
        <v>10</v>
      </c>
      <c r="G188" s="77" t="s">
        <v>28</v>
      </c>
      <c r="H188" s="74">
        <f t="shared" si="128"/>
        <v>758.62068965517244</v>
      </c>
      <c r="I188" s="74">
        <f t="shared" si="135"/>
        <v>7586.2068965517246</v>
      </c>
      <c r="J188" s="74">
        <f t="shared" si="129"/>
        <v>155.29411764705884</v>
      </c>
      <c r="K188" s="74">
        <f t="shared" si="130"/>
        <v>1552.9411764705883</v>
      </c>
      <c r="L188" s="72">
        <f t="shared" si="131"/>
        <v>9139.148073022312</v>
      </c>
      <c r="M188" s="74">
        <f t="shared" si="132"/>
        <v>1012.7481694096297</v>
      </c>
      <c r="N188" s="74">
        <f t="shared" si="132"/>
        <v>207.31550762032421</v>
      </c>
      <c r="O188" s="72">
        <f t="shared" si="111"/>
        <v>1220.0636770299539</v>
      </c>
      <c r="P188" s="205">
        <f t="shared" si="112"/>
        <v>12200.636770299538</v>
      </c>
      <c r="Q188" s="272">
        <f t="shared" si="133"/>
        <v>12624.968392395387</v>
      </c>
      <c r="R188" s="439">
        <f t="shared" si="113"/>
        <v>-424.33162209584953</v>
      </c>
      <c r="S188" s="273"/>
      <c r="T188" s="74">
        <v>660</v>
      </c>
      <c r="U188" s="273"/>
      <c r="V188" s="273"/>
      <c r="W188" s="74">
        <v>132</v>
      </c>
      <c r="X188" s="840">
        <v>1052.7070464901224</v>
      </c>
      <c r="Y188" s="840">
        <v>215.49532481091919</v>
      </c>
      <c r="Z188" s="840"/>
      <c r="AA188" s="273"/>
      <c r="AB188" s="273"/>
      <c r="AC188" s="273"/>
      <c r="AD188" s="273"/>
      <c r="AE188" s="273"/>
      <c r="AF188" s="273"/>
      <c r="AH188" s="273"/>
      <c r="AJ188" s="738"/>
      <c r="AO188" s="338"/>
      <c r="AP188" s="338"/>
      <c r="AQ188" s="339"/>
      <c r="AR188" s="340"/>
      <c r="AS188" s="340"/>
      <c r="AT188" s="340"/>
      <c r="AU188" s="341"/>
      <c r="AV188" s="845"/>
      <c r="AW188" s="342"/>
      <c r="AX188" s="212"/>
    </row>
    <row r="189" spans="1:50" s="224" customFormat="1" x14ac:dyDescent="0.25">
      <c r="A189" s="350"/>
      <c r="B189" s="317"/>
      <c r="C189" s="318"/>
      <c r="D189" s="83"/>
      <c r="E189" s="242"/>
      <c r="F189" s="242"/>
      <c r="G189" s="77"/>
      <c r="H189" s="74"/>
      <c r="I189" s="74"/>
      <c r="J189" s="74"/>
      <c r="K189" s="74"/>
      <c r="L189" s="72"/>
      <c r="M189" s="74"/>
      <c r="N189" s="74"/>
      <c r="O189" s="72"/>
      <c r="P189" s="205"/>
      <c r="Q189" s="272"/>
      <c r="R189" s="439"/>
      <c r="S189" s="273"/>
      <c r="U189" s="273"/>
      <c r="V189" s="273"/>
      <c r="W189" s="74"/>
      <c r="X189" s="840"/>
      <c r="Y189" s="840"/>
      <c r="Z189" s="840"/>
      <c r="AA189" s="273"/>
      <c r="AB189" s="273"/>
      <c r="AC189" s="273"/>
      <c r="AD189" s="273"/>
      <c r="AE189" s="273"/>
      <c r="AF189" s="273"/>
      <c r="AH189" s="273"/>
      <c r="AJ189" s="738"/>
      <c r="AO189" s="905"/>
      <c r="AP189" s="905"/>
      <c r="AQ189" s="851"/>
      <c r="AR189" s="336"/>
      <c r="AS189" s="336"/>
      <c r="AT189" s="344"/>
      <c r="AU189" s="345"/>
      <c r="AV189" s="337"/>
      <c r="AW189" s="342"/>
      <c r="AX189" s="220"/>
    </row>
    <row r="190" spans="1:50" s="224" customFormat="1" x14ac:dyDescent="0.25">
      <c r="A190" s="350"/>
      <c r="B190" s="412" t="s">
        <v>439</v>
      </c>
      <c r="C190" s="413" t="s">
        <v>454</v>
      </c>
      <c r="D190" s="316"/>
      <c r="E190" s="244"/>
      <c r="F190" s="244"/>
      <c r="G190" s="75"/>
      <c r="H190" s="440">
        <v>0.87</v>
      </c>
      <c r="I190" s="74"/>
      <c r="J190" s="74"/>
      <c r="K190" s="74"/>
      <c r="L190" s="74"/>
      <c r="M190" s="74"/>
      <c r="N190" s="74"/>
      <c r="O190" s="72"/>
      <c r="P190" s="205"/>
      <c r="Q190" s="272"/>
      <c r="R190" s="439"/>
      <c r="S190" s="273"/>
      <c r="W190" s="74"/>
      <c r="X190" s="840"/>
      <c r="Y190" s="840"/>
      <c r="Z190" s="840"/>
      <c r="AO190" s="905"/>
      <c r="AP190" s="905"/>
      <c r="AQ190" s="851"/>
      <c r="AR190" s="336"/>
      <c r="AS190" s="336"/>
      <c r="AT190" s="344"/>
      <c r="AU190" s="345"/>
      <c r="AV190" s="337"/>
      <c r="AW190" s="342"/>
      <c r="AX190" s="220"/>
    </row>
    <row r="191" spans="1:50" s="224" customFormat="1" x14ac:dyDescent="0.25">
      <c r="A191" s="350"/>
      <c r="B191" s="317"/>
      <c r="C191" s="318">
        <v>1</v>
      </c>
      <c r="D191" s="83" t="s">
        <v>440</v>
      </c>
      <c r="E191" s="242">
        <v>1</v>
      </c>
      <c r="F191" s="242">
        <v>1</v>
      </c>
      <c r="G191" s="77" t="s">
        <v>55</v>
      </c>
      <c r="H191" s="74">
        <f>T191/$H$190</f>
        <v>20235.632183908045</v>
      </c>
      <c r="I191" s="74">
        <f>F191*H191</f>
        <v>20235.632183908045</v>
      </c>
      <c r="J191" s="74">
        <f t="shared" ref="J191:J195" si="136">W191/$J$169</f>
        <v>4117.6470588235297</v>
      </c>
      <c r="K191" s="74">
        <f t="shared" ref="K191:K204" si="137">F191*J191</f>
        <v>4117.6470588235297</v>
      </c>
      <c r="L191" s="72">
        <f t="shared" ref="L191:L204" si="138">I191+K191</f>
        <v>24353.279242731573</v>
      </c>
      <c r="M191" s="74">
        <f t="shared" ref="M191:N195" si="139">X191/$S$217*$S$218</f>
        <v>27014.290185540194</v>
      </c>
      <c r="N191" s="74">
        <f t="shared" si="139"/>
        <v>5497.0020959934454</v>
      </c>
      <c r="O191" s="72">
        <f t="shared" si="111"/>
        <v>32511.292281533639</v>
      </c>
      <c r="P191" s="205">
        <f t="shared" si="112"/>
        <v>32511.292281533639</v>
      </c>
      <c r="Q191" s="272">
        <f>L191/$P$264*$P$272</f>
        <v>33642.017640380356</v>
      </c>
      <c r="R191" s="439">
        <f t="shared" si="113"/>
        <v>-1130.7253588467174</v>
      </c>
      <c r="S191" s="273"/>
      <c r="T191" s="74">
        <f>17605</f>
        <v>17605</v>
      </c>
      <c r="U191" s="273"/>
      <c r="V191" s="273"/>
      <c r="W191" s="74">
        <v>3500</v>
      </c>
      <c r="X191" s="840">
        <v>28080.162959785765</v>
      </c>
      <c r="Y191" s="840">
        <v>5713.8911881683125</v>
      </c>
      <c r="Z191" s="840"/>
      <c r="AO191" s="126"/>
      <c r="AP191" s="126"/>
      <c r="AQ191" s="126"/>
      <c r="AR191" s="126"/>
      <c r="AS191" s="126"/>
      <c r="AT191" s="126"/>
      <c r="AU191" s="346"/>
      <c r="AV191" s="337"/>
      <c r="AW191" s="342"/>
      <c r="AX191" s="212"/>
    </row>
    <row r="192" spans="1:50" s="224" customFormat="1" x14ac:dyDescent="0.25">
      <c r="A192" s="350"/>
      <c r="B192" s="317"/>
      <c r="C192" s="318">
        <v>2</v>
      </c>
      <c r="D192" s="83" t="s">
        <v>441</v>
      </c>
      <c r="E192" s="242">
        <v>1</v>
      </c>
      <c r="F192" s="242">
        <v>1</v>
      </c>
      <c r="G192" s="77" t="s">
        <v>55</v>
      </c>
      <c r="H192" s="74">
        <f t="shared" ref="H192:H203" si="140">T192/$H$190</f>
        <v>24827.586206896551</v>
      </c>
      <c r="I192" s="74">
        <f t="shared" ref="I192:I194" si="141">F192*H192</f>
        <v>24827.586206896551</v>
      </c>
      <c r="J192" s="74">
        <f t="shared" si="136"/>
        <v>5882.3529411764712</v>
      </c>
      <c r="K192" s="74">
        <f t="shared" si="137"/>
        <v>5882.3529411764712</v>
      </c>
      <c r="L192" s="72">
        <f t="shared" si="138"/>
        <v>30709.939148073023</v>
      </c>
      <c r="M192" s="74">
        <f t="shared" si="139"/>
        <v>33144.485544315154</v>
      </c>
      <c r="N192" s="74">
        <f t="shared" si="139"/>
        <v>7852.8601371334926</v>
      </c>
      <c r="O192" s="72">
        <f t="shared" si="111"/>
        <v>40997.345681448649</v>
      </c>
      <c r="P192" s="205">
        <f t="shared" si="112"/>
        <v>40997.345681448649</v>
      </c>
      <c r="Q192" s="272">
        <f>L192/$P$264*$P$272</f>
        <v>42423.211439290259</v>
      </c>
      <c r="R192" s="439">
        <f t="shared" si="113"/>
        <v>-1425.8657578416096</v>
      </c>
      <c r="S192" s="273"/>
      <c r="T192" s="74">
        <f>21600</f>
        <v>21600</v>
      </c>
      <c r="U192" s="273"/>
      <c r="V192" s="273"/>
      <c r="W192" s="74">
        <v>5000</v>
      </c>
      <c r="X192" s="840">
        <v>34452.230612404004</v>
      </c>
      <c r="Y192" s="840">
        <v>8162.7016973833024</v>
      </c>
      <c r="Z192" s="840"/>
      <c r="AO192" s="126"/>
      <c r="AP192" s="126"/>
      <c r="AQ192" s="126"/>
      <c r="AR192" s="126"/>
      <c r="AS192" s="126"/>
      <c r="AT192" s="126"/>
      <c r="AU192" s="127"/>
      <c r="AV192" s="213"/>
      <c r="AW192" s="126"/>
      <c r="AX192" s="219"/>
    </row>
    <row r="193" spans="1:50" s="224" customFormat="1" x14ac:dyDescent="0.25">
      <c r="A193" s="350"/>
      <c r="B193" s="317"/>
      <c r="C193" s="318">
        <v>3</v>
      </c>
      <c r="D193" s="83" t="s">
        <v>442</v>
      </c>
      <c r="E193" s="242">
        <v>1</v>
      </c>
      <c r="F193" s="242">
        <v>1</v>
      </c>
      <c r="G193" s="77" t="s">
        <v>55</v>
      </c>
      <c r="H193" s="74">
        <f t="shared" si="140"/>
        <v>24827.586206896551</v>
      </c>
      <c r="I193" s="74">
        <f t="shared" si="141"/>
        <v>24827.586206896551</v>
      </c>
      <c r="J193" s="74">
        <f t="shared" si="136"/>
        <v>5882.3529411764712</v>
      </c>
      <c r="K193" s="74">
        <f t="shared" si="137"/>
        <v>5882.3529411764712</v>
      </c>
      <c r="L193" s="72">
        <f t="shared" si="138"/>
        <v>30709.939148073023</v>
      </c>
      <c r="M193" s="74">
        <f t="shared" si="139"/>
        <v>33144.485544315154</v>
      </c>
      <c r="N193" s="74">
        <f t="shared" si="139"/>
        <v>7852.8601371334926</v>
      </c>
      <c r="O193" s="72">
        <f t="shared" si="111"/>
        <v>40997.345681448649</v>
      </c>
      <c r="P193" s="205">
        <f t="shared" si="112"/>
        <v>40997.345681448649</v>
      </c>
      <c r="Q193" s="272">
        <f>L193/$P$264*$P$272</f>
        <v>42423.211439290259</v>
      </c>
      <c r="R193" s="439">
        <f t="shared" si="113"/>
        <v>-1425.8657578416096</v>
      </c>
      <c r="S193" s="273"/>
      <c r="T193" s="74">
        <f>21600</f>
        <v>21600</v>
      </c>
      <c r="U193" s="273"/>
      <c r="V193" s="273"/>
      <c r="W193" s="74">
        <v>5000</v>
      </c>
      <c r="X193" s="840">
        <v>34452.230612404004</v>
      </c>
      <c r="Y193" s="840">
        <v>8162.7016973833024</v>
      </c>
      <c r="Z193" s="840"/>
      <c r="AA193" s="273"/>
      <c r="AB193" s="273"/>
      <c r="AC193" s="273"/>
      <c r="AD193" s="273"/>
      <c r="AE193" s="273"/>
      <c r="AF193" s="273"/>
      <c r="AH193" s="273"/>
      <c r="AJ193" s="738"/>
      <c r="AO193" s="880" t="s">
        <v>267</v>
      </c>
      <c r="AP193" s="880"/>
      <c r="AQ193" s="141" t="s">
        <v>243</v>
      </c>
      <c r="AR193" s="141" t="s">
        <v>244</v>
      </c>
      <c r="AS193" s="141" t="s">
        <v>245</v>
      </c>
      <c r="AT193" s="141" t="s">
        <v>246</v>
      </c>
      <c r="AU193" s="141" t="s">
        <v>247</v>
      </c>
      <c r="AV193" s="216" t="s">
        <v>248</v>
      </c>
      <c r="AW193" s="141" t="s">
        <v>249</v>
      </c>
      <c r="AX193" s="219"/>
    </row>
    <row r="194" spans="1:50" s="224" customFormat="1" x14ac:dyDescent="0.25">
      <c r="A194" s="350"/>
      <c r="B194" s="317"/>
      <c r="C194" s="318">
        <v>4</v>
      </c>
      <c r="D194" s="83" t="s">
        <v>443</v>
      </c>
      <c r="E194" s="242">
        <v>1</v>
      </c>
      <c r="F194" s="242">
        <v>1</v>
      </c>
      <c r="G194" s="77" t="s">
        <v>55</v>
      </c>
      <c r="H194" s="74">
        <f t="shared" si="140"/>
        <v>25280.459770114943</v>
      </c>
      <c r="I194" s="74">
        <f t="shared" si="141"/>
        <v>25280.459770114943</v>
      </c>
      <c r="J194" s="74">
        <f t="shared" si="136"/>
        <v>4117.6470588235297</v>
      </c>
      <c r="K194" s="74">
        <f t="shared" si="137"/>
        <v>4117.6470588235297</v>
      </c>
      <c r="L194" s="72">
        <f t="shared" si="138"/>
        <v>29398.106828938471</v>
      </c>
      <c r="M194" s="74">
        <f t="shared" si="139"/>
        <v>33749.065512114234</v>
      </c>
      <c r="N194" s="74">
        <f t="shared" si="139"/>
        <v>5497.0020959934454</v>
      </c>
      <c r="O194" s="72">
        <f t="shared" si="111"/>
        <v>39246.067608107682</v>
      </c>
      <c r="P194" s="205">
        <f t="shared" si="112"/>
        <v>39246.067608107682</v>
      </c>
      <c r="Q194" s="272">
        <f>L194/$P$264*$P$272</f>
        <v>40611.024851124006</v>
      </c>
      <c r="R194" s="439">
        <f t="shared" si="113"/>
        <v>-1364.9572430163244</v>
      </c>
      <c r="S194" s="273"/>
      <c r="T194" s="74">
        <f>21994</f>
        <v>21994</v>
      </c>
      <c r="U194" s="273"/>
      <c r="V194" s="273"/>
      <c r="W194" s="74">
        <v>3500</v>
      </c>
      <c r="X194" s="840">
        <v>35080.664818945079</v>
      </c>
      <c r="Y194" s="840">
        <v>5713.8911881683125</v>
      </c>
      <c r="Z194" s="840"/>
      <c r="AA194" s="273"/>
      <c r="AB194" s="273"/>
      <c r="AC194" s="273"/>
      <c r="AD194" s="273"/>
      <c r="AE194" s="273"/>
      <c r="AF194" s="273"/>
      <c r="AH194" s="273"/>
      <c r="AO194" s="739"/>
      <c r="AP194" s="846" t="s">
        <v>265</v>
      </c>
      <c r="AQ194" s="846" t="s">
        <v>268</v>
      </c>
      <c r="AR194" s="846">
        <v>8.0000000000000002E-3</v>
      </c>
      <c r="AS194" s="846">
        <v>0.01</v>
      </c>
      <c r="AT194" s="846">
        <v>1000</v>
      </c>
      <c r="AU194" s="846">
        <f>AT194*AS194</f>
        <v>10</v>
      </c>
      <c r="AV194" s="144">
        <v>600</v>
      </c>
      <c r="AW194" s="846">
        <f>AV194*AS194</f>
        <v>6</v>
      </c>
      <c r="AX194" s="219"/>
    </row>
    <row r="195" spans="1:50" s="224" customFormat="1" x14ac:dyDescent="0.25">
      <c r="A195" s="350"/>
      <c r="B195" s="317"/>
      <c r="C195" s="318">
        <v>5</v>
      </c>
      <c r="D195" s="83" t="s">
        <v>444</v>
      </c>
      <c r="E195" s="242">
        <v>1</v>
      </c>
      <c r="F195" s="242">
        <v>1</v>
      </c>
      <c r="G195" s="77" t="s">
        <v>55</v>
      </c>
      <c r="H195" s="74">
        <f t="shared" si="140"/>
        <v>49827.586206896551</v>
      </c>
      <c r="I195" s="74">
        <f>F195*H195</f>
        <v>49827.586206896551</v>
      </c>
      <c r="J195" s="74">
        <f t="shared" si="136"/>
        <v>5882.3529411764712</v>
      </c>
      <c r="K195" s="74">
        <f t="shared" si="137"/>
        <v>5882.3529411764712</v>
      </c>
      <c r="L195" s="72">
        <f t="shared" si="138"/>
        <v>55709.939148073019</v>
      </c>
      <c r="M195" s="74">
        <f t="shared" si="139"/>
        <v>66519.141127132491</v>
      </c>
      <c r="N195" s="74">
        <f t="shared" si="139"/>
        <v>7852.8601371334926</v>
      </c>
      <c r="O195" s="72">
        <f t="shared" si="111"/>
        <v>74372.001264265986</v>
      </c>
      <c r="P195" s="205">
        <f t="shared" si="112"/>
        <v>74372.001264265986</v>
      </c>
      <c r="Q195" s="272">
        <f>L195/$P$264*$P$272</f>
        <v>76958.619694855137</v>
      </c>
      <c r="R195" s="439">
        <f t="shared" si="113"/>
        <v>-2586.6184305891511</v>
      </c>
      <c r="S195" s="273"/>
      <c r="T195" s="74">
        <f>43350</f>
        <v>43350</v>
      </c>
      <c r="U195" s="273"/>
      <c r="V195" s="273"/>
      <c r="W195" s="74">
        <v>5000</v>
      </c>
      <c r="X195" s="840">
        <v>69143.712826283037</v>
      </c>
      <c r="Y195" s="840">
        <v>8162.7016973833024</v>
      </c>
      <c r="Z195" s="840"/>
      <c r="AO195" s="739"/>
      <c r="AP195" s="846" t="s">
        <v>264</v>
      </c>
      <c r="AQ195" s="846" t="s">
        <v>253</v>
      </c>
      <c r="AR195" s="846">
        <v>0.14399999999999999</v>
      </c>
      <c r="AS195" s="846">
        <v>0.17</v>
      </c>
      <c r="AT195" s="144">
        <f>230/1.075</f>
        <v>213.95348837209303</v>
      </c>
      <c r="AU195" s="144">
        <f>AT195*AS195</f>
        <v>36.372093023255822</v>
      </c>
      <c r="AV195" s="144">
        <v>150</v>
      </c>
      <c r="AW195" s="846">
        <f>AV195*AS195</f>
        <v>25.500000000000004</v>
      </c>
      <c r="AX195" s="212"/>
    </row>
    <row r="196" spans="1:50" s="224" customFormat="1" x14ac:dyDescent="0.25">
      <c r="A196" s="350"/>
      <c r="B196" s="317"/>
      <c r="C196" s="318"/>
      <c r="D196" s="83" t="s">
        <v>445</v>
      </c>
      <c r="E196" s="242"/>
      <c r="F196" s="242"/>
      <c r="G196" s="77"/>
      <c r="H196" s="74"/>
      <c r="I196" s="74"/>
      <c r="J196" s="74"/>
      <c r="K196" s="74"/>
      <c r="L196" s="72"/>
      <c r="M196" s="74"/>
      <c r="N196" s="74"/>
      <c r="O196" s="72"/>
      <c r="P196" s="205"/>
      <c r="Q196" s="272"/>
      <c r="R196" s="439"/>
      <c r="S196" s="273"/>
      <c r="T196" s="74"/>
      <c r="U196" s="273"/>
      <c r="V196" s="273"/>
      <c r="W196" s="74"/>
      <c r="X196" s="840"/>
      <c r="Y196" s="840"/>
      <c r="Z196" s="840"/>
      <c r="AO196" s="739"/>
      <c r="AP196" s="846" t="s">
        <v>269</v>
      </c>
      <c r="AQ196" s="846" t="s">
        <v>253</v>
      </c>
      <c r="AR196" s="846">
        <v>5</v>
      </c>
      <c r="AS196" s="846">
        <v>5</v>
      </c>
      <c r="AT196" s="437">
        <f>50/1.05</f>
        <v>47.61904761904762</v>
      </c>
      <c r="AU196" s="437">
        <f>AT196*AS196</f>
        <v>238.0952380952381</v>
      </c>
      <c r="AV196" s="144">
        <v>20</v>
      </c>
      <c r="AW196" s="846">
        <f>AV196*AS196</f>
        <v>100</v>
      </c>
      <c r="AX196" s="220"/>
    </row>
    <row r="197" spans="1:50" s="224" customFormat="1" x14ac:dyDescent="0.25">
      <c r="A197" s="350"/>
      <c r="B197" s="317"/>
      <c r="C197" s="318">
        <v>6</v>
      </c>
      <c r="D197" s="83" t="s">
        <v>446</v>
      </c>
      <c r="E197" s="242">
        <v>2</v>
      </c>
      <c r="F197" s="242">
        <v>2</v>
      </c>
      <c r="G197" s="77" t="s">
        <v>28</v>
      </c>
      <c r="H197" s="74">
        <f t="shared" si="140"/>
        <v>1206.8965517241379</v>
      </c>
      <c r="I197" s="74">
        <f t="shared" ref="I197:I198" si="142">F197*H197</f>
        <v>2413.7931034482758</v>
      </c>
      <c r="J197" s="74">
        <f t="shared" ref="J197:J204" si="143">W197/$J$169</f>
        <v>305.88235294117646</v>
      </c>
      <c r="K197" s="74">
        <f t="shared" si="137"/>
        <v>611.76470588235293</v>
      </c>
      <c r="L197" s="72">
        <f t="shared" si="138"/>
        <v>3025.5578093306285</v>
      </c>
      <c r="M197" s="74">
        <f t="shared" ref="M197:N204" si="144">X197/$S$217*$S$218</f>
        <v>1611.1902695153199</v>
      </c>
      <c r="N197" s="74">
        <f t="shared" si="144"/>
        <v>408.3487271309416</v>
      </c>
      <c r="O197" s="72">
        <f t="shared" si="111"/>
        <v>2019.5389966462615</v>
      </c>
      <c r="P197" s="205">
        <f t="shared" si="112"/>
        <v>4039.0779932925229</v>
      </c>
      <c r="Q197" s="272">
        <f t="shared" ref="Q197:Q204" si="145">L197/$P$264*$P$272</f>
        <v>4179.5549658418322</v>
      </c>
      <c r="R197" s="439">
        <f t="shared" si="113"/>
        <v>-140.47697254930927</v>
      </c>
      <c r="S197" s="273"/>
      <c r="T197" s="74">
        <v>1050</v>
      </c>
      <c r="U197" s="273"/>
      <c r="V197" s="273"/>
      <c r="W197" s="74">
        <v>260</v>
      </c>
      <c r="X197" s="840">
        <v>1674.7612103251947</v>
      </c>
      <c r="Y197" s="840">
        <v>424.46048826393172</v>
      </c>
      <c r="Z197" s="840"/>
      <c r="AA197" s="273"/>
      <c r="AB197" s="273"/>
      <c r="AC197" s="273"/>
      <c r="AD197" s="273"/>
      <c r="AE197" s="273"/>
      <c r="AF197" s="273"/>
      <c r="AH197" s="273"/>
      <c r="AJ197" s="738"/>
      <c r="AO197" s="739"/>
      <c r="AP197" s="145"/>
      <c r="AQ197" s="145"/>
      <c r="AR197" s="145"/>
      <c r="AS197" s="145"/>
      <c r="AT197" s="145"/>
      <c r="AU197" s="216">
        <f>SUM(AU194:AU196)</f>
        <v>284.46733111849392</v>
      </c>
      <c r="AV197" s="217"/>
      <c r="AW197" s="740">
        <f>SUM(AW194:AW196)</f>
        <v>131.5</v>
      </c>
      <c r="AX197" s="220"/>
    </row>
    <row r="198" spans="1:50" s="224" customFormat="1" x14ac:dyDescent="0.25">
      <c r="A198" s="350"/>
      <c r="B198" s="317"/>
      <c r="C198" s="318">
        <v>7</v>
      </c>
      <c r="D198" s="83" t="s">
        <v>447</v>
      </c>
      <c r="E198" s="242">
        <v>2</v>
      </c>
      <c r="F198" s="242">
        <v>2</v>
      </c>
      <c r="G198" s="77" t="s">
        <v>28</v>
      </c>
      <c r="H198" s="74">
        <f t="shared" si="140"/>
        <v>1206.8965517241379</v>
      </c>
      <c r="I198" s="74">
        <f t="shared" si="142"/>
        <v>2413.7931034482758</v>
      </c>
      <c r="J198" s="74">
        <f t="shared" si="143"/>
        <v>305.88235294117646</v>
      </c>
      <c r="K198" s="74">
        <f t="shared" si="137"/>
        <v>611.76470588235293</v>
      </c>
      <c r="L198" s="72">
        <f t="shared" si="138"/>
        <v>3025.5578093306285</v>
      </c>
      <c r="M198" s="74">
        <f t="shared" si="144"/>
        <v>1611.1902695153199</v>
      </c>
      <c r="N198" s="74">
        <f t="shared" si="144"/>
        <v>408.3487271309416</v>
      </c>
      <c r="O198" s="72">
        <f t="shared" si="111"/>
        <v>2019.5389966462615</v>
      </c>
      <c r="P198" s="205">
        <f t="shared" si="112"/>
        <v>4039.0779932925229</v>
      </c>
      <c r="Q198" s="272">
        <f t="shared" si="145"/>
        <v>4179.5549658418322</v>
      </c>
      <c r="R198" s="439">
        <f t="shared" si="113"/>
        <v>-140.47697254930927</v>
      </c>
      <c r="S198" s="273"/>
      <c r="T198" s="74">
        <v>1050</v>
      </c>
      <c r="U198" s="273"/>
      <c r="V198" s="273"/>
      <c r="W198" s="74">
        <v>260</v>
      </c>
      <c r="X198" s="840">
        <v>1674.7612103251947</v>
      </c>
      <c r="Y198" s="840">
        <v>424.46048826393172</v>
      </c>
      <c r="Z198" s="840"/>
      <c r="AA198" s="273"/>
      <c r="AB198" s="273"/>
      <c r="AC198" s="273"/>
      <c r="AD198" s="273"/>
      <c r="AE198" s="273"/>
      <c r="AF198" s="273"/>
      <c r="AH198" s="273"/>
      <c r="AO198" s="126"/>
      <c r="AP198" s="126"/>
      <c r="AQ198" s="126"/>
      <c r="AR198" s="126"/>
      <c r="AS198" s="126"/>
      <c r="AT198" s="126"/>
      <c r="AU198" s="127"/>
      <c r="AV198" s="213"/>
      <c r="AW198" s="126"/>
      <c r="AX198" s="220"/>
    </row>
    <row r="199" spans="1:50" s="224" customFormat="1" x14ac:dyDescent="0.25">
      <c r="A199" s="350"/>
      <c r="B199" s="317"/>
      <c r="C199" s="318">
        <v>8</v>
      </c>
      <c r="D199" s="83" t="s">
        <v>448</v>
      </c>
      <c r="E199" s="242">
        <v>9</v>
      </c>
      <c r="F199" s="242">
        <v>9</v>
      </c>
      <c r="G199" s="77" t="s">
        <v>28</v>
      </c>
      <c r="H199" s="74">
        <f t="shared" si="140"/>
        <v>1206.8965517241379</v>
      </c>
      <c r="I199" s="74">
        <f>F199*H199</f>
        <v>10862.068965517241</v>
      </c>
      <c r="J199" s="74">
        <f t="shared" si="143"/>
        <v>305.88235294117646</v>
      </c>
      <c r="K199" s="74">
        <f t="shared" si="137"/>
        <v>2752.9411764705883</v>
      </c>
      <c r="L199" s="72">
        <f t="shared" si="138"/>
        <v>13615.01014198783</v>
      </c>
      <c r="M199" s="74">
        <f t="shared" si="144"/>
        <v>1611.1902695153199</v>
      </c>
      <c r="N199" s="74">
        <f t="shared" si="144"/>
        <v>408.3487271309416</v>
      </c>
      <c r="O199" s="72">
        <f t="shared" si="111"/>
        <v>2019.5389966462615</v>
      </c>
      <c r="P199" s="205">
        <f t="shared" si="112"/>
        <v>18175.850969816354</v>
      </c>
      <c r="Q199" s="272">
        <f t="shared" si="145"/>
        <v>18807.997346288248</v>
      </c>
      <c r="R199" s="439">
        <f t="shared" si="113"/>
        <v>-632.14637647189375</v>
      </c>
      <c r="S199" s="273"/>
      <c r="T199" s="74">
        <v>1050</v>
      </c>
      <c r="U199" s="273"/>
      <c r="V199" s="273"/>
      <c r="W199" s="74">
        <v>260</v>
      </c>
      <c r="X199" s="840">
        <v>1674.7612103251947</v>
      </c>
      <c r="Y199" s="840">
        <v>424.46048826393172</v>
      </c>
      <c r="Z199" s="840"/>
      <c r="AO199" s="880" t="s">
        <v>275</v>
      </c>
      <c r="AP199" s="880"/>
      <c r="AQ199" s="141" t="s">
        <v>243</v>
      </c>
      <c r="AR199" s="141" t="s">
        <v>244</v>
      </c>
      <c r="AS199" s="141" t="s">
        <v>245</v>
      </c>
      <c r="AT199" s="141" t="s">
        <v>246</v>
      </c>
      <c r="AU199" s="141" t="s">
        <v>247</v>
      </c>
      <c r="AV199" s="216" t="s">
        <v>248</v>
      </c>
      <c r="AW199" s="141" t="s">
        <v>249</v>
      </c>
      <c r="AX199" s="220"/>
    </row>
    <row r="200" spans="1:50" s="224" customFormat="1" x14ac:dyDescent="0.25">
      <c r="A200" s="350"/>
      <c r="B200" s="317"/>
      <c r="C200" s="318">
        <v>9</v>
      </c>
      <c r="D200" s="83" t="s">
        <v>449</v>
      </c>
      <c r="E200" s="242">
        <v>5</v>
      </c>
      <c r="F200" s="242">
        <v>5</v>
      </c>
      <c r="G200" s="77" t="s">
        <v>28</v>
      </c>
      <c r="H200" s="74">
        <f t="shared" si="140"/>
        <v>3333.3333333333335</v>
      </c>
      <c r="I200" s="74">
        <f t="shared" ref="I200:I204" si="146">F200*H200</f>
        <v>16666.666666666668</v>
      </c>
      <c r="J200" s="74">
        <f t="shared" si="143"/>
        <v>470.58823529411768</v>
      </c>
      <c r="K200" s="74">
        <f t="shared" si="137"/>
        <v>2352.9411764705883</v>
      </c>
      <c r="L200" s="72">
        <f t="shared" si="138"/>
        <v>19019.607843137255</v>
      </c>
      <c r="M200" s="74">
        <f t="shared" si="144"/>
        <v>4449.9540777089787</v>
      </c>
      <c r="N200" s="74">
        <f t="shared" si="144"/>
        <v>628.22881097067943</v>
      </c>
      <c r="O200" s="72">
        <f t="shared" si="111"/>
        <v>5078.1828886796584</v>
      </c>
      <c r="P200" s="205">
        <f t="shared" si="112"/>
        <v>25390.914443398291</v>
      </c>
      <c r="Q200" s="272">
        <f t="shared" si="145"/>
        <v>26273.996868939561</v>
      </c>
      <c r="R200" s="439">
        <f t="shared" si="113"/>
        <v>-883.08242554126991</v>
      </c>
      <c r="S200" s="273"/>
      <c r="T200" s="74">
        <v>2900</v>
      </c>
      <c r="U200" s="273"/>
      <c r="V200" s="273"/>
      <c r="W200" s="74">
        <v>400</v>
      </c>
      <c r="X200" s="840">
        <v>4625.530961850538</v>
      </c>
      <c r="Y200" s="840">
        <v>653.01613579066418</v>
      </c>
      <c r="Z200" s="840"/>
      <c r="AO200" s="891" t="s">
        <v>276</v>
      </c>
      <c r="AP200" s="891"/>
      <c r="AQ200" s="846" t="s">
        <v>100</v>
      </c>
      <c r="AR200" s="846">
        <v>26</v>
      </c>
      <c r="AS200" s="846">
        <f>5*6</f>
        <v>30</v>
      </c>
      <c r="AT200" s="144">
        <f>270/1.05</f>
        <v>257.14285714285711</v>
      </c>
      <c r="AU200" s="144">
        <f t="shared" ref="AU200:AU209" si="147">AT200*AS200</f>
        <v>7714.2857142857138</v>
      </c>
      <c r="AV200" s="144">
        <v>150</v>
      </c>
      <c r="AW200" s="144">
        <f t="shared" ref="AW200:AW209" si="148">AV200*AS200</f>
        <v>4500</v>
      </c>
      <c r="AX200" s="220"/>
    </row>
    <row r="201" spans="1:50" s="224" customFormat="1" x14ac:dyDescent="0.25">
      <c r="A201" s="350"/>
      <c r="B201" s="317"/>
      <c r="C201" s="318">
        <v>10</v>
      </c>
      <c r="D201" s="83" t="s">
        <v>451</v>
      </c>
      <c r="E201" s="242">
        <v>240</v>
      </c>
      <c r="F201" s="242">
        <v>247</v>
      </c>
      <c r="G201" s="77" t="s">
        <v>453</v>
      </c>
      <c r="H201" s="74">
        <f t="shared" si="140"/>
        <v>31.781344350866043</v>
      </c>
      <c r="I201" s="74">
        <f t="shared" si="146"/>
        <v>7849.9920546639123</v>
      </c>
      <c r="J201" s="74">
        <f t="shared" si="143"/>
        <v>12.941176470588236</v>
      </c>
      <c r="K201" s="74">
        <f t="shared" si="137"/>
        <v>3196.4705882352941</v>
      </c>
      <c r="L201" s="72">
        <f t="shared" si="138"/>
        <v>11046.462642899207</v>
      </c>
      <c r="M201" s="74">
        <f t="shared" si="144"/>
        <v>42.42765686676286</v>
      </c>
      <c r="N201" s="74">
        <f t="shared" si="144"/>
        <v>17.276292301693683</v>
      </c>
      <c r="O201" s="72">
        <f t="shared" si="111"/>
        <v>59.703949168456546</v>
      </c>
      <c r="P201" s="205">
        <f t="shared" si="112"/>
        <v>14746.875444608768</v>
      </c>
      <c r="Q201" s="272">
        <f t="shared" si="145"/>
        <v>15259.763886094815</v>
      </c>
      <c r="R201" s="439">
        <f t="shared" si="113"/>
        <v>-512.88844148604767</v>
      </c>
      <c r="S201" s="273"/>
      <c r="T201" s="74">
        <f>30/1.085</f>
        <v>27.649769585253456</v>
      </c>
      <c r="U201" s="273"/>
      <c r="V201" s="273"/>
      <c r="W201" s="74">
        <v>11</v>
      </c>
      <c r="X201" s="840">
        <v>44.101677691249364</v>
      </c>
      <c r="Y201" s="840">
        <v>17.957943734243266</v>
      </c>
      <c r="Z201" s="840"/>
      <c r="AO201" s="891" t="s">
        <v>277</v>
      </c>
      <c r="AP201" s="891"/>
      <c r="AQ201" s="846" t="s">
        <v>283</v>
      </c>
      <c r="AR201" s="846">
        <v>10</v>
      </c>
      <c r="AS201" s="846">
        <v>10</v>
      </c>
      <c r="AT201" s="144">
        <v>250</v>
      </c>
      <c r="AU201" s="144">
        <f t="shared" si="147"/>
        <v>2500</v>
      </c>
      <c r="AV201" s="144">
        <v>65</v>
      </c>
      <c r="AW201" s="144">
        <f t="shared" si="148"/>
        <v>650</v>
      </c>
      <c r="AX201" s="220"/>
    </row>
    <row r="202" spans="1:50" s="224" customFormat="1" x14ac:dyDescent="0.25">
      <c r="A202" s="350"/>
      <c r="B202" s="317"/>
      <c r="C202" s="318">
        <v>11</v>
      </c>
      <c r="D202" s="83" t="s">
        <v>450</v>
      </c>
      <c r="E202" s="242">
        <v>240</v>
      </c>
      <c r="F202" s="242">
        <v>247</v>
      </c>
      <c r="G202" s="77" t="s">
        <v>283</v>
      </c>
      <c r="H202" s="74">
        <f t="shared" si="140"/>
        <v>18.390804597701148</v>
      </c>
      <c r="I202" s="74">
        <f t="shared" si="146"/>
        <v>4542.5287356321833</v>
      </c>
      <c r="J202" s="74">
        <f t="shared" si="143"/>
        <v>7.0588235294117645</v>
      </c>
      <c r="K202" s="74">
        <f t="shared" si="137"/>
        <v>1743.5294117647059</v>
      </c>
      <c r="L202" s="72">
        <f t="shared" si="138"/>
        <v>6286.0581473968887</v>
      </c>
      <c r="M202" s="74">
        <f t="shared" si="144"/>
        <v>24.551470773566781</v>
      </c>
      <c r="N202" s="74">
        <f t="shared" si="144"/>
        <v>9.4234321645601913</v>
      </c>
      <c r="O202" s="72">
        <f t="shared" si="111"/>
        <v>33.974902938126974</v>
      </c>
      <c r="P202" s="205">
        <f t="shared" si="112"/>
        <v>8391.8010257173628</v>
      </c>
      <c r="Q202" s="272">
        <f t="shared" si="145"/>
        <v>8683.6633775428563</v>
      </c>
      <c r="R202" s="439">
        <f t="shared" si="113"/>
        <v>-291.86235182549353</v>
      </c>
      <c r="S202" s="273"/>
      <c r="T202" s="74">
        <v>16</v>
      </c>
      <c r="U202" s="273"/>
      <c r="V202" s="273"/>
      <c r="W202" s="74">
        <v>6</v>
      </c>
      <c r="X202" s="840">
        <v>25.520170824002967</v>
      </c>
      <c r="Y202" s="840">
        <v>9.7952420368599622</v>
      </c>
      <c r="Z202" s="840"/>
      <c r="AO202" s="891" t="s">
        <v>278</v>
      </c>
      <c r="AP202" s="891"/>
      <c r="AQ202" s="846" t="s">
        <v>283</v>
      </c>
      <c r="AR202" s="846">
        <v>10</v>
      </c>
      <c r="AS202" s="846">
        <v>10</v>
      </c>
      <c r="AT202" s="144">
        <v>280</v>
      </c>
      <c r="AU202" s="144">
        <f t="shared" si="147"/>
        <v>2800</v>
      </c>
      <c r="AV202" s="144">
        <v>70</v>
      </c>
      <c r="AW202" s="144">
        <f t="shared" si="148"/>
        <v>700</v>
      </c>
      <c r="AX202" s="220"/>
    </row>
    <row r="203" spans="1:50" s="224" customFormat="1" x14ac:dyDescent="0.25">
      <c r="A203" s="350"/>
      <c r="B203" s="317"/>
      <c r="C203" s="318">
        <v>12</v>
      </c>
      <c r="D203" s="83" t="s">
        <v>452</v>
      </c>
      <c r="E203" s="242">
        <v>95</v>
      </c>
      <c r="F203" s="242">
        <v>100</v>
      </c>
      <c r="G203" s="77" t="s">
        <v>283</v>
      </c>
      <c r="H203" s="74">
        <f t="shared" si="140"/>
        <v>28.735632183908045</v>
      </c>
      <c r="I203" s="74">
        <f t="shared" si="146"/>
        <v>2873.5632183908046</v>
      </c>
      <c r="J203" s="74">
        <f t="shared" si="143"/>
        <v>10.588235294117647</v>
      </c>
      <c r="K203" s="74">
        <f t="shared" si="137"/>
        <v>1058.8235294117646</v>
      </c>
      <c r="L203" s="72">
        <f t="shared" si="138"/>
        <v>3932.3867478025695</v>
      </c>
      <c r="M203" s="74">
        <f t="shared" si="144"/>
        <v>38.361673083698093</v>
      </c>
      <c r="N203" s="74">
        <f t="shared" si="144"/>
        <v>14.135148246840286</v>
      </c>
      <c r="O203" s="72">
        <f t="shared" si="111"/>
        <v>52.496821330538381</v>
      </c>
      <c r="P203" s="205">
        <f t="shared" si="112"/>
        <v>5249.6821330538378</v>
      </c>
      <c r="Q203" s="272">
        <f t="shared" si="145"/>
        <v>5432.2632701653929</v>
      </c>
      <c r="R203" s="439">
        <f t="shared" si="113"/>
        <v>-182.58113711155511</v>
      </c>
      <c r="S203" s="273"/>
      <c r="T203" s="74">
        <v>25</v>
      </c>
      <c r="U203" s="273"/>
      <c r="V203" s="273"/>
      <c r="W203" s="74">
        <v>9</v>
      </c>
      <c r="X203" s="840">
        <v>39.875266912504635</v>
      </c>
      <c r="Y203" s="840">
        <v>14.692863055289944</v>
      </c>
      <c r="Z203" s="840"/>
      <c r="AO203" s="933" t="s">
        <v>280</v>
      </c>
      <c r="AP203" s="933"/>
      <c r="AQ203" s="846" t="s">
        <v>101</v>
      </c>
      <c r="AR203" s="846">
        <f>4.5*1.2</f>
        <v>5.3999999999999995</v>
      </c>
      <c r="AS203" s="846">
        <v>6</v>
      </c>
      <c r="AT203" s="144">
        <v>160</v>
      </c>
      <c r="AU203" s="144">
        <f t="shared" si="147"/>
        <v>960</v>
      </c>
      <c r="AV203" s="144">
        <v>145</v>
      </c>
      <c r="AW203" s="144">
        <f t="shared" si="148"/>
        <v>870</v>
      </c>
      <c r="AX203" s="220"/>
    </row>
    <row r="204" spans="1:50" s="224" customFormat="1" x14ac:dyDescent="0.25">
      <c r="A204" s="350"/>
      <c r="B204" s="317"/>
      <c r="C204" s="318">
        <v>13</v>
      </c>
      <c r="D204" s="83" t="s">
        <v>524</v>
      </c>
      <c r="E204" s="242">
        <v>2</v>
      </c>
      <c r="F204" s="242">
        <v>2</v>
      </c>
      <c r="G204" s="77" t="s">
        <v>525</v>
      </c>
      <c r="H204" s="74">
        <f>16000/1.05</f>
        <v>15238.095238095237</v>
      </c>
      <c r="I204" s="74">
        <f t="shared" si="146"/>
        <v>30476.190476190473</v>
      </c>
      <c r="J204" s="74">
        <f t="shared" si="143"/>
        <v>7058.8235294117649</v>
      </c>
      <c r="K204" s="74">
        <f t="shared" si="137"/>
        <v>14117.64705882353</v>
      </c>
      <c r="L204" s="72">
        <f t="shared" si="138"/>
        <v>44593.837535014005</v>
      </c>
      <c r="M204" s="74">
        <f t="shared" si="144"/>
        <v>20342.647212383901</v>
      </c>
      <c r="N204" s="74">
        <f t="shared" si="144"/>
        <v>9423.4321645601904</v>
      </c>
      <c r="O204" s="72">
        <f t="shared" si="111"/>
        <v>29766.079376944093</v>
      </c>
      <c r="P204" s="205">
        <f t="shared" si="112"/>
        <v>59532.158753888187</v>
      </c>
      <c r="Q204" s="272">
        <f t="shared" si="145"/>
        <v>61602.655398161682</v>
      </c>
      <c r="R204" s="439">
        <f t="shared" si="113"/>
        <v>-2070.4966442734949</v>
      </c>
      <c r="S204" s="273"/>
      <c r="T204" s="74">
        <v>25</v>
      </c>
      <c r="U204" s="273"/>
      <c r="V204" s="273"/>
      <c r="W204" s="74">
        <f>6000</f>
        <v>6000</v>
      </c>
      <c r="X204" s="840">
        <v>21145.284397031028</v>
      </c>
      <c r="Y204" s="840">
        <v>9795.2420368599614</v>
      </c>
      <c r="Z204" s="840"/>
      <c r="AO204" s="933" t="s">
        <v>280</v>
      </c>
      <c r="AP204" s="933"/>
      <c r="AQ204" s="846" t="s">
        <v>101</v>
      </c>
      <c r="AR204" s="846">
        <f>4.5*1.2</f>
        <v>5.3999999999999995</v>
      </c>
      <c r="AS204" s="846">
        <v>6</v>
      </c>
      <c r="AT204" s="144">
        <v>160</v>
      </c>
      <c r="AU204" s="144">
        <f t="shared" si="147"/>
        <v>960</v>
      </c>
      <c r="AV204" s="144">
        <v>145</v>
      </c>
      <c r="AW204" s="144">
        <f t="shared" si="148"/>
        <v>870</v>
      </c>
      <c r="AX204" s="220"/>
    </row>
    <row r="205" spans="1:50" s="224" customFormat="1" x14ac:dyDescent="0.25">
      <c r="A205" s="350"/>
      <c r="B205" s="317"/>
      <c r="C205" s="318"/>
      <c r="D205" s="83"/>
      <c r="E205" s="242"/>
      <c r="F205" s="242"/>
      <c r="G205" s="77"/>
      <c r="H205" s="74"/>
      <c r="I205" s="74"/>
      <c r="J205" s="74"/>
      <c r="K205" s="74"/>
      <c r="L205" s="72"/>
      <c r="M205" s="74"/>
      <c r="N205" s="74"/>
      <c r="O205" s="72"/>
      <c r="P205" s="205"/>
      <c r="Q205" s="272"/>
      <c r="R205" s="439"/>
      <c r="S205" s="273"/>
      <c r="U205" s="273"/>
      <c r="V205" s="273"/>
      <c r="W205" s="74"/>
      <c r="X205" s="840"/>
      <c r="Y205" s="840"/>
      <c r="Z205" s="840"/>
      <c r="AA205" s="273"/>
      <c r="AB205" s="273"/>
      <c r="AC205" s="273"/>
      <c r="AD205" s="273"/>
      <c r="AE205" s="273"/>
      <c r="AF205" s="273"/>
      <c r="AH205" s="273"/>
      <c r="AJ205" s="738"/>
      <c r="AO205" s="933" t="s">
        <v>285</v>
      </c>
      <c r="AP205" s="933"/>
      <c r="AQ205" s="846" t="s">
        <v>100</v>
      </c>
      <c r="AR205" s="846">
        <v>26</v>
      </c>
      <c r="AS205" s="846">
        <v>32</v>
      </c>
      <c r="AT205" s="441">
        <v>90</v>
      </c>
      <c r="AU205" s="144">
        <f t="shared" si="147"/>
        <v>2880</v>
      </c>
      <c r="AV205" s="441">
        <v>90</v>
      </c>
      <c r="AW205" s="144">
        <f t="shared" si="148"/>
        <v>2880</v>
      </c>
      <c r="AX205" s="220"/>
    </row>
    <row r="206" spans="1:50" s="224" customFormat="1" x14ac:dyDescent="0.25">
      <c r="A206" s="350"/>
      <c r="B206" s="412" t="s">
        <v>329</v>
      </c>
      <c r="C206" s="413" t="s">
        <v>458</v>
      </c>
      <c r="D206" s="316"/>
      <c r="E206" s="244"/>
      <c r="F206" s="244"/>
      <c r="G206" s="75"/>
      <c r="H206" s="74"/>
      <c r="I206" s="74"/>
      <c r="J206" s="74"/>
      <c r="K206" s="74"/>
      <c r="L206" s="74"/>
      <c r="M206" s="74"/>
      <c r="N206" s="74"/>
      <c r="O206" s="72"/>
      <c r="P206" s="205"/>
      <c r="Q206" s="272"/>
      <c r="R206" s="439"/>
      <c r="S206" s="273"/>
      <c r="W206" s="74"/>
      <c r="X206" s="840"/>
      <c r="Y206" s="840"/>
      <c r="Z206" s="840"/>
      <c r="AO206" s="933" t="s">
        <v>279</v>
      </c>
      <c r="AP206" s="933"/>
      <c r="AQ206" s="846" t="s">
        <v>266</v>
      </c>
      <c r="AR206" s="846">
        <f>4.5*1.2*0.15+(4.5*0.3*0.1)*2</f>
        <v>1.0799999999999998</v>
      </c>
      <c r="AS206" s="846">
        <v>1.25</v>
      </c>
      <c r="AT206" s="441">
        <f>3800/1.05</f>
        <v>3619.0476190476188</v>
      </c>
      <c r="AU206" s="144">
        <f t="shared" si="147"/>
        <v>4523.8095238095239</v>
      </c>
      <c r="AV206" s="441">
        <v>800</v>
      </c>
      <c r="AW206" s="144">
        <f t="shared" si="148"/>
        <v>1000</v>
      </c>
      <c r="AX206" s="220"/>
    </row>
    <row r="207" spans="1:50" s="224" customFormat="1" x14ac:dyDescent="0.25">
      <c r="A207" s="350"/>
      <c r="B207" s="317"/>
      <c r="C207" s="318">
        <v>1</v>
      </c>
      <c r="D207" s="83" t="s">
        <v>459</v>
      </c>
      <c r="E207" s="242">
        <v>1337</v>
      </c>
      <c r="F207" s="242">
        <v>1446</v>
      </c>
      <c r="G207" s="77" t="s">
        <v>100</v>
      </c>
      <c r="H207" s="74">
        <f>10</f>
        <v>10</v>
      </c>
      <c r="I207" s="74">
        <f>F207*H207</f>
        <v>14460</v>
      </c>
      <c r="J207" s="74">
        <f t="shared" ref="J207:J215" si="149">W207/$J$169</f>
        <v>4.7058823529411766</v>
      </c>
      <c r="K207" s="74">
        <f t="shared" ref="K207:K215" si="150">F207*J207</f>
        <v>6804.7058823529414</v>
      </c>
      <c r="L207" s="72">
        <f t="shared" ref="L207:L215" si="151">I207+K207</f>
        <v>21264.705882352941</v>
      </c>
      <c r="M207" s="74">
        <f t="shared" ref="M207:N215" si="152">X207/$S$217*$S$218</f>
        <v>13.349862233126936</v>
      </c>
      <c r="N207" s="74">
        <f t="shared" si="152"/>
        <v>6.2822881097067942</v>
      </c>
      <c r="O207" s="72">
        <f t="shared" si="111"/>
        <v>19.632150342833732</v>
      </c>
      <c r="P207" s="205">
        <f t="shared" si="112"/>
        <v>28388.089395737577</v>
      </c>
      <c r="Q207" s="272">
        <f t="shared" ref="Q207:Q242" si="153">L207/$P$264*$P$272</f>
        <v>29375.411963262835</v>
      </c>
      <c r="R207" s="439">
        <f t="shared" si="113"/>
        <v>-987.32256752525791</v>
      </c>
      <c r="S207" s="273"/>
      <c r="U207" s="273"/>
      <c r="V207" s="273"/>
      <c r="W207" s="74">
        <v>4</v>
      </c>
      <c r="X207" s="840">
        <v>13.876592885551613</v>
      </c>
      <c r="Y207" s="840">
        <v>6.5301613579066418</v>
      </c>
      <c r="Z207" s="840"/>
      <c r="AO207" s="933" t="s">
        <v>282</v>
      </c>
      <c r="AP207" s="933"/>
      <c r="AQ207" s="846" t="s">
        <v>284</v>
      </c>
      <c r="AR207" s="173">
        <f>(5*12+23*1.2+16)*0.616</f>
        <v>63.817599999999999</v>
      </c>
      <c r="AS207" s="846">
        <v>75</v>
      </c>
      <c r="AT207" s="441">
        <f>33/1.05</f>
        <v>31.428571428571427</v>
      </c>
      <c r="AU207" s="144">
        <f t="shared" si="147"/>
        <v>2357.1428571428569</v>
      </c>
      <c r="AV207" s="441">
        <v>12</v>
      </c>
      <c r="AW207" s="144">
        <f t="shared" si="148"/>
        <v>900</v>
      </c>
      <c r="AX207" s="220"/>
    </row>
    <row r="208" spans="1:50" s="224" customFormat="1" x14ac:dyDescent="0.25">
      <c r="A208" s="350"/>
      <c r="B208" s="317"/>
      <c r="C208" s="318">
        <v>2</v>
      </c>
      <c r="D208" s="83" t="s">
        <v>460</v>
      </c>
      <c r="E208" s="242">
        <v>1113</v>
      </c>
      <c r="F208" s="242">
        <v>1320</v>
      </c>
      <c r="G208" s="77" t="s">
        <v>100</v>
      </c>
      <c r="H208" s="74">
        <f>25</f>
        <v>25</v>
      </c>
      <c r="I208" s="74">
        <f t="shared" ref="I208:I210" si="154">F208*H208</f>
        <v>33000</v>
      </c>
      <c r="J208" s="74">
        <f t="shared" si="149"/>
        <v>10.588235294117647</v>
      </c>
      <c r="K208" s="74">
        <f t="shared" si="150"/>
        <v>13976.470588235294</v>
      </c>
      <c r="L208" s="72">
        <f t="shared" si="151"/>
        <v>46976.470588235294</v>
      </c>
      <c r="M208" s="74">
        <f t="shared" si="152"/>
        <v>33.37465558281734</v>
      </c>
      <c r="N208" s="74">
        <f t="shared" si="152"/>
        <v>14.135148246840286</v>
      </c>
      <c r="O208" s="72">
        <f t="shared" si="111"/>
        <v>47.509803829657628</v>
      </c>
      <c r="P208" s="205">
        <f t="shared" si="112"/>
        <v>62712.941055148069</v>
      </c>
      <c r="Q208" s="272">
        <f t="shared" si="153"/>
        <v>64894.063606809694</v>
      </c>
      <c r="R208" s="439">
        <f t="shared" si="113"/>
        <v>-2181.122551661625</v>
      </c>
      <c r="S208" s="273"/>
      <c r="U208" s="273"/>
      <c r="V208" s="273"/>
      <c r="W208" s="74">
        <v>9</v>
      </c>
      <c r="X208" s="840">
        <v>34.691482213879034</v>
      </c>
      <c r="Y208" s="840">
        <v>14.692863055289944</v>
      </c>
      <c r="Z208" s="840"/>
      <c r="AO208" s="933" t="s">
        <v>281</v>
      </c>
      <c r="AP208" s="933"/>
      <c r="AQ208" s="846" t="s">
        <v>101</v>
      </c>
      <c r="AR208" s="846">
        <f>0.3*4.5*2</f>
        <v>2.6999999999999997</v>
      </c>
      <c r="AS208" s="846">
        <v>3</v>
      </c>
      <c r="AT208" s="441">
        <v>220</v>
      </c>
      <c r="AU208" s="144">
        <f t="shared" si="147"/>
        <v>660</v>
      </c>
      <c r="AV208" s="441">
        <v>200</v>
      </c>
      <c r="AW208" s="144">
        <f t="shared" si="148"/>
        <v>600</v>
      </c>
      <c r="AX208" s="220"/>
    </row>
    <row r="209" spans="1:49" s="224" customFormat="1" x14ac:dyDescent="0.25">
      <c r="A209" s="350"/>
      <c r="B209" s="317"/>
      <c r="C209" s="318">
        <v>3</v>
      </c>
      <c r="D209" s="83" t="s">
        <v>461</v>
      </c>
      <c r="E209" s="242">
        <v>33</v>
      </c>
      <c r="F209" s="242">
        <v>33</v>
      </c>
      <c r="G209" s="77" t="s">
        <v>28</v>
      </c>
      <c r="H209" s="74">
        <f>258</f>
        <v>258</v>
      </c>
      <c r="I209" s="74">
        <f t="shared" si="154"/>
        <v>8514</v>
      </c>
      <c r="J209" s="74">
        <f t="shared" si="149"/>
        <v>117.64705882352942</v>
      </c>
      <c r="K209" s="74">
        <f t="shared" si="150"/>
        <v>3882.3529411764707</v>
      </c>
      <c r="L209" s="72">
        <f t="shared" si="151"/>
        <v>12396.35294117647</v>
      </c>
      <c r="M209" s="74">
        <f t="shared" si="152"/>
        <v>344.42644561467495</v>
      </c>
      <c r="N209" s="74">
        <f t="shared" si="152"/>
        <v>157.05720274266986</v>
      </c>
      <c r="O209" s="72">
        <f t="shared" si="111"/>
        <v>501.4836483573448</v>
      </c>
      <c r="P209" s="205">
        <f t="shared" si="112"/>
        <v>16548.960395792379</v>
      </c>
      <c r="Q209" s="272">
        <f t="shared" si="153"/>
        <v>17124.52438814408</v>
      </c>
      <c r="R209" s="439">
        <f t="shared" si="113"/>
        <v>-575.56399235170102</v>
      </c>
      <c r="S209" s="273"/>
      <c r="U209" s="273"/>
      <c r="V209" s="273"/>
      <c r="W209" s="74">
        <v>100</v>
      </c>
      <c r="X209" s="840">
        <v>358.01609644723163</v>
      </c>
      <c r="Y209" s="840">
        <v>163.25403394766604</v>
      </c>
      <c r="Z209" s="840"/>
      <c r="AA209" s="273"/>
      <c r="AB209" s="273"/>
      <c r="AC209" s="273"/>
      <c r="AD209" s="273"/>
      <c r="AE209" s="273"/>
      <c r="AF209" s="273"/>
      <c r="AH209" s="273"/>
      <c r="AJ209" s="738"/>
      <c r="AO209" s="933" t="s">
        <v>379</v>
      </c>
      <c r="AP209" s="933"/>
      <c r="AQ209" s="846" t="s">
        <v>301</v>
      </c>
      <c r="AR209" s="846">
        <v>1</v>
      </c>
      <c r="AS209" s="846">
        <v>1</v>
      </c>
      <c r="AT209" s="441">
        <v>1000</v>
      </c>
      <c r="AU209" s="144">
        <f t="shared" si="147"/>
        <v>1000</v>
      </c>
      <c r="AV209" s="441">
        <v>800</v>
      </c>
      <c r="AW209" s="144">
        <f t="shared" si="148"/>
        <v>800</v>
      </c>
    </row>
    <row r="210" spans="1:49" s="224" customFormat="1" x14ac:dyDescent="0.25">
      <c r="A210" s="350"/>
      <c r="B210" s="317"/>
      <c r="C210" s="318">
        <v>4</v>
      </c>
      <c r="D210" s="83" t="s">
        <v>462</v>
      </c>
      <c r="E210" s="242">
        <v>33</v>
      </c>
      <c r="F210" s="242">
        <v>33</v>
      </c>
      <c r="G210" s="77" t="s">
        <v>28</v>
      </c>
      <c r="H210" s="74">
        <f>456</f>
        <v>456</v>
      </c>
      <c r="I210" s="74">
        <f t="shared" si="154"/>
        <v>15048</v>
      </c>
      <c r="J210" s="74">
        <f t="shared" si="149"/>
        <v>117.64705882352942</v>
      </c>
      <c r="K210" s="74">
        <f t="shared" si="150"/>
        <v>3882.3529411764707</v>
      </c>
      <c r="L210" s="72">
        <f t="shared" si="151"/>
        <v>18930.352941176472</v>
      </c>
      <c r="M210" s="74">
        <f t="shared" si="152"/>
        <v>608.75371783058824</v>
      </c>
      <c r="N210" s="74">
        <f t="shared" si="152"/>
        <v>157.05720274266986</v>
      </c>
      <c r="O210" s="72">
        <f t="shared" si="111"/>
        <v>765.81092057325804</v>
      </c>
      <c r="P210" s="205">
        <f t="shared" si="112"/>
        <v>25271.760378917515</v>
      </c>
      <c r="Q210" s="272">
        <f t="shared" si="153"/>
        <v>26150.698689818517</v>
      </c>
      <c r="R210" s="439">
        <f t="shared" si="113"/>
        <v>-878.93831090100139</v>
      </c>
      <c r="S210" s="273"/>
      <c r="U210" s="273"/>
      <c r="V210" s="273"/>
      <c r="W210" s="74">
        <v>100</v>
      </c>
      <c r="X210" s="840">
        <v>632.77263558115351</v>
      </c>
      <c r="Y210" s="840">
        <v>163.25403394766604</v>
      </c>
      <c r="Z210" s="840"/>
      <c r="AA210" s="273"/>
      <c r="AB210" s="273"/>
      <c r="AC210" s="273"/>
      <c r="AD210" s="273"/>
      <c r="AE210" s="273"/>
      <c r="AF210" s="273"/>
      <c r="AH210" s="273"/>
      <c r="AO210" s="273"/>
      <c r="AP210" s="273"/>
      <c r="AQ210" s="273"/>
      <c r="AR210" s="273"/>
      <c r="AS210" s="273"/>
      <c r="AT210" s="273"/>
      <c r="AU210" s="216">
        <f>SUM(AU200:AU209)</f>
        <v>26355.238095238092</v>
      </c>
      <c r="AV210" s="273"/>
      <c r="AW210" s="216">
        <f>SUM(AW200:AW209)</f>
        <v>13770</v>
      </c>
    </row>
    <row r="211" spans="1:49" s="224" customFormat="1" x14ac:dyDescent="0.25">
      <c r="A211" s="350"/>
      <c r="B211" s="317"/>
      <c r="C211" s="318">
        <v>1</v>
      </c>
      <c r="D211" s="83" t="s">
        <v>463</v>
      </c>
      <c r="E211" s="242">
        <v>1</v>
      </c>
      <c r="F211" s="242">
        <v>1</v>
      </c>
      <c r="G211" s="77" t="s">
        <v>251</v>
      </c>
      <c r="H211" s="74">
        <f>4500</f>
        <v>4500</v>
      </c>
      <c r="I211" s="74">
        <f>F211*H211</f>
        <v>4500</v>
      </c>
      <c r="J211" s="74">
        <f t="shared" si="149"/>
        <v>1058.8235294117646</v>
      </c>
      <c r="K211" s="74">
        <f t="shared" si="150"/>
        <v>1058.8235294117646</v>
      </c>
      <c r="L211" s="72">
        <f t="shared" si="151"/>
        <v>5558.8235294117649</v>
      </c>
      <c r="M211" s="74">
        <f t="shared" si="152"/>
        <v>6007.4380049071215</v>
      </c>
      <c r="N211" s="74">
        <f t="shared" si="152"/>
        <v>1413.5148246840286</v>
      </c>
      <c r="O211" s="72">
        <f t="shared" si="111"/>
        <v>7420.9528295911496</v>
      </c>
      <c r="P211" s="205">
        <f t="shared" si="112"/>
        <v>7420.9528295911496</v>
      </c>
      <c r="Q211" s="272">
        <f t="shared" si="153"/>
        <v>7679.049600355017</v>
      </c>
      <c r="R211" s="439">
        <f t="shared" si="113"/>
        <v>-258.09677076386743</v>
      </c>
      <c r="S211" s="273"/>
      <c r="U211" s="273"/>
      <c r="V211" s="273"/>
      <c r="W211" s="74">
        <v>900</v>
      </c>
      <c r="X211" s="840">
        <v>6244.4667984982261</v>
      </c>
      <c r="Y211" s="840">
        <v>1469.2863055289943</v>
      </c>
      <c r="Z211" s="840"/>
    </row>
    <row r="212" spans="1:49" s="224" customFormat="1" x14ac:dyDescent="0.25">
      <c r="A212" s="350"/>
      <c r="B212" s="317"/>
      <c r="C212" s="318">
        <v>2</v>
      </c>
      <c r="D212" s="83" t="s">
        <v>464</v>
      </c>
      <c r="E212" s="242">
        <v>1</v>
      </c>
      <c r="F212" s="242">
        <v>1</v>
      </c>
      <c r="G212" s="77" t="s">
        <v>251</v>
      </c>
      <c r="H212" s="74">
        <f>15000</f>
        <v>15000</v>
      </c>
      <c r="I212" s="74">
        <f t="shared" ref="I212:I214" si="155">F212*H212</f>
        <v>15000</v>
      </c>
      <c r="J212" s="74">
        <f t="shared" si="149"/>
        <v>3529.4117647058824</v>
      </c>
      <c r="K212" s="74">
        <f t="shared" si="150"/>
        <v>3529.4117647058824</v>
      </c>
      <c r="L212" s="72">
        <f t="shared" si="151"/>
        <v>18529.411764705881</v>
      </c>
      <c r="M212" s="74">
        <f t="shared" si="152"/>
        <v>20024.793349690404</v>
      </c>
      <c r="N212" s="74">
        <f t="shared" si="152"/>
        <v>4711.7160822800952</v>
      </c>
      <c r="O212" s="72">
        <f t="shared" si="111"/>
        <v>24736.509431970499</v>
      </c>
      <c r="P212" s="205">
        <f t="shared" si="112"/>
        <v>24736.509431970499</v>
      </c>
      <c r="Q212" s="272">
        <f t="shared" si="153"/>
        <v>25596.832001183386</v>
      </c>
      <c r="R212" s="439">
        <f t="shared" si="113"/>
        <v>-860.32256921288717</v>
      </c>
      <c r="S212" s="273"/>
      <c r="U212" s="273"/>
      <c r="V212" s="273"/>
      <c r="W212" s="74">
        <v>3000</v>
      </c>
      <c r="X212" s="840">
        <v>20814.889328327419</v>
      </c>
      <c r="Y212" s="840">
        <v>4897.6210184299807</v>
      </c>
      <c r="Z212" s="840"/>
    </row>
    <row r="213" spans="1:49" s="224" customFormat="1" x14ac:dyDescent="0.25">
      <c r="A213" s="350"/>
      <c r="B213" s="317"/>
      <c r="C213" s="318">
        <v>3</v>
      </c>
      <c r="D213" s="83" t="s">
        <v>465</v>
      </c>
      <c r="E213" s="242">
        <v>1</v>
      </c>
      <c r="F213" s="242">
        <v>1</v>
      </c>
      <c r="G213" s="77" t="s">
        <v>243</v>
      </c>
      <c r="H213" s="74">
        <f>12000</f>
        <v>12000</v>
      </c>
      <c r="I213" s="74">
        <f t="shared" si="155"/>
        <v>12000</v>
      </c>
      <c r="J213" s="74">
        <f t="shared" si="149"/>
        <v>529.41176470588232</v>
      </c>
      <c r="K213" s="74">
        <f t="shared" si="150"/>
        <v>529.41176470588232</v>
      </c>
      <c r="L213" s="72">
        <f t="shared" si="151"/>
        <v>12529.411764705883</v>
      </c>
      <c r="M213" s="74">
        <f t="shared" si="152"/>
        <v>16019.834679752321</v>
      </c>
      <c r="N213" s="74">
        <f t="shared" si="152"/>
        <v>706.75741234201428</v>
      </c>
      <c r="O213" s="72">
        <f t="shared" si="111"/>
        <v>16726.592092094335</v>
      </c>
      <c r="P213" s="205">
        <f t="shared" si="112"/>
        <v>16726.592092094335</v>
      </c>
      <c r="Q213" s="272">
        <f t="shared" si="153"/>
        <v>17308.334019847814</v>
      </c>
      <c r="R213" s="439">
        <f t="shared" si="113"/>
        <v>-581.7419277534791</v>
      </c>
      <c r="S213" s="273"/>
      <c r="U213" s="273"/>
      <c r="V213" s="273"/>
      <c r="W213" s="74">
        <v>450</v>
      </c>
      <c r="X213" s="840">
        <v>16651.911462661934</v>
      </c>
      <c r="Y213" s="840">
        <v>734.64315276449713</v>
      </c>
      <c r="Z213" s="840"/>
      <c r="AA213" s="273"/>
      <c r="AB213" s="273"/>
      <c r="AC213" s="273"/>
      <c r="AD213" s="273"/>
      <c r="AE213" s="273"/>
      <c r="AF213" s="273"/>
      <c r="AH213" s="273"/>
      <c r="AJ213" s="738">
        <f>AH226*2+AH244*3</f>
        <v>40999</v>
      </c>
    </row>
    <row r="214" spans="1:49" s="224" customFormat="1" x14ac:dyDescent="0.25">
      <c r="A214" s="350"/>
      <c r="B214" s="317"/>
      <c r="C214" s="318">
        <v>4</v>
      </c>
      <c r="D214" s="83" t="s">
        <v>466</v>
      </c>
      <c r="E214" s="242">
        <v>2</v>
      </c>
      <c r="F214" s="242">
        <v>2</v>
      </c>
      <c r="G214" s="77" t="s">
        <v>283</v>
      </c>
      <c r="H214" s="74">
        <f>5612</f>
        <v>5612</v>
      </c>
      <c r="I214" s="74">
        <f t="shared" si="155"/>
        <v>11224</v>
      </c>
      <c r="J214" s="74">
        <f t="shared" si="149"/>
        <v>2352.9411764705883</v>
      </c>
      <c r="K214" s="74">
        <f t="shared" si="150"/>
        <v>4705.8823529411766</v>
      </c>
      <c r="L214" s="72">
        <f t="shared" si="151"/>
        <v>15929.882352941177</v>
      </c>
      <c r="M214" s="74">
        <f t="shared" si="152"/>
        <v>7491.942685230837</v>
      </c>
      <c r="N214" s="74">
        <f t="shared" si="152"/>
        <v>3141.1440548533974</v>
      </c>
      <c r="O214" s="72">
        <f t="shared" si="111"/>
        <v>10633.086740084234</v>
      </c>
      <c r="P214" s="205">
        <f t="shared" si="112"/>
        <v>21266.173480168469</v>
      </c>
      <c r="Q214" s="272">
        <f t="shared" si="153"/>
        <v>22005.799620877686</v>
      </c>
      <c r="R214" s="439">
        <f t="shared" si="113"/>
        <v>-739.626140709217</v>
      </c>
      <c r="S214" s="273"/>
      <c r="U214" s="273"/>
      <c r="V214" s="273"/>
      <c r="W214" s="74">
        <v>2000</v>
      </c>
      <c r="X214" s="840">
        <v>7787.5439273715656</v>
      </c>
      <c r="Y214" s="840">
        <v>3265.0806789533212</v>
      </c>
      <c r="Z214" s="840"/>
      <c r="AA214" s="273"/>
      <c r="AB214" s="273"/>
      <c r="AC214" s="273"/>
      <c r="AD214" s="273"/>
      <c r="AE214" s="273"/>
      <c r="AF214" s="273"/>
      <c r="AH214" s="273"/>
    </row>
    <row r="215" spans="1:49" s="224" customFormat="1" x14ac:dyDescent="0.25">
      <c r="A215" s="350"/>
      <c r="B215" s="317"/>
      <c r="C215" s="318">
        <v>5</v>
      </c>
      <c r="D215" s="83" t="s">
        <v>467</v>
      </c>
      <c r="E215" s="242">
        <v>1</v>
      </c>
      <c r="F215" s="242">
        <v>1</v>
      </c>
      <c r="G215" s="77" t="s">
        <v>301</v>
      </c>
      <c r="H215" s="74">
        <f>(7500+7000)/1.075</f>
        <v>13488.372093023256</v>
      </c>
      <c r="I215" s="74">
        <f>F215*H215</f>
        <v>13488.372093023256</v>
      </c>
      <c r="J215" s="74">
        <f t="shared" si="149"/>
        <v>8823.5294117647063</v>
      </c>
      <c r="K215" s="74">
        <f t="shared" si="150"/>
        <v>8823.5294117647063</v>
      </c>
      <c r="L215" s="72">
        <f t="shared" si="151"/>
        <v>22311.901504787962</v>
      </c>
      <c r="M215" s="74">
        <f t="shared" si="152"/>
        <v>18006.790919101451</v>
      </c>
      <c r="N215" s="74">
        <f t="shared" si="152"/>
        <v>11779.290205700239</v>
      </c>
      <c r="O215" s="72">
        <f t="shared" si="111"/>
        <v>29786.081124801691</v>
      </c>
      <c r="P215" s="205">
        <f t="shared" si="112"/>
        <v>29786.081124801691</v>
      </c>
      <c r="Q215" s="272">
        <f t="shared" si="153"/>
        <v>30822.02509703219</v>
      </c>
      <c r="R215" s="439">
        <f t="shared" si="113"/>
        <v>-1035.9439722304996</v>
      </c>
      <c r="S215" s="273"/>
      <c r="U215" s="273"/>
      <c r="V215" s="273"/>
      <c r="W215" s="74">
        <f>2500+5000</f>
        <v>7500</v>
      </c>
      <c r="X215" s="840">
        <v>18717.264822371944</v>
      </c>
      <c r="Y215" s="840">
        <v>12244.052546074954</v>
      </c>
      <c r="Z215" s="840"/>
      <c r="AA215" s="858" t="s">
        <v>7</v>
      </c>
      <c r="AB215" s="858" t="s">
        <v>6</v>
      </c>
      <c r="AC215" s="858" t="s">
        <v>5</v>
      </c>
      <c r="AD215" s="934" t="s">
        <v>380</v>
      </c>
      <c r="AE215" s="934"/>
      <c r="AF215" s="934"/>
      <c r="AG215" s="934" t="s">
        <v>381</v>
      </c>
      <c r="AH215" s="934"/>
      <c r="AI215" s="737"/>
      <c r="AJ215" s="687"/>
      <c r="AK215" s="687"/>
      <c r="AL215" s="687"/>
      <c r="AM215" s="687"/>
      <c r="AN215" s="687" t="s">
        <v>397</v>
      </c>
      <c r="AO215" s="687" t="s">
        <v>398</v>
      </c>
    </row>
    <row r="216" spans="1:49" s="273" customFormat="1" ht="15.75" thickBot="1" x14ac:dyDescent="0.3">
      <c r="A216" s="350"/>
      <c r="B216" s="317"/>
      <c r="C216" s="318"/>
      <c r="D216" s="83"/>
      <c r="E216" s="242"/>
      <c r="F216" s="302"/>
      <c r="G216" s="75"/>
      <c r="H216" s="74"/>
      <c r="I216" s="74"/>
      <c r="J216" s="74"/>
      <c r="K216" s="74"/>
      <c r="L216" s="74"/>
      <c r="M216" s="72"/>
      <c r="N216" s="72"/>
      <c r="O216" s="72"/>
      <c r="P216" s="205"/>
      <c r="Q216" s="272">
        <f t="shared" si="153"/>
        <v>0</v>
      </c>
      <c r="R216" s="439"/>
      <c r="T216" s="224"/>
      <c r="W216" s="760" t="s">
        <v>400</v>
      </c>
      <c r="X216" s="760"/>
      <c r="Y216" s="760"/>
      <c r="Z216" s="760"/>
      <c r="AA216" s="858"/>
      <c r="AB216" s="858"/>
      <c r="AC216" s="858"/>
      <c r="AD216" s="858"/>
      <c r="AE216" s="858"/>
      <c r="AF216" s="858"/>
      <c r="AG216" s="858"/>
      <c r="AH216" s="858"/>
      <c r="AI216" s="686"/>
      <c r="AJ216" s="686">
        <v>0.6</v>
      </c>
      <c r="AK216" s="688">
        <v>1.8</v>
      </c>
      <c r="AL216" s="687">
        <f>AJ216*AK216</f>
        <v>1.08</v>
      </c>
      <c r="AM216" s="688">
        <f>AJ216+AK216</f>
        <v>2.4</v>
      </c>
      <c r="AN216" s="687">
        <v>0.6</v>
      </c>
      <c r="AO216" s="687">
        <v>0.15</v>
      </c>
    </row>
    <row r="217" spans="1:49" s="234" customFormat="1" ht="15.75" thickBot="1" x14ac:dyDescent="0.3">
      <c r="A217" s="308"/>
      <c r="B217" s="910" t="s">
        <v>345</v>
      </c>
      <c r="C217" s="911"/>
      <c r="D217" s="912"/>
      <c r="E217" s="309"/>
      <c r="F217" s="310"/>
      <c r="G217" s="311"/>
      <c r="H217" s="312"/>
      <c r="I217" s="313">
        <f>SUM(I156:I216)</f>
        <v>1400979.8978094275</v>
      </c>
      <c r="J217" s="312"/>
      <c r="K217" s="313">
        <f>SUM(K156:K216)</f>
        <v>364281.76470588241</v>
      </c>
      <c r="L217" s="313">
        <f>SUM(L156:L216)</f>
        <v>1765261.6625153099</v>
      </c>
      <c r="M217" s="312"/>
      <c r="N217" s="312"/>
      <c r="O217" s="313"/>
      <c r="P217" s="315">
        <f>SUM(P156:P216)</f>
        <v>2356600.0000000014</v>
      </c>
      <c r="Q217" s="272">
        <f t="shared" si="153"/>
        <v>2438561.2877145372</v>
      </c>
      <c r="R217" s="439">
        <f t="shared" ref="R217" si="156">P217-Q217</f>
        <v>-81961.287714535836</v>
      </c>
      <c r="S217" s="211">
        <v>2449581.7427196959</v>
      </c>
      <c r="T217" s="443"/>
      <c r="U217" s="275"/>
      <c r="V217" s="276"/>
      <c r="W217" s="849" t="s">
        <v>9</v>
      </c>
      <c r="X217" s="849"/>
      <c r="Y217" s="849"/>
      <c r="Z217" s="849"/>
      <c r="AA217" s="849" t="s">
        <v>382</v>
      </c>
      <c r="AB217" s="369">
        <f>+AB220*1.2</f>
        <v>2.2680000000000002</v>
      </c>
      <c r="AC217" s="370" t="s">
        <v>383</v>
      </c>
      <c r="AD217" s="371" t="s">
        <v>384</v>
      </c>
      <c r="AE217" s="372">
        <v>2300</v>
      </c>
      <c r="AF217" s="370" t="s">
        <v>385</v>
      </c>
      <c r="AG217" s="373" t="s">
        <v>384</v>
      </c>
      <c r="AH217" s="374">
        <f>AB217*AE217</f>
        <v>5216.4000000000005</v>
      </c>
      <c r="AI217" s="386"/>
      <c r="AJ217" s="385">
        <v>0.15</v>
      </c>
      <c r="AK217" s="385">
        <v>1.8</v>
      </c>
      <c r="AL217" s="385">
        <f>AJ217*AK217</f>
        <v>0.27</v>
      </c>
      <c r="AM217" s="387">
        <f t="shared" ref="AM217" si="157">AJ217+AK217</f>
        <v>1.95</v>
      </c>
      <c r="AN217" s="385">
        <v>1.8</v>
      </c>
      <c r="AO217" s="385">
        <v>0.6</v>
      </c>
      <c r="AP217" s="282"/>
    </row>
    <row r="218" spans="1:49" s="273" customFormat="1" ht="15.75" x14ac:dyDescent="0.25">
      <c r="A218" s="809" t="s">
        <v>346</v>
      </c>
      <c r="B218" s="810" t="s">
        <v>356</v>
      </c>
      <c r="C218" s="811"/>
      <c r="D218" s="83"/>
      <c r="E218" s="242"/>
      <c r="F218" s="302"/>
      <c r="G218" s="75"/>
      <c r="H218" s="74"/>
      <c r="I218" s="74"/>
      <c r="J218" s="74"/>
      <c r="K218" s="74"/>
      <c r="L218" s="74"/>
      <c r="M218" s="72"/>
      <c r="N218" s="72"/>
      <c r="O218" s="72"/>
      <c r="P218" s="205"/>
      <c r="Q218" s="272">
        <f t="shared" si="153"/>
        <v>0</v>
      </c>
      <c r="R218" s="439"/>
      <c r="S218" s="733">
        <v>2356600</v>
      </c>
      <c r="T218" s="224"/>
      <c r="W218" s="681"/>
      <c r="X218" s="681"/>
      <c r="Y218" s="681"/>
      <c r="Z218" s="681"/>
      <c r="AA218" s="682"/>
      <c r="AB218" s="683"/>
      <c r="AC218" s="683"/>
      <c r="AD218" s="741"/>
      <c r="AE218" s="683"/>
      <c r="AF218" s="684" t="s">
        <v>386</v>
      </c>
      <c r="AG218" s="684" t="s">
        <v>384</v>
      </c>
      <c r="AH218" s="750">
        <f>SUM(AH217:AH217)</f>
        <v>5216.4000000000005</v>
      </c>
      <c r="AI218" s="686"/>
      <c r="AJ218" s="687">
        <v>0.15</v>
      </c>
      <c r="AK218" s="687">
        <v>0.6</v>
      </c>
      <c r="AL218" s="687">
        <f>AJ218*AK218</f>
        <v>0.09</v>
      </c>
      <c r="AM218" s="688">
        <f>AJ218+AK218</f>
        <v>0.75</v>
      </c>
      <c r="AN218" s="687">
        <v>0.15</v>
      </c>
      <c r="AO218" s="687">
        <v>1.8</v>
      </c>
    </row>
    <row r="219" spans="1:49" s="273" customFormat="1" x14ac:dyDescent="0.25">
      <c r="A219" s="350"/>
      <c r="B219" s="412" t="s">
        <v>319</v>
      </c>
      <c r="C219" s="413" t="s">
        <v>403</v>
      </c>
      <c r="D219" s="83"/>
      <c r="E219" s="242"/>
      <c r="F219" s="242"/>
      <c r="G219" s="77"/>
      <c r="H219" s="74"/>
      <c r="I219" s="74"/>
      <c r="J219" s="74"/>
      <c r="K219" s="74"/>
      <c r="L219" s="72"/>
      <c r="M219" s="74"/>
      <c r="N219" s="74"/>
      <c r="O219" s="72"/>
      <c r="P219" s="205"/>
      <c r="Q219" s="272">
        <f t="shared" si="153"/>
        <v>0</v>
      </c>
      <c r="R219" s="439"/>
      <c r="S219" s="273">
        <f>S218-S217</f>
        <v>-92981.742719695903</v>
      </c>
      <c r="T219" s="224"/>
      <c r="W219" s="681"/>
      <c r="X219" s="681"/>
      <c r="Y219" s="681"/>
      <c r="Z219" s="681"/>
      <c r="AA219" s="682"/>
      <c r="AB219" s="683"/>
      <c r="AC219" s="683"/>
      <c r="AD219" s="741"/>
      <c r="AE219" s="683"/>
      <c r="AF219" s="684"/>
      <c r="AG219" s="684"/>
      <c r="AH219" s="742"/>
      <c r="AI219" s="686"/>
      <c r="AJ219" s="687">
        <v>0.15</v>
      </c>
      <c r="AK219" s="687">
        <v>0.6</v>
      </c>
      <c r="AL219" s="687">
        <f>AJ219*AK219</f>
        <v>0.09</v>
      </c>
      <c r="AM219" s="688">
        <f>AJ219+AK219</f>
        <v>0.75</v>
      </c>
      <c r="AN219" s="687"/>
      <c r="AO219" s="687">
        <v>0.6</v>
      </c>
    </row>
    <row r="220" spans="1:49" s="273" customFormat="1" x14ac:dyDescent="0.25">
      <c r="A220" s="350"/>
      <c r="B220" s="317"/>
      <c r="C220" s="318">
        <v>1</v>
      </c>
      <c r="D220" s="83" t="s">
        <v>404</v>
      </c>
      <c r="E220" s="242">
        <v>10</v>
      </c>
      <c r="F220" s="242">
        <v>10</v>
      </c>
      <c r="G220" s="77" t="s">
        <v>28</v>
      </c>
      <c r="H220" s="74"/>
      <c r="I220" s="74">
        <f t="shared" ref="I220:I232" si="158">F220*H220</f>
        <v>0</v>
      </c>
      <c r="J220" s="74">
        <f>750+100</f>
        <v>850</v>
      </c>
      <c r="K220" s="74">
        <f t="shared" ref="K220:K232" si="159">F220*J220</f>
        <v>8500</v>
      </c>
      <c r="L220" s="72">
        <f t="shared" ref="L220:L232" si="160">I220+K220</f>
        <v>8500</v>
      </c>
      <c r="M220" s="74">
        <f t="shared" ref="M220:M242" si="161">H220/$P$264*$P$272</f>
        <v>0</v>
      </c>
      <c r="N220" s="74">
        <f t="shared" ref="N220:N242" si="162">J220/$P$264*$P$272</f>
        <v>1174.2038806892062</v>
      </c>
      <c r="O220" s="72">
        <f t="shared" ref="O220:O242" si="163">N220+M220</f>
        <v>1174.2038806892062</v>
      </c>
      <c r="P220" s="205">
        <f t="shared" ref="P220:P242" si="164">O220*F220</f>
        <v>11742.038806892062</v>
      </c>
      <c r="Q220" s="272">
        <f t="shared" si="153"/>
        <v>11742.03880689206</v>
      </c>
      <c r="R220" s="439">
        <f t="shared" ref="R220:R242" si="165">P220-Q220</f>
        <v>0</v>
      </c>
      <c r="T220" s="224"/>
      <c r="W220" s="858" t="s">
        <v>10</v>
      </c>
      <c r="X220" s="858"/>
      <c r="Y220" s="858"/>
      <c r="Z220" s="858"/>
      <c r="AA220" s="743" t="s">
        <v>387</v>
      </c>
      <c r="AB220" s="744">
        <f>AL224</f>
        <v>1.8900000000000003</v>
      </c>
      <c r="AC220" s="683" t="s">
        <v>383</v>
      </c>
      <c r="AD220" s="741" t="s">
        <v>384</v>
      </c>
      <c r="AE220" s="745">
        <v>400</v>
      </c>
      <c r="AF220" s="683" t="s">
        <v>385</v>
      </c>
      <c r="AG220" s="684" t="s">
        <v>384</v>
      </c>
      <c r="AH220" s="742">
        <f t="shared" ref="AH220:AH224" si="166">AB220*AE220</f>
        <v>756.00000000000011</v>
      </c>
      <c r="AI220" s="686"/>
      <c r="AJ220" s="687">
        <v>0.2</v>
      </c>
      <c r="AK220" s="687">
        <v>1.8</v>
      </c>
      <c r="AL220" s="687">
        <f>AJ220*AK220</f>
        <v>0.36000000000000004</v>
      </c>
      <c r="AM220" s="688">
        <f>AJ220+AK220</f>
        <v>2</v>
      </c>
      <c r="AN220" s="687"/>
      <c r="AO220" s="687">
        <v>0.2</v>
      </c>
    </row>
    <row r="221" spans="1:49" s="273" customFormat="1" x14ac:dyDescent="0.25">
      <c r="A221" s="350"/>
      <c r="B221" s="317"/>
      <c r="C221" s="318">
        <v>2</v>
      </c>
      <c r="D221" s="83" t="s">
        <v>405</v>
      </c>
      <c r="E221" s="242">
        <v>3</v>
      </c>
      <c r="F221" s="242">
        <v>3</v>
      </c>
      <c r="G221" s="77" t="s">
        <v>28</v>
      </c>
      <c r="H221" s="74"/>
      <c r="I221" s="74">
        <f>F221*H221</f>
        <v>0</v>
      </c>
      <c r="J221" s="74">
        <f>750+100</f>
        <v>850</v>
      </c>
      <c r="K221" s="74">
        <f>F221*J221</f>
        <v>2550</v>
      </c>
      <c r="L221" s="72">
        <f>I221+K221</f>
        <v>2550</v>
      </c>
      <c r="M221" s="74">
        <f t="shared" si="161"/>
        <v>0</v>
      </c>
      <c r="N221" s="74">
        <f t="shared" si="162"/>
        <v>1174.2038806892062</v>
      </c>
      <c r="O221" s="72">
        <f t="shared" si="163"/>
        <v>1174.2038806892062</v>
      </c>
      <c r="P221" s="205">
        <f t="shared" si="164"/>
        <v>3522.611642067619</v>
      </c>
      <c r="Q221" s="272">
        <f t="shared" si="153"/>
        <v>3522.6116420676185</v>
      </c>
      <c r="R221" s="439">
        <f t="shared" si="165"/>
        <v>0</v>
      </c>
      <c r="T221" s="224"/>
      <c r="W221" s="858"/>
      <c r="X221" s="858"/>
      <c r="Y221" s="858"/>
      <c r="Z221" s="858"/>
      <c r="AA221" s="743" t="s">
        <v>388</v>
      </c>
      <c r="AB221" s="744">
        <f>AM224</f>
        <v>7.85</v>
      </c>
      <c r="AC221" s="683" t="s">
        <v>383</v>
      </c>
      <c r="AD221" s="741"/>
      <c r="AE221" s="745">
        <v>100</v>
      </c>
      <c r="AF221" s="683" t="s">
        <v>385</v>
      </c>
      <c r="AG221" s="684"/>
      <c r="AH221" s="742">
        <f t="shared" si="166"/>
        <v>785</v>
      </c>
      <c r="AI221" s="686"/>
      <c r="AJ221" s="687"/>
      <c r="AK221" s="687"/>
      <c r="AL221" s="687"/>
      <c r="AM221" s="688"/>
      <c r="AN221" s="687"/>
      <c r="AO221" s="687"/>
    </row>
    <row r="222" spans="1:49" s="273" customFormat="1" x14ac:dyDescent="0.25">
      <c r="A222" s="350"/>
      <c r="B222" s="317"/>
      <c r="C222" s="318">
        <v>3</v>
      </c>
      <c r="D222" s="83" t="s">
        <v>406</v>
      </c>
      <c r="E222" s="242">
        <v>7</v>
      </c>
      <c r="F222" s="242">
        <v>7</v>
      </c>
      <c r="G222" s="77" t="s">
        <v>28</v>
      </c>
      <c r="H222" s="74"/>
      <c r="I222" s="74">
        <f t="shared" si="158"/>
        <v>0</v>
      </c>
      <c r="J222" s="74">
        <f>600+100</f>
        <v>700</v>
      </c>
      <c r="K222" s="74">
        <f t="shared" si="159"/>
        <v>4900</v>
      </c>
      <c r="L222" s="72">
        <f t="shared" si="160"/>
        <v>4900</v>
      </c>
      <c r="M222" s="74">
        <f t="shared" si="161"/>
        <v>0</v>
      </c>
      <c r="N222" s="74">
        <f t="shared" si="162"/>
        <v>966.99143115581683</v>
      </c>
      <c r="O222" s="72">
        <f t="shared" si="163"/>
        <v>966.99143115581683</v>
      </c>
      <c r="P222" s="205">
        <f t="shared" si="164"/>
        <v>6768.9400180907178</v>
      </c>
      <c r="Q222" s="272">
        <f t="shared" si="153"/>
        <v>6768.9400180907187</v>
      </c>
      <c r="R222" s="439">
        <f t="shared" si="165"/>
        <v>0</v>
      </c>
      <c r="T222" s="224"/>
      <c r="W222" s="858"/>
      <c r="X222" s="858"/>
      <c r="Y222" s="858"/>
      <c r="Z222" s="858"/>
      <c r="AA222" s="743" t="s">
        <v>389</v>
      </c>
      <c r="AB222" s="744">
        <f>AN224</f>
        <v>2.5499999999999998</v>
      </c>
      <c r="AC222" s="683" t="s">
        <v>100</v>
      </c>
      <c r="AD222" s="741"/>
      <c r="AE222" s="745">
        <v>400</v>
      </c>
      <c r="AF222" s="746" t="s">
        <v>390</v>
      </c>
      <c r="AG222" s="684"/>
      <c r="AH222" s="742">
        <f t="shared" si="166"/>
        <v>1019.9999999999999</v>
      </c>
      <c r="AI222" s="686"/>
      <c r="AJ222" s="687"/>
      <c r="AK222" s="687"/>
      <c r="AL222" s="687"/>
      <c r="AM222" s="688"/>
      <c r="AN222" s="687"/>
      <c r="AO222" s="687"/>
    </row>
    <row r="223" spans="1:49" s="273" customFormat="1" x14ac:dyDescent="0.25">
      <c r="A223" s="350"/>
      <c r="B223" s="317"/>
      <c r="C223" s="318">
        <v>4</v>
      </c>
      <c r="D223" s="83" t="s">
        <v>407</v>
      </c>
      <c r="E223" s="242">
        <v>7</v>
      </c>
      <c r="F223" s="242">
        <v>7</v>
      </c>
      <c r="G223" s="77" t="s">
        <v>28</v>
      </c>
      <c r="H223" s="74"/>
      <c r="I223" s="74">
        <f t="shared" si="158"/>
        <v>0</v>
      </c>
      <c r="J223" s="74">
        <f>300+100</f>
        <v>400</v>
      </c>
      <c r="K223" s="74">
        <f t="shared" si="159"/>
        <v>2800</v>
      </c>
      <c r="L223" s="72">
        <f t="shared" si="160"/>
        <v>2800</v>
      </c>
      <c r="M223" s="74">
        <f t="shared" si="161"/>
        <v>0</v>
      </c>
      <c r="N223" s="74">
        <f t="shared" si="162"/>
        <v>552.56653208903822</v>
      </c>
      <c r="O223" s="72">
        <f t="shared" si="163"/>
        <v>552.56653208903822</v>
      </c>
      <c r="P223" s="205">
        <f t="shared" si="164"/>
        <v>3867.9657246232673</v>
      </c>
      <c r="Q223" s="272">
        <f t="shared" si="153"/>
        <v>3867.9657246232673</v>
      </c>
      <c r="R223" s="439">
        <f t="shared" si="165"/>
        <v>0</v>
      </c>
      <c r="T223" s="224"/>
      <c r="W223" s="858"/>
      <c r="X223" s="858"/>
      <c r="Y223" s="858"/>
      <c r="Z223" s="858"/>
      <c r="AA223" s="743" t="s">
        <v>391</v>
      </c>
      <c r="AB223" s="744">
        <f>AO224</f>
        <v>3.35</v>
      </c>
      <c r="AC223" s="683" t="s">
        <v>100</v>
      </c>
      <c r="AD223" s="741"/>
      <c r="AE223" s="745">
        <v>400</v>
      </c>
      <c r="AF223" s="746" t="s">
        <v>390</v>
      </c>
      <c r="AG223" s="684"/>
      <c r="AH223" s="742">
        <f t="shared" si="166"/>
        <v>1340</v>
      </c>
      <c r="AI223" s="686"/>
      <c r="AJ223" s="687"/>
      <c r="AK223" s="687"/>
      <c r="AL223" s="687"/>
      <c r="AM223" s="688"/>
      <c r="AN223" s="687"/>
      <c r="AO223" s="687"/>
    </row>
    <row r="224" spans="1:49" s="273" customFormat="1" x14ac:dyDescent="0.25">
      <c r="A224" s="350"/>
      <c r="B224" s="317"/>
      <c r="C224" s="318">
        <v>5</v>
      </c>
      <c r="D224" s="83" t="s">
        <v>523</v>
      </c>
      <c r="E224" s="242">
        <v>2</v>
      </c>
      <c r="F224" s="242">
        <v>2</v>
      </c>
      <c r="G224" s="77" t="s">
        <v>28</v>
      </c>
      <c r="H224" s="74">
        <f>4000/1.07</f>
        <v>3738.3177570093458</v>
      </c>
      <c r="I224" s="74">
        <f t="shared" si="158"/>
        <v>7476.6355140186915</v>
      </c>
      <c r="J224" s="74">
        <f>400+100</f>
        <v>500</v>
      </c>
      <c r="K224" s="74">
        <f t="shared" si="159"/>
        <v>1000</v>
      </c>
      <c r="L224" s="72">
        <f t="shared" si="160"/>
        <v>8476.6355140186915</v>
      </c>
      <c r="M224" s="74">
        <f t="shared" si="161"/>
        <v>5164.1731970938154</v>
      </c>
      <c r="N224" s="74">
        <f t="shared" si="162"/>
        <v>690.70816511129783</v>
      </c>
      <c r="O224" s="72">
        <f t="shared" si="163"/>
        <v>5854.881362205113</v>
      </c>
      <c r="P224" s="205">
        <f t="shared" si="164"/>
        <v>11709.762724410226</v>
      </c>
      <c r="Q224" s="272">
        <f t="shared" si="153"/>
        <v>11709.762724410224</v>
      </c>
      <c r="R224" s="439">
        <f t="shared" si="165"/>
        <v>0</v>
      </c>
      <c r="T224" s="224"/>
      <c r="W224" s="858"/>
      <c r="X224" s="858"/>
      <c r="Y224" s="858"/>
      <c r="Z224" s="858"/>
      <c r="AA224" s="743" t="s">
        <v>392</v>
      </c>
      <c r="AB224" s="747">
        <v>2</v>
      </c>
      <c r="AC224" s="683" t="s">
        <v>393</v>
      </c>
      <c r="AD224" s="684"/>
      <c r="AE224" s="745">
        <v>500</v>
      </c>
      <c r="AF224" s="746" t="s">
        <v>394</v>
      </c>
      <c r="AG224" s="684"/>
      <c r="AH224" s="748">
        <f t="shared" si="166"/>
        <v>1000</v>
      </c>
      <c r="AI224" s="686"/>
      <c r="AJ224" s="687"/>
      <c r="AK224" s="687"/>
      <c r="AL224" s="749">
        <f>SUM(AL216:AL220)</f>
        <v>1.8900000000000003</v>
      </c>
      <c r="AM224" s="749">
        <f>SUM(AM216:AM220)</f>
        <v>7.85</v>
      </c>
      <c r="AN224" s="749">
        <f>SUM(AN216:AN219)</f>
        <v>2.5499999999999998</v>
      </c>
      <c r="AO224" s="749">
        <f>SUM(AO216:AO220)</f>
        <v>3.35</v>
      </c>
    </row>
    <row r="225" spans="1:51" s="273" customFormat="1" x14ac:dyDescent="0.25">
      <c r="A225" s="350"/>
      <c r="B225" s="317"/>
      <c r="C225" s="318">
        <v>6</v>
      </c>
      <c r="D225" s="83" t="s">
        <v>409</v>
      </c>
      <c r="E225" s="242">
        <v>2</v>
      </c>
      <c r="F225" s="242">
        <v>2</v>
      </c>
      <c r="G225" s="77" t="s">
        <v>28</v>
      </c>
      <c r="H225" s="74"/>
      <c r="I225" s="74">
        <f t="shared" si="158"/>
        <v>0</v>
      </c>
      <c r="J225" s="74">
        <f>400+100</f>
        <v>500</v>
      </c>
      <c r="K225" s="74">
        <f t="shared" si="159"/>
        <v>1000</v>
      </c>
      <c r="L225" s="72">
        <f t="shared" si="160"/>
        <v>1000</v>
      </c>
      <c r="M225" s="74">
        <f t="shared" si="161"/>
        <v>0</v>
      </c>
      <c r="N225" s="74">
        <f t="shared" si="162"/>
        <v>690.70816511129783</v>
      </c>
      <c r="O225" s="72">
        <f t="shared" si="163"/>
        <v>690.70816511129783</v>
      </c>
      <c r="P225" s="205">
        <f t="shared" si="164"/>
        <v>1381.4163302225957</v>
      </c>
      <c r="Q225" s="272">
        <f t="shared" si="153"/>
        <v>1381.4163302225957</v>
      </c>
      <c r="R225" s="439">
        <f t="shared" si="165"/>
        <v>0</v>
      </c>
      <c r="T225" s="224"/>
      <c r="W225" s="681"/>
      <c r="X225" s="681"/>
      <c r="Y225" s="681"/>
      <c r="Z225" s="681"/>
      <c r="AA225" s="682"/>
      <c r="AB225" s="683"/>
      <c r="AC225" s="683"/>
      <c r="AD225" s="684"/>
      <c r="AE225" s="683"/>
      <c r="AF225" s="684" t="s">
        <v>395</v>
      </c>
      <c r="AG225" s="684" t="s">
        <v>384</v>
      </c>
      <c r="AH225" s="750">
        <f>SUM(AH220:AH224)</f>
        <v>4901</v>
      </c>
      <c r="AI225" s="686"/>
      <c r="AJ225" s="687"/>
      <c r="AK225" s="687"/>
      <c r="AL225" s="687"/>
      <c r="AM225" s="688"/>
      <c r="AN225" s="687"/>
      <c r="AO225" s="687"/>
    </row>
    <row r="226" spans="1:51" s="273" customFormat="1" ht="15.75" thickBot="1" x14ac:dyDescent="0.3">
      <c r="A226" s="350"/>
      <c r="B226" s="317"/>
      <c r="C226" s="318">
        <v>7</v>
      </c>
      <c r="D226" s="83" t="s">
        <v>410</v>
      </c>
      <c r="E226" s="242">
        <v>2</v>
      </c>
      <c r="F226" s="242">
        <v>2</v>
      </c>
      <c r="G226" s="77" t="s">
        <v>28</v>
      </c>
      <c r="H226" s="74"/>
      <c r="I226" s="74">
        <f t="shared" si="158"/>
        <v>0</v>
      </c>
      <c r="J226" s="74">
        <f>200+100</f>
        <v>300</v>
      </c>
      <c r="K226" s="74">
        <f t="shared" si="159"/>
        <v>600</v>
      </c>
      <c r="L226" s="72">
        <f t="shared" si="160"/>
        <v>600</v>
      </c>
      <c r="M226" s="74">
        <f t="shared" si="161"/>
        <v>0</v>
      </c>
      <c r="N226" s="74">
        <f t="shared" si="162"/>
        <v>414.42489906677866</v>
      </c>
      <c r="O226" s="72">
        <f t="shared" si="163"/>
        <v>414.42489906677866</v>
      </c>
      <c r="P226" s="205">
        <f t="shared" si="164"/>
        <v>828.84979813355733</v>
      </c>
      <c r="Q226" s="272">
        <f t="shared" si="153"/>
        <v>828.84979813355733</v>
      </c>
      <c r="R226" s="439">
        <f t="shared" si="165"/>
        <v>0</v>
      </c>
      <c r="T226" s="224"/>
      <c r="W226" s="681"/>
      <c r="X226" s="681"/>
      <c r="Y226" s="681"/>
      <c r="Z226" s="681"/>
      <c r="AA226" s="682"/>
      <c r="AB226" s="683"/>
      <c r="AC226" s="683"/>
      <c r="AD226" s="684"/>
      <c r="AE226" s="683"/>
      <c r="AF226" s="684" t="s">
        <v>396</v>
      </c>
      <c r="AG226" s="684" t="s">
        <v>384</v>
      </c>
      <c r="AH226" s="685">
        <f>AH218+AH225</f>
        <v>10117.400000000001</v>
      </c>
      <c r="AI226" s="686"/>
      <c r="AJ226" s="687"/>
      <c r="AK226" s="687"/>
      <c r="AL226" s="687"/>
      <c r="AM226" s="688"/>
      <c r="AN226" s="687"/>
      <c r="AO226" s="687"/>
      <c r="AR226" s="814" t="s">
        <v>548</v>
      </c>
      <c r="AS226" s="815"/>
      <c r="AT226" s="815"/>
      <c r="AU226" s="815"/>
      <c r="AV226" s="815"/>
      <c r="AW226" s="815"/>
      <c r="AX226" s="815"/>
      <c r="AY226" s="815"/>
    </row>
    <row r="227" spans="1:51" s="273" customFormat="1" ht="15.75" thickTop="1" x14ac:dyDescent="0.25">
      <c r="A227" s="350"/>
      <c r="B227" s="317"/>
      <c r="C227" s="318">
        <v>8</v>
      </c>
      <c r="D227" s="83" t="s">
        <v>358</v>
      </c>
      <c r="E227" s="242">
        <v>10</v>
      </c>
      <c r="F227" s="242">
        <v>10</v>
      </c>
      <c r="G227" s="77" t="s">
        <v>28</v>
      </c>
      <c r="H227" s="74"/>
      <c r="I227" s="74">
        <f t="shared" si="158"/>
        <v>0</v>
      </c>
      <c r="J227" s="74">
        <f>250+100</f>
        <v>350</v>
      </c>
      <c r="K227" s="74">
        <f t="shared" si="159"/>
        <v>3500</v>
      </c>
      <c r="L227" s="72">
        <f t="shared" si="160"/>
        <v>3500</v>
      </c>
      <c r="M227" s="74">
        <f t="shared" si="161"/>
        <v>0</v>
      </c>
      <c r="N227" s="74">
        <f t="shared" si="162"/>
        <v>483.49571557790841</v>
      </c>
      <c r="O227" s="72">
        <f t="shared" si="163"/>
        <v>483.49571557790841</v>
      </c>
      <c r="P227" s="205">
        <f t="shared" si="164"/>
        <v>4834.9571557790841</v>
      </c>
      <c r="Q227" s="272">
        <f t="shared" si="153"/>
        <v>4834.9571557790841</v>
      </c>
      <c r="R227" s="439">
        <f t="shared" si="165"/>
        <v>0</v>
      </c>
      <c r="T227" s="224"/>
      <c r="W227" s="751"/>
      <c r="X227" s="751"/>
      <c r="Y227" s="751"/>
      <c r="Z227" s="751"/>
      <c r="AA227" s="752"/>
      <c r="AB227" s="753"/>
      <c r="AC227" s="753"/>
      <c r="AD227" s="754"/>
      <c r="AE227" s="753"/>
      <c r="AF227" s="754"/>
      <c r="AG227" s="754"/>
      <c r="AH227" s="742"/>
      <c r="AI227" s="755"/>
      <c r="AJ227" s="756"/>
      <c r="AK227" s="756"/>
      <c r="AL227" s="756"/>
      <c r="AM227" s="757"/>
      <c r="AN227" s="756"/>
      <c r="AO227" s="756"/>
      <c r="AR227" s="815"/>
      <c r="AS227" s="815" t="s">
        <v>243</v>
      </c>
      <c r="AT227" s="815" t="s">
        <v>244</v>
      </c>
      <c r="AU227" s="815" t="s">
        <v>245</v>
      </c>
      <c r="AV227" s="815" t="s">
        <v>246</v>
      </c>
      <c r="AW227" s="815" t="s">
        <v>247</v>
      </c>
      <c r="AX227" s="815" t="s">
        <v>248</v>
      </c>
      <c r="AY227" s="815" t="s">
        <v>249</v>
      </c>
    </row>
    <row r="228" spans="1:51" s="273" customFormat="1" x14ac:dyDescent="0.25">
      <c r="A228" s="350"/>
      <c r="B228" s="317"/>
      <c r="C228" s="318">
        <v>9</v>
      </c>
      <c r="D228" s="83" t="s">
        <v>468</v>
      </c>
      <c r="E228" s="242">
        <v>12</v>
      </c>
      <c r="F228" s="242">
        <v>12</v>
      </c>
      <c r="G228" s="77" t="s">
        <v>28</v>
      </c>
      <c r="H228" s="74">
        <f>550/1.05</f>
        <v>523.80952380952374</v>
      </c>
      <c r="I228" s="74">
        <f t="shared" si="158"/>
        <v>6285.7142857142844</v>
      </c>
      <c r="J228" s="74">
        <f>150+100</f>
        <v>250</v>
      </c>
      <c r="K228" s="74">
        <f t="shared" si="159"/>
        <v>3000</v>
      </c>
      <c r="L228" s="72">
        <f t="shared" si="160"/>
        <v>9285.7142857142844</v>
      </c>
      <c r="M228" s="74">
        <f t="shared" si="161"/>
        <v>723.59903011659753</v>
      </c>
      <c r="N228" s="74">
        <f t="shared" si="162"/>
        <v>345.35408255564892</v>
      </c>
      <c r="O228" s="72">
        <f t="shared" si="163"/>
        <v>1068.9531126722463</v>
      </c>
      <c r="P228" s="205">
        <f t="shared" si="164"/>
        <v>12827.437352066956</v>
      </c>
      <c r="Q228" s="272">
        <f t="shared" si="153"/>
        <v>12827.437352066956</v>
      </c>
      <c r="R228" s="439">
        <f t="shared" si="165"/>
        <v>0</v>
      </c>
      <c r="T228" s="224"/>
      <c r="W228" s="758"/>
      <c r="X228" s="758"/>
      <c r="Y228" s="758"/>
      <c r="Z228" s="758"/>
      <c r="AA228" s="759"/>
      <c r="AB228" s="759"/>
      <c r="AC228" s="759"/>
      <c r="AD228" s="759"/>
      <c r="AE228" s="759"/>
      <c r="AF228" s="759"/>
      <c r="AG228" s="759"/>
      <c r="AH228" s="759"/>
      <c r="AI228" s="755"/>
      <c r="AJ228" s="755"/>
      <c r="AK228" s="757"/>
      <c r="AL228" s="756"/>
      <c r="AM228" s="757"/>
      <c r="AN228" s="756"/>
      <c r="AO228" s="756"/>
      <c r="AQ228" s="958" t="s">
        <v>531</v>
      </c>
      <c r="AR228" s="958"/>
      <c r="AS228" s="815" t="s">
        <v>266</v>
      </c>
      <c r="AT228" s="815">
        <f>(6.1*1.8*2.5)</f>
        <v>27.450000000000003</v>
      </c>
      <c r="AU228" s="815">
        <v>28</v>
      </c>
      <c r="AV228" s="815">
        <v>30</v>
      </c>
      <c r="AW228" s="815">
        <f>AV228*AU228</f>
        <v>840</v>
      </c>
      <c r="AX228" s="815">
        <v>350</v>
      </c>
      <c r="AY228" s="815">
        <f>AX228*AU228</f>
        <v>9800</v>
      </c>
    </row>
    <row r="229" spans="1:51" s="273" customFormat="1" x14ac:dyDescent="0.25">
      <c r="A229" s="350"/>
      <c r="B229" s="317"/>
      <c r="C229" s="318">
        <v>10</v>
      </c>
      <c r="D229" s="83" t="s">
        <v>470</v>
      </c>
      <c r="E229" s="242">
        <v>2</v>
      </c>
      <c r="F229" s="242">
        <v>2</v>
      </c>
      <c r="G229" s="77" t="s">
        <v>28</v>
      </c>
      <c r="H229" s="74">
        <f>6000/1.05</f>
        <v>5714.2857142857138</v>
      </c>
      <c r="I229" s="74">
        <f t="shared" si="158"/>
        <v>11428.571428571428</v>
      </c>
      <c r="J229" s="74">
        <v>1500</v>
      </c>
      <c r="K229" s="74">
        <f t="shared" si="159"/>
        <v>3000</v>
      </c>
      <c r="L229" s="72">
        <f t="shared" si="160"/>
        <v>14428.571428571428</v>
      </c>
      <c r="M229" s="74">
        <f t="shared" si="161"/>
        <v>7893.8076012719739</v>
      </c>
      <c r="N229" s="74">
        <f t="shared" si="162"/>
        <v>2072.1244953338933</v>
      </c>
      <c r="O229" s="72">
        <f t="shared" si="163"/>
        <v>9965.9320966058676</v>
      </c>
      <c r="P229" s="205">
        <f t="shared" si="164"/>
        <v>19931.864193211735</v>
      </c>
      <c r="Q229" s="272">
        <f t="shared" si="153"/>
        <v>19931.864193211735</v>
      </c>
      <c r="R229" s="439">
        <f t="shared" si="165"/>
        <v>0</v>
      </c>
      <c r="T229" s="224"/>
      <c r="AI229" s="737"/>
      <c r="AJ229" s="687"/>
      <c r="AK229" s="687"/>
      <c r="AL229" s="687"/>
      <c r="AM229" s="687"/>
      <c r="AN229" s="687" t="s">
        <v>397</v>
      </c>
      <c r="AO229" s="687" t="s">
        <v>398</v>
      </c>
      <c r="AQ229" s="958" t="s">
        <v>279</v>
      </c>
      <c r="AR229" s="958"/>
      <c r="AS229" s="815" t="s">
        <v>266</v>
      </c>
      <c r="AT229" s="815">
        <f>(6.1*0.15*2)+((6.1+1.8)*2*0.15*2.3)+(1.5*2.3*0.15)</f>
        <v>7.7984999999999989</v>
      </c>
      <c r="AU229" s="815">
        <v>8</v>
      </c>
      <c r="AV229" s="815">
        <f>3450/1.04</f>
        <v>3317.3076923076924</v>
      </c>
      <c r="AW229" s="815">
        <f t="shared" ref="AW229:AW233" si="167">AV229*AU229</f>
        <v>26538.461538461539</v>
      </c>
      <c r="AX229" s="815">
        <v>650</v>
      </c>
      <c r="AY229" s="815">
        <f t="shared" ref="AY229:AY233" si="168">AX229*AU229</f>
        <v>5200</v>
      </c>
    </row>
    <row r="230" spans="1:51" s="273" customFormat="1" x14ac:dyDescent="0.25">
      <c r="A230" s="350"/>
      <c r="B230" s="317"/>
      <c r="C230" s="318">
        <v>11</v>
      </c>
      <c r="D230" s="83" t="s">
        <v>467</v>
      </c>
      <c r="E230" s="242">
        <v>1</v>
      </c>
      <c r="F230" s="242">
        <v>1</v>
      </c>
      <c r="G230" s="77" t="s">
        <v>301</v>
      </c>
      <c r="H230" s="74">
        <v>10000</v>
      </c>
      <c r="I230" s="74">
        <f t="shared" si="158"/>
        <v>10000</v>
      </c>
      <c r="J230" s="74">
        <v>4000</v>
      </c>
      <c r="K230" s="74">
        <f t="shared" si="159"/>
        <v>4000</v>
      </c>
      <c r="L230" s="72">
        <f t="shared" si="160"/>
        <v>14000</v>
      </c>
      <c r="M230" s="74">
        <f t="shared" si="161"/>
        <v>13814.163302225956</v>
      </c>
      <c r="N230" s="74">
        <f t="shared" si="162"/>
        <v>5525.6653208903826</v>
      </c>
      <c r="O230" s="72">
        <f t="shared" si="163"/>
        <v>19339.828623116337</v>
      </c>
      <c r="P230" s="205">
        <f t="shared" si="164"/>
        <v>19339.828623116337</v>
      </c>
      <c r="Q230" s="272">
        <f t="shared" si="153"/>
        <v>19339.828623116337</v>
      </c>
      <c r="R230" s="439">
        <f t="shared" si="165"/>
        <v>0</v>
      </c>
      <c r="T230" s="224"/>
      <c r="W230" s="858" t="s">
        <v>4</v>
      </c>
      <c r="X230" s="858"/>
      <c r="Y230" s="858"/>
      <c r="Z230" s="858"/>
      <c r="AA230" s="858" t="s">
        <v>7</v>
      </c>
      <c r="AB230" s="858" t="s">
        <v>6</v>
      </c>
      <c r="AC230" s="858" t="s">
        <v>5</v>
      </c>
      <c r="AD230" s="934" t="s">
        <v>380</v>
      </c>
      <c r="AE230" s="934"/>
      <c r="AF230" s="934"/>
      <c r="AG230" s="934" t="s">
        <v>381</v>
      </c>
      <c r="AH230" s="934"/>
      <c r="AI230" s="737"/>
      <c r="AJ230" s="687"/>
      <c r="AK230" s="687"/>
      <c r="AL230" s="687"/>
      <c r="AM230" s="687"/>
      <c r="AN230" s="687"/>
      <c r="AO230" s="687"/>
      <c r="AQ230" s="958" t="s">
        <v>281</v>
      </c>
      <c r="AR230" s="958"/>
      <c r="AS230" s="815" t="s">
        <v>101</v>
      </c>
      <c r="AT230" s="815">
        <f>(((6.1+1.8)*2*2.5)+((1+1.5)*2*2.3)+((2.5+1.5)*2*2.3)+((2+1.5)*2*2.3)+((1+2.5+2)*1.5))*0.85</f>
        <v>79.6875</v>
      </c>
      <c r="AU230" s="815">
        <v>80</v>
      </c>
      <c r="AV230" s="815">
        <f>200/1.04</f>
        <v>192.30769230769229</v>
      </c>
      <c r="AW230" s="815">
        <f t="shared" si="167"/>
        <v>15384.615384615383</v>
      </c>
      <c r="AX230" s="815">
        <v>200</v>
      </c>
      <c r="AY230" s="815">
        <f t="shared" si="168"/>
        <v>16000</v>
      </c>
    </row>
    <row r="231" spans="1:51" s="273" customFormat="1" x14ac:dyDescent="0.25">
      <c r="A231" s="350"/>
      <c r="B231" s="317"/>
      <c r="C231" s="318">
        <v>12</v>
      </c>
      <c r="D231" s="83" t="s">
        <v>528</v>
      </c>
      <c r="E231" s="242">
        <v>2</v>
      </c>
      <c r="F231" s="242">
        <v>2</v>
      </c>
      <c r="G231" s="77" t="s">
        <v>28</v>
      </c>
      <c r="H231" s="74">
        <f>(7000+2000)/1.03</f>
        <v>8737.8640776699031</v>
      </c>
      <c r="I231" s="74">
        <f t="shared" si="158"/>
        <v>17475.728155339806</v>
      </c>
      <c r="J231" s="74">
        <v>2000</v>
      </c>
      <c r="K231" s="74">
        <f t="shared" si="159"/>
        <v>4000</v>
      </c>
      <c r="L231" s="72">
        <f t="shared" si="160"/>
        <v>21475.728155339806</v>
      </c>
      <c r="M231" s="74">
        <f t="shared" si="161"/>
        <v>12070.628128158602</v>
      </c>
      <c r="N231" s="74">
        <f t="shared" si="162"/>
        <v>2762.8326604451913</v>
      </c>
      <c r="O231" s="72">
        <f t="shared" si="163"/>
        <v>14833.460788603792</v>
      </c>
      <c r="P231" s="205">
        <f t="shared" si="164"/>
        <v>29666.921577207584</v>
      </c>
      <c r="Q231" s="272">
        <f t="shared" si="153"/>
        <v>29666.921577207584</v>
      </c>
      <c r="R231" s="439">
        <f t="shared" si="165"/>
        <v>0</v>
      </c>
      <c r="T231" s="224"/>
      <c r="W231" s="858" t="s">
        <v>4</v>
      </c>
      <c r="X231" s="858"/>
      <c r="Y231" s="858"/>
      <c r="Z231" s="858"/>
      <c r="AA231" s="858" t="s">
        <v>7</v>
      </c>
      <c r="AB231" s="858" t="s">
        <v>6</v>
      </c>
      <c r="AC231" s="858" t="s">
        <v>5</v>
      </c>
      <c r="AD231" s="934" t="s">
        <v>380</v>
      </c>
      <c r="AE231" s="934"/>
      <c r="AF231" s="934"/>
      <c r="AG231" s="934" t="s">
        <v>381</v>
      </c>
      <c r="AH231" s="934"/>
      <c r="AI231" s="737"/>
      <c r="AJ231" s="687"/>
      <c r="AK231" s="687"/>
      <c r="AL231" s="687"/>
      <c r="AM231" s="687"/>
      <c r="AN231" s="687"/>
      <c r="AO231" s="687"/>
      <c r="AQ231" s="958" t="s">
        <v>282</v>
      </c>
      <c r="AR231" s="958"/>
      <c r="AS231" s="815" t="s">
        <v>255</v>
      </c>
      <c r="AT231" s="815">
        <f>AT229*135</f>
        <v>1052.7974999999999</v>
      </c>
      <c r="AU231" s="815">
        <f>AT231*1.05</f>
        <v>1105.437375</v>
      </c>
      <c r="AV231" s="815">
        <f>33/1.04</f>
        <v>31.73076923076923</v>
      </c>
      <c r="AW231" s="815">
        <f t="shared" si="167"/>
        <v>35076.378245192303</v>
      </c>
      <c r="AX231" s="815">
        <v>8</v>
      </c>
      <c r="AY231" s="815">
        <f t="shared" si="168"/>
        <v>8843.4989999999998</v>
      </c>
    </row>
    <row r="232" spans="1:51" s="273" customFormat="1" x14ac:dyDescent="0.25">
      <c r="A232" s="350"/>
      <c r="B232" s="317"/>
      <c r="C232" s="318">
        <v>13</v>
      </c>
      <c r="D232" s="83" t="s">
        <v>546</v>
      </c>
      <c r="E232" s="242">
        <v>1</v>
      </c>
      <c r="F232" s="242">
        <v>1</v>
      </c>
      <c r="G232" s="77" t="s">
        <v>243</v>
      </c>
      <c r="H232" s="328">
        <f>AW234</f>
        <v>83300.993629807694</v>
      </c>
      <c r="I232" s="74">
        <f t="shared" si="158"/>
        <v>83300.993629807694</v>
      </c>
      <c r="J232" s="328">
        <f>AY234</f>
        <v>42343.498999999996</v>
      </c>
      <c r="K232" s="74">
        <f t="shared" si="159"/>
        <v>42343.498999999996</v>
      </c>
      <c r="L232" s="72">
        <f t="shared" si="160"/>
        <v>125644.49262980769</v>
      </c>
      <c r="M232" s="74">
        <f t="shared" si="161"/>
        <v>115073.35292398476</v>
      </c>
      <c r="N232" s="74">
        <f t="shared" si="162"/>
        <v>58494.000997364135</v>
      </c>
      <c r="O232" s="72">
        <f t="shared" si="163"/>
        <v>173567.3539213489</v>
      </c>
      <c r="P232" s="205">
        <f t="shared" si="164"/>
        <v>173567.3539213489</v>
      </c>
      <c r="Q232" s="272">
        <f t="shared" si="153"/>
        <v>173567.3539213489</v>
      </c>
      <c r="R232" s="439">
        <f t="shared" si="165"/>
        <v>0</v>
      </c>
      <c r="T232" s="224"/>
      <c r="W232" s="858" t="s">
        <v>4</v>
      </c>
      <c r="X232" s="858"/>
      <c r="Y232" s="858"/>
      <c r="Z232" s="858"/>
      <c r="AA232" s="858" t="s">
        <v>7</v>
      </c>
      <c r="AB232" s="858" t="s">
        <v>6</v>
      </c>
      <c r="AC232" s="858" t="s">
        <v>5</v>
      </c>
      <c r="AD232" s="934" t="s">
        <v>380</v>
      </c>
      <c r="AE232" s="934"/>
      <c r="AF232" s="934"/>
      <c r="AG232" s="934" t="s">
        <v>381</v>
      </c>
      <c r="AH232" s="934"/>
      <c r="AI232" s="737"/>
      <c r="AJ232" s="687"/>
      <c r="AK232" s="687"/>
      <c r="AL232" s="687"/>
      <c r="AM232" s="687"/>
      <c r="AN232" s="687"/>
      <c r="AO232" s="687"/>
      <c r="AQ232" s="958" t="s">
        <v>532</v>
      </c>
      <c r="AR232" s="958"/>
      <c r="AS232" s="815" t="s">
        <v>55</v>
      </c>
      <c r="AT232" s="815">
        <v>3</v>
      </c>
      <c r="AU232" s="815">
        <v>3</v>
      </c>
      <c r="AV232" s="815">
        <f>1200/1.04</f>
        <v>1153.8461538461538</v>
      </c>
      <c r="AW232" s="815">
        <f t="shared" si="167"/>
        <v>3461.5384615384614</v>
      </c>
      <c r="AX232" s="815">
        <v>500</v>
      </c>
      <c r="AY232" s="815">
        <f t="shared" si="168"/>
        <v>1500</v>
      </c>
    </row>
    <row r="233" spans="1:51" s="273" customFormat="1" x14ac:dyDescent="0.25">
      <c r="A233" s="350"/>
      <c r="B233" s="317"/>
      <c r="C233" s="318"/>
      <c r="D233" s="83"/>
      <c r="E233" s="242"/>
      <c r="F233" s="302"/>
      <c r="G233" s="77"/>
      <c r="H233" s="74"/>
      <c r="I233" s="74"/>
      <c r="J233" s="74"/>
      <c r="K233" s="74"/>
      <c r="L233" s="74"/>
      <c r="M233" s="74"/>
      <c r="N233" s="74"/>
      <c r="O233" s="72"/>
      <c r="P233" s="205"/>
      <c r="Q233" s="272"/>
      <c r="R233" s="439"/>
      <c r="T233" s="224"/>
      <c r="W233" s="760" t="s">
        <v>399</v>
      </c>
      <c r="X233" s="760"/>
      <c r="Y233" s="760"/>
      <c r="Z233" s="760"/>
      <c r="AA233" s="858"/>
      <c r="AB233" s="858"/>
      <c r="AC233" s="858"/>
      <c r="AD233" s="858"/>
      <c r="AE233" s="858"/>
      <c r="AF233" s="858"/>
      <c r="AG233" s="858"/>
      <c r="AH233" s="858"/>
      <c r="AI233" s="686"/>
      <c r="AJ233" s="686">
        <v>0.6</v>
      </c>
      <c r="AK233" s="688">
        <v>1</v>
      </c>
      <c r="AL233" s="687">
        <f>AJ233*AK233</f>
        <v>0.6</v>
      </c>
      <c r="AM233" s="688">
        <f>AJ233+AK233</f>
        <v>1.6</v>
      </c>
      <c r="AN233" s="687">
        <v>0.6</v>
      </c>
      <c r="AO233" s="687">
        <v>0.15</v>
      </c>
      <c r="AQ233" s="958" t="s">
        <v>379</v>
      </c>
      <c r="AR233" s="958"/>
      <c r="AS233" s="815" t="s">
        <v>301</v>
      </c>
      <c r="AT233" s="815">
        <v>1</v>
      </c>
      <c r="AU233" s="815">
        <v>1</v>
      </c>
      <c r="AV233" s="815">
        <v>2000</v>
      </c>
      <c r="AW233" s="815">
        <f t="shared" si="167"/>
        <v>2000</v>
      </c>
      <c r="AX233" s="815">
        <v>1000</v>
      </c>
      <c r="AY233" s="815">
        <f t="shared" si="168"/>
        <v>1000</v>
      </c>
    </row>
    <row r="234" spans="1:51" s="273" customFormat="1" x14ac:dyDescent="0.25">
      <c r="A234" s="350"/>
      <c r="B234" s="412" t="s">
        <v>320</v>
      </c>
      <c r="C234" s="413" t="s">
        <v>355</v>
      </c>
      <c r="D234" s="83"/>
      <c r="E234" s="242"/>
      <c r="F234" s="242"/>
      <c r="G234" s="77"/>
      <c r="H234" s="74"/>
      <c r="I234" s="74"/>
      <c r="J234" s="74"/>
      <c r="K234" s="74"/>
      <c r="L234" s="72"/>
      <c r="M234" s="74"/>
      <c r="N234" s="74"/>
      <c r="O234" s="72"/>
      <c r="P234" s="205"/>
      <c r="Q234" s="272"/>
      <c r="R234" s="439"/>
      <c r="T234" s="224"/>
      <c r="W234" s="858" t="s">
        <v>9</v>
      </c>
      <c r="X234" s="858"/>
      <c r="Y234" s="858"/>
      <c r="Z234" s="858"/>
      <c r="AA234" s="858" t="s">
        <v>382</v>
      </c>
      <c r="AB234" s="761">
        <f>+AB238*1.2</f>
        <v>1.548</v>
      </c>
      <c r="AC234" s="683" t="s">
        <v>383</v>
      </c>
      <c r="AD234" s="741" t="s">
        <v>384</v>
      </c>
      <c r="AE234" s="745">
        <v>2300</v>
      </c>
      <c r="AF234" s="683" t="s">
        <v>385</v>
      </c>
      <c r="AG234" s="684" t="s">
        <v>384</v>
      </c>
      <c r="AH234" s="748">
        <f>AB234*AE234</f>
        <v>3560.4</v>
      </c>
      <c r="AI234" s="686"/>
      <c r="AJ234" s="687">
        <v>0.15</v>
      </c>
      <c r="AK234" s="687">
        <v>1</v>
      </c>
      <c r="AL234" s="687">
        <f>AJ234*AK234</f>
        <v>0.15</v>
      </c>
      <c r="AM234" s="688">
        <f t="shared" ref="AM234" si="169">AJ234+AK234</f>
        <v>1.1499999999999999</v>
      </c>
      <c r="AN234" s="687">
        <v>1</v>
      </c>
      <c r="AO234" s="687">
        <v>0.6</v>
      </c>
      <c r="AR234" s="815"/>
      <c r="AS234" s="815"/>
      <c r="AT234" s="815"/>
      <c r="AU234" s="815"/>
      <c r="AV234" s="815"/>
      <c r="AW234" s="816">
        <f>SUM(AW228:AW233)</f>
        <v>83300.993629807694</v>
      </c>
      <c r="AX234" s="815"/>
      <c r="AY234" s="816">
        <f>SUM(AY228:AY233)</f>
        <v>42343.498999999996</v>
      </c>
    </row>
    <row r="235" spans="1:51" s="273" customFormat="1" x14ac:dyDescent="0.25">
      <c r="A235" s="350"/>
      <c r="B235" s="412"/>
      <c r="C235" s="318">
        <v>1</v>
      </c>
      <c r="D235" s="83" t="s">
        <v>549</v>
      </c>
      <c r="E235" s="242">
        <v>5</v>
      </c>
      <c r="F235" s="242">
        <v>5</v>
      </c>
      <c r="G235" s="77" t="s">
        <v>283</v>
      </c>
      <c r="H235" s="74"/>
      <c r="I235" s="74">
        <f t="shared" ref="I235:I242" si="170">F235*H235</f>
        <v>0</v>
      </c>
      <c r="J235" s="74">
        <v>1000</v>
      </c>
      <c r="K235" s="74">
        <f t="shared" ref="K235:K242" si="171">F235*J235</f>
        <v>5000</v>
      </c>
      <c r="L235" s="72">
        <f t="shared" ref="L235:L242" si="172">I235+K235</f>
        <v>5000</v>
      </c>
      <c r="M235" s="74">
        <f t="shared" si="161"/>
        <v>0</v>
      </c>
      <c r="N235" s="74">
        <f t="shared" si="162"/>
        <v>1381.4163302225957</v>
      </c>
      <c r="O235" s="72">
        <f t="shared" si="163"/>
        <v>1381.4163302225957</v>
      </c>
      <c r="P235" s="205">
        <f t="shared" si="164"/>
        <v>6907.0816511129779</v>
      </c>
      <c r="Q235" s="272">
        <f t="shared" si="153"/>
        <v>6907.0816511129779</v>
      </c>
      <c r="R235" s="439">
        <f t="shared" si="165"/>
        <v>0</v>
      </c>
      <c r="T235" s="224"/>
      <c r="W235" s="858"/>
      <c r="X235" s="858"/>
      <c r="Y235" s="858"/>
      <c r="Z235" s="858"/>
      <c r="AA235" s="858"/>
      <c r="AB235" s="761"/>
      <c r="AC235" s="683"/>
      <c r="AD235" s="741"/>
      <c r="AE235" s="745"/>
      <c r="AF235" s="683"/>
      <c r="AG235" s="684"/>
      <c r="AH235" s="742"/>
      <c r="AI235" s="686"/>
      <c r="AJ235" s="687"/>
      <c r="AK235" s="687"/>
      <c r="AL235" s="687"/>
      <c r="AM235" s="688"/>
      <c r="AN235" s="687"/>
      <c r="AO235" s="687"/>
    </row>
    <row r="236" spans="1:51" s="273" customFormat="1" x14ac:dyDescent="0.25">
      <c r="A236" s="350"/>
      <c r="B236" s="317"/>
      <c r="C236" s="318">
        <v>2</v>
      </c>
      <c r="D236" s="83" t="s">
        <v>361</v>
      </c>
      <c r="E236" s="242">
        <v>10</v>
      </c>
      <c r="F236" s="242">
        <v>10</v>
      </c>
      <c r="G236" s="77" t="s">
        <v>283</v>
      </c>
      <c r="H236" s="74"/>
      <c r="I236" s="74">
        <f t="shared" si="170"/>
        <v>0</v>
      </c>
      <c r="J236" s="74">
        <f>150+100</f>
        <v>250</v>
      </c>
      <c r="K236" s="74">
        <f t="shared" si="171"/>
        <v>2500</v>
      </c>
      <c r="L236" s="72">
        <f t="shared" si="172"/>
        <v>2500</v>
      </c>
      <c r="M236" s="74">
        <f t="shared" si="161"/>
        <v>0</v>
      </c>
      <c r="N236" s="74">
        <f t="shared" si="162"/>
        <v>345.35408255564892</v>
      </c>
      <c r="O236" s="72">
        <f t="shared" si="163"/>
        <v>345.35408255564892</v>
      </c>
      <c r="P236" s="205">
        <f t="shared" si="164"/>
        <v>3453.5408255564889</v>
      </c>
      <c r="Q236" s="272">
        <f t="shared" si="153"/>
        <v>3453.5408255564889</v>
      </c>
      <c r="R236" s="439">
        <f t="shared" si="165"/>
        <v>0</v>
      </c>
      <c r="T236" s="224"/>
      <c r="V236" s="287"/>
      <c r="W236" s="681"/>
      <c r="X236" s="681"/>
      <c r="Y236" s="681"/>
      <c r="Z236" s="681"/>
      <c r="AA236" s="682"/>
      <c r="AB236" s="683"/>
      <c r="AC236" s="683"/>
      <c r="AD236" s="741"/>
      <c r="AE236" s="683"/>
      <c r="AF236" s="684" t="s">
        <v>386</v>
      </c>
      <c r="AG236" s="684" t="s">
        <v>384</v>
      </c>
      <c r="AH236" s="750">
        <f>SUM(AH234:AH234)</f>
        <v>3560.4</v>
      </c>
      <c r="AI236" s="686"/>
      <c r="AJ236" s="687">
        <v>0.15</v>
      </c>
      <c r="AK236" s="687">
        <v>0.6</v>
      </c>
      <c r="AL236" s="687">
        <f>AJ236*AK236</f>
        <v>0.09</v>
      </c>
      <c r="AM236" s="688">
        <f>AJ236+AK236</f>
        <v>0.75</v>
      </c>
      <c r="AN236" s="687">
        <v>0.15</v>
      </c>
      <c r="AO236" s="687">
        <v>1</v>
      </c>
    </row>
    <row r="237" spans="1:51" s="273" customFormat="1" x14ac:dyDescent="0.25">
      <c r="A237" s="350"/>
      <c r="B237" s="317"/>
      <c r="C237" s="318">
        <v>3</v>
      </c>
      <c r="D237" s="83" t="s">
        <v>517</v>
      </c>
      <c r="E237" s="242">
        <v>1</v>
      </c>
      <c r="F237" s="242">
        <v>1</v>
      </c>
      <c r="G237" s="77" t="s">
        <v>55</v>
      </c>
      <c r="H237" s="74">
        <f>4200/1.085</f>
        <v>3870.9677419354839</v>
      </c>
      <c r="I237" s="74">
        <f t="shared" si="170"/>
        <v>3870.9677419354839</v>
      </c>
      <c r="J237" s="74">
        <f>600+100</f>
        <v>700</v>
      </c>
      <c r="K237" s="74">
        <f t="shared" si="171"/>
        <v>700</v>
      </c>
      <c r="L237" s="72">
        <f t="shared" si="172"/>
        <v>4570.9677419354839</v>
      </c>
      <c r="M237" s="74">
        <f t="shared" si="161"/>
        <v>5347.4180524745634</v>
      </c>
      <c r="N237" s="74">
        <f t="shared" si="162"/>
        <v>966.99143115581683</v>
      </c>
      <c r="O237" s="72">
        <f t="shared" si="163"/>
        <v>6314.4094836303802</v>
      </c>
      <c r="P237" s="205">
        <f t="shared" si="164"/>
        <v>6314.4094836303802</v>
      </c>
      <c r="Q237" s="272">
        <f t="shared" si="153"/>
        <v>6314.4094836303802</v>
      </c>
      <c r="R237" s="439">
        <f t="shared" si="165"/>
        <v>0</v>
      </c>
      <c r="T237" s="224"/>
      <c r="V237" s="287"/>
      <c r="W237" s="681"/>
      <c r="X237" s="681"/>
      <c r="Y237" s="681"/>
      <c r="Z237" s="681"/>
      <c r="AA237" s="682"/>
      <c r="AB237" s="683"/>
      <c r="AC237" s="683"/>
      <c r="AD237" s="741"/>
      <c r="AE237" s="683"/>
      <c r="AF237" s="684"/>
      <c r="AG237" s="684"/>
      <c r="AH237" s="742"/>
      <c r="AI237" s="686"/>
      <c r="AJ237" s="687">
        <v>0.15</v>
      </c>
      <c r="AK237" s="687">
        <v>0.6</v>
      </c>
      <c r="AL237" s="687">
        <f>AJ237*AK237</f>
        <v>0.09</v>
      </c>
      <c r="AM237" s="688">
        <f>AJ237+AK237</f>
        <v>0.75</v>
      </c>
      <c r="AN237" s="687"/>
      <c r="AO237" s="687">
        <v>0.6</v>
      </c>
    </row>
    <row r="238" spans="1:51" s="273" customFormat="1" x14ac:dyDescent="0.25">
      <c r="A238" s="350"/>
      <c r="B238" s="317"/>
      <c r="C238" s="318">
        <v>4</v>
      </c>
      <c r="D238" s="83" t="s">
        <v>518</v>
      </c>
      <c r="E238" s="242">
        <v>7</v>
      </c>
      <c r="F238" s="242">
        <v>7</v>
      </c>
      <c r="G238" s="77" t="s">
        <v>28</v>
      </c>
      <c r="H238" s="74">
        <f>AH286</f>
        <v>2337.1111111111113</v>
      </c>
      <c r="I238" s="74">
        <f t="shared" si="170"/>
        <v>16359.777777777779</v>
      </c>
      <c r="J238" s="74">
        <v>1200</v>
      </c>
      <c r="K238" s="74">
        <f t="shared" si="171"/>
        <v>8400</v>
      </c>
      <c r="L238" s="72">
        <f t="shared" si="172"/>
        <v>24759.777777777781</v>
      </c>
      <c r="M238" s="74">
        <f t="shared" si="161"/>
        <v>3228.523454433564</v>
      </c>
      <c r="N238" s="74">
        <f t="shared" si="162"/>
        <v>1657.6995962671147</v>
      </c>
      <c r="O238" s="72">
        <f t="shared" si="163"/>
        <v>4886.2230507006789</v>
      </c>
      <c r="P238" s="205">
        <f t="shared" si="164"/>
        <v>34203.561354904756</v>
      </c>
      <c r="Q238" s="272">
        <f t="shared" si="153"/>
        <v>34203.561354904748</v>
      </c>
      <c r="R238" s="439">
        <f t="shared" si="165"/>
        <v>0</v>
      </c>
      <c r="T238" s="224"/>
      <c r="V238" s="287"/>
      <c r="W238" s="858" t="s">
        <v>10</v>
      </c>
      <c r="X238" s="858"/>
      <c r="Y238" s="858"/>
      <c r="Z238" s="858"/>
      <c r="AA238" s="743" t="s">
        <v>387</v>
      </c>
      <c r="AB238" s="744">
        <f>AL243</f>
        <v>1.29</v>
      </c>
      <c r="AC238" s="683" t="s">
        <v>383</v>
      </c>
      <c r="AD238" s="741" t="s">
        <v>384</v>
      </c>
      <c r="AE238" s="745">
        <v>400</v>
      </c>
      <c r="AF238" s="683" t="s">
        <v>385</v>
      </c>
      <c r="AG238" s="684" t="s">
        <v>384</v>
      </c>
      <c r="AH238" s="742">
        <f t="shared" ref="AH238:AH241" si="173">AB238*AE238</f>
        <v>516</v>
      </c>
      <c r="AI238" s="686"/>
      <c r="AJ238" s="687">
        <v>0.2</v>
      </c>
      <c r="AK238" s="687">
        <v>1.8</v>
      </c>
      <c r="AL238" s="687">
        <f>AJ238*AK238</f>
        <v>0.36000000000000004</v>
      </c>
      <c r="AM238" s="688">
        <f>AJ238+AK238</f>
        <v>2</v>
      </c>
      <c r="AN238" s="687"/>
      <c r="AO238" s="687">
        <v>0.2</v>
      </c>
    </row>
    <row r="239" spans="1:51" s="273" customFormat="1" x14ac:dyDescent="0.25">
      <c r="A239" s="350"/>
      <c r="B239" s="317"/>
      <c r="C239" s="318">
        <v>5</v>
      </c>
      <c r="D239" s="83" t="s">
        <v>519</v>
      </c>
      <c r="E239" s="242">
        <v>2</v>
      </c>
      <c r="F239" s="242">
        <v>2</v>
      </c>
      <c r="G239" s="77" t="s">
        <v>283</v>
      </c>
      <c r="H239" s="74">
        <v>3000</v>
      </c>
      <c r="I239" s="74">
        <f t="shared" si="170"/>
        <v>6000</v>
      </c>
      <c r="J239" s="74">
        <f>350+100</f>
        <v>450</v>
      </c>
      <c r="K239" s="74">
        <f t="shared" si="171"/>
        <v>900</v>
      </c>
      <c r="L239" s="72">
        <f t="shared" si="172"/>
        <v>6900</v>
      </c>
      <c r="M239" s="74">
        <f t="shared" si="161"/>
        <v>4144.2489906677865</v>
      </c>
      <c r="N239" s="74">
        <f t="shared" si="162"/>
        <v>621.63734860016802</v>
      </c>
      <c r="O239" s="72">
        <f t="shared" si="163"/>
        <v>4765.8863392679541</v>
      </c>
      <c r="P239" s="205">
        <f t="shared" si="164"/>
        <v>9531.7726785359082</v>
      </c>
      <c r="Q239" s="272">
        <f t="shared" si="153"/>
        <v>9531.7726785359082</v>
      </c>
      <c r="R239" s="439">
        <f t="shared" si="165"/>
        <v>0</v>
      </c>
      <c r="T239" s="224"/>
      <c r="V239" s="287"/>
      <c r="W239" s="858"/>
      <c r="X239" s="858"/>
      <c r="Y239" s="858"/>
      <c r="Z239" s="858"/>
      <c r="AA239" s="743" t="s">
        <v>388</v>
      </c>
      <c r="AB239" s="744">
        <f>AM243</f>
        <v>6.25</v>
      </c>
      <c r="AC239" s="683" t="s">
        <v>383</v>
      </c>
      <c r="AD239" s="741"/>
      <c r="AE239" s="745">
        <v>100</v>
      </c>
      <c r="AF239" s="683" t="s">
        <v>385</v>
      </c>
      <c r="AG239" s="684"/>
      <c r="AH239" s="742">
        <f t="shared" si="173"/>
        <v>625</v>
      </c>
      <c r="AI239" s="686"/>
      <c r="AJ239" s="687"/>
      <c r="AK239" s="687"/>
      <c r="AL239" s="687"/>
      <c r="AM239" s="688"/>
      <c r="AN239" s="687"/>
      <c r="AO239" s="687"/>
    </row>
    <row r="240" spans="1:51" s="273" customFormat="1" x14ac:dyDescent="0.25">
      <c r="A240" s="350"/>
      <c r="B240" s="317"/>
      <c r="C240" s="318">
        <v>6</v>
      </c>
      <c r="D240" s="83" t="s">
        <v>520</v>
      </c>
      <c r="E240" s="242">
        <v>2</v>
      </c>
      <c r="F240" s="242">
        <v>2</v>
      </c>
      <c r="G240" s="77" t="s">
        <v>283</v>
      </c>
      <c r="H240" s="74">
        <v>3500</v>
      </c>
      <c r="I240" s="74">
        <f t="shared" si="170"/>
        <v>7000</v>
      </c>
      <c r="J240" s="74">
        <f>350+100</f>
        <v>450</v>
      </c>
      <c r="K240" s="74">
        <f t="shared" si="171"/>
        <v>900</v>
      </c>
      <c r="L240" s="72">
        <f t="shared" si="172"/>
        <v>7900</v>
      </c>
      <c r="M240" s="74">
        <f t="shared" si="161"/>
        <v>4834.9571557790841</v>
      </c>
      <c r="N240" s="74">
        <f t="shared" si="162"/>
        <v>621.63734860016802</v>
      </c>
      <c r="O240" s="72">
        <f t="shared" si="163"/>
        <v>5456.5945043792526</v>
      </c>
      <c r="P240" s="205">
        <f t="shared" si="164"/>
        <v>10913.189008758505</v>
      </c>
      <c r="Q240" s="272">
        <f t="shared" si="153"/>
        <v>10913.189008758505</v>
      </c>
      <c r="R240" s="439">
        <f t="shared" si="165"/>
        <v>0</v>
      </c>
      <c r="T240" s="224"/>
      <c r="V240" s="287"/>
      <c r="W240" s="858"/>
      <c r="X240" s="858"/>
      <c r="Y240" s="858"/>
      <c r="Z240" s="858"/>
      <c r="AA240" s="743" t="s">
        <v>389</v>
      </c>
      <c r="AB240" s="744">
        <f>AN243</f>
        <v>1.75</v>
      </c>
      <c r="AC240" s="683" t="s">
        <v>100</v>
      </c>
      <c r="AD240" s="741"/>
      <c r="AE240" s="745">
        <v>400</v>
      </c>
      <c r="AF240" s="746" t="s">
        <v>390</v>
      </c>
      <c r="AG240" s="684"/>
      <c r="AH240" s="742">
        <f t="shared" si="173"/>
        <v>700</v>
      </c>
      <c r="AI240" s="686"/>
      <c r="AJ240" s="687"/>
      <c r="AK240" s="687"/>
      <c r="AL240" s="687"/>
      <c r="AM240" s="688"/>
      <c r="AN240" s="687"/>
      <c r="AO240" s="687"/>
    </row>
    <row r="241" spans="1:51" s="273" customFormat="1" x14ac:dyDescent="0.25">
      <c r="A241" s="350"/>
      <c r="B241" s="317"/>
      <c r="C241" s="318">
        <v>7</v>
      </c>
      <c r="D241" s="83" t="s">
        <v>360</v>
      </c>
      <c r="E241" s="242">
        <f>35.04+6</f>
        <v>41.04</v>
      </c>
      <c r="F241" s="242">
        <v>42</v>
      </c>
      <c r="G241" s="77" t="s">
        <v>100</v>
      </c>
      <c r="H241" s="74">
        <f>(480/2.4)/1.075</f>
        <v>186.04651162790699</v>
      </c>
      <c r="I241" s="74">
        <f t="shared" si="170"/>
        <v>7813.9534883720935</v>
      </c>
      <c r="J241" s="74">
        <f>65+100</f>
        <v>165</v>
      </c>
      <c r="K241" s="74">
        <f t="shared" si="171"/>
        <v>6930</v>
      </c>
      <c r="L241" s="72">
        <f t="shared" si="172"/>
        <v>14743.953488372093</v>
      </c>
      <c r="M241" s="74">
        <f t="shared" si="161"/>
        <v>257.00768934373872</v>
      </c>
      <c r="N241" s="74">
        <f t="shared" si="162"/>
        <v>227.93369448672826</v>
      </c>
      <c r="O241" s="72">
        <f t="shared" si="163"/>
        <v>484.94138383046698</v>
      </c>
      <c r="P241" s="205">
        <f t="shared" si="164"/>
        <v>20367.538120879613</v>
      </c>
      <c r="Q241" s="272">
        <f t="shared" si="153"/>
        <v>20367.53812087961</v>
      </c>
      <c r="R241" s="439">
        <f t="shared" si="165"/>
        <v>0</v>
      </c>
      <c r="T241" s="224"/>
      <c r="V241" s="287"/>
      <c r="W241" s="858"/>
      <c r="X241" s="858"/>
      <c r="Y241" s="858"/>
      <c r="Z241" s="858"/>
      <c r="AA241" s="743" t="s">
        <v>391</v>
      </c>
      <c r="AB241" s="744">
        <f>AO243</f>
        <v>2.5500000000000003</v>
      </c>
      <c r="AC241" s="683" t="s">
        <v>100</v>
      </c>
      <c r="AD241" s="741"/>
      <c r="AE241" s="745">
        <v>400</v>
      </c>
      <c r="AF241" s="746" t="s">
        <v>390</v>
      </c>
      <c r="AG241" s="684"/>
      <c r="AH241" s="742">
        <f t="shared" si="173"/>
        <v>1020.0000000000001</v>
      </c>
      <c r="AI241" s="686"/>
      <c r="AJ241" s="687"/>
      <c r="AK241" s="687"/>
      <c r="AL241" s="687"/>
      <c r="AM241" s="688"/>
      <c r="AN241" s="687"/>
      <c r="AO241" s="687"/>
    </row>
    <row r="242" spans="1:51" s="273" customFormat="1" x14ac:dyDescent="0.25">
      <c r="A242" s="350"/>
      <c r="B242" s="317"/>
      <c r="C242" s="318">
        <v>8</v>
      </c>
      <c r="D242" s="83" t="s">
        <v>411</v>
      </c>
      <c r="E242" s="242">
        <f>0.6*2</f>
        <v>1.2</v>
      </c>
      <c r="F242" s="242">
        <v>2.4</v>
      </c>
      <c r="G242" s="77" t="s">
        <v>100</v>
      </c>
      <c r="H242" s="74">
        <f>1850/1.075</f>
        <v>1720.9302325581396</v>
      </c>
      <c r="I242" s="74">
        <f t="shared" si="170"/>
        <v>4130.2325581395344</v>
      </c>
      <c r="J242" s="74">
        <f>160+100</f>
        <v>260</v>
      </c>
      <c r="K242" s="74">
        <f t="shared" si="171"/>
        <v>624</v>
      </c>
      <c r="L242" s="72">
        <f t="shared" si="172"/>
        <v>4754.2325581395344</v>
      </c>
      <c r="M242" s="74">
        <f t="shared" si="161"/>
        <v>2377.3211264295828</v>
      </c>
      <c r="N242" s="74">
        <f t="shared" si="162"/>
        <v>359.16824585787487</v>
      </c>
      <c r="O242" s="72">
        <f t="shared" si="163"/>
        <v>2736.4893722874576</v>
      </c>
      <c r="P242" s="205">
        <f t="shared" si="164"/>
        <v>6567.5744934898985</v>
      </c>
      <c r="Q242" s="272">
        <f t="shared" si="153"/>
        <v>6567.5744934898985</v>
      </c>
      <c r="R242" s="439">
        <f t="shared" si="165"/>
        <v>0</v>
      </c>
      <c r="T242" s="224"/>
      <c r="V242" s="287"/>
      <c r="W242" s="858"/>
      <c r="X242" s="858"/>
      <c r="Y242" s="858"/>
      <c r="Z242" s="858"/>
      <c r="AA242" s="743" t="s">
        <v>392</v>
      </c>
      <c r="AB242" s="747">
        <v>1</v>
      </c>
      <c r="AC242" s="683" t="s">
        <v>393</v>
      </c>
      <c r="AD242" s="684"/>
      <c r="AE242" s="745">
        <v>500</v>
      </c>
      <c r="AF242" s="746" t="s">
        <v>394</v>
      </c>
      <c r="AG242" s="684"/>
      <c r="AH242" s="748">
        <f>AB242*AE242</f>
        <v>500</v>
      </c>
      <c r="AI242" s="686"/>
      <c r="AJ242" s="687"/>
      <c r="AK242" s="687"/>
      <c r="AL242" s="749"/>
      <c r="AM242" s="749"/>
      <c r="AN242" s="749"/>
      <c r="AO242" s="749"/>
    </row>
    <row r="243" spans="1:51" s="273" customFormat="1" hidden="1" x14ac:dyDescent="0.25">
      <c r="A243" s="350"/>
      <c r="B243" s="317"/>
      <c r="C243" s="318"/>
      <c r="D243" s="83"/>
      <c r="E243" s="242"/>
      <c r="F243" s="242"/>
      <c r="G243" s="77"/>
      <c r="H243" s="74"/>
      <c r="I243" s="74"/>
      <c r="J243" s="74"/>
      <c r="K243" s="74"/>
      <c r="L243" s="72"/>
      <c r="M243" s="74"/>
      <c r="N243" s="74"/>
      <c r="O243" s="72"/>
      <c r="P243" s="205"/>
      <c r="Q243" s="272"/>
      <c r="R243" s="439"/>
      <c r="T243" s="224"/>
      <c r="V243" s="287"/>
      <c r="W243" s="858"/>
      <c r="X243" s="858"/>
      <c r="Y243" s="858"/>
      <c r="Z243" s="858"/>
      <c r="AF243" s="684" t="s">
        <v>395</v>
      </c>
      <c r="AG243" s="684" t="s">
        <v>384</v>
      </c>
      <c r="AH243" s="750">
        <f>SUM(AH238:AH242)</f>
        <v>3361</v>
      </c>
      <c r="AI243" s="686"/>
      <c r="AJ243" s="687"/>
      <c r="AK243" s="687"/>
      <c r="AL243" s="749">
        <f>SUM(AL233:AL238)</f>
        <v>1.29</v>
      </c>
      <c r="AM243" s="749">
        <f>SUM(AM233:AM238)</f>
        <v>6.25</v>
      </c>
      <c r="AN243" s="749">
        <f>SUM(AN233:AN237)</f>
        <v>1.75</v>
      </c>
      <c r="AO243" s="749">
        <f>SUM(AO233:AO238)</f>
        <v>2.5500000000000003</v>
      </c>
    </row>
    <row r="244" spans="1:51" s="273" customFormat="1" ht="15.75" thickBot="1" x14ac:dyDescent="0.3">
      <c r="A244" s="350"/>
      <c r="B244" s="317"/>
      <c r="C244" s="318"/>
      <c r="D244" s="83"/>
      <c r="E244" s="242"/>
      <c r="F244" s="242"/>
      <c r="G244" s="77"/>
      <c r="H244" s="74"/>
      <c r="I244" s="74"/>
      <c r="J244" s="74"/>
      <c r="K244" s="74"/>
      <c r="L244" s="72"/>
      <c r="M244" s="74"/>
      <c r="N244" s="74"/>
      <c r="O244" s="72"/>
      <c r="P244" s="205"/>
      <c r="Q244" s="272">
        <f>L244/$P$264*$P$272</f>
        <v>0</v>
      </c>
      <c r="R244" s="439"/>
      <c r="T244" s="224"/>
      <c r="V244" s="287"/>
      <c r="W244" s="681"/>
      <c r="X244" s="681"/>
      <c r="Y244" s="681"/>
      <c r="Z244" s="681"/>
      <c r="AA244" s="682"/>
      <c r="AB244" s="683"/>
      <c r="AC244" s="683"/>
      <c r="AD244" s="684"/>
      <c r="AE244" s="683"/>
      <c r="AF244" s="684" t="s">
        <v>396</v>
      </c>
      <c r="AG244" s="684" t="s">
        <v>384</v>
      </c>
      <c r="AH244" s="685">
        <f>AH236+AH243</f>
        <v>6921.4</v>
      </c>
      <c r="AI244" s="686"/>
      <c r="AJ244" s="687"/>
      <c r="AK244" s="687"/>
      <c r="AL244" s="687"/>
      <c r="AM244" s="688"/>
      <c r="AN244" s="687"/>
      <c r="AO244" s="687"/>
    </row>
    <row r="245" spans="1:51" s="234" customFormat="1" ht="16.5" thickTop="1" thickBot="1" x14ac:dyDescent="0.3">
      <c r="A245" s="308"/>
      <c r="B245" s="910" t="s">
        <v>348</v>
      </c>
      <c r="C245" s="911"/>
      <c r="D245" s="912"/>
      <c r="E245" s="309"/>
      <c r="F245" s="310"/>
      <c r="G245" s="311"/>
      <c r="H245" s="312"/>
      <c r="I245" s="313">
        <f>SUM(I218:I244)</f>
        <v>181142.57457967679</v>
      </c>
      <c r="J245" s="312"/>
      <c r="K245" s="313">
        <f>SUM(K218:K244)</f>
        <v>107147.499</v>
      </c>
      <c r="L245" s="313">
        <f>SUM(L218:L244)</f>
        <v>288290.0735796768</v>
      </c>
      <c r="M245" s="312"/>
      <c r="N245" s="312"/>
      <c r="O245" s="313"/>
      <c r="P245" s="315">
        <f>SUM(P218:P244)</f>
        <v>398248.61548403924</v>
      </c>
      <c r="Q245" s="272">
        <f>L245/$P$264*$P$272</f>
        <v>398248.61548403918</v>
      </c>
      <c r="R245" s="439">
        <f t="shared" ref="R245" si="174">P245-Q245</f>
        <v>0</v>
      </c>
      <c r="T245" s="443"/>
      <c r="U245" s="275"/>
      <c r="V245" s="402"/>
      <c r="W245" s="375"/>
      <c r="X245" s="375"/>
      <c r="Y245" s="375"/>
      <c r="Z245" s="375"/>
      <c r="AA245" s="376"/>
      <c r="AB245" s="370"/>
      <c r="AC245" s="370"/>
      <c r="AI245" s="386"/>
      <c r="AJ245" s="385"/>
      <c r="AK245" s="385"/>
      <c r="AL245" s="385"/>
      <c r="AM245" s="387"/>
      <c r="AN245" s="385"/>
      <c r="AO245" s="385"/>
      <c r="AP245" s="282"/>
      <c r="AR245" s="354"/>
      <c r="AS245" s="354"/>
      <c r="AT245" s="354"/>
      <c r="AU245" s="354"/>
      <c r="AV245" s="354"/>
      <c r="AW245" s="817"/>
      <c r="AX245" s="817"/>
      <c r="AY245" s="817"/>
    </row>
    <row r="246" spans="1:51" s="1" customFormat="1" x14ac:dyDescent="0.25">
      <c r="A246" s="500"/>
      <c r="B246" s="501"/>
      <c r="C246" s="293"/>
      <c r="D246" s="502"/>
      <c r="E246" s="503"/>
      <c r="F246" s="504"/>
      <c r="G246" s="504"/>
      <c r="H246" s="504"/>
      <c r="I246" s="504"/>
      <c r="J246" s="504"/>
      <c r="K246" s="504"/>
      <c r="L246" s="504"/>
      <c r="M246" s="504"/>
      <c r="N246" s="504"/>
      <c r="O246" s="504"/>
      <c r="P246" s="505"/>
      <c r="Q246" s="272"/>
      <c r="R246" s="439"/>
      <c r="V246" s="211"/>
      <c r="W246" s="506"/>
      <c r="X246" s="506"/>
      <c r="Y246" s="506"/>
      <c r="Z246" s="506"/>
      <c r="AA246" s="507"/>
      <c r="AB246" s="508"/>
      <c r="AC246" s="508"/>
      <c r="AD246" s="509"/>
      <c r="AE246" s="508"/>
      <c r="AF246" s="510"/>
      <c r="AG246" s="510"/>
      <c r="AH246" s="511"/>
      <c r="AI246" s="508"/>
      <c r="AJ246" s="512"/>
      <c r="AK246" s="512"/>
      <c r="AL246" s="512"/>
      <c r="AM246" s="512"/>
      <c r="AN246" s="512"/>
      <c r="AO246" s="512"/>
    </row>
    <row r="247" spans="1:51" s="287" customFormat="1" ht="20.25" customHeight="1" thickBot="1" x14ac:dyDescent="0.3">
      <c r="A247" s="329"/>
      <c r="B247" s="901" t="s">
        <v>347</v>
      </c>
      <c r="C247" s="902"/>
      <c r="D247" s="903"/>
      <c r="E247" s="330"/>
      <c r="F247" s="331"/>
      <c r="G247" s="332"/>
      <c r="H247" s="852"/>
      <c r="I247" s="852">
        <f>I245+I217+I155+I35</f>
        <v>5309806.7462022593</v>
      </c>
      <c r="J247" s="852"/>
      <c r="K247" s="852">
        <f>K245+K217+K155+K35</f>
        <v>1843692.8642372577</v>
      </c>
      <c r="L247" s="852">
        <f>L245+L217+L155+L35</f>
        <v>7153499.6104395175</v>
      </c>
      <c r="M247" s="922">
        <f>P245+P217+P155+P35</f>
        <v>9799999.8923875894</v>
      </c>
      <c r="N247" s="922"/>
      <c r="O247" s="922"/>
      <c r="P247" s="923"/>
      <c r="Q247" s="272">
        <f t="shared" ref="Q247" si="175">L247/$P$264*$P$272</f>
        <v>9881961.1801021248</v>
      </c>
      <c r="R247" s="439">
        <f>M247-Q247</f>
        <v>-81961.28771453537</v>
      </c>
      <c r="T247" s="443"/>
      <c r="V247" s="446"/>
      <c r="W247" s="447"/>
      <c r="X247" s="447"/>
      <c r="Y247" s="447"/>
      <c r="Z247" s="447"/>
      <c r="AA247" s="448"/>
      <c r="AB247" s="448"/>
      <c r="AC247" s="448"/>
      <c r="AD247" s="448"/>
      <c r="AE247" s="448"/>
      <c r="AF247" s="448"/>
      <c r="AG247" s="448"/>
      <c r="AH247" s="448"/>
      <c r="AI247" s="449"/>
      <c r="AJ247" s="449"/>
      <c r="AK247" s="450"/>
      <c r="AL247" s="451"/>
      <c r="AM247" s="450"/>
      <c r="AN247" s="451"/>
      <c r="AO247" s="451"/>
    </row>
    <row r="248" spans="1:51" s="528" customFormat="1" x14ac:dyDescent="0.25">
      <c r="A248" s="521"/>
      <c r="B248" s="526"/>
      <c r="C248" s="527"/>
      <c r="E248" s="529"/>
      <c r="F248" s="530"/>
      <c r="G248" s="521"/>
      <c r="H248" s="522"/>
      <c r="I248" s="522"/>
      <c r="J248" s="522"/>
      <c r="K248" s="522"/>
      <c r="L248" s="522"/>
      <c r="M248" s="523"/>
      <c r="N248" s="523"/>
      <c r="O248" s="523"/>
      <c r="P248" s="523"/>
      <c r="Q248" s="523"/>
      <c r="R248" s="523"/>
      <c r="T248" s="523"/>
      <c r="V248" s="531"/>
      <c r="W248" s="848" t="s">
        <v>4</v>
      </c>
      <c r="X248" s="848"/>
      <c r="Y248" s="848"/>
      <c r="Z248" s="848"/>
      <c r="AA248" s="848" t="s">
        <v>7</v>
      </c>
      <c r="AB248" s="848" t="s">
        <v>6</v>
      </c>
      <c r="AC248" s="848" t="s">
        <v>5</v>
      </c>
      <c r="AD248" s="896" t="s">
        <v>380</v>
      </c>
      <c r="AE248" s="896"/>
      <c r="AF248" s="896"/>
      <c r="AG248" s="896" t="s">
        <v>381</v>
      </c>
      <c r="AH248" s="896"/>
      <c r="AI248" s="453"/>
      <c r="AJ248" s="454"/>
      <c r="AK248" s="454"/>
      <c r="AL248" s="454"/>
      <c r="AM248" s="454"/>
      <c r="AN248" s="454" t="s">
        <v>397</v>
      </c>
      <c r="AO248" s="454" t="s">
        <v>398</v>
      </c>
    </row>
    <row r="249" spans="1:51" s="528" customFormat="1" x14ac:dyDescent="0.25">
      <c r="A249" s="521"/>
      <c r="B249" s="526"/>
      <c r="C249" s="527"/>
      <c r="E249" s="529"/>
      <c r="F249" s="530"/>
      <c r="G249" s="521"/>
      <c r="H249" s="522"/>
      <c r="I249" s="522"/>
      <c r="J249" s="522"/>
      <c r="K249" s="522"/>
      <c r="L249" s="522"/>
      <c r="M249" s="523"/>
      <c r="N249" s="523"/>
      <c r="O249" s="523"/>
      <c r="P249" s="523"/>
      <c r="Q249" s="523"/>
      <c r="R249" s="523"/>
      <c r="T249" s="523"/>
      <c r="V249" s="531"/>
      <c r="W249" s="455" t="s">
        <v>401</v>
      </c>
      <c r="X249" s="455"/>
      <c r="Y249" s="455"/>
      <c r="Z249" s="455"/>
      <c r="AA249" s="848"/>
      <c r="AB249" s="848"/>
      <c r="AC249" s="848"/>
      <c r="AD249" s="848"/>
      <c r="AE249" s="848"/>
      <c r="AF249" s="848"/>
      <c r="AG249" s="848"/>
      <c r="AH249" s="848"/>
      <c r="AI249" s="456"/>
      <c r="AJ249" s="456">
        <v>0.6</v>
      </c>
      <c r="AK249" s="457">
        <v>2.25</v>
      </c>
      <c r="AL249" s="454">
        <f>AJ249*AK249</f>
        <v>1.3499999999999999</v>
      </c>
      <c r="AM249" s="457">
        <f>AJ249+AK249</f>
        <v>2.85</v>
      </c>
      <c r="AN249" s="454">
        <v>0.6</v>
      </c>
      <c r="AO249" s="454">
        <v>0.1</v>
      </c>
    </row>
    <row r="250" spans="1:51" s="528" customFormat="1" x14ac:dyDescent="0.25">
      <c r="A250" s="521"/>
      <c r="B250" s="526"/>
      <c r="C250" s="527"/>
      <c r="E250" s="529"/>
      <c r="F250" s="530"/>
      <c r="G250" s="518"/>
      <c r="H250" s="519"/>
      <c r="I250" s="519"/>
      <c r="J250" s="519"/>
      <c r="K250" s="519"/>
      <c r="L250" s="519"/>
      <c r="M250" s="520"/>
      <c r="N250" s="520"/>
      <c r="O250" s="520"/>
      <c r="P250" s="520"/>
      <c r="Q250" s="520"/>
      <c r="R250" s="520"/>
      <c r="T250" s="523"/>
      <c r="V250" s="531"/>
      <c r="W250" s="848" t="s">
        <v>9</v>
      </c>
      <c r="X250" s="848"/>
      <c r="Y250" s="848"/>
      <c r="Z250" s="848"/>
      <c r="AA250" s="848" t="s">
        <v>382</v>
      </c>
      <c r="AB250" s="458">
        <f>+AB253*1.2</f>
        <v>2.2094999999999998</v>
      </c>
      <c r="AC250" s="459" t="s">
        <v>383</v>
      </c>
      <c r="AD250" s="460" t="s">
        <v>384</v>
      </c>
      <c r="AE250" s="461">
        <v>2300</v>
      </c>
      <c r="AF250" s="459" t="s">
        <v>385</v>
      </c>
      <c r="AG250" s="462" t="s">
        <v>384</v>
      </c>
      <c r="AH250" s="463">
        <f>AB250*AE250</f>
        <v>5081.8499999999995</v>
      </c>
      <c r="AI250" s="456"/>
      <c r="AJ250" s="454">
        <v>0.1</v>
      </c>
      <c r="AK250" s="454">
        <v>2.25</v>
      </c>
      <c r="AL250" s="454">
        <f>AJ250*AK250</f>
        <v>0.22500000000000001</v>
      </c>
      <c r="AM250" s="457">
        <f t="shared" ref="AM250" si="176">AJ250+AK250</f>
        <v>2.35</v>
      </c>
      <c r="AN250" s="454">
        <v>2.25</v>
      </c>
      <c r="AO250" s="454">
        <v>0.6</v>
      </c>
    </row>
    <row r="251" spans="1:51" s="528" customFormat="1" x14ac:dyDescent="0.25">
      <c r="A251" s="521"/>
      <c r="B251" s="526"/>
      <c r="C251" s="527"/>
      <c r="E251" s="529"/>
      <c r="F251" s="530"/>
      <c r="G251" s="518"/>
      <c r="H251" s="519"/>
      <c r="Q251" s="520"/>
      <c r="R251" s="520"/>
      <c r="T251" s="523"/>
      <c r="V251" s="531"/>
      <c r="W251" s="464"/>
      <c r="X251" s="464"/>
      <c r="Y251" s="464"/>
      <c r="Z251" s="464"/>
      <c r="AA251" s="465"/>
      <c r="AB251" s="459"/>
      <c r="AC251" s="459"/>
      <c r="AD251" s="460"/>
      <c r="AE251" s="459"/>
      <c r="AF251" s="462" t="s">
        <v>386</v>
      </c>
      <c r="AG251" s="462" t="s">
        <v>384</v>
      </c>
      <c r="AH251" s="466">
        <f>SUM(AH250:AH250)</f>
        <v>5081.8499999999995</v>
      </c>
      <c r="AI251" s="456"/>
      <c r="AJ251" s="454">
        <v>0.1</v>
      </c>
      <c r="AK251" s="454">
        <v>0.6</v>
      </c>
      <c r="AL251" s="454">
        <f>AJ251*AK251</f>
        <v>0.06</v>
      </c>
      <c r="AM251" s="457">
        <f>AJ251+AK251</f>
        <v>0.7</v>
      </c>
      <c r="AN251" s="454">
        <v>0.1</v>
      </c>
      <c r="AO251" s="454">
        <v>2.25</v>
      </c>
    </row>
    <row r="252" spans="1:51" s="528" customFormat="1" ht="15.75" x14ac:dyDescent="0.25">
      <c r="A252" s="532" t="s">
        <v>18</v>
      </c>
      <c r="B252" s="533"/>
      <c r="C252" s="534"/>
      <c r="D252" s="535"/>
      <c r="E252" s="529"/>
      <c r="F252" s="530"/>
      <c r="G252" s="521"/>
      <c r="H252" s="522"/>
      <c r="Q252" s="523"/>
      <c r="R252" s="520"/>
      <c r="T252" s="523"/>
      <c r="V252" s="531"/>
      <c r="W252" s="464"/>
      <c r="X252" s="464"/>
      <c r="Y252" s="464"/>
      <c r="Z252" s="464"/>
      <c r="AA252" s="465"/>
      <c r="AB252" s="459"/>
      <c r="AC252" s="459"/>
      <c r="AD252" s="460"/>
      <c r="AE252" s="459"/>
      <c r="AF252" s="462"/>
      <c r="AG252" s="462"/>
      <c r="AH252" s="467"/>
      <c r="AI252" s="456"/>
      <c r="AJ252" s="454">
        <v>0.1</v>
      </c>
      <c r="AK252" s="454">
        <v>0.6</v>
      </c>
      <c r="AL252" s="454">
        <f>AJ252*AK252</f>
        <v>0.06</v>
      </c>
      <c r="AM252" s="457">
        <f>AJ252+AK252</f>
        <v>0.7</v>
      </c>
      <c r="AN252" s="454"/>
      <c r="AO252" s="454">
        <v>0.6</v>
      </c>
    </row>
    <row r="253" spans="1:51" s="522" customFormat="1" ht="15.75" x14ac:dyDescent="0.25">
      <c r="A253" s="536"/>
      <c r="B253" s="533"/>
      <c r="C253" s="534"/>
      <c r="D253" s="537"/>
      <c r="R253" s="519"/>
      <c r="V253" s="538"/>
      <c r="W253" s="848" t="s">
        <v>10</v>
      </c>
      <c r="X253" s="848"/>
      <c r="Y253" s="848"/>
      <c r="Z253" s="848"/>
      <c r="AA253" s="469" t="s">
        <v>387</v>
      </c>
      <c r="AB253" s="470">
        <f>AL257</f>
        <v>1.8412500000000001</v>
      </c>
      <c r="AC253" s="459" t="s">
        <v>383</v>
      </c>
      <c r="AD253" s="460" t="s">
        <v>384</v>
      </c>
      <c r="AE253" s="461">
        <v>400</v>
      </c>
      <c r="AF253" s="459" t="s">
        <v>385</v>
      </c>
      <c r="AG253" s="462" t="s">
        <v>384</v>
      </c>
      <c r="AH253" s="467">
        <f t="shared" ref="AH253:AH257" si="177">AB253*AE253</f>
        <v>736.5</v>
      </c>
      <c r="AI253" s="456"/>
      <c r="AJ253" s="454">
        <v>6.5000000000000002E-2</v>
      </c>
      <c r="AK253" s="454">
        <v>2.25</v>
      </c>
      <c r="AL253" s="454">
        <f>AJ253*AK253</f>
        <v>0.14624999999999999</v>
      </c>
      <c r="AM253" s="457">
        <f>AJ253+AK253</f>
        <v>2.3149999999999999</v>
      </c>
      <c r="AN253" s="454"/>
      <c r="AO253" s="454">
        <v>0.1</v>
      </c>
    </row>
    <row r="254" spans="1:51" s="522" customFormat="1" ht="15.75" x14ac:dyDescent="0.25">
      <c r="A254" s="532" t="s">
        <v>19</v>
      </c>
      <c r="B254" s="533"/>
      <c r="C254" s="534"/>
      <c r="D254" s="535"/>
      <c r="R254" s="519"/>
      <c r="V254" s="538"/>
      <c r="W254" s="848"/>
      <c r="X254" s="848"/>
      <c r="Y254" s="848"/>
      <c r="Z254" s="848"/>
      <c r="AA254" s="469" t="s">
        <v>388</v>
      </c>
      <c r="AB254" s="470">
        <f>AM257</f>
        <v>8.9150000000000009</v>
      </c>
      <c r="AC254" s="459" t="s">
        <v>383</v>
      </c>
      <c r="AD254" s="460"/>
      <c r="AE254" s="461">
        <v>100</v>
      </c>
      <c r="AF254" s="459" t="s">
        <v>385</v>
      </c>
      <c r="AG254" s="462"/>
      <c r="AH254" s="467">
        <f t="shared" si="177"/>
        <v>891.50000000000011</v>
      </c>
      <c r="AI254" s="456"/>
      <c r="AJ254" s="454"/>
      <c r="AK254" s="454"/>
      <c r="AL254" s="454"/>
      <c r="AM254" s="457"/>
      <c r="AN254" s="454"/>
      <c r="AO254" s="454"/>
    </row>
    <row r="255" spans="1:51" s="522" customFormat="1" ht="15.75" x14ac:dyDescent="0.25">
      <c r="A255" s="536"/>
      <c r="B255" s="533"/>
      <c r="C255" s="534"/>
      <c r="D255" s="535"/>
      <c r="R255" s="519"/>
      <c r="V255" s="538"/>
      <c r="W255" s="848"/>
      <c r="X255" s="848"/>
      <c r="Y255" s="848"/>
      <c r="Z255" s="848"/>
      <c r="AA255" s="469" t="s">
        <v>389</v>
      </c>
      <c r="AB255" s="470">
        <f>AN257</f>
        <v>2.95</v>
      </c>
      <c r="AC255" s="459" t="s">
        <v>100</v>
      </c>
      <c r="AD255" s="460"/>
      <c r="AE255" s="461">
        <v>400</v>
      </c>
      <c r="AF255" s="471" t="s">
        <v>390</v>
      </c>
      <c r="AG255" s="462"/>
      <c r="AH255" s="467">
        <f t="shared" si="177"/>
        <v>1180</v>
      </c>
      <c r="AI255" s="456"/>
      <c r="AJ255" s="454"/>
      <c r="AK255" s="454"/>
      <c r="AL255" s="454"/>
      <c r="AM255" s="457"/>
      <c r="AN255" s="454"/>
      <c r="AO255" s="454"/>
    </row>
    <row r="256" spans="1:51" s="522" customFormat="1" ht="15.75" x14ac:dyDescent="0.25">
      <c r="A256" s="536"/>
      <c r="B256" s="533"/>
      <c r="C256" s="534"/>
      <c r="D256" s="535"/>
      <c r="R256" s="519"/>
      <c r="V256" s="538"/>
      <c r="W256" s="848"/>
      <c r="X256" s="848"/>
      <c r="Y256" s="848"/>
      <c r="Z256" s="848"/>
      <c r="AA256" s="469" t="s">
        <v>391</v>
      </c>
      <c r="AB256" s="470">
        <f>AO257</f>
        <v>3.6500000000000004</v>
      </c>
      <c r="AC256" s="459" t="s">
        <v>100</v>
      </c>
      <c r="AD256" s="460"/>
      <c r="AE256" s="461">
        <v>400</v>
      </c>
      <c r="AF256" s="471" t="s">
        <v>390</v>
      </c>
      <c r="AG256" s="462"/>
      <c r="AH256" s="467">
        <f t="shared" si="177"/>
        <v>1460.0000000000002</v>
      </c>
      <c r="AI256" s="456"/>
      <c r="AJ256" s="454"/>
      <c r="AK256" s="454"/>
      <c r="AL256" s="454"/>
      <c r="AM256" s="457"/>
      <c r="AN256" s="454"/>
      <c r="AO256" s="454"/>
    </row>
    <row r="257" spans="1:41" s="522" customFormat="1" ht="15.75" x14ac:dyDescent="0.25">
      <c r="A257" s="532" t="s">
        <v>20</v>
      </c>
      <c r="B257" s="533"/>
      <c r="C257" s="534"/>
      <c r="D257" s="535"/>
      <c r="R257" s="519"/>
      <c r="V257" s="538"/>
      <c r="W257" s="848"/>
      <c r="X257" s="848"/>
      <c r="Y257" s="848"/>
      <c r="Z257" s="848"/>
      <c r="AA257" s="469" t="s">
        <v>392</v>
      </c>
      <c r="AB257" s="472">
        <v>1</v>
      </c>
      <c r="AC257" s="459" t="s">
        <v>393</v>
      </c>
      <c r="AD257" s="462"/>
      <c r="AE257" s="461">
        <v>500</v>
      </c>
      <c r="AF257" s="471" t="s">
        <v>394</v>
      </c>
      <c r="AG257" s="462"/>
      <c r="AH257" s="463">
        <f t="shared" si="177"/>
        <v>500</v>
      </c>
      <c r="AI257" s="456"/>
      <c r="AJ257" s="454"/>
      <c r="AK257" s="454"/>
      <c r="AL257" s="473">
        <f>SUM(AL249:AL253)</f>
        <v>1.8412500000000001</v>
      </c>
      <c r="AM257" s="473">
        <f>SUM(AM249:AM253)</f>
        <v>8.9150000000000009</v>
      </c>
      <c r="AN257" s="473">
        <f>SUM(AN249:AN252)</f>
        <v>2.95</v>
      </c>
      <c r="AO257" s="473">
        <f>SUM(AO249:AO253)</f>
        <v>3.6500000000000004</v>
      </c>
    </row>
    <row r="258" spans="1:41" s="522" customFormat="1" ht="15.75" x14ac:dyDescent="0.25">
      <c r="A258" s="532" t="s">
        <v>349</v>
      </c>
      <c r="B258" s="533"/>
      <c r="C258" s="534"/>
      <c r="D258" s="535"/>
      <c r="R258" s="519"/>
      <c r="V258" s="538"/>
      <c r="W258" s="464"/>
      <c r="X258" s="464"/>
      <c r="Y258" s="464"/>
      <c r="Z258" s="464"/>
      <c r="AA258" s="465"/>
      <c r="AB258" s="459"/>
      <c r="AC258" s="459"/>
      <c r="AD258" s="462"/>
      <c r="AE258" s="459"/>
      <c r="AF258" s="462" t="s">
        <v>395</v>
      </c>
      <c r="AG258" s="462" t="s">
        <v>384</v>
      </c>
      <c r="AH258" s="466">
        <f>SUM(AH253:AH257)</f>
        <v>4768</v>
      </c>
      <c r="AI258" s="456"/>
      <c r="AJ258" s="454"/>
      <c r="AK258" s="454"/>
      <c r="AL258" s="454"/>
      <c r="AM258" s="457"/>
      <c r="AN258" s="454"/>
      <c r="AO258" s="454"/>
    </row>
    <row r="259" spans="1:41" s="528" customFormat="1" ht="15.75" thickBot="1" x14ac:dyDescent="0.3">
      <c r="A259" s="521"/>
      <c r="B259" s="526"/>
      <c r="C259" s="527"/>
      <c r="E259" s="529"/>
      <c r="F259" s="530"/>
      <c r="G259" s="541"/>
      <c r="H259" s="542"/>
      <c r="Q259" s="523"/>
      <c r="R259" s="520"/>
      <c r="T259" s="523"/>
      <c r="V259" s="531"/>
      <c r="W259" s="464"/>
      <c r="X259" s="464"/>
      <c r="Y259" s="464"/>
      <c r="Z259" s="464"/>
      <c r="AA259" s="465"/>
      <c r="AB259" s="459"/>
      <c r="AC259" s="459"/>
      <c r="AD259" s="462"/>
      <c r="AE259" s="459"/>
      <c r="AF259" s="462" t="s">
        <v>396</v>
      </c>
      <c r="AG259" s="462" t="s">
        <v>384</v>
      </c>
      <c r="AH259" s="474">
        <f>AH251+AH258</f>
        <v>9849.8499999999985</v>
      </c>
      <c r="AI259" s="456"/>
      <c r="AJ259" s="454"/>
      <c r="AK259" s="454"/>
      <c r="AL259" s="454"/>
      <c r="AM259" s="457"/>
      <c r="AN259" s="454"/>
      <c r="AO259" s="454"/>
    </row>
    <row r="260" spans="1:41" s="528" customFormat="1" ht="16.5" thickTop="1" x14ac:dyDescent="0.25">
      <c r="A260" s="521"/>
      <c r="B260" s="526"/>
      <c r="C260" s="527"/>
      <c r="E260" s="529"/>
      <c r="F260" s="530"/>
      <c r="G260" s="541"/>
      <c r="H260" s="542"/>
      <c r="I260" s="542"/>
      <c r="J260" s="854"/>
      <c r="K260" s="854"/>
      <c r="L260" s="429"/>
      <c r="M260" s="428"/>
      <c r="N260" s="426"/>
      <c r="O260" s="422"/>
      <c r="P260" s="422"/>
      <c r="Q260" s="523"/>
      <c r="R260" s="520"/>
      <c r="T260" s="523"/>
      <c r="V260" s="531"/>
      <c r="W260" s="464"/>
      <c r="X260" s="464"/>
      <c r="Y260" s="464"/>
      <c r="Z260" s="464"/>
      <c r="AA260" s="465"/>
      <c r="AB260" s="459"/>
      <c r="AC260" s="459"/>
      <c r="AD260" s="462"/>
      <c r="AE260" s="459"/>
      <c r="AF260" s="462"/>
      <c r="AG260" s="462"/>
      <c r="AH260" s="467"/>
      <c r="AI260" s="456"/>
      <c r="AJ260" s="454"/>
      <c r="AK260" s="454"/>
      <c r="AL260" s="454"/>
      <c r="AM260" s="457"/>
      <c r="AN260" s="454"/>
      <c r="AO260" s="454"/>
    </row>
    <row r="261" spans="1:41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42"/>
      <c r="J261" s="854"/>
      <c r="K261" s="854"/>
      <c r="L261" s="429"/>
      <c r="M261" s="428"/>
      <c r="N261" s="426"/>
      <c r="O261" s="422"/>
      <c r="P261" s="422"/>
      <c r="Q261" s="523"/>
      <c r="R261" s="520"/>
      <c r="T261" s="523"/>
      <c r="V261" s="531"/>
      <c r="W261" s="464"/>
      <c r="X261" s="464"/>
      <c r="Y261" s="464"/>
      <c r="Z261" s="464"/>
      <c r="AA261" s="465"/>
      <c r="AB261" s="459"/>
      <c r="AC261" s="459"/>
      <c r="AD261" s="462"/>
      <c r="AE261" s="459"/>
      <c r="AF261" s="462"/>
      <c r="AG261" s="462"/>
      <c r="AH261" s="467"/>
      <c r="AI261" s="456"/>
      <c r="AJ261" s="454"/>
      <c r="AK261" s="454"/>
      <c r="AL261" s="454"/>
      <c r="AM261" s="457"/>
      <c r="AN261" s="454"/>
      <c r="AO261" s="454"/>
    </row>
    <row r="262" spans="1:41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42"/>
      <c r="J262" s="854"/>
      <c r="K262" s="854"/>
      <c r="L262" s="429"/>
      <c r="M262" s="428"/>
      <c r="N262" s="426"/>
      <c r="O262" s="422"/>
      <c r="P262" s="422"/>
      <c r="Q262" s="523"/>
      <c r="R262" s="520"/>
      <c r="T262" s="523"/>
      <c r="V262" s="531"/>
      <c r="W262" s="848" t="s">
        <v>4</v>
      </c>
      <c r="X262" s="848"/>
      <c r="Y262" s="848"/>
      <c r="Z262" s="848"/>
      <c r="AA262" s="848" t="s">
        <v>7</v>
      </c>
      <c r="AB262" s="848" t="s">
        <v>6</v>
      </c>
      <c r="AC262" s="848" t="s">
        <v>5</v>
      </c>
      <c r="AD262" s="896" t="s">
        <v>380</v>
      </c>
      <c r="AE262" s="896"/>
      <c r="AF262" s="896"/>
      <c r="AG262" s="896" t="s">
        <v>381</v>
      </c>
      <c r="AH262" s="896"/>
      <c r="AI262" s="453"/>
      <c r="AJ262" s="454"/>
      <c r="AK262" s="454"/>
      <c r="AL262" s="454"/>
      <c r="AM262" s="454"/>
      <c r="AN262" s="454" t="s">
        <v>397</v>
      </c>
      <c r="AO262" s="454" t="s">
        <v>398</v>
      </c>
    </row>
    <row r="263" spans="1:41" s="528" customFormat="1" x14ac:dyDescent="0.25">
      <c r="A263" s="19"/>
      <c r="B263" s="526"/>
      <c r="C263" s="527"/>
      <c r="E263" s="529"/>
      <c r="F263" s="530"/>
      <c r="G263" s="541"/>
      <c r="H263" s="542"/>
      <c r="I263" s="519"/>
      <c r="J263" s="519"/>
      <c r="K263" s="519"/>
      <c r="L263" s="519"/>
      <c r="M263" s="520"/>
      <c r="N263" s="520"/>
      <c r="O263" s="520"/>
      <c r="P263" s="520"/>
      <c r="Q263" s="523"/>
      <c r="R263" s="523"/>
      <c r="T263" s="523"/>
      <c r="V263" s="531"/>
      <c r="W263" s="455" t="s">
        <v>402</v>
      </c>
      <c r="X263" s="455"/>
      <c r="Y263" s="455"/>
      <c r="Z263" s="455"/>
      <c r="AA263" s="848"/>
      <c r="AB263" s="848"/>
      <c r="AC263" s="848"/>
      <c r="AD263" s="848"/>
      <c r="AE263" s="848"/>
      <c r="AF263" s="848"/>
      <c r="AG263" s="848"/>
      <c r="AH263" s="848"/>
      <c r="AI263" s="456"/>
      <c r="AJ263" s="456">
        <v>0.6</v>
      </c>
      <c r="AK263" s="457">
        <v>3.2</v>
      </c>
      <c r="AL263" s="454">
        <f>AJ263*AK263</f>
        <v>1.92</v>
      </c>
      <c r="AM263" s="457">
        <f>AJ263+AK263</f>
        <v>3.8000000000000003</v>
      </c>
      <c r="AN263" s="454">
        <v>0.6</v>
      </c>
      <c r="AO263" s="454">
        <v>0.1</v>
      </c>
    </row>
    <row r="264" spans="1:41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22"/>
      <c r="J264" s="417"/>
      <c r="K264" s="417"/>
      <c r="L264" s="853"/>
      <c r="M264" s="419"/>
      <c r="N264" s="420" t="s">
        <v>178</v>
      </c>
      <c r="O264" s="420"/>
      <c r="P264" s="420">
        <f>L247</f>
        <v>7153499.6104395175</v>
      </c>
      <c r="Q264" s="523"/>
      <c r="R264" s="523"/>
      <c r="T264" s="523"/>
      <c r="V264" s="531"/>
      <c r="W264" s="848" t="s">
        <v>9</v>
      </c>
      <c r="X264" s="848"/>
      <c r="Y264" s="848"/>
      <c r="Z264" s="848"/>
      <c r="AA264" s="848" t="s">
        <v>382</v>
      </c>
      <c r="AB264" s="458">
        <f>+AB267*1.2</f>
        <v>3.0816000000000003</v>
      </c>
      <c r="AC264" s="459" t="s">
        <v>383</v>
      </c>
      <c r="AD264" s="460" t="s">
        <v>384</v>
      </c>
      <c r="AE264" s="461">
        <v>2300</v>
      </c>
      <c r="AF264" s="459" t="s">
        <v>385</v>
      </c>
      <c r="AG264" s="462" t="s">
        <v>384</v>
      </c>
      <c r="AH264" s="463">
        <f>AB264*AE264</f>
        <v>7087.6800000000012</v>
      </c>
      <c r="AI264" s="456"/>
      <c r="AJ264" s="454">
        <v>0.1</v>
      </c>
      <c r="AK264" s="454">
        <v>3.2</v>
      </c>
      <c r="AL264" s="454">
        <f>AJ264*AK264</f>
        <v>0.32000000000000006</v>
      </c>
      <c r="AM264" s="457">
        <f t="shared" ref="AM264" si="178">AJ264+AK264</f>
        <v>3.3000000000000003</v>
      </c>
      <c r="AN264" s="454">
        <v>3.2</v>
      </c>
      <c r="AO264" s="454">
        <v>0.6</v>
      </c>
    </row>
    <row r="265" spans="1:41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22"/>
      <c r="J265" s="421"/>
      <c r="K265" s="421"/>
      <c r="L265" s="853"/>
      <c r="M265" s="420"/>
      <c r="N265" s="422"/>
      <c r="O265" s="422"/>
      <c r="P265" s="422"/>
      <c r="Q265" s="523"/>
      <c r="R265" s="523"/>
      <c r="T265" s="523"/>
      <c r="V265" s="531"/>
      <c r="W265" s="464"/>
      <c r="X265" s="464"/>
      <c r="Y265" s="464"/>
      <c r="Z265" s="464"/>
      <c r="AA265" s="465"/>
      <c r="AB265" s="459"/>
      <c r="AC265" s="459"/>
      <c r="AD265" s="460"/>
      <c r="AE265" s="459"/>
      <c r="AF265" s="462" t="s">
        <v>386</v>
      </c>
      <c r="AG265" s="462" t="s">
        <v>384</v>
      </c>
      <c r="AH265" s="466">
        <f>SUM(AH264:AH264)</f>
        <v>7087.6800000000012</v>
      </c>
      <c r="AI265" s="456"/>
      <c r="AJ265" s="454">
        <v>0.1</v>
      </c>
      <c r="AK265" s="454">
        <v>0.6</v>
      </c>
      <c r="AL265" s="454">
        <f>AJ265*AK265</f>
        <v>0.06</v>
      </c>
      <c r="AM265" s="457">
        <f>AJ265+AK265</f>
        <v>0.7</v>
      </c>
      <c r="AN265" s="454">
        <v>0.1</v>
      </c>
      <c r="AO265" s="454">
        <v>3.2</v>
      </c>
    </row>
    <row r="266" spans="1:41" s="528" customFormat="1" ht="15.75" x14ac:dyDescent="0.25">
      <c r="A266" s="521"/>
      <c r="B266" s="526"/>
      <c r="C266" s="527"/>
      <c r="E266" s="529"/>
      <c r="F266" s="530"/>
      <c r="G266" s="541"/>
      <c r="H266" s="542"/>
      <c r="I266" s="522"/>
      <c r="J266" s="921" t="s">
        <v>179</v>
      </c>
      <c r="K266" s="921"/>
      <c r="L266" s="859" t="s">
        <v>180</v>
      </c>
      <c r="M266" s="420" t="s">
        <v>181</v>
      </c>
      <c r="N266" s="424">
        <f>P264*0.03</f>
        <v>214604.98831318552</v>
      </c>
      <c r="O266" s="422"/>
      <c r="P266" s="422">
        <f>N266+P264</f>
        <v>7368104.5987527035</v>
      </c>
      <c r="Q266" s="523"/>
      <c r="R266" s="523"/>
      <c r="T266" s="523"/>
      <c r="V266" s="531"/>
      <c r="W266" s="464"/>
      <c r="X266" s="464"/>
      <c r="Y266" s="464"/>
      <c r="Z266" s="464"/>
      <c r="AA266" s="465"/>
      <c r="AB266" s="459"/>
      <c r="AC266" s="459"/>
      <c r="AD266" s="460"/>
      <c r="AE266" s="459"/>
      <c r="AF266" s="462"/>
      <c r="AG266" s="462"/>
      <c r="AH266" s="467"/>
      <c r="AI266" s="456"/>
      <c r="AJ266" s="454">
        <v>0.1</v>
      </c>
      <c r="AK266" s="454">
        <v>0.6</v>
      </c>
      <c r="AL266" s="454">
        <f>AJ266*AK266</f>
        <v>0.06</v>
      </c>
      <c r="AM266" s="457">
        <f>AJ266+AK266</f>
        <v>0.7</v>
      </c>
      <c r="AN266" s="454"/>
      <c r="AO266" s="454">
        <v>0.6</v>
      </c>
    </row>
    <row r="267" spans="1:41" s="528" customFormat="1" ht="15.75" x14ac:dyDescent="0.25">
      <c r="A267" s="521"/>
      <c r="B267" s="526"/>
      <c r="C267" s="527"/>
      <c r="E267" s="529"/>
      <c r="F267" s="530"/>
      <c r="G267" s="541"/>
      <c r="H267" s="542"/>
      <c r="I267" s="522"/>
      <c r="J267" s="921" t="s">
        <v>182</v>
      </c>
      <c r="K267" s="921"/>
      <c r="L267" s="859" t="s">
        <v>180</v>
      </c>
      <c r="M267" s="420" t="s">
        <v>183</v>
      </c>
      <c r="N267" s="424">
        <f>SUM(L266:L314)</f>
        <v>328828.34994462901</v>
      </c>
      <c r="O267" s="422"/>
      <c r="P267" s="422">
        <f>P266+N267</f>
        <v>7696932.9486973323</v>
      </c>
      <c r="Q267" s="523"/>
      <c r="R267" s="523"/>
      <c r="T267" s="523"/>
      <c r="V267" s="531"/>
      <c r="W267" s="848" t="s">
        <v>10</v>
      </c>
      <c r="X267" s="848"/>
      <c r="Y267" s="848"/>
      <c r="Z267" s="848"/>
      <c r="AA267" s="469" t="s">
        <v>387</v>
      </c>
      <c r="AB267" s="470">
        <f>AL271</f>
        <v>2.5680000000000005</v>
      </c>
      <c r="AC267" s="459" t="s">
        <v>383</v>
      </c>
      <c r="AD267" s="460" t="s">
        <v>384</v>
      </c>
      <c r="AE267" s="461">
        <v>400</v>
      </c>
      <c r="AF267" s="459" t="s">
        <v>385</v>
      </c>
      <c r="AG267" s="462" t="s">
        <v>384</v>
      </c>
      <c r="AH267" s="467">
        <f t="shared" ref="AH267:AH271" si="179">AB267*AE267</f>
        <v>1027.2000000000003</v>
      </c>
      <c r="AI267" s="456"/>
      <c r="AJ267" s="454">
        <v>6.5000000000000002E-2</v>
      </c>
      <c r="AK267" s="454">
        <v>3.2</v>
      </c>
      <c r="AL267" s="454">
        <f>AJ267*AK267</f>
        <v>0.20800000000000002</v>
      </c>
      <c r="AM267" s="457">
        <f>AJ267+AK267</f>
        <v>3.2650000000000001</v>
      </c>
      <c r="AN267" s="454"/>
      <c r="AO267" s="454">
        <v>0.1</v>
      </c>
    </row>
    <row r="268" spans="1:41" s="528" customFormat="1" ht="15.75" x14ac:dyDescent="0.25">
      <c r="A268" s="521"/>
      <c r="B268" s="526"/>
      <c r="C268" s="527"/>
      <c r="E268" s="529"/>
      <c r="F268" s="530"/>
      <c r="G268" s="541"/>
      <c r="H268" s="542"/>
      <c r="I268" s="522"/>
      <c r="J268" s="921" t="s">
        <v>184</v>
      </c>
      <c r="K268" s="921"/>
      <c r="L268" s="859" t="s">
        <v>161</v>
      </c>
      <c r="M268" s="420" t="s">
        <v>185</v>
      </c>
      <c r="N268" s="424"/>
      <c r="O268" s="422"/>
      <c r="P268" s="422">
        <f>P267+N268</f>
        <v>7696932.9486973323</v>
      </c>
      <c r="Q268" s="523"/>
      <c r="R268" s="523"/>
      <c r="T268" s="523"/>
      <c r="V268" s="531"/>
      <c r="W268" s="848"/>
      <c r="X268" s="848"/>
      <c r="Y268" s="848"/>
      <c r="Z268" s="848"/>
      <c r="AA268" s="469" t="s">
        <v>388</v>
      </c>
      <c r="AB268" s="470">
        <f>AM271</f>
        <v>11.765000000000001</v>
      </c>
      <c r="AC268" s="459" t="s">
        <v>383</v>
      </c>
      <c r="AD268" s="460"/>
      <c r="AE268" s="461">
        <v>100</v>
      </c>
      <c r="AF268" s="459" t="s">
        <v>385</v>
      </c>
      <c r="AG268" s="462"/>
      <c r="AH268" s="467">
        <f t="shared" si="179"/>
        <v>1176.5</v>
      </c>
      <c r="AI268" s="456"/>
      <c r="AJ268" s="454"/>
      <c r="AK268" s="454"/>
      <c r="AL268" s="454"/>
      <c r="AM268" s="457"/>
      <c r="AN268" s="454"/>
      <c r="AO268" s="454"/>
    </row>
    <row r="269" spans="1:41" s="528" customFormat="1" ht="15.75" x14ac:dyDescent="0.25">
      <c r="A269" s="521"/>
      <c r="B269" s="526"/>
      <c r="C269" s="527"/>
      <c r="E269" s="529"/>
      <c r="F269" s="530"/>
      <c r="G269" s="541"/>
      <c r="H269" s="542"/>
      <c r="I269" s="522"/>
      <c r="J269" s="921" t="s">
        <v>186</v>
      </c>
      <c r="K269" s="921"/>
      <c r="L269" s="859" t="s">
        <v>161</v>
      </c>
      <c r="M269" s="420" t="s">
        <v>187</v>
      </c>
      <c r="N269" s="424">
        <f>P268*0.15</f>
        <v>1154539.9423045998</v>
      </c>
      <c r="O269" s="422"/>
      <c r="P269" s="422">
        <f>P268+N269</f>
        <v>8851472.8910019323</v>
      </c>
      <c r="Q269" s="523"/>
      <c r="R269" s="523"/>
      <c r="T269" s="523"/>
      <c r="V269" s="531"/>
      <c r="W269" s="848"/>
      <c r="X269" s="848"/>
      <c r="Y269" s="848"/>
      <c r="Z269" s="848"/>
      <c r="AA269" s="469" t="s">
        <v>389</v>
      </c>
      <c r="AB269" s="470">
        <f>AN271</f>
        <v>3.9000000000000004</v>
      </c>
      <c r="AC269" s="459" t="s">
        <v>100</v>
      </c>
      <c r="AD269" s="460"/>
      <c r="AE269" s="461">
        <v>400</v>
      </c>
      <c r="AF269" s="471" t="s">
        <v>390</v>
      </c>
      <c r="AG269" s="462"/>
      <c r="AH269" s="467">
        <f t="shared" si="179"/>
        <v>1560.0000000000002</v>
      </c>
      <c r="AI269" s="456"/>
      <c r="AJ269" s="454"/>
      <c r="AK269" s="454"/>
      <c r="AL269" s="454"/>
      <c r="AM269" s="457"/>
      <c r="AN269" s="454"/>
      <c r="AO269" s="454"/>
    </row>
    <row r="270" spans="1:41" s="528" customFormat="1" ht="15.75" x14ac:dyDescent="0.25">
      <c r="A270" s="521"/>
      <c r="B270" s="526"/>
      <c r="C270" s="527"/>
      <c r="E270" s="529"/>
      <c r="F270" s="530"/>
      <c r="G270" s="541"/>
      <c r="H270" s="542"/>
      <c r="I270" s="522" t="s">
        <v>495</v>
      </c>
      <c r="J270" s="921" t="s">
        <v>188</v>
      </c>
      <c r="K270" s="921"/>
      <c r="L270" s="425"/>
      <c r="M270" s="420" t="s">
        <v>190</v>
      </c>
      <c r="N270" s="424">
        <f>P269*0.1</f>
        <v>885147.2891001933</v>
      </c>
      <c r="O270" s="422"/>
      <c r="P270" s="422">
        <f>P269+N270</f>
        <v>9736620.1801021248</v>
      </c>
      <c r="Q270" s="523"/>
      <c r="R270" s="523">
        <f>M247-P270</f>
        <v>63379.71228546463</v>
      </c>
      <c r="T270" s="523"/>
      <c r="V270" s="531"/>
      <c r="W270" s="848"/>
      <c r="X270" s="848"/>
      <c r="Y270" s="848"/>
      <c r="Z270" s="848"/>
      <c r="AA270" s="469" t="s">
        <v>391</v>
      </c>
      <c r="AB270" s="470">
        <f>AO271</f>
        <v>4.5999999999999996</v>
      </c>
      <c r="AC270" s="459" t="s">
        <v>100</v>
      </c>
      <c r="AD270" s="460"/>
      <c r="AE270" s="461">
        <v>400</v>
      </c>
      <c r="AF270" s="471" t="s">
        <v>390</v>
      </c>
      <c r="AG270" s="462"/>
      <c r="AH270" s="467">
        <f t="shared" si="179"/>
        <v>1839.9999999999998</v>
      </c>
      <c r="AI270" s="456"/>
      <c r="AJ270" s="454"/>
      <c r="AK270" s="454"/>
      <c r="AL270" s="454"/>
      <c r="AM270" s="457"/>
      <c r="AN270" s="454"/>
      <c r="AO270" s="454"/>
    </row>
    <row r="271" spans="1:41" s="528" customFormat="1" ht="15.75" x14ac:dyDescent="0.25">
      <c r="A271" s="521"/>
      <c r="B271" s="526"/>
      <c r="C271" s="527"/>
      <c r="E271" s="529"/>
      <c r="F271" s="530"/>
      <c r="G271" s="541"/>
      <c r="H271" s="542"/>
      <c r="I271" s="542"/>
      <c r="J271" s="924" t="s">
        <v>191</v>
      </c>
      <c r="K271" s="924"/>
      <c r="L271" s="429" t="s">
        <v>180</v>
      </c>
      <c r="M271" s="428"/>
      <c r="N271" s="426"/>
      <c r="O271" s="422"/>
      <c r="P271" s="422"/>
      <c r="Q271" s="523"/>
      <c r="R271" s="523"/>
      <c r="T271" s="523"/>
      <c r="V271" s="531"/>
      <c r="W271" s="848"/>
      <c r="X271" s="848"/>
      <c r="Y271" s="848"/>
      <c r="Z271" s="848"/>
      <c r="AA271" s="469" t="s">
        <v>392</v>
      </c>
      <c r="AB271" s="472">
        <v>1</v>
      </c>
      <c r="AC271" s="459" t="s">
        <v>393</v>
      </c>
      <c r="AD271" s="462"/>
      <c r="AE271" s="461">
        <v>500</v>
      </c>
      <c r="AF271" s="471" t="s">
        <v>394</v>
      </c>
      <c r="AG271" s="462"/>
      <c r="AH271" s="463">
        <f t="shared" si="179"/>
        <v>500</v>
      </c>
      <c r="AI271" s="456"/>
      <c r="AJ271" s="454"/>
      <c r="AK271" s="454"/>
      <c r="AL271" s="473">
        <f>SUM(AL263:AL267)</f>
        <v>2.5680000000000005</v>
      </c>
      <c r="AM271" s="473">
        <f>SUM(AM263:AM267)</f>
        <v>11.765000000000001</v>
      </c>
      <c r="AN271" s="473">
        <f>SUM(AN263:AN266)</f>
        <v>3.9000000000000004</v>
      </c>
      <c r="AO271" s="473">
        <f>SUM(AO263:AO267)</f>
        <v>4.5999999999999996</v>
      </c>
    </row>
    <row r="272" spans="1:41" s="528" customFormat="1" ht="15.75" x14ac:dyDescent="0.25">
      <c r="A272" s="521"/>
      <c r="B272" s="526"/>
      <c r="C272" s="527"/>
      <c r="E272" s="529"/>
      <c r="F272" s="530"/>
      <c r="G272" s="541"/>
      <c r="H272" s="542"/>
      <c r="I272" s="542"/>
      <c r="J272" s="924" t="s">
        <v>472</v>
      </c>
      <c r="K272" s="924"/>
      <c r="L272" s="429">
        <f>4*17000/1.05</f>
        <v>64761.904761904756</v>
      </c>
      <c r="M272" s="428" t="s">
        <v>193</v>
      </c>
      <c r="N272" s="426">
        <f>SUM(N266:N270)</f>
        <v>2583120.5696626077</v>
      </c>
      <c r="O272" s="427"/>
      <c r="P272" s="428">
        <f>P270+224998-79657</f>
        <v>9881961.1801021248</v>
      </c>
      <c r="Q272" s="523"/>
      <c r="R272" s="523"/>
      <c r="T272" s="523"/>
      <c r="V272" s="531"/>
      <c r="W272" s="464"/>
      <c r="X272" s="464"/>
      <c r="Y272" s="464"/>
      <c r="Z272" s="464"/>
      <c r="AA272" s="465"/>
      <c r="AB272" s="459"/>
      <c r="AC272" s="459"/>
      <c r="AD272" s="462"/>
      <c r="AE272" s="459"/>
      <c r="AF272" s="462" t="s">
        <v>395</v>
      </c>
      <c r="AG272" s="462" t="s">
        <v>384</v>
      </c>
      <c r="AH272" s="466">
        <f>SUM(AH267:AH271)</f>
        <v>6103.7000000000007</v>
      </c>
      <c r="AI272" s="456"/>
      <c r="AJ272" s="454"/>
      <c r="AK272" s="454"/>
      <c r="AL272" s="454"/>
      <c r="AM272" s="457"/>
      <c r="AN272" s="454"/>
      <c r="AO272" s="454"/>
    </row>
    <row r="273" spans="1:41" s="528" customFormat="1" ht="16.5" thickBot="1" x14ac:dyDescent="0.3">
      <c r="A273" s="521"/>
      <c r="B273" s="526"/>
      <c r="C273" s="527"/>
      <c r="E273" s="529"/>
      <c r="F273" s="530"/>
      <c r="G273" s="541"/>
      <c r="H273" s="542"/>
      <c r="I273" s="542"/>
      <c r="J273" s="924" t="s">
        <v>194</v>
      </c>
      <c r="K273" s="924"/>
      <c r="L273" s="429">
        <v>30000</v>
      </c>
      <c r="M273" s="428" t="s">
        <v>195</v>
      </c>
      <c r="N273" s="426">
        <f>SUM(N266:N271)</f>
        <v>2583120.5696626077</v>
      </c>
      <c r="O273" s="427"/>
      <c r="P273" s="428" t="s">
        <v>547</v>
      </c>
      <c r="Q273" s="523"/>
      <c r="R273" s="523"/>
      <c r="T273" s="523"/>
      <c r="V273" s="531"/>
      <c r="W273" s="464"/>
      <c r="X273" s="464"/>
      <c r="Y273" s="464"/>
      <c r="Z273" s="464"/>
      <c r="AA273" s="465"/>
      <c r="AB273" s="459"/>
      <c r="AC273" s="459"/>
      <c r="AD273" s="462"/>
      <c r="AE273" s="459"/>
      <c r="AF273" s="462" t="s">
        <v>396</v>
      </c>
      <c r="AG273" s="462" t="s">
        <v>384</v>
      </c>
      <c r="AH273" s="474">
        <f>AH265+AH272</f>
        <v>13191.380000000001</v>
      </c>
      <c r="AI273" s="456"/>
      <c r="AJ273" s="454"/>
      <c r="AK273" s="454"/>
      <c r="AL273" s="454"/>
      <c r="AM273" s="457"/>
      <c r="AN273" s="454"/>
      <c r="AO273" s="454"/>
    </row>
    <row r="274" spans="1:41" s="528" customFormat="1" ht="16.5" thickTop="1" x14ac:dyDescent="0.25">
      <c r="A274" s="521"/>
      <c r="B274" s="526"/>
      <c r="C274" s="527"/>
      <c r="E274" s="529"/>
      <c r="F274" s="530"/>
      <c r="G274" s="541"/>
      <c r="H274" s="542"/>
      <c r="I274" s="542"/>
      <c r="J274" s="924" t="s">
        <v>196</v>
      </c>
      <c r="K274" s="924"/>
      <c r="L274" s="429">
        <v>15000</v>
      </c>
      <c r="M274" s="428"/>
      <c r="N274" s="427"/>
      <c r="O274" s="422"/>
      <c r="P274" s="420"/>
      <c r="Q274" s="523"/>
      <c r="R274" s="523"/>
      <c r="T274" s="523"/>
      <c r="V274" s="531"/>
    </row>
    <row r="275" spans="1:41" s="528" customFormat="1" ht="15.75" x14ac:dyDescent="0.25">
      <c r="A275" s="521"/>
      <c r="B275" s="526"/>
      <c r="C275" s="527"/>
      <c r="E275" s="529"/>
      <c r="F275" s="530"/>
      <c r="G275" s="521"/>
      <c r="H275" s="522"/>
      <c r="I275" s="522"/>
      <c r="J275" s="921" t="s">
        <v>197</v>
      </c>
      <c r="K275" s="921"/>
      <c r="L275" s="859">
        <v>18000</v>
      </c>
      <c r="M275" s="428"/>
      <c r="N275" s="422"/>
      <c r="O275" s="422"/>
      <c r="P275" s="422"/>
      <c r="Q275" s="523"/>
      <c r="R275" s="523"/>
      <c r="T275" s="523"/>
      <c r="V275" s="531"/>
    </row>
    <row r="276" spans="1:41" s="528" customFormat="1" ht="15.75" x14ac:dyDescent="0.25">
      <c r="A276" s="521"/>
      <c r="B276" s="526"/>
      <c r="C276" s="527"/>
      <c r="E276" s="529"/>
      <c r="F276" s="530"/>
      <c r="G276" s="521"/>
      <c r="H276" s="522"/>
      <c r="I276" s="522"/>
      <c r="J276" s="921" t="s">
        <v>198</v>
      </c>
      <c r="K276" s="921"/>
      <c r="L276" s="859">
        <f>3*6000</f>
        <v>18000</v>
      </c>
      <c r="M276" s="422"/>
      <c r="N276" s="422"/>
      <c r="O276" s="422"/>
      <c r="P276" s="422"/>
      <c r="Q276" s="523"/>
      <c r="R276" s="523"/>
      <c r="T276" s="523"/>
      <c r="V276" s="531"/>
    </row>
    <row r="277" spans="1:41" ht="15.75" x14ac:dyDescent="0.25">
      <c r="D277" s="528"/>
      <c r="E277" s="529"/>
      <c r="F277" s="530"/>
      <c r="G277" s="521"/>
      <c r="H277" s="522"/>
      <c r="I277" s="522" t="s">
        <v>494</v>
      </c>
      <c r="J277" s="921" t="s">
        <v>199</v>
      </c>
      <c r="K277" s="921"/>
      <c r="L277" s="482"/>
      <c r="M277" s="422"/>
      <c r="N277" s="422"/>
      <c r="O277" s="422"/>
      <c r="P277" s="422"/>
      <c r="Q277" s="523"/>
      <c r="R277" s="523"/>
      <c r="S277" s="528"/>
      <c r="T277" s="523"/>
      <c r="U277" s="528"/>
      <c r="V277" s="446"/>
      <c r="AG277" s="18"/>
      <c r="AI277" s="18"/>
    </row>
    <row r="278" spans="1:41" ht="15.75" x14ac:dyDescent="0.25">
      <c r="A278" s="18"/>
      <c r="B278" s="18"/>
      <c r="C278" s="18"/>
      <c r="D278" s="528"/>
      <c r="E278" s="529"/>
      <c r="F278" s="530"/>
      <c r="G278" s="521"/>
      <c r="H278" s="522"/>
      <c r="I278" s="522"/>
      <c r="J278" s="921" t="s">
        <v>200</v>
      </c>
      <c r="K278" s="921"/>
      <c r="L278" s="425">
        <f>4*10000/1.075</f>
        <v>37209.302325581397</v>
      </c>
      <c r="M278" s="422"/>
      <c r="N278" s="422"/>
      <c r="O278" s="422"/>
      <c r="P278" s="422"/>
      <c r="Q278" s="523"/>
      <c r="R278" s="523"/>
      <c r="S278" s="528"/>
      <c r="T278" s="523"/>
      <c r="U278" s="528"/>
      <c r="V278" s="446"/>
      <c r="AG278" s="18"/>
      <c r="AI278" s="18"/>
    </row>
    <row r="279" spans="1:41" ht="15.75" x14ac:dyDescent="0.25">
      <c r="A279" s="18"/>
      <c r="B279" s="18"/>
      <c r="C279" s="18"/>
      <c r="D279" s="528"/>
      <c r="E279" s="529"/>
      <c r="F279" s="530"/>
      <c r="G279" s="521"/>
      <c r="H279" s="522"/>
      <c r="I279" s="522"/>
      <c r="J279" s="921" t="s">
        <v>201</v>
      </c>
      <c r="K279" s="921"/>
      <c r="L279" s="859" t="s">
        <v>180</v>
      </c>
      <c r="M279" s="422"/>
      <c r="N279" s="422"/>
      <c r="O279" s="422"/>
      <c r="P279" s="422"/>
      <c r="Q279" s="523"/>
      <c r="V279" s="446"/>
      <c r="AG279" s="18"/>
      <c r="AI279" s="18"/>
    </row>
    <row r="280" spans="1:41" ht="15.75" x14ac:dyDescent="0.25">
      <c r="A280" s="18"/>
      <c r="B280" s="18"/>
      <c r="C280" s="18"/>
      <c r="D280" s="528"/>
      <c r="E280" s="529"/>
      <c r="F280" s="530"/>
      <c r="G280" s="521"/>
      <c r="H280" s="522"/>
      <c r="I280" s="522" t="s">
        <v>494</v>
      </c>
      <c r="J280" s="921" t="s">
        <v>202</v>
      </c>
      <c r="K280" s="921"/>
      <c r="L280" s="482"/>
      <c r="M280" s="422"/>
      <c r="N280" s="422"/>
      <c r="O280" s="422"/>
      <c r="P280" s="422"/>
      <c r="Q280" s="523"/>
      <c r="V280" s="446"/>
      <c r="AA280" s="877" t="s">
        <v>511</v>
      </c>
      <c r="AB280" s="877"/>
      <c r="AC280" s="877"/>
      <c r="AD280" s="843" t="s">
        <v>243</v>
      </c>
      <c r="AE280" s="843" t="s">
        <v>244</v>
      </c>
      <c r="AF280" s="843" t="s">
        <v>245</v>
      </c>
      <c r="AG280" s="123" t="s">
        <v>246</v>
      </c>
      <c r="AH280" s="196" t="s">
        <v>247</v>
      </c>
      <c r="AI280" s="843" t="s">
        <v>248</v>
      </c>
      <c r="AJ280" s="212" t="s">
        <v>249</v>
      </c>
    </row>
    <row r="281" spans="1:41" ht="15.75" x14ac:dyDescent="0.25">
      <c r="A281" s="18"/>
      <c r="B281" s="18"/>
      <c r="C281" s="18"/>
      <c r="D281" s="528"/>
      <c r="E281" s="529"/>
      <c r="F281" s="530"/>
      <c r="G281" s="521"/>
      <c r="H281" s="522"/>
      <c r="I281" s="522"/>
      <c r="J281" s="921" t="s">
        <v>203</v>
      </c>
      <c r="K281" s="921"/>
      <c r="L281" s="859">
        <v>16000</v>
      </c>
      <c r="M281" s="422"/>
      <c r="N281" s="422"/>
      <c r="O281" s="422"/>
      <c r="P281" s="422"/>
      <c r="Q281" s="523"/>
      <c r="V281" s="446"/>
      <c r="AA281" s="878" t="s">
        <v>512</v>
      </c>
      <c r="AB281" s="878"/>
      <c r="AC281" s="878"/>
      <c r="AD281" s="124" t="s">
        <v>513</v>
      </c>
      <c r="AE281" s="675">
        <f>(1.1*0.6)*3.28*3.28</f>
        <v>7.1005440000000002</v>
      </c>
      <c r="AF281" s="844">
        <v>8</v>
      </c>
      <c r="AG281" s="123">
        <v>200</v>
      </c>
      <c r="AH281" s="196">
        <f>AG281*AF281</f>
        <v>1600</v>
      </c>
      <c r="AI281" s="844"/>
      <c r="AJ281" s="219">
        <f>AI281*AF281</f>
        <v>0</v>
      </c>
    </row>
    <row r="282" spans="1:41" ht="15.75" x14ac:dyDescent="0.25">
      <c r="A282" s="18"/>
      <c r="B282" s="18"/>
      <c r="C282" s="18"/>
      <c r="J282" s="894" t="s">
        <v>204</v>
      </c>
      <c r="K282" s="894"/>
      <c r="L282" s="859" t="s">
        <v>180</v>
      </c>
      <c r="M282" s="422"/>
      <c r="N282" s="422"/>
      <c r="O282" s="422"/>
      <c r="P282" s="422"/>
      <c r="V282" s="446"/>
      <c r="AA282" s="878" t="s">
        <v>514</v>
      </c>
      <c r="AB282" s="878"/>
      <c r="AC282" s="878"/>
      <c r="AD282" s="124" t="s">
        <v>100</v>
      </c>
      <c r="AE282" s="844">
        <f>(1.1+0.6+1.1+0.6)</f>
        <v>3.4000000000000004</v>
      </c>
      <c r="AF282" s="844">
        <v>3.5</v>
      </c>
      <c r="AG282" s="123">
        <v>20</v>
      </c>
      <c r="AH282" s="196">
        <f>AG282*AF282</f>
        <v>70</v>
      </c>
      <c r="AI282" s="844"/>
      <c r="AJ282" s="219">
        <f>AI282*AF282</f>
        <v>0</v>
      </c>
    </row>
    <row r="283" spans="1:41" ht="15.75" x14ac:dyDescent="0.25">
      <c r="A283" s="18"/>
      <c r="B283" s="18"/>
      <c r="C283" s="18"/>
      <c r="I283" s="2" t="s">
        <v>494</v>
      </c>
      <c r="J283" s="894" t="s">
        <v>205</v>
      </c>
      <c r="K283" s="894"/>
      <c r="L283" s="482"/>
      <c r="M283" s="422"/>
      <c r="N283" s="422"/>
      <c r="O283" s="422"/>
      <c r="P283" s="422"/>
      <c r="V283" s="446"/>
      <c r="AA283" s="878" t="s">
        <v>515</v>
      </c>
      <c r="AB283" s="878"/>
      <c r="AC283" s="878"/>
      <c r="AD283" s="124" t="s">
        <v>100</v>
      </c>
      <c r="AE283" s="844">
        <f>(1.1+0.6+1.1+0.6)</f>
        <v>3.4000000000000004</v>
      </c>
      <c r="AF283" s="844">
        <v>3.5</v>
      </c>
      <c r="AG283" s="123">
        <v>16</v>
      </c>
      <c r="AH283" s="196">
        <f>AG283*AF283</f>
        <v>56</v>
      </c>
      <c r="AI283" s="844"/>
      <c r="AJ283" s="219">
        <f>AI283*AF283</f>
        <v>0</v>
      </c>
    </row>
    <row r="284" spans="1:41" ht="15.75" x14ac:dyDescent="0.25">
      <c r="A284" s="18"/>
      <c r="B284" s="18"/>
      <c r="C284" s="18"/>
      <c r="I284" s="2" t="s">
        <v>494</v>
      </c>
      <c r="J284" s="894" t="s">
        <v>206</v>
      </c>
      <c r="K284" s="894"/>
      <c r="L284" s="482"/>
      <c r="M284" s="422"/>
      <c r="N284" s="422"/>
      <c r="O284" s="422"/>
      <c r="P284" s="422"/>
      <c r="V284" s="446"/>
      <c r="AA284" s="878" t="s">
        <v>516</v>
      </c>
      <c r="AB284" s="878"/>
      <c r="AC284" s="878"/>
      <c r="AD284" s="124" t="s">
        <v>101</v>
      </c>
      <c r="AE284" s="675">
        <f>1.1*0.6</f>
        <v>0.66</v>
      </c>
      <c r="AF284" s="844">
        <v>0.8</v>
      </c>
      <c r="AG284" s="676">
        <f>400/2.88</f>
        <v>138.88888888888889</v>
      </c>
      <c r="AH284" s="196">
        <f t="shared" ref="AH284" si="180">AG284*AF284</f>
        <v>111.11111111111111</v>
      </c>
      <c r="AI284" s="844"/>
      <c r="AJ284" s="219">
        <f t="shared" ref="AJ284" si="181">AI284*AF284</f>
        <v>0</v>
      </c>
    </row>
    <row r="285" spans="1:41" ht="15.75" x14ac:dyDescent="0.25">
      <c r="A285" s="18"/>
      <c r="B285" s="18"/>
      <c r="C285" s="18"/>
      <c r="I285" s="2" t="s">
        <v>494</v>
      </c>
      <c r="J285" s="894" t="s">
        <v>473</v>
      </c>
      <c r="K285" s="894"/>
      <c r="L285" s="482"/>
      <c r="M285" s="422"/>
      <c r="N285" s="422"/>
      <c r="O285" s="422"/>
      <c r="P285" s="422"/>
      <c r="V285" s="446"/>
      <c r="AA285" s="878" t="s">
        <v>379</v>
      </c>
      <c r="AB285" s="878"/>
      <c r="AC285" s="878"/>
      <c r="AD285" s="124" t="s">
        <v>301</v>
      </c>
      <c r="AE285" s="844">
        <v>1</v>
      </c>
      <c r="AF285" s="844">
        <v>1</v>
      </c>
      <c r="AG285" s="676">
        <v>500</v>
      </c>
      <c r="AH285" s="196">
        <f>AG285*AF285</f>
        <v>500</v>
      </c>
      <c r="AI285" s="844"/>
      <c r="AJ285" s="219">
        <f>AI285*AF285</f>
        <v>0</v>
      </c>
    </row>
    <row r="286" spans="1:41" ht="15.75" x14ac:dyDescent="0.25">
      <c r="A286" s="18"/>
      <c r="B286" s="18"/>
      <c r="C286" s="18"/>
      <c r="I286" s="2" t="s">
        <v>494</v>
      </c>
      <c r="J286" s="894" t="s">
        <v>208</v>
      </c>
      <c r="K286" s="894"/>
      <c r="L286" s="482"/>
      <c r="M286" s="422"/>
      <c r="N286" s="422"/>
      <c r="O286" s="422"/>
      <c r="P286" s="422"/>
      <c r="V286" s="27"/>
      <c r="AA286" s="878"/>
      <c r="AB286" s="878"/>
      <c r="AC286" s="878"/>
      <c r="AD286" s="124"/>
      <c r="AE286" s="844"/>
      <c r="AF286" s="844"/>
      <c r="AG286" s="123"/>
      <c r="AH286" s="212">
        <f>SUM(AH281:AH285)</f>
        <v>2337.1111111111113</v>
      </c>
      <c r="AI286" s="844"/>
      <c r="AJ286" s="212">
        <f>SUM(AJ281:AJ285)</f>
        <v>0</v>
      </c>
    </row>
    <row r="287" spans="1:41" ht="15.75" x14ac:dyDescent="0.25">
      <c r="A287" s="18"/>
      <c r="B287" s="18"/>
      <c r="C287" s="18"/>
      <c r="I287" s="2" t="s">
        <v>496</v>
      </c>
      <c r="J287" s="894" t="s">
        <v>209</v>
      </c>
      <c r="K287" s="894"/>
      <c r="L287" s="482"/>
      <c r="M287" s="422"/>
      <c r="N287" s="422"/>
      <c r="O287" s="422"/>
      <c r="P287" s="422"/>
      <c r="V287" s="27"/>
      <c r="AG287" s="18"/>
      <c r="AI287" s="18"/>
    </row>
    <row r="288" spans="1:41" ht="15.75" x14ac:dyDescent="0.25">
      <c r="A288" s="18"/>
      <c r="B288" s="18"/>
      <c r="C288" s="18"/>
      <c r="J288" s="894" t="s">
        <v>474</v>
      </c>
      <c r="K288" s="894"/>
      <c r="L288" s="859">
        <v>15000</v>
      </c>
      <c r="M288" s="422"/>
      <c r="N288" s="422"/>
      <c r="O288" s="422"/>
      <c r="P288" s="422"/>
      <c r="V288" s="27"/>
      <c r="AG288" s="18"/>
      <c r="AI288" s="18"/>
    </row>
    <row r="289" spans="1:47" ht="15.75" x14ac:dyDescent="0.25">
      <c r="A289" s="18"/>
      <c r="B289" s="18"/>
      <c r="C289" s="18"/>
      <c r="I289" s="2" t="s">
        <v>494</v>
      </c>
      <c r="J289" s="894" t="s">
        <v>211</v>
      </c>
      <c r="K289" s="894"/>
      <c r="L289" s="482"/>
      <c r="M289" s="422"/>
      <c r="N289" s="422"/>
      <c r="O289" s="422"/>
      <c r="P289" s="422"/>
      <c r="V289" s="27"/>
      <c r="AG289" s="18"/>
      <c r="AI289" s="18"/>
    </row>
    <row r="290" spans="1:47" ht="15.75" x14ac:dyDescent="0.25">
      <c r="A290" s="18"/>
      <c r="B290" s="18"/>
      <c r="C290" s="18"/>
      <c r="J290" s="894" t="s">
        <v>212</v>
      </c>
      <c r="K290" s="894"/>
      <c r="L290" s="859">
        <v>15000</v>
      </c>
      <c r="M290" s="422"/>
      <c r="N290" s="422"/>
      <c r="O290" s="422"/>
      <c r="P290" s="422"/>
      <c r="V290" s="27"/>
    </row>
    <row r="291" spans="1:47" ht="15.75" x14ac:dyDescent="0.25">
      <c r="A291" s="18"/>
      <c r="B291" s="18"/>
      <c r="C291" s="18"/>
      <c r="J291" s="894" t="s">
        <v>475</v>
      </c>
      <c r="K291" s="894"/>
      <c r="L291" s="859">
        <f>4*12000/1.12</f>
        <v>42857.142857142855</v>
      </c>
      <c r="M291" s="422"/>
      <c r="N291" s="422"/>
      <c r="O291" s="422"/>
      <c r="P291" s="422"/>
      <c r="V291" s="27"/>
      <c r="AA291" s="878" t="s">
        <v>522</v>
      </c>
      <c r="AB291" s="878"/>
      <c r="AC291" s="878"/>
      <c r="AD291" s="124" t="s">
        <v>101</v>
      </c>
      <c r="AE291" s="675">
        <f>(3.2*1.5)*2+(1*1.5)*2</f>
        <v>12.600000000000001</v>
      </c>
      <c r="AF291" s="844">
        <v>13</v>
      </c>
      <c r="AG291" s="676">
        <f>375*(3.28*3.28)/1.075</f>
        <v>3752.9302325581389</v>
      </c>
      <c r="AH291" s="196">
        <f t="shared" ref="AH291" si="182">AG291*AF291</f>
        <v>48788.093023255802</v>
      </c>
      <c r="AI291" s="677">
        <f>AG291*0.35</f>
        <v>1313.5255813953486</v>
      </c>
      <c r="AJ291" s="219">
        <f t="shared" ref="AJ291" si="183">AI291*AF291</f>
        <v>17075.832558139533</v>
      </c>
    </row>
    <row r="292" spans="1:47" ht="15.75" x14ac:dyDescent="0.25">
      <c r="A292" s="18"/>
      <c r="B292" s="18"/>
      <c r="C292" s="18"/>
      <c r="J292" s="894" t="s">
        <v>214</v>
      </c>
      <c r="K292" s="894"/>
      <c r="L292" s="859" t="s">
        <v>189</v>
      </c>
      <c r="M292" s="422"/>
      <c r="N292" s="422"/>
      <c r="O292" s="422"/>
      <c r="P292" s="422"/>
      <c r="V292" s="27"/>
      <c r="W292" s="397"/>
      <c r="X292" s="397"/>
      <c r="Y292" s="397"/>
      <c r="Z292" s="397"/>
      <c r="AA292" s="878" t="s">
        <v>379</v>
      </c>
      <c r="AB292" s="878"/>
      <c r="AC292" s="878"/>
      <c r="AD292" s="124" t="s">
        <v>301</v>
      </c>
      <c r="AE292" s="844">
        <v>1</v>
      </c>
      <c r="AF292" s="844">
        <v>1</v>
      </c>
      <c r="AG292" s="676">
        <v>2000</v>
      </c>
      <c r="AH292" s="196">
        <f>AG292*AF292</f>
        <v>2000</v>
      </c>
      <c r="AI292" s="844">
        <v>1000</v>
      </c>
      <c r="AJ292" s="219">
        <f>AI292*AF292</f>
        <v>1000</v>
      </c>
      <c r="AK292" s="394"/>
      <c r="AL292" s="394"/>
      <c r="AM292" s="395"/>
      <c r="AN292" s="394"/>
      <c r="AO292" s="394"/>
    </row>
    <row r="293" spans="1:47" ht="15.75" x14ac:dyDescent="0.25">
      <c r="A293" s="18"/>
      <c r="B293" s="18"/>
      <c r="C293" s="18"/>
      <c r="J293" s="894" t="s">
        <v>476</v>
      </c>
      <c r="K293" s="894"/>
      <c r="L293" s="859">
        <v>10000</v>
      </c>
      <c r="M293" s="422"/>
      <c r="N293" s="422"/>
      <c r="O293" s="422"/>
      <c r="P293" s="422"/>
      <c r="V293" s="27"/>
      <c r="W293" s="397"/>
      <c r="X293" s="397"/>
      <c r="Y293" s="397"/>
      <c r="Z293" s="397"/>
      <c r="AG293" s="18"/>
      <c r="AH293" s="365">
        <f>SUM(AH291:AH292)</f>
        <v>50788.093023255802</v>
      </c>
      <c r="AI293" s="18"/>
      <c r="AJ293" s="365">
        <f>SUM(AJ291:AJ292)</f>
        <v>18075.832558139533</v>
      </c>
      <c r="AK293" s="394"/>
      <c r="AL293" s="394"/>
      <c r="AM293" s="395"/>
      <c r="AN293" s="394"/>
      <c r="AO293" s="394"/>
    </row>
    <row r="294" spans="1:47" ht="15.75" x14ac:dyDescent="0.25">
      <c r="J294" s="894" t="s">
        <v>477</v>
      </c>
      <c r="K294" s="894"/>
      <c r="L294" s="429"/>
      <c r="M294" s="422"/>
      <c r="N294" s="422"/>
      <c r="O294" s="422"/>
      <c r="P294" s="422"/>
      <c r="V294" s="27"/>
      <c r="W294" s="397"/>
      <c r="X294" s="397"/>
      <c r="Y294" s="397"/>
      <c r="Z294" s="397"/>
      <c r="AA294" s="400"/>
      <c r="AB294" s="404"/>
      <c r="AC294" s="391"/>
      <c r="AD294" s="392"/>
      <c r="AE294" s="399"/>
      <c r="AF294" s="403"/>
      <c r="AG294" s="392"/>
      <c r="AH294" s="378"/>
      <c r="AI294" s="393"/>
      <c r="AJ294" s="394"/>
      <c r="AK294" s="394"/>
      <c r="AL294" s="405"/>
      <c r="AM294" s="405"/>
      <c r="AN294" s="405"/>
      <c r="AO294" s="405"/>
    </row>
    <row r="295" spans="1:47" ht="15.75" x14ac:dyDescent="0.25">
      <c r="J295" s="894" t="s">
        <v>217</v>
      </c>
      <c r="K295" s="894"/>
      <c r="L295" s="429" t="s">
        <v>180</v>
      </c>
      <c r="M295" s="422"/>
      <c r="N295" s="422"/>
      <c r="O295" s="422"/>
      <c r="P295" s="422"/>
      <c r="V295" s="27"/>
      <c r="W295" s="389"/>
      <c r="X295" s="389"/>
      <c r="Y295" s="389"/>
      <c r="Z295" s="389"/>
      <c r="AA295" s="390"/>
      <c r="AB295" s="391"/>
      <c r="AC295" s="391"/>
      <c r="AD295" s="392"/>
      <c r="AE295" s="391"/>
      <c r="AF295" s="392"/>
      <c r="AG295" s="392"/>
      <c r="AH295" s="378"/>
      <c r="AI295" s="393"/>
      <c r="AJ295" s="394"/>
      <c r="AK295" s="394"/>
      <c r="AL295" s="394"/>
      <c r="AM295" s="395"/>
      <c r="AN295" s="394"/>
      <c r="AO295" s="394"/>
    </row>
    <row r="296" spans="1:47" ht="15.75" x14ac:dyDescent="0.25">
      <c r="J296" s="894" t="s">
        <v>478</v>
      </c>
      <c r="K296" s="894"/>
      <c r="L296" s="429">
        <v>3500</v>
      </c>
      <c r="M296" s="422"/>
      <c r="N296" s="422"/>
      <c r="O296" s="422"/>
      <c r="P296" s="422"/>
      <c r="V296" s="27"/>
      <c r="W296" s="389"/>
      <c r="X296" s="389"/>
      <c r="Y296" s="389"/>
      <c r="Z296" s="389"/>
      <c r="AA296" s="390"/>
      <c r="AB296" s="391"/>
      <c r="AC296" s="391"/>
      <c r="AD296" s="392"/>
      <c r="AE296" s="391"/>
      <c r="AF296" s="392"/>
      <c r="AG296" s="392"/>
      <c r="AH296" s="378"/>
      <c r="AI296" s="393"/>
      <c r="AJ296" s="394"/>
      <c r="AK296" s="394"/>
      <c r="AL296" s="394"/>
      <c r="AM296" s="395"/>
      <c r="AN296" s="394"/>
      <c r="AO296" s="394"/>
    </row>
    <row r="297" spans="1:47" ht="15.75" x14ac:dyDescent="0.25">
      <c r="J297" s="894" t="s">
        <v>219</v>
      </c>
      <c r="K297" s="894"/>
      <c r="L297" s="429" t="s">
        <v>180</v>
      </c>
      <c r="M297" s="422"/>
      <c r="N297" s="422"/>
      <c r="O297" s="422"/>
      <c r="P297" s="422"/>
      <c r="V297" s="27"/>
      <c r="W297" s="273"/>
      <c r="X297" s="273"/>
      <c r="Y297" s="273"/>
      <c r="Z297" s="273"/>
      <c r="AA297" s="273"/>
      <c r="AB297" s="273"/>
      <c r="AC297" s="273"/>
      <c r="AD297" s="273"/>
      <c r="AE297" s="273"/>
      <c r="AF297" s="273"/>
      <c r="AG297" s="224"/>
      <c r="AH297" s="273"/>
      <c r="AI297" s="224"/>
      <c r="AJ297" s="1"/>
      <c r="AK297" s="1"/>
      <c r="AL297" s="1"/>
      <c r="AM297" s="1"/>
      <c r="AN297" s="1"/>
      <c r="AO297" s="1"/>
    </row>
    <row r="298" spans="1:47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4" t="s">
        <v>220</v>
      </c>
      <c r="K298" s="894"/>
      <c r="L298" s="429">
        <v>3500</v>
      </c>
      <c r="M298" s="422"/>
      <c r="N298" s="422"/>
      <c r="O298" s="422"/>
      <c r="P298" s="422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H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</row>
    <row r="299" spans="1:47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4" t="s">
        <v>221</v>
      </c>
      <c r="K299" s="894"/>
      <c r="L299" s="429">
        <v>3500</v>
      </c>
      <c r="M299" s="422"/>
      <c r="N299" s="422"/>
      <c r="O299" s="422"/>
      <c r="P299" s="422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H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</row>
    <row r="300" spans="1:47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4" t="s">
        <v>479</v>
      </c>
      <c r="K300" s="894"/>
      <c r="L300" s="859">
        <v>0</v>
      </c>
      <c r="M300" s="422"/>
      <c r="N300" s="422"/>
      <c r="O300" s="422"/>
      <c r="P300" s="422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H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</row>
    <row r="301" spans="1:47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4" t="s">
        <v>223</v>
      </c>
      <c r="K301" s="894"/>
      <c r="L301" s="859">
        <v>12000</v>
      </c>
      <c r="M301" s="430"/>
      <c r="N301" s="422"/>
      <c r="O301" s="422"/>
      <c r="P301" s="422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H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</row>
    <row r="302" spans="1:47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/>
      <c r="J302" s="894" t="s">
        <v>480</v>
      </c>
      <c r="K302" s="894"/>
      <c r="L302" s="859" t="s">
        <v>189</v>
      </c>
      <c r="M302" s="431"/>
      <c r="N302" s="431"/>
      <c r="O302" s="431"/>
      <c r="P302" s="431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H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</row>
    <row r="303" spans="1:47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3" t="s">
        <v>481</v>
      </c>
      <c r="K303" s="893"/>
      <c r="L303" s="432">
        <v>8500</v>
      </c>
      <c r="M303" s="431"/>
      <c r="N303" s="431"/>
      <c r="O303" s="431"/>
      <c r="P303" s="431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H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</row>
    <row r="304" spans="1:47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4" t="s">
        <v>482</v>
      </c>
      <c r="K304" s="894"/>
      <c r="L304" s="859">
        <v>8500</v>
      </c>
      <c r="M304" s="431"/>
      <c r="N304" s="431"/>
      <c r="O304" s="431"/>
      <c r="P304" s="431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H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</row>
    <row r="305" spans="1:47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/>
      <c r="J305" s="895" t="s">
        <v>483</v>
      </c>
      <c r="K305" s="895"/>
      <c r="L305" s="847" t="s">
        <v>189</v>
      </c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H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</row>
    <row r="306" spans="1:47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 t="s">
        <v>494</v>
      </c>
      <c r="J306" s="895" t="s">
        <v>484</v>
      </c>
      <c r="K306" s="895"/>
      <c r="L306" s="485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H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</row>
    <row r="307" spans="1:47" s="1" customFormat="1" ht="15.75" x14ac:dyDescent="0.25">
      <c r="A307" s="19"/>
      <c r="B307" s="153"/>
      <c r="C307" s="294"/>
      <c r="D307" s="18"/>
      <c r="E307" s="60"/>
      <c r="F307" s="91"/>
      <c r="G307" s="19"/>
      <c r="H307" s="2"/>
      <c r="I307" s="2"/>
      <c r="J307" s="895" t="s">
        <v>485</v>
      </c>
      <c r="K307" s="895"/>
      <c r="L307" s="847" t="s">
        <v>189</v>
      </c>
      <c r="M307" s="434"/>
      <c r="N307" s="434"/>
      <c r="O307" s="434"/>
      <c r="P307" s="434"/>
      <c r="S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H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</row>
    <row r="308" spans="1:47" s="1" customFormat="1" ht="15.75" x14ac:dyDescent="0.25">
      <c r="A308" s="19"/>
      <c r="B308" s="153"/>
      <c r="C308" s="294"/>
      <c r="D308" s="18"/>
      <c r="E308" s="60"/>
      <c r="F308" s="91"/>
      <c r="G308" s="19"/>
      <c r="H308" s="2"/>
      <c r="I308" s="2"/>
      <c r="J308" s="895" t="s">
        <v>486</v>
      </c>
      <c r="K308" s="895"/>
      <c r="L308" s="847" t="s">
        <v>189</v>
      </c>
      <c r="M308" s="434"/>
      <c r="N308" s="434"/>
      <c r="O308" s="434"/>
      <c r="P308" s="434"/>
      <c r="S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H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</row>
    <row r="309" spans="1:47" s="1" customFormat="1" ht="15.75" x14ac:dyDescent="0.25">
      <c r="A309" s="19"/>
      <c r="B309" s="153"/>
      <c r="C309" s="294"/>
      <c r="D309" s="18"/>
      <c r="E309" s="60"/>
      <c r="F309" s="91"/>
      <c r="G309" s="19"/>
      <c r="H309" s="2"/>
      <c r="I309" s="2"/>
      <c r="J309" s="892" t="s">
        <v>222</v>
      </c>
      <c r="K309" s="892"/>
      <c r="L309" s="847">
        <v>7500</v>
      </c>
      <c r="M309" s="434"/>
      <c r="N309" s="434"/>
      <c r="O309" s="434"/>
      <c r="P309" s="434"/>
      <c r="S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H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</row>
    <row r="310" spans="1:47" s="1" customFormat="1" ht="15.75" x14ac:dyDescent="0.25">
      <c r="A310" s="19"/>
      <c r="B310" s="153"/>
      <c r="C310" s="294"/>
      <c r="D310" s="18"/>
      <c r="E310" s="60"/>
      <c r="F310" s="91"/>
      <c r="G310" s="19"/>
      <c r="H310" s="2"/>
      <c r="I310" s="2"/>
      <c r="J310" s="892" t="s">
        <v>487</v>
      </c>
      <c r="K310" s="892"/>
      <c r="L310" s="847"/>
      <c r="M310" s="434"/>
      <c r="N310" s="434"/>
      <c r="O310" s="434"/>
      <c r="P310" s="434"/>
      <c r="S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H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</row>
    <row r="311" spans="1:47" s="1" customFormat="1" ht="15.75" x14ac:dyDescent="0.25">
      <c r="A311" s="19"/>
      <c r="B311" s="153"/>
      <c r="C311" s="294"/>
      <c r="D311" s="18"/>
      <c r="E311" s="60"/>
      <c r="F311" s="91"/>
      <c r="G311" s="19"/>
      <c r="H311" s="2"/>
      <c r="I311" s="2"/>
      <c r="J311" s="892" t="s">
        <v>213</v>
      </c>
      <c r="K311" s="892"/>
      <c r="L311" s="847" t="s">
        <v>161</v>
      </c>
      <c r="M311" s="434"/>
      <c r="N311" s="434"/>
      <c r="O311" s="434"/>
      <c r="P311" s="434"/>
      <c r="S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H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</row>
    <row r="312" spans="1:47" s="1" customFormat="1" ht="15.75" x14ac:dyDescent="0.25">
      <c r="A312" s="19"/>
      <c r="B312" s="153"/>
      <c r="C312" s="294"/>
      <c r="D312" s="18"/>
      <c r="E312" s="60"/>
      <c r="F312" s="91"/>
      <c r="G312" s="19"/>
      <c r="H312" s="2"/>
      <c r="I312" s="2" t="s">
        <v>494</v>
      </c>
      <c r="J312" s="892" t="s">
        <v>488</v>
      </c>
      <c r="K312" s="892"/>
      <c r="L312" s="485"/>
      <c r="M312" s="434"/>
      <c r="N312" s="434"/>
      <c r="O312" s="434"/>
      <c r="P312" s="434"/>
      <c r="S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H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</row>
    <row r="313" spans="1:47" s="1" customFormat="1" ht="15.75" x14ac:dyDescent="0.25">
      <c r="A313" s="19"/>
      <c r="B313" s="153"/>
      <c r="C313" s="294"/>
      <c r="D313" s="18"/>
      <c r="E313" s="60"/>
      <c r="F313" s="91"/>
      <c r="G313" s="19"/>
      <c r="H313" s="2"/>
      <c r="I313" s="2"/>
      <c r="J313" s="892" t="s">
        <v>489</v>
      </c>
      <c r="K313" s="892"/>
      <c r="L313" s="847"/>
      <c r="M313" s="434"/>
      <c r="N313" s="434"/>
      <c r="O313" s="434"/>
      <c r="P313" s="434"/>
      <c r="S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H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</row>
  </sheetData>
  <mergeCells count="179">
    <mergeCell ref="A14:A15"/>
    <mergeCell ref="B14:D15"/>
    <mergeCell ref="E14:E15"/>
    <mergeCell ref="F14:F15"/>
    <mergeCell ref="G14:G15"/>
    <mergeCell ref="H14:H15"/>
    <mergeCell ref="B35:D35"/>
    <mergeCell ref="W61:AB61"/>
    <mergeCell ref="W22:AB22"/>
    <mergeCell ref="W23:AB23"/>
    <mergeCell ref="W24:AB24"/>
    <mergeCell ref="W25:AB25"/>
    <mergeCell ref="W26:AB26"/>
    <mergeCell ref="W29:AB29"/>
    <mergeCell ref="I14:I15"/>
    <mergeCell ref="J14:J15"/>
    <mergeCell ref="K14:K15"/>
    <mergeCell ref="L14:L15"/>
    <mergeCell ref="M14:O14"/>
    <mergeCell ref="P14:P15"/>
    <mergeCell ref="W62:AB62"/>
    <mergeCell ref="W63:AB63"/>
    <mergeCell ref="W64:AB64"/>
    <mergeCell ref="W65:AB65"/>
    <mergeCell ref="W66:AB66"/>
    <mergeCell ref="W76:AB76"/>
    <mergeCell ref="W30:AB30"/>
    <mergeCell ref="W31:AB31"/>
    <mergeCell ref="W32:AB32"/>
    <mergeCell ref="W33:AB33"/>
    <mergeCell ref="W124:AB124"/>
    <mergeCell ref="AL124:AN124"/>
    <mergeCell ref="W125:AB125"/>
    <mergeCell ref="AL125:AN125"/>
    <mergeCell ref="W126:AB126"/>
    <mergeCell ref="AL126:AN126"/>
    <mergeCell ref="W77:AB77"/>
    <mergeCell ref="W80:AB80"/>
    <mergeCell ref="W81:AB81"/>
    <mergeCell ref="W82:AB82"/>
    <mergeCell ref="W83:AB83"/>
    <mergeCell ref="W84:AB84"/>
    <mergeCell ref="B155:D155"/>
    <mergeCell ref="AB155:AD155"/>
    <mergeCell ref="W132:AB132"/>
    <mergeCell ref="AL132:AN132"/>
    <mergeCell ref="W133:AB133"/>
    <mergeCell ref="AL133:AN133"/>
    <mergeCell ref="W134:AB134"/>
    <mergeCell ref="AL134:AN134"/>
    <mergeCell ref="W127:AB127"/>
    <mergeCell ref="AL127:AN127"/>
    <mergeCell ref="W128:AB128"/>
    <mergeCell ref="AL128:AN128"/>
    <mergeCell ref="W131:AB131"/>
    <mergeCell ref="AL131:AN131"/>
    <mergeCell ref="AB156:AD156"/>
    <mergeCell ref="AB157:AD157"/>
    <mergeCell ref="AB159:AD159"/>
    <mergeCell ref="AB160:AD160"/>
    <mergeCell ref="AB161:AD161"/>
    <mergeCell ref="AB162:AD162"/>
    <mergeCell ref="W135:AB135"/>
    <mergeCell ref="AL135:AN135"/>
    <mergeCell ref="AB151:AD151"/>
    <mergeCell ref="AB153:AD153"/>
    <mergeCell ref="AB154:AD154"/>
    <mergeCell ref="AO168:AQ168"/>
    <mergeCell ref="AO169:AQ169"/>
    <mergeCell ref="AO170:AQ170"/>
    <mergeCell ref="AO174:AQ174"/>
    <mergeCell ref="AO175:AQ175"/>
    <mergeCell ref="AO176:AQ176"/>
    <mergeCell ref="AB163:AD163"/>
    <mergeCell ref="AB164:AD164"/>
    <mergeCell ref="AB165:AD165"/>
    <mergeCell ref="AB166:AD166"/>
    <mergeCell ref="AO166:AQ166"/>
    <mergeCell ref="AO167:AQ167"/>
    <mergeCell ref="AO186:AQ186"/>
    <mergeCell ref="AO189:AP189"/>
    <mergeCell ref="AO190:AP190"/>
    <mergeCell ref="AO193:AP193"/>
    <mergeCell ref="AO199:AP199"/>
    <mergeCell ref="AO200:AP200"/>
    <mergeCell ref="AO177:AQ177"/>
    <mergeCell ref="AO178:AQ178"/>
    <mergeCell ref="AO182:AQ182"/>
    <mergeCell ref="AO183:AQ183"/>
    <mergeCell ref="AO184:AQ184"/>
    <mergeCell ref="AO185:AQ185"/>
    <mergeCell ref="AO207:AP207"/>
    <mergeCell ref="AO208:AP208"/>
    <mergeCell ref="AO209:AP209"/>
    <mergeCell ref="AD215:AF215"/>
    <mergeCell ref="AG215:AH215"/>
    <mergeCell ref="B217:D217"/>
    <mergeCell ref="AO201:AP201"/>
    <mergeCell ref="AO202:AP202"/>
    <mergeCell ref="AO203:AP203"/>
    <mergeCell ref="AO204:AP204"/>
    <mergeCell ref="AO205:AP205"/>
    <mergeCell ref="AO206:AP206"/>
    <mergeCell ref="AD232:AF232"/>
    <mergeCell ref="AG232:AH232"/>
    <mergeCell ref="AQ232:AR232"/>
    <mergeCell ref="AQ233:AR233"/>
    <mergeCell ref="B245:D245"/>
    <mergeCell ref="B247:D247"/>
    <mergeCell ref="M247:P247"/>
    <mergeCell ref="AQ228:AR228"/>
    <mergeCell ref="AQ229:AR229"/>
    <mergeCell ref="AD230:AF230"/>
    <mergeCell ref="AG230:AH230"/>
    <mergeCell ref="AQ230:AR230"/>
    <mergeCell ref="AD231:AF231"/>
    <mergeCell ref="AG231:AH231"/>
    <mergeCell ref="AQ231:AR231"/>
    <mergeCell ref="J268:K268"/>
    <mergeCell ref="J269:K269"/>
    <mergeCell ref="J270:K270"/>
    <mergeCell ref="J271:K271"/>
    <mergeCell ref="J272:K272"/>
    <mergeCell ref="J273:K273"/>
    <mergeCell ref="AD248:AF248"/>
    <mergeCell ref="AG248:AH248"/>
    <mergeCell ref="AD262:AF262"/>
    <mergeCell ref="AG262:AH262"/>
    <mergeCell ref="J266:K266"/>
    <mergeCell ref="J267:K267"/>
    <mergeCell ref="J280:K280"/>
    <mergeCell ref="AA280:AC280"/>
    <mergeCell ref="J281:K281"/>
    <mergeCell ref="AA281:AC281"/>
    <mergeCell ref="J282:K282"/>
    <mergeCell ref="AA282:AC282"/>
    <mergeCell ref="J274:K274"/>
    <mergeCell ref="J275:K275"/>
    <mergeCell ref="J276:K276"/>
    <mergeCell ref="J277:K277"/>
    <mergeCell ref="J278:K278"/>
    <mergeCell ref="J279:K279"/>
    <mergeCell ref="J286:K286"/>
    <mergeCell ref="AA286:AC286"/>
    <mergeCell ref="J287:K287"/>
    <mergeCell ref="J288:K288"/>
    <mergeCell ref="J289:K289"/>
    <mergeCell ref="J290:K290"/>
    <mergeCell ref="J283:K283"/>
    <mergeCell ref="AA283:AC283"/>
    <mergeCell ref="J284:K284"/>
    <mergeCell ref="AA284:AC284"/>
    <mergeCell ref="J285:K285"/>
    <mergeCell ref="AA285:AC285"/>
    <mergeCell ref="J295:K295"/>
    <mergeCell ref="J296:K296"/>
    <mergeCell ref="J297:K297"/>
    <mergeCell ref="J298:K298"/>
    <mergeCell ref="J299:K299"/>
    <mergeCell ref="J300:K300"/>
    <mergeCell ref="J291:K291"/>
    <mergeCell ref="AA291:AC291"/>
    <mergeCell ref="J292:K292"/>
    <mergeCell ref="AA292:AC292"/>
    <mergeCell ref="J293:K293"/>
    <mergeCell ref="J294:K294"/>
    <mergeCell ref="J313:K313"/>
    <mergeCell ref="J307:K307"/>
    <mergeCell ref="J308:K308"/>
    <mergeCell ref="J309:K309"/>
    <mergeCell ref="J310:K310"/>
    <mergeCell ref="J311:K311"/>
    <mergeCell ref="J312:K312"/>
    <mergeCell ref="J301:K301"/>
    <mergeCell ref="J302:K302"/>
    <mergeCell ref="J303:K303"/>
    <mergeCell ref="J304:K304"/>
    <mergeCell ref="J305:K305"/>
    <mergeCell ref="J306:K306"/>
  </mergeCells>
  <printOptions horizontalCentered="1"/>
  <pageMargins left="0.25" right="0.25" top="0.5" bottom="0.5" header="0.3" footer="0.3"/>
  <pageSetup scale="65" orientation="landscape" r:id="rId1"/>
  <headerFooter>
    <oddFooter>Page &amp;P of &amp;N</oddFooter>
  </headerFooter>
  <rowBreaks count="2" manualBreakCount="2">
    <brk id="62" max="15" man="1"/>
    <brk id="155" max="1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I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7:AF220"/>
  <sheetViews>
    <sheetView showGridLines="0" topLeftCell="A143" zoomScale="85" zoomScaleNormal="85" workbookViewId="0">
      <selection activeCell="C40" sqref="C40"/>
    </sheetView>
  </sheetViews>
  <sheetFormatPr defaultRowHeight="15" x14ac:dyDescent="0.25"/>
  <cols>
    <col min="1" max="1" width="6.85546875" style="18" customWidth="1"/>
    <col min="2" max="2" width="3.42578125" style="153" customWidth="1"/>
    <col min="3" max="3" width="78.85546875" style="18" customWidth="1"/>
    <col min="4" max="4" width="9.28515625" style="60" customWidth="1"/>
    <col min="5" max="5" width="9.7109375" style="2" customWidth="1"/>
    <col min="6" max="10" width="9.28515625" style="19" customWidth="1"/>
    <col min="11" max="11" width="14.140625" style="19" customWidth="1"/>
    <col min="12" max="15" width="14.7109375" style="1" customWidth="1"/>
    <col min="16" max="16" width="19.42578125" style="1" customWidth="1"/>
    <col min="17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9" width="10.7109375" style="18" customWidth="1"/>
    <col min="30" max="30" width="14.42578125" style="1" customWidth="1"/>
    <col min="31" max="31" width="10.7109375" style="18" customWidth="1"/>
    <col min="32" max="32" width="10.7109375" style="1" customWidth="1"/>
    <col min="33" max="33" width="10.7109375" style="18" customWidth="1"/>
    <col min="34" max="16384" width="9.140625" style="18"/>
  </cols>
  <sheetData>
    <row r="7" spans="1:32" x14ac:dyDescent="0.25">
      <c r="A7" s="18" t="s">
        <v>0</v>
      </c>
      <c r="B7" s="153" t="s">
        <v>1</v>
      </c>
      <c r="C7" s="18" t="s">
        <v>2</v>
      </c>
    </row>
    <row r="8" spans="1:32" x14ac:dyDescent="0.25">
      <c r="A8" s="18" t="s">
        <v>3</v>
      </c>
      <c r="B8" s="153" t="s">
        <v>1</v>
      </c>
      <c r="C8" s="20" t="s">
        <v>17</v>
      </c>
    </row>
    <row r="9" spans="1:32" x14ac:dyDescent="0.25">
      <c r="A9" s="20" t="s">
        <v>22</v>
      </c>
      <c r="B9" s="153" t="s">
        <v>1</v>
      </c>
      <c r="C9" s="20" t="s">
        <v>23</v>
      </c>
    </row>
    <row r="10" spans="1:32" x14ac:dyDescent="0.25">
      <c r="A10" s="20" t="s">
        <v>24</v>
      </c>
      <c r="B10" s="153" t="s">
        <v>1</v>
      </c>
      <c r="C10" s="21"/>
      <c r="D10" s="181"/>
    </row>
    <row r="11" spans="1:32" x14ac:dyDescent="0.25">
      <c r="A11" s="20"/>
      <c r="C11" s="21"/>
      <c r="D11" s="181"/>
    </row>
    <row r="12" spans="1:32" x14ac:dyDescent="0.25">
      <c r="A12" s="20"/>
      <c r="C12" s="21"/>
      <c r="D12" s="181"/>
    </row>
    <row r="13" spans="1:32" ht="15.75" thickBot="1" x14ac:dyDescent="0.3"/>
    <row r="14" spans="1:32" s="19" customFormat="1" x14ac:dyDescent="0.25">
      <c r="A14" s="864" t="s">
        <v>4</v>
      </c>
      <c r="B14" s="865"/>
      <c r="C14" s="868" t="s">
        <v>7</v>
      </c>
      <c r="D14" s="888" t="s">
        <v>81</v>
      </c>
      <c r="E14" s="870" t="s">
        <v>6</v>
      </c>
      <c r="F14" s="868" t="s">
        <v>5</v>
      </c>
      <c r="G14" s="868" t="s">
        <v>174</v>
      </c>
      <c r="H14" s="868" t="s">
        <v>175</v>
      </c>
      <c r="I14" s="868" t="s">
        <v>176</v>
      </c>
      <c r="J14" s="868" t="s">
        <v>177</v>
      </c>
      <c r="K14" s="868" t="s">
        <v>178</v>
      </c>
      <c r="L14" s="872" t="s">
        <v>8</v>
      </c>
      <c r="M14" s="873"/>
      <c r="N14" s="873"/>
      <c r="O14" s="874"/>
      <c r="P14" s="862" t="s">
        <v>11</v>
      </c>
      <c r="AD14" s="2"/>
      <c r="AF14" s="2"/>
    </row>
    <row r="15" spans="1:32" s="19" customFormat="1" ht="15.75" thickBot="1" x14ac:dyDescent="0.3">
      <c r="A15" s="866"/>
      <c r="B15" s="867"/>
      <c r="C15" s="869"/>
      <c r="D15" s="889"/>
      <c r="E15" s="871"/>
      <c r="F15" s="869"/>
      <c r="G15" s="869"/>
      <c r="H15" s="869"/>
      <c r="I15" s="869"/>
      <c r="J15" s="869"/>
      <c r="K15" s="869"/>
      <c r="L15" s="54" t="s">
        <v>9</v>
      </c>
      <c r="M15" s="54" t="s">
        <v>230</v>
      </c>
      <c r="N15" s="54" t="s">
        <v>10</v>
      </c>
      <c r="O15" s="54" t="s">
        <v>230</v>
      </c>
      <c r="P15" s="863"/>
      <c r="AD15" s="2"/>
      <c r="AF15" s="2"/>
    </row>
    <row r="16" spans="1:32" ht="15.75" thickBot="1" x14ac:dyDescent="0.3">
      <c r="A16" s="22"/>
      <c r="B16" s="154"/>
      <c r="C16" s="24"/>
      <c r="D16" s="182"/>
      <c r="E16" s="3"/>
      <c r="F16" s="25"/>
      <c r="G16" s="25"/>
      <c r="H16" s="25"/>
      <c r="I16" s="25"/>
      <c r="J16" s="25"/>
      <c r="K16" s="25"/>
      <c r="L16" s="4"/>
      <c r="M16" s="4"/>
      <c r="N16" s="4"/>
      <c r="O16" s="4"/>
      <c r="P16" s="5"/>
    </row>
    <row r="17" spans="1:32" s="27" customFormat="1" ht="15.75" thickBot="1" x14ac:dyDescent="0.3">
      <c r="A17" s="33" t="s">
        <v>79</v>
      </c>
      <c r="B17" s="155"/>
      <c r="C17" s="34"/>
      <c r="D17" s="61"/>
      <c r="E17" s="9"/>
      <c r="F17" s="35"/>
      <c r="G17" s="35"/>
      <c r="H17" s="35"/>
      <c r="I17" s="35"/>
      <c r="J17" s="35"/>
      <c r="K17" s="35"/>
      <c r="L17" s="10"/>
      <c r="M17" s="10"/>
      <c r="N17" s="10"/>
      <c r="O17" s="10"/>
      <c r="P17" s="11"/>
      <c r="AD17" s="211"/>
      <c r="AF17" s="211"/>
    </row>
    <row r="18" spans="1:32" s="27" customFormat="1" x14ac:dyDescent="0.25">
      <c r="A18" s="85"/>
      <c r="B18" s="156"/>
      <c r="C18" s="78"/>
      <c r="D18" s="183"/>
      <c r="E18" s="64"/>
      <c r="F18" s="65"/>
      <c r="G18" s="65"/>
      <c r="H18" s="65"/>
      <c r="I18" s="65"/>
      <c r="J18" s="65"/>
      <c r="K18" s="65"/>
      <c r="L18" s="66"/>
      <c r="M18" s="66"/>
      <c r="N18" s="66"/>
      <c r="O18" s="66"/>
      <c r="P18" s="202"/>
      <c r="AD18" s="211"/>
      <c r="AF18" s="211"/>
    </row>
    <row r="19" spans="1:32" x14ac:dyDescent="0.25">
      <c r="A19" s="86"/>
      <c r="B19" s="157"/>
      <c r="C19" s="79"/>
      <c r="D19" s="70"/>
      <c r="E19" s="67"/>
      <c r="F19" s="68"/>
      <c r="G19" s="68"/>
      <c r="H19" s="68"/>
      <c r="I19" s="68"/>
      <c r="J19" s="68"/>
      <c r="K19" s="68"/>
      <c r="L19" s="69"/>
      <c r="M19" s="69"/>
      <c r="N19" s="69"/>
      <c r="O19" s="69"/>
      <c r="P19" s="203"/>
    </row>
    <row r="20" spans="1:32" x14ac:dyDescent="0.25">
      <c r="A20" s="87" t="s">
        <v>80</v>
      </c>
      <c r="B20" s="80" t="s">
        <v>25</v>
      </c>
      <c r="C20" s="166"/>
      <c r="D20" s="70"/>
      <c r="E20" s="67"/>
      <c r="F20" s="68"/>
      <c r="G20" s="68"/>
      <c r="H20" s="68"/>
      <c r="I20" s="68"/>
      <c r="J20" s="68"/>
      <c r="K20" s="68"/>
      <c r="L20" s="69"/>
      <c r="M20" s="69"/>
      <c r="N20" s="69"/>
      <c r="O20" s="69"/>
      <c r="P20" s="203"/>
    </row>
    <row r="21" spans="1:32" x14ac:dyDescent="0.25">
      <c r="A21" s="86"/>
      <c r="B21" s="158" t="s">
        <v>62</v>
      </c>
      <c r="C21" s="81" t="s">
        <v>289</v>
      </c>
      <c r="D21" s="70">
        <f>491+3.8</f>
        <v>494.8</v>
      </c>
      <c r="E21" s="67">
        <v>497</v>
      </c>
      <c r="F21" s="68" t="s">
        <v>16</v>
      </c>
      <c r="G21" s="68">
        <f>AD66</f>
        <v>845.47169811320759</v>
      </c>
      <c r="H21" s="68">
        <f>E21*G21</f>
        <v>420199.43396226416</v>
      </c>
      <c r="I21" s="68">
        <f>AF66</f>
        <v>145</v>
      </c>
      <c r="J21" s="68">
        <f>E21*I21</f>
        <v>72065</v>
      </c>
      <c r="K21" s="68">
        <f>J21+H21</f>
        <v>492264.43396226416</v>
      </c>
      <c r="L21" s="67">
        <f>G21/$P$176*$P$185</f>
        <v>1175.3002650454746</v>
      </c>
      <c r="M21" s="69">
        <f>E21*L21</f>
        <v>584124.23172760091</v>
      </c>
      <c r="N21" s="67">
        <f>I21/$P$176*$P$185</f>
        <v>201.56622488003734</v>
      </c>
      <c r="O21" s="72">
        <f>N21*E21</f>
        <v>100178.41376537856</v>
      </c>
      <c r="P21" s="203">
        <f>O21+M21</f>
        <v>684302.64549297944</v>
      </c>
    </row>
    <row r="22" spans="1:32" x14ac:dyDescent="0.25">
      <c r="A22" s="88"/>
      <c r="B22" s="158" t="s">
        <v>63</v>
      </c>
      <c r="C22" s="81" t="s">
        <v>270</v>
      </c>
      <c r="D22" s="70">
        <f>262</f>
        <v>262</v>
      </c>
      <c r="E22" s="67">
        <v>264</v>
      </c>
      <c r="F22" s="68" t="s">
        <v>16</v>
      </c>
      <c r="G22" s="68">
        <f>AD84</f>
        <v>848.99224806201551</v>
      </c>
      <c r="H22" s="68">
        <f>E22*G22</f>
        <v>224133.95348837209</v>
      </c>
      <c r="I22" s="68">
        <f>AF84</f>
        <v>78</v>
      </c>
      <c r="J22" s="68">
        <f t="shared" ref="J22:J28" si="0">E22*I22</f>
        <v>20592</v>
      </c>
      <c r="K22" s="68">
        <f t="shared" ref="K22:K28" si="1">J22+H22</f>
        <v>244725.95348837209</v>
      </c>
      <c r="L22" s="67">
        <f t="shared" ref="L22:L28" si="2">G22/$P$176*$P$185</f>
        <v>1180.1942234088044</v>
      </c>
      <c r="M22" s="69">
        <f t="shared" ref="M22:M28" si="3">E22*L22</f>
        <v>311571.27497992438</v>
      </c>
      <c r="N22" s="67">
        <f t="shared" ref="N22:N26" si="4">I22/$P$176*$P$185</f>
        <v>108.42872786650284</v>
      </c>
      <c r="O22" s="72">
        <f t="shared" ref="O22:O28" si="5">N22*E22</f>
        <v>28625.18415675675</v>
      </c>
      <c r="P22" s="203">
        <f t="shared" ref="P22:P27" si="6">O22+M22</f>
        <v>340196.45913668111</v>
      </c>
    </row>
    <row r="23" spans="1:32" x14ac:dyDescent="0.25">
      <c r="A23" s="88"/>
      <c r="B23" s="158" t="s">
        <v>64</v>
      </c>
      <c r="C23" s="81" t="s">
        <v>290</v>
      </c>
      <c r="D23" s="70">
        <f>23.6</f>
        <v>23.6</v>
      </c>
      <c r="E23" s="67">
        <v>25</v>
      </c>
      <c r="F23" s="68" t="s">
        <v>16</v>
      </c>
      <c r="G23" s="68">
        <f>AD74</f>
        <v>799.43396226415098</v>
      </c>
      <c r="H23" s="68">
        <f t="shared" ref="H23:H28" si="7">E23*G23</f>
        <v>19985.849056603773</v>
      </c>
      <c r="I23" s="68">
        <f>AF74</f>
        <v>120</v>
      </c>
      <c r="J23" s="68">
        <f t="shared" si="0"/>
        <v>3000</v>
      </c>
      <c r="K23" s="68">
        <f t="shared" si="1"/>
        <v>22985.849056603773</v>
      </c>
      <c r="L23" s="67">
        <f t="shared" si="2"/>
        <v>1111.3026607894838</v>
      </c>
      <c r="M23" s="69">
        <f t="shared" si="3"/>
        <v>27782.566519737094</v>
      </c>
      <c r="N23" s="67">
        <f t="shared" si="4"/>
        <v>166.81342748692742</v>
      </c>
      <c r="O23" s="72">
        <f t="shared" si="5"/>
        <v>4170.3356871731858</v>
      </c>
      <c r="P23" s="203">
        <f t="shared" si="6"/>
        <v>31952.902206910279</v>
      </c>
    </row>
    <row r="24" spans="1:32" x14ac:dyDescent="0.25">
      <c r="A24" s="88"/>
      <c r="B24" s="158" t="s">
        <v>65</v>
      </c>
      <c r="C24" s="81" t="s">
        <v>241</v>
      </c>
      <c r="D24" s="70">
        <v>12</v>
      </c>
      <c r="E24" s="67">
        <v>14</v>
      </c>
      <c r="F24" s="68" t="s">
        <v>16</v>
      </c>
      <c r="G24" s="68">
        <f>AD52</f>
        <v>1281.3207547169811</v>
      </c>
      <c r="H24" s="68">
        <f>E24*G24</f>
        <v>17938.490566037737</v>
      </c>
      <c r="I24" s="68">
        <f>AF52</f>
        <v>156</v>
      </c>
      <c r="J24" s="68">
        <f t="shared" si="0"/>
        <v>2184</v>
      </c>
      <c r="K24" s="68">
        <f t="shared" si="1"/>
        <v>20122.490566037737</v>
      </c>
      <c r="L24" s="67">
        <f t="shared" si="2"/>
        <v>1781.1792233706356</v>
      </c>
      <c r="M24" s="69">
        <f t="shared" si="3"/>
        <v>24936.509127188896</v>
      </c>
      <c r="N24" s="67">
        <f t="shared" si="4"/>
        <v>216.85745573300568</v>
      </c>
      <c r="O24" s="72">
        <f t="shared" si="5"/>
        <v>3036.0043802620794</v>
      </c>
      <c r="P24" s="203">
        <f t="shared" si="6"/>
        <v>27972.513507450974</v>
      </c>
      <c r="R24" s="18">
        <f>435*3</f>
        <v>1305</v>
      </c>
    </row>
    <row r="25" spans="1:32" x14ac:dyDescent="0.25">
      <c r="A25" s="88"/>
      <c r="B25" s="158" t="s">
        <v>66</v>
      </c>
      <c r="C25" s="81" t="s">
        <v>242</v>
      </c>
      <c r="D25" s="70">
        <v>28.5</v>
      </c>
      <c r="E25" s="67">
        <v>30</v>
      </c>
      <c r="F25" s="68" t="s">
        <v>16</v>
      </c>
      <c r="G25" s="68">
        <f>AD59</f>
        <v>1293.5849056603774</v>
      </c>
      <c r="H25" s="68">
        <f t="shared" si="7"/>
        <v>38807.547169811325</v>
      </c>
      <c r="I25" s="68">
        <f>AF59</f>
        <v>153</v>
      </c>
      <c r="J25" s="68">
        <f t="shared" si="0"/>
        <v>4590</v>
      </c>
      <c r="K25" s="68">
        <f t="shared" si="1"/>
        <v>43397.547169811325</v>
      </c>
      <c r="L25" s="67">
        <f t="shared" si="2"/>
        <v>1798.2277654880104</v>
      </c>
      <c r="M25" s="69">
        <f t="shared" si="3"/>
        <v>53946.832964640314</v>
      </c>
      <c r="N25" s="67">
        <f t="shared" si="4"/>
        <v>212.68712004583247</v>
      </c>
      <c r="O25" s="72">
        <f t="shared" si="5"/>
        <v>6380.6136013749738</v>
      </c>
      <c r="P25" s="203">
        <f t="shared" si="6"/>
        <v>60327.446566015285</v>
      </c>
    </row>
    <row r="26" spans="1:32" x14ac:dyDescent="0.25">
      <c r="A26" s="88"/>
      <c r="B26" s="158" t="s">
        <v>67</v>
      </c>
      <c r="C26" s="81" t="s">
        <v>44</v>
      </c>
      <c r="D26" s="70">
        <v>45.86</v>
      </c>
      <c r="E26" s="67">
        <v>47</v>
      </c>
      <c r="F26" s="68" t="s">
        <v>16</v>
      </c>
      <c r="G26" s="68"/>
      <c r="H26" s="68">
        <f t="shared" si="7"/>
        <v>0</v>
      </c>
      <c r="I26" s="68"/>
      <c r="J26" s="68">
        <f t="shared" si="0"/>
        <v>0</v>
      </c>
      <c r="K26" s="68">
        <f t="shared" si="1"/>
        <v>0</v>
      </c>
      <c r="L26" s="67">
        <f t="shared" si="2"/>
        <v>0</v>
      </c>
      <c r="M26" s="69">
        <f t="shared" si="3"/>
        <v>0</v>
      </c>
      <c r="N26" s="67">
        <f t="shared" si="4"/>
        <v>0</v>
      </c>
      <c r="O26" s="72">
        <f t="shared" si="5"/>
        <v>0</v>
      </c>
      <c r="P26" s="221" t="s">
        <v>296</v>
      </c>
    </row>
    <row r="27" spans="1:32" x14ac:dyDescent="0.25">
      <c r="A27" s="88"/>
      <c r="B27" s="158" t="s">
        <v>68</v>
      </c>
      <c r="C27" s="170" t="s">
        <v>162</v>
      </c>
      <c r="D27" s="70">
        <v>238.71</v>
      </c>
      <c r="E27" s="67">
        <v>241</v>
      </c>
      <c r="F27" s="68" t="s">
        <v>16</v>
      </c>
      <c r="G27" s="68"/>
      <c r="H27" s="68">
        <f t="shared" si="7"/>
        <v>0</v>
      </c>
      <c r="I27" s="68"/>
      <c r="J27" s="68">
        <f t="shared" si="0"/>
        <v>0</v>
      </c>
      <c r="K27" s="68">
        <f t="shared" si="1"/>
        <v>0</v>
      </c>
      <c r="L27" s="67">
        <f t="shared" si="2"/>
        <v>0</v>
      </c>
      <c r="M27" s="69">
        <f t="shared" si="3"/>
        <v>0</v>
      </c>
      <c r="N27" s="67">
        <f>I27/$P$176*$P$185</f>
        <v>0</v>
      </c>
      <c r="O27" s="72">
        <f t="shared" si="5"/>
        <v>0</v>
      </c>
      <c r="P27" s="203">
        <f t="shared" si="6"/>
        <v>0</v>
      </c>
    </row>
    <row r="28" spans="1:32" x14ac:dyDescent="0.25">
      <c r="A28" s="88"/>
      <c r="B28" s="174" t="s">
        <v>69</v>
      </c>
      <c r="C28" s="175" t="s">
        <v>287</v>
      </c>
      <c r="D28" s="177">
        <f>96.84+64.56+11.89</f>
        <v>173.29000000000002</v>
      </c>
      <c r="E28" s="177">
        <v>175</v>
      </c>
      <c r="F28" s="178" t="s">
        <v>16</v>
      </c>
      <c r="G28" s="177"/>
      <c r="H28" s="177">
        <f t="shared" si="7"/>
        <v>0</v>
      </c>
      <c r="I28" s="177"/>
      <c r="J28" s="177">
        <f t="shared" si="0"/>
        <v>0</v>
      </c>
      <c r="K28" s="177">
        <f t="shared" si="1"/>
        <v>0</v>
      </c>
      <c r="L28" s="177">
        <f t="shared" si="2"/>
        <v>0</v>
      </c>
      <c r="M28" s="191">
        <f t="shared" si="3"/>
        <v>0</v>
      </c>
      <c r="N28" s="191">
        <f>I28/$P$176*$P$185</f>
        <v>0</v>
      </c>
      <c r="O28" s="192">
        <f t="shared" si="5"/>
        <v>0</v>
      </c>
      <c r="P28" s="204" t="s">
        <v>288</v>
      </c>
      <c r="Q28" s="176"/>
      <c r="R28" s="176"/>
    </row>
    <row r="29" spans="1:32" x14ac:dyDescent="0.25">
      <c r="A29" s="88"/>
      <c r="B29" s="158"/>
      <c r="C29" s="81" t="s">
        <v>231</v>
      </c>
      <c r="D29" s="70"/>
      <c r="E29" s="67"/>
      <c r="F29" s="67"/>
      <c r="G29" s="67"/>
      <c r="H29" s="179">
        <f>SUM(H21:H28)</f>
        <v>721065.27424308902</v>
      </c>
      <c r="I29" s="67"/>
      <c r="J29" s="179">
        <f>SUM(J21:J28)</f>
        <v>102431</v>
      </c>
      <c r="K29" s="179">
        <f>SUM(K21:K28)</f>
        <v>823496.27424308902</v>
      </c>
      <c r="L29" s="72"/>
      <c r="M29" s="72"/>
      <c r="N29" s="72"/>
      <c r="O29" s="74"/>
      <c r="P29" s="180">
        <f>SUM(P21:P28)</f>
        <v>1144751.966910037</v>
      </c>
    </row>
    <row r="30" spans="1:32" x14ac:dyDescent="0.25">
      <c r="A30" s="88"/>
      <c r="B30" s="158"/>
      <c r="C30" s="81"/>
      <c r="D30" s="70"/>
      <c r="E30" s="67"/>
      <c r="F30" s="67"/>
      <c r="G30" s="67"/>
      <c r="H30" s="67"/>
      <c r="I30" s="67"/>
      <c r="J30" s="67"/>
      <c r="K30" s="67"/>
      <c r="L30" s="72"/>
      <c r="M30" s="72"/>
      <c r="N30" s="72"/>
      <c r="O30" s="74"/>
      <c r="P30" s="100"/>
    </row>
    <row r="31" spans="1:32" x14ac:dyDescent="0.25">
      <c r="A31" s="87" t="s">
        <v>82</v>
      </c>
      <c r="B31" s="80" t="s">
        <v>83</v>
      </c>
      <c r="C31" s="79"/>
      <c r="D31" s="70"/>
      <c r="E31" s="67"/>
      <c r="F31" s="68"/>
      <c r="G31" s="68"/>
      <c r="H31" s="68"/>
      <c r="I31" s="68"/>
      <c r="J31" s="68"/>
      <c r="K31" s="68"/>
      <c r="L31" s="69"/>
      <c r="M31" s="69"/>
      <c r="N31" s="69"/>
      <c r="O31" s="69"/>
      <c r="P31" s="203"/>
    </row>
    <row r="32" spans="1:32" x14ac:dyDescent="0.25">
      <c r="A32" s="87"/>
      <c r="B32" s="158" t="s">
        <v>62</v>
      </c>
      <c r="C32" s="81" t="s">
        <v>84</v>
      </c>
      <c r="D32" s="70">
        <v>16.22</v>
      </c>
      <c r="E32" s="67">
        <v>17</v>
      </c>
      <c r="F32" s="73" t="s">
        <v>101</v>
      </c>
      <c r="G32" s="73">
        <f>AD92</f>
        <v>1177.3113207547169</v>
      </c>
      <c r="H32" s="68">
        <f>E32*G32</f>
        <v>20014.292452830188</v>
      </c>
      <c r="I32" s="73"/>
      <c r="J32" s="68">
        <f>E32*I32</f>
        <v>0</v>
      </c>
      <c r="K32" s="68">
        <f>J32+H32</f>
        <v>20014.292452830188</v>
      </c>
      <c r="L32" s="67">
        <f>G32/$P$176*$P$185</f>
        <v>1636.5944719521312</v>
      </c>
      <c r="M32" s="69">
        <f>E32*L32</f>
        <v>27822.106023186232</v>
      </c>
      <c r="N32" s="67">
        <f>I32/$P$176*$P$185</f>
        <v>0</v>
      </c>
      <c r="O32" s="72">
        <f>N32*E32</f>
        <v>0</v>
      </c>
      <c r="P32" s="203">
        <f>O32+M32</f>
        <v>27822.106023186232</v>
      </c>
    </row>
    <row r="33" spans="1:32" x14ac:dyDescent="0.25">
      <c r="A33" s="87"/>
      <c r="B33" s="158" t="s">
        <v>63</v>
      </c>
      <c r="C33" s="81" t="s">
        <v>85</v>
      </c>
      <c r="D33" s="70">
        <v>44.33</v>
      </c>
      <c r="E33" s="67">
        <v>45</v>
      </c>
      <c r="F33" s="73" t="s">
        <v>101</v>
      </c>
      <c r="G33" s="73"/>
      <c r="H33" s="68">
        <f t="shared" ref="H33:H35" si="8">E33*G33</f>
        <v>0</v>
      </c>
      <c r="I33" s="73"/>
      <c r="J33" s="68">
        <f t="shared" ref="J33:J35" si="9">E33*I33</f>
        <v>0</v>
      </c>
      <c r="K33" s="68">
        <f t="shared" ref="K33:K35" si="10">J33+H33</f>
        <v>0</v>
      </c>
      <c r="L33" s="67">
        <f t="shared" ref="L33:L35" si="11">G33/$P$176*$P$185</f>
        <v>0</v>
      </c>
      <c r="M33" s="69">
        <f t="shared" ref="M33:M35" si="12">E33*L33</f>
        <v>0</v>
      </c>
      <c r="N33" s="67">
        <f>I33/$P$176*$P$185</f>
        <v>0</v>
      </c>
      <c r="O33" s="72">
        <f t="shared" ref="O33:O35" si="13">N33*E33</f>
        <v>0</v>
      </c>
      <c r="P33" s="203">
        <f t="shared" ref="P33:P35" si="14">O33+M33</f>
        <v>0</v>
      </c>
    </row>
    <row r="34" spans="1:32" x14ac:dyDescent="0.25">
      <c r="A34" s="87"/>
      <c r="B34" s="158" t="s">
        <v>64</v>
      </c>
      <c r="C34" s="81" t="s">
        <v>102</v>
      </c>
      <c r="D34" s="184">
        <v>1750</v>
      </c>
      <c r="E34" s="67"/>
      <c r="F34" s="73" t="s">
        <v>101</v>
      </c>
      <c r="G34" s="73"/>
      <c r="H34" s="68">
        <f t="shared" si="8"/>
        <v>0</v>
      </c>
      <c r="I34" s="73"/>
      <c r="J34" s="68">
        <f t="shared" si="9"/>
        <v>0</v>
      </c>
      <c r="K34" s="68">
        <f t="shared" si="10"/>
        <v>0</v>
      </c>
      <c r="L34" s="67">
        <f t="shared" si="11"/>
        <v>0</v>
      </c>
      <c r="M34" s="69">
        <f t="shared" si="12"/>
        <v>0</v>
      </c>
      <c r="N34" s="67">
        <f>I34/$P$176*$P$185</f>
        <v>0</v>
      </c>
      <c r="O34" s="72">
        <f t="shared" si="13"/>
        <v>0</v>
      </c>
      <c r="P34" s="203">
        <f t="shared" si="14"/>
        <v>0</v>
      </c>
    </row>
    <row r="35" spans="1:32" x14ac:dyDescent="0.25">
      <c r="A35" s="87"/>
      <c r="B35" s="158" t="s">
        <v>65</v>
      </c>
      <c r="C35" s="81" t="s">
        <v>156</v>
      </c>
      <c r="D35" s="184">
        <v>565</v>
      </c>
      <c r="E35" s="67"/>
      <c r="F35" s="73" t="s">
        <v>101</v>
      </c>
      <c r="G35" s="73"/>
      <c r="H35" s="68">
        <f t="shared" si="8"/>
        <v>0</v>
      </c>
      <c r="I35" s="73"/>
      <c r="J35" s="68">
        <f t="shared" si="9"/>
        <v>0</v>
      </c>
      <c r="K35" s="68">
        <f t="shared" si="10"/>
        <v>0</v>
      </c>
      <c r="L35" s="67">
        <f t="shared" si="11"/>
        <v>0</v>
      </c>
      <c r="M35" s="69">
        <f t="shared" si="12"/>
        <v>0</v>
      </c>
      <c r="N35" s="67">
        <f>I35/$P$176*$P$185</f>
        <v>0</v>
      </c>
      <c r="O35" s="72">
        <f t="shared" si="13"/>
        <v>0</v>
      </c>
      <c r="P35" s="203">
        <f t="shared" si="14"/>
        <v>0</v>
      </c>
    </row>
    <row r="36" spans="1:32" x14ac:dyDescent="0.25">
      <c r="A36" s="87"/>
      <c r="B36" s="158" t="s">
        <v>66</v>
      </c>
      <c r="C36" s="81" t="s">
        <v>153</v>
      </c>
      <c r="D36" s="184"/>
      <c r="E36" s="67"/>
      <c r="F36" s="73"/>
      <c r="G36" s="73"/>
      <c r="H36" s="73"/>
      <c r="I36" s="73"/>
      <c r="J36" s="73"/>
      <c r="K36" s="73"/>
      <c r="L36" s="69"/>
      <c r="M36" s="69"/>
      <c r="N36" s="69"/>
      <c r="O36" s="69"/>
      <c r="P36" s="203"/>
    </row>
    <row r="37" spans="1:32" x14ac:dyDescent="0.25">
      <c r="A37" s="87"/>
      <c r="B37" s="158"/>
      <c r="C37" s="81" t="s">
        <v>232</v>
      </c>
      <c r="D37" s="70"/>
      <c r="E37" s="67"/>
      <c r="F37" s="67"/>
      <c r="G37" s="67"/>
      <c r="H37" s="179">
        <f>SUM(H32:H36)</f>
        <v>20014.292452830188</v>
      </c>
      <c r="I37" s="67"/>
      <c r="J37" s="67">
        <f>SUM(J32:J36)</f>
        <v>0</v>
      </c>
      <c r="K37" s="179">
        <f>SUM(K32:K36)</f>
        <v>20014.292452830188</v>
      </c>
      <c r="L37" s="72"/>
      <c r="M37" s="72"/>
      <c r="N37" s="72"/>
      <c r="O37" s="74"/>
      <c r="P37" s="180">
        <f>SUM(P32:P36)</f>
        <v>27822.106023186232</v>
      </c>
    </row>
    <row r="38" spans="1:32" x14ac:dyDescent="0.25">
      <c r="A38" s="87"/>
      <c r="B38" s="158"/>
      <c r="C38" s="79"/>
      <c r="D38" s="70"/>
      <c r="E38" s="67"/>
      <c r="F38" s="68"/>
      <c r="G38" s="68"/>
      <c r="H38" s="68"/>
      <c r="I38" s="68"/>
      <c r="J38" s="68"/>
      <c r="K38" s="68"/>
      <c r="L38" s="69"/>
      <c r="M38" s="69"/>
      <c r="N38" s="69"/>
      <c r="O38" s="69"/>
      <c r="P38" s="203"/>
    </row>
    <row r="39" spans="1:32" x14ac:dyDescent="0.25">
      <c r="A39" s="87" t="s">
        <v>86</v>
      </c>
      <c r="B39" s="80" t="s">
        <v>87</v>
      </c>
      <c r="C39" s="79"/>
      <c r="D39" s="70"/>
      <c r="E39" s="67"/>
      <c r="F39" s="68"/>
      <c r="G39" s="68"/>
      <c r="H39" s="68"/>
      <c r="I39" s="68"/>
      <c r="J39" s="68"/>
      <c r="K39" s="68"/>
      <c r="L39" s="69"/>
      <c r="M39" s="69"/>
      <c r="N39" s="69"/>
      <c r="O39" s="69"/>
      <c r="P39" s="203"/>
    </row>
    <row r="40" spans="1:32" x14ac:dyDescent="0.25">
      <c r="A40" s="87"/>
      <c r="B40" s="158" t="s">
        <v>62</v>
      </c>
      <c r="C40" s="81" t="s">
        <v>88</v>
      </c>
      <c r="D40" s="70">
        <v>269</v>
      </c>
      <c r="E40" s="67"/>
      <c r="F40" s="73" t="s">
        <v>101</v>
      </c>
      <c r="G40" s="73"/>
      <c r="H40" s="68">
        <f>E40*G40</f>
        <v>0</v>
      </c>
      <c r="I40" s="73"/>
      <c r="J40" s="68">
        <f t="shared" ref="J40" si="15">E40*I40</f>
        <v>0</v>
      </c>
      <c r="K40" s="68">
        <f t="shared" ref="K40" si="16">J40+H40</f>
        <v>0</v>
      </c>
      <c r="L40" s="67">
        <f t="shared" ref="L40" si="17">G40/$P$176*$P$185</f>
        <v>0</v>
      </c>
      <c r="M40" s="69">
        <f t="shared" ref="M40" si="18">E40*L40</f>
        <v>0</v>
      </c>
      <c r="N40" s="67">
        <f>I40/$P$176*$P$185</f>
        <v>0</v>
      </c>
      <c r="O40" s="69"/>
      <c r="P40" s="203"/>
    </row>
    <row r="41" spans="1:32" x14ac:dyDescent="0.25">
      <c r="A41" s="87"/>
      <c r="B41" s="158"/>
      <c r="C41" s="81" t="s">
        <v>154</v>
      </c>
      <c r="D41" s="70"/>
      <c r="E41" s="67"/>
      <c r="F41" s="68"/>
      <c r="G41" s="68"/>
      <c r="H41" s="68"/>
      <c r="I41" s="68"/>
      <c r="J41" s="68"/>
      <c r="K41" s="68"/>
      <c r="L41" s="69"/>
      <c r="M41" s="69"/>
      <c r="N41" s="69"/>
      <c r="O41" s="69"/>
      <c r="P41" s="203"/>
    </row>
    <row r="42" spans="1:32" x14ac:dyDescent="0.25">
      <c r="A42" s="87"/>
      <c r="B42" s="158" t="s">
        <v>63</v>
      </c>
      <c r="C42" s="81" t="s">
        <v>90</v>
      </c>
      <c r="D42" s="70">
        <v>36.700000000000003</v>
      </c>
      <c r="E42" s="67"/>
      <c r="F42" s="73" t="s">
        <v>101</v>
      </c>
      <c r="G42" s="73"/>
      <c r="H42" s="68">
        <f>E42*G42</f>
        <v>0</v>
      </c>
      <c r="I42" s="73"/>
      <c r="J42" s="68">
        <f t="shared" ref="J42" si="19">E42*I42</f>
        <v>0</v>
      </c>
      <c r="K42" s="68">
        <f t="shared" ref="K42" si="20">J42+H42</f>
        <v>0</v>
      </c>
      <c r="L42" s="67">
        <f t="shared" ref="L42:L51" si="21">G42/$P$176*$P$185</f>
        <v>0</v>
      </c>
      <c r="M42" s="69">
        <f t="shared" ref="M42" si="22">E42*L42</f>
        <v>0</v>
      </c>
      <c r="N42" s="67">
        <f>I42/$P$176*$P$185</f>
        <v>0</v>
      </c>
      <c r="O42" s="69"/>
      <c r="P42" s="203"/>
    </row>
    <row r="43" spans="1:32" x14ac:dyDescent="0.25">
      <c r="A43" s="87"/>
      <c r="B43" s="158"/>
      <c r="C43" s="81" t="s">
        <v>155</v>
      </c>
      <c r="D43" s="70"/>
      <c r="E43" s="67"/>
      <c r="F43" s="68"/>
      <c r="G43" s="68"/>
      <c r="H43" s="68"/>
      <c r="I43" s="68"/>
      <c r="J43" s="68"/>
      <c r="K43" s="68"/>
      <c r="L43" s="69"/>
      <c r="M43" s="69"/>
      <c r="N43" s="69"/>
      <c r="O43" s="69"/>
      <c r="P43" s="203"/>
    </row>
    <row r="44" spans="1:32" x14ac:dyDescent="0.25">
      <c r="A44" s="87"/>
      <c r="B44" s="158" t="s">
        <v>64</v>
      </c>
      <c r="C44" s="81" t="s">
        <v>92</v>
      </c>
      <c r="D44" s="70">
        <v>60.98</v>
      </c>
      <c r="E44" s="67"/>
      <c r="F44" s="73" t="s">
        <v>101</v>
      </c>
      <c r="G44" s="73"/>
      <c r="H44" s="68">
        <f>E44*G44</f>
        <v>0</v>
      </c>
      <c r="I44" s="73"/>
      <c r="J44" s="68">
        <f t="shared" ref="J44" si="23">E44*I44</f>
        <v>0</v>
      </c>
      <c r="K44" s="68">
        <f t="shared" ref="K44" si="24">J44+H44</f>
        <v>0</v>
      </c>
      <c r="L44" s="67">
        <f t="shared" si="21"/>
        <v>0</v>
      </c>
      <c r="M44" s="69">
        <f t="shared" ref="M44" si="25">E44*L44</f>
        <v>0</v>
      </c>
      <c r="N44" s="67">
        <f>I44/$P$176*$P$185</f>
        <v>0</v>
      </c>
      <c r="O44" s="69"/>
      <c r="P44" s="203"/>
    </row>
    <row r="45" spans="1:32" x14ac:dyDescent="0.25">
      <c r="A45" s="87"/>
      <c r="B45" s="159"/>
      <c r="C45" s="81" t="s">
        <v>154</v>
      </c>
      <c r="D45" s="70"/>
      <c r="E45" s="67"/>
      <c r="F45" s="68"/>
      <c r="G45" s="68"/>
      <c r="H45" s="68"/>
      <c r="I45" s="68"/>
      <c r="J45" s="68"/>
      <c r="K45" s="68"/>
      <c r="L45" s="69"/>
      <c r="M45" s="69"/>
      <c r="N45" s="69"/>
      <c r="O45" s="69"/>
      <c r="P45" s="203"/>
    </row>
    <row r="46" spans="1:32" x14ac:dyDescent="0.25">
      <c r="A46" s="87"/>
      <c r="B46" s="158" t="s">
        <v>65</v>
      </c>
      <c r="C46" s="81" t="s">
        <v>93</v>
      </c>
      <c r="D46" s="70">
        <v>252</v>
      </c>
      <c r="E46" s="67"/>
      <c r="F46" s="73" t="s">
        <v>101</v>
      </c>
      <c r="G46" s="73"/>
      <c r="H46" s="68">
        <f>E46*G46</f>
        <v>0</v>
      </c>
      <c r="I46" s="73"/>
      <c r="J46" s="68">
        <f t="shared" ref="J46" si="26">E46*I46</f>
        <v>0</v>
      </c>
      <c r="K46" s="68">
        <f t="shared" ref="K46" si="27">J46+H46</f>
        <v>0</v>
      </c>
      <c r="L46" s="67">
        <f t="shared" si="21"/>
        <v>0</v>
      </c>
      <c r="M46" s="69">
        <f t="shared" ref="M46" si="28">E46*L46</f>
        <v>0</v>
      </c>
      <c r="N46" s="67">
        <f>I46/$P$176*$P$185</f>
        <v>0</v>
      </c>
      <c r="O46" s="69"/>
      <c r="P46" s="203"/>
    </row>
    <row r="47" spans="1:32" x14ac:dyDescent="0.25">
      <c r="A47" s="87"/>
      <c r="B47" s="159"/>
      <c r="C47" s="81" t="s">
        <v>94</v>
      </c>
      <c r="D47" s="70"/>
      <c r="E47" s="67"/>
      <c r="F47" s="68"/>
      <c r="G47" s="68"/>
      <c r="H47" s="68"/>
      <c r="I47" s="68"/>
      <c r="J47" s="68"/>
      <c r="K47" s="68"/>
      <c r="L47" s="69"/>
      <c r="M47" s="69"/>
      <c r="N47" s="69"/>
      <c r="O47" s="69"/>
      <c r="P47" s="203"/>
      <c r="W47" s="877" t="s">
        <v>294</v>
      </c>
      <c r="X47" s="877"/>
      <c r="Y47" s="877"/>
      <c r="Z47" s="122" t="s">
        <v>243</v>
      </c>
      <c r="AA47" s="122" t="s">
        <v>244</v>
      </c>
      <c r="AB47" s="122" t="s">
        <v>245</v>
      </c>
      <c r="AC47" s="123" t="s">
        <v>246</v>
      </c>
      <c r="AD47" s="196" t="s">
        <v>247</v>
      </c>
      <c r="AE47" s="122" t="s">
        <v>248</v>
      </c>
      <c r="AF47" s="212" t="s">
        <v>249</v>
      </c>
    </row>
    <row r="48" spans="1:32" x14ac:dyDescent="0.25">
      <c r="A48" s="87"/>
      <c r="B48" s="158" t="s">
        <v>66</v>
      </c>
      <c r="C48" s="81" t="s">
        <v>160</v>
      </c>
      <c r="D48" s="70">
        <v>71.099999999999994</v>
      </c>
      <c r="E48" s="67"/>
      <c r="F48" s="73" t="s">
        <v>101</v>
      </c>
      <c r="G48" s="73"/>
      <c r="H48" s="68">
        <f>E48*G48</f>
        <v>0</v>
      </c>
      <c r="I48" s="73"/>
      <c r="J48" s="68">
        <f t="shared" ref="J48:J51" si="29">E48*I48</f>
        <v>0</v>
      </c>
      <c r="K48" s="68">
        <f t="shared" ref="K48:K49" si="30">J48+H48</f>
        <v>0</v>
      </c>
      <c r="L48" s="67">
        <f t="shared" si="21"/>
        <v>0</v>
      </c>
      <c r="M48" s="69">
        <f t="shared" ref="M48:M49" si="31">E48*L48</f>
        <v>0</v>
      </c>
      <c r="N48" s="67">
        <f>I48/$P$176*$P$185</f>
        <v>0</v>
      </c>
      <c r="O48" s="69"/>
      <c r="P48" s="203"/>
      <c r="W48" s="878" t="s">
        <v>272</v>
      </c>
      <c r="X48" s="878"/>
      <c r="Y48" s="878"/>
      <c r="Z48" s="124" t="s">
        <v>251</v>
      </c>
      <c r="AA48" s="125">
        <v>12.5</v>
      </c>
      <c r="AB48" s="125">
        <v>13</v>
      </c>
      <c r="AC48" s="123">
        <f>98/1.06</f>
        <v>92.452830188679243</v>
      </c>
      <c r="AD48" s="196">
        <f>AC48*AB48</f>
        <v>1201.8867924528302</v>
      </c>
      <c r="AE48" s="125">
        <v>12</v>
      </c>
      <c r="AF48" s="219">
        <f>AE48*AB48</f>
        <v>156</v>
      </c>
    </row>
    <row r="49" spans="1:32" x14ac:dyDescent="0.25">
      <c r="A49" s="87"/>
      <c r="B49" s="158" t="s">
        <v>67</v>
      </c>
      <c r="C49" s="81" t="s">
        <v>98</v>
      </c>
      <c r="D49" s="70">
        <v>61.7</v>
      </c>
      <c r="E49" s="67"/>
      <c r="F49" s="73" t="s">
        <v>100</v>
      </c>
      <c r="G49" s="73"/>
      <c r="H49" s="68">
        <f>E49*G49</f>
        <v>0</v>
      </c>
      <c r="I49" s="73"/>
      <c r="J49" s="68">
        <f t="shared" si="29"/>
        <v>0</v>
      </c>
      <c r="K49" s="68">
        <f t="shared" si="30"/>
        <v>0</v>
      </c>
      <c r="L49" s="67">
        <f t="shared" si="21"/>
        <v>0</v>
      </c>
      <c r="M49" s="69">
        <f t="shared" si="31"/>
        <v>0</v>
      </c>
      <c r="N49" s="67">
        <f>I49/$P$176*$P$185</f>
        <v>0</v>
      </c>
      <c r="O49" s="69"/>
      <c r="P49" s="203"/>
      <c r="W49" s="878" t="s">
        <v>252</v>
      </c>
      <c r="X49" s="878"/>
      <c r="Y49" s="878"/>
      <c r="Z49" s="124" t="s">
        <v>253</v>
      </c>
      <c r="AA49" s="125">
        <v>0.25</v>
      </c>
      <c r="AB49" s="125">
        <v>0.25</v>
      </c>
      <c r="AC49" s="123">
        <f>285/1.06</f>
        <v>268.8679245283019</v>
      </c>
      <c r="AD49" s="196">
        <f>AC49*AB49</f>
        <v>67.216981132075475</v>
      </c>
      <c r="AE49" s="125"/>
      <c r="AF49" s="219">
        <f>AE49*AB49</f>
        <v>0</v>
      </c>
    </row>
    <row r="50" spans="1:32" x14ac:dyDescent="0.25">
      <c r="A50" s="87"/>
      <c r="B50" s="158"/>
      <c r="C50" s="81" t="s">
        <v>89</v>
      </c>
      <c r="D50" s="70"/>
      <c r="E50" s="67"/>
      <c r="F50" s="68"/>
      <c r="G50" s="68"/>
      <c r="H50" s="68"/>
      <c r="I50" s="68"/>
      <c r="J50" s="68"/>
      <c r="K50" s="68"/>
      <c r="L50" s="69"/>
      <c r="M50" s="69"/>
      <c r="N50" s="69"/>
      <c r="O50" s="69"/>
      <c r="P50" s="203"/>
      <c r="W50" s="878" t="s">
        <v>254</v>
      </c>
      <c r="X50" s="878"/>
      <c r="Y50" s="878"/>
      <c r="Z50" s="124" t="s">
        <v>255</v>
      </c>
      <c r="AA50" s="125">
        <v>0.25</v>
      </c>
      <c r="AB50" s="125">
        <v>0.35</v>
      </c>
      <c r="AC50" s="123">
        <f>37/1.06</f>
        <v>34.905660377358487</v>
      </c>
      <c r="AD50" s="196">
        <f>AC50*AB50</f>
        <v>12.216981132075469</v>
      </c>
      <c r="AE50" s="125"/>
      <c r="AF50" s="219">
        <f>AE50*AB50</f>
        <v>0</v>
      </c>
    </row>
    <row r="51" spans="1:32" x14ac:dyDescent="0.25">
      <c r="A51" s="87"/>
      <c r="B51" s="158" t="s">
        <v>68</v>
      </c>
      <c r="C51" s="81" t="s">
        <v>99</v>
      </c>
      <c r="D51" s="70">
        <v>152.9</v>
      </c>
      <c r="E51" s="67"/>
      <c r="F51" s="73" t="s">
        <v>101</v>
      </c>
      <c r="G51" s="73"/>
      <c r="H51" s="68">
        <f>E51*G51</f>
        <v>0</v>
      </c>
      <c r="I51" s="73"/>
      <c r="J51" s="68">
        <f t="shared" si="29"/>
        <v>0</v>
      </c>
      <c r="K51" s="68">
        <f t="shared" ref="K51" si="32">J51+H51</f>
        <v>0</v>
      </c>
      <c r="L51" s="67">
        <f t="shared" si="21"/>
        <v>0</v>
      </c>
      <c r="M51" s="69">
        <f t="shared" ref="M51" si="33">E51*L51</f>
        <v>0</v>
      </c>
      <c r="N51" s="67">
        <f>I51/$P$176*$P$185</f>
        <v>0</v>
      </c>
      <c r="O51" s="69"/>
      <c r="P51" s="203"/>
      <c r="W51" s="878" t="s">
        <v>256</v>
      </c>
      <c r="X51" s="878"/>
      <c r="Y51" s="878"/>
      <c r="Z51" s="124" t="s">
        <v>257</v>
      </c>
      <c r="AA51" s="125">
        <v>1</v>
      </c>
      <c r="AB51" s="125">
        <v>1</v>
      </c>
      <c r="AC51" s="123">
        <f>AN50</f>
        <v>0</v>
      </c>
      <c r="AD51" s="196">
        <f>AC51*AB51</f>
        <v>0</v>
      </c>
      <c r="AE51" s="125"/>
      <c r="AF51" s="219">
        <f>AE51*AB51</f>
        <v>0</v>
      </c>
    </row>
    <row r="52" spans="1:32" x14ac:dyDescent="0.25">
      <c r="A52" s="87"/>
      <c r="B52" s="158"/>
      <c r="C52" s="81" t="s">
        <v>233</v>
      </c>
      <c r="D52" s="70"/>
      <c r="E52" s="67"/>
      <c r="F52" s="67"/>
      <c r="G52" s="67"/>
      <c r="H52" s="67">
        <f>SUM(H40:H50)</f>
        <v>0</v>
      </c>
      <c r="I52" s="67"/>
      <c r="J52" s="67">
        <f>SUM(J40:J50)</f>
        <v>0</v>
      </c>
      <c r="K52" s="67">
        <f>SUM(K40:K50)</f>
        <v>0</v>
      </c>
      <c r="L52" s="72"/>
      <c r="M52" s="72"/>
      <c r="N52" s="72"/>
      <c r="O52" s="74"/>
      <c r="P52" s="100">
        <f>SUM(P40:P51)</f>
        <v>0</v>
      </c>
      <c r="W52" s="126"/>
      <c r="X52" s="126"/>
      <c r="Y52" s="126"/>
      <c r="Z52" s="126"/>
      <c r="AA52" s="125"/>
      <c r="AB52" s="125"/>
      <c r="AC52" s="123"/>
      <c r="AD52" s="212">
        <f>SUM(AD48:AD51)</f>
        <v>1281.3207547169811</v>
      </c>
      <c r="AE52" s="122"/>
      <c r="AF52" s="212">
        <f>SUM(AF48:AF51)</f>
        <v>156</v>
      </c>
    </row>
    <row r="53" spans="1:32" x14ac:dyDescent="0.25">
      <c r="A53" s="87"/>
      <c r="B53" s="159"/>
      <c r="C53" s="81"/>
      <c r="D53" s="70"/>
      <c r="E53" s="67"/>
      <c r="F53" s="68"/>
      <c r="G53" s="68"/>
      <c r="H53" s="68"/>
      <c r="I53" s="68"/>
      <c r="J53" s="68"/>
      <c r="K53" s="68"/>
      <c r="L53" s="69"/>
      <c r="M53" s="69"/>
      <c r="N53" s="69"/>
      <c r="O53" s="69"/>
      <c r="P53" s="203"/>
    </row>
    <row r="54" spans="1:32" x14ac:dyDescent="0.25">
      <c r="A54" s="87" t="s">
        <v>129</v>
      </c>
      <c r="B54" s="80" t="s">
        <v>26</v>
      </c>
      <c r="C54" s="82"/>
      <c r="D54" s="185"/>
      <c r="E54" s="74"/>
      <c r="F54" s="75"/>
      <c r="G54" s="75"/>
      <c r="H54" s="75"/>
      <c r="I54" s="75"/>
      <c r="J54" s="75"/>
      <c r="K54" s="75"/>
      <c r="L54" s="76"/>
      <c r="M54" s="69"/>
      <c r="N54" s="69"/>
      <c r="O54" s="69"/>
      <c r="P54" s="203"/>
      <c r="W54" s="877" t="s">
        <v>295</v>
      </c>
      <c r="X54" s="877"/>
      <c r="Y54" s="877"/>
      <c r="Z54" s="122" t="s">
        <v>243</v>
      </c>
      <c r="AA54" s="122" t="s">
        <v>244</v>
      </c>
      <c r="AB54" s="122" t="s">
        <v>245</v>
      </c>
      <c r="AC54" s="123" t="s">
        <v>246</v>
      </c>
      <c r="AD54" s="196" t="s">
        <v>247</v>
      </c>
      <c r="AE54" s="122" t="s">
        <v>248</v>
      </c>
      <c r="AF54" s="212" t="s">
        <v>249</v>
      </c>
    </row>
    <row r="55" spans="1:32" x14ac:dyDescent="0.25">
      <c r="A55" s="88"/>
      <c r="B55" s="160" t="s">
        <v>62</v>
      </c>
      <c r="C55" s="83" t="s">
        <v>104</v>
      </c>
      <c r="D55" s="185">
        <v>3</v>
      </c>
      <c r="E55" s="74">
        <v>3</v>
      </c>
      <c r="F55" s="77" t="s">
        <v>28</v>
      </c>
      <c r="G55" s="77"/>
      <c r="H55" s="68">
        <f>E55*G55</f>
        <v>0</v>
      </c>
      <c r="I55" s="77"/>
      <c r="J55" s="68">
        <f t="shared" ref="J55" si="34">E55*I55</f>
        <v>0</v>
      </c>
      <c r="K55" s="77"/>
      <c r="L55" s="76"/>
      <c r="M55" s="69"/>
      <c r="N55" s="69"/>
      <c r="O55" s="72">
        <v>50000</v>
      </c>
      <c r="P55" s="203">
        <f>O55*E55</f>
        <v>150000</v>
      </c>
      <c r="W55" s="878" t="s">
        <v>271</v>
      </c>
      <c r="X55" s="878"/>
      <c r="Y55" s="878"/>
      <c r="Z55" s="124" t="s">
        <v>251</v>
      </c>
      <c r="AA55" s="125">
        <v>8.33</v>
      </c>
      <c r="AB55" s="125">
        <v>9</v>
      </c>
      <c r="AC55" s="123">
        <f>143/1.06</f>
        <v>134.90566037735849</v>
      </c>
      <c r="AD55" s="196">
        <f>AC55*AB55</f>
        <v>1214.1509433962265</v>
      </c>
      <c r="AE55" s="125">
        <v>17</v>
      </c>
      <c r="AF55" s="219">
        <f>AE55*AB55</f>
        <v>153</v>
      </c>
    </row>
    <row r="56" spans="1:32" x14ac:dyDescent="0.25">
      <c r="A56" s="88"/>
      <c r="B56" s="157"/>
      <c r="C56" s="83" t="s">
        <v>46</v>
      </c>
      <c r="D56" s="185"/>
      <c r="E56" s="74"/>
      <c r="F56" s="75"/>
      <c r="G56" s="75"/>
      <c r="H56" s="75"/>
      <c r="I56" s="75"/>
      <c r="J56" s="75"/>
      <c r="K56" s="75"/>
      <c r="L56" s="72"/>
      <c r="M56" s="72"/>
      <c r="N56" s="72"/>
      <c r="O56" s="72"/>
      <c r="P56" s="203"/>
      <c r="W56" s="878" t="s">
        <v>252</v>
      </c>
      <c r="X56" s="878"/>
      <c r="Y56" s="878"/>
      <c r="Z56" s="124" t="s">
        <v>253</v>
      </c>
      <c r="AA56" s="125">
        <v>0.25</v>
      </c>
      <c r="AB56" s="125">
        <v>0.25</v>
      </c>
      <c r="AC56" s="123">
        <f>AC49</f>
        <v>268.8679245283019</v>
      </c>
      <c r="AD56" s="196">
        <f>AC56*AB56</f>
        <v>67.216981132075475</v>
      </c>
      <c r="AE56" s="125"/>
      <c r="AF56" s="219">
        <f>AE56*AB56</f>
        <v>0</v>
      </c>
    </row>
    <row r="57" spans="1:32" x14ac:dyDescent="0.25">
      <c r="A57" s="88"/>
      <c r="B57" s="157"/>
      <c r="C57" s="83" t="s">
        <v>57</v>
      </c>
      <c r="D57" s="185"/>
      <c r="E57" s="74"/>
      <c r="F57" s="75"/>
      <c r="G57" s="75"/>
      <c r="H57" s="75"/>
      <c r="I57" s="75"/>
      <c r="J57" s="75"/>
      <c r="K57" s="75"/>
      <c r="L57" s="72"/>
      <c r="M57" s="72"/>
      <c r="N57" s="72"/>
      <c r="O57" s="72"/>
      <c r="P57" s="203"/>
      <c r="W57" s="878" t="s">
        <v>254</v>
      </c>
      <c r="X57" s="878"/>
      <c r="Y57" s="878"/>
      <c r="Z57" s="124" t="s">
        <v>255</v>
      </c>
      <c r="AA57" s="125">
        <v>0.25</v>
      </c>
      <c r="AB57" s="125">
        <v>0.35</v>
      </c>
      <c r="AC57" s="123">
        <f>37/1.06</f>
        <v>34.905660377358487</v>
      </c>
      <c r="AD57" s="196">
        <f>AC57*AB57</f>
        <v>12.216981132075469</v>
      </c>
      <c r="AE57" s="125"/>
      <c r="AF57" s="219">
        <f>AE57*AB57</f>
        <v>0</v>
      </c>
    </row>
    <row r="58" spans="1:32" x14ac:dyDescent="0.25">
      <c r="A58" s="88"/>
      <c r="B58" s="160" t="s">
        <v>63</v>
      </c>
      <c r="C58" s="83" t="s">
        <v>105</v>
      </c>
      <c r="D58" s="185">
        <v>1</v>
      </c>
      <c r="E58" s="74">
        <v>1</v>
      </c>
      <c r="F58" s="77" t="s">
        <v>55</v>
      </c>
      <c r="G58" s="77"/>
      <c r="H58" s="68">
        <f>E58*G58</f>
        <v>0</v>
      </c>
      <c r="I58" s="77"/>
      <c r="J58" s="68">
        <f t="shared" ref="J58" si="35">E58*I58</f>
        <v>0</v>
      </c>
      <c r="K58" s="77"/>
      <c r="L58" s="76"/>
      <c r="M58" s="69"/>
      <c r="N58" s="69"/>
      <c r="O58" s="72">
        <v>50000</v>
      </c>
      <c r="P58" s="203">
        <f>O58*E58</f>
        <v>50000</v>
      </c>
      <c r="W58" s="878" t="s">
        <v>256</v>
      </c>
      <c r="X58" s="878"/>
      <c r="Y58" s="878"/>
      <c r="Z58" s="124" t="s">
        <v>257</v>
      </c>
      <c r="AA58" s="125">
        <v>1</v>
      </c>
      <c r="AB58" s="125">
        <v>1</v>
      </c>
      <c r="AC58" s="123">
        <f>AN57</f>
        <v>0</v>
      </c>
      <c r="AD58" s="196">
        <f>AC58*AB58</f>
        <v>0</v>
      </c>
      <c r="AE58" s="125"/>
      <c r="AF58" s="219">
        <f>AE58*AB58</f>
        <v>0</v>
      </c>
    </row>
    <row r="59" spans="1:32" x14ac:dyDescent="0.25">
      <c r="A59" s="88"/>
      <c r="B59" s="157"/>
      <c r="C59" s="83" t="s">
        <v>47</v>
      </c>
      <c r="D59" s="185"/>
      <c r="E59" s="74"/>
      <c r="F59" s="75"/>
      <c r="G59" s="75"/>
      <c r="H59" s="75"/>
      <c r="I59" s="75"/>
      <c r="J59" s="75"/>
      <c r="K59" s="75"/>
      <c r="L59" s="72"/>
      <c r="M59" s="72"/>
      <c r="N59" s="72"/>
      <c r="O59" s="72"/>
      <c r="P59" s="203"/>
      <c r="W59" s="126"/>
      <c r="X59" s="126"/>
      <c r="Y59" s="126"/>
      <c r="Z59" s="126"/>
      <c r="AA59" s="125"/>
      <c r="AB59" s="125"/>
      <c r="AC59" s="123"/>
      <c r="AD59" s="212">
        <f>SUM(AD55:AD58)</f>
        <v>1293.5849056603774</v>
      </c>
      <c r="AE59" s="122"/>
      <c r="AF59" s="212">
        <f>SUM(AF55:AF58)</f>
        <v>153</v>
      </c>
    </row>
    <row r="60" spans="1:32" x14ac:dyDescent="0.25">
      <c r="A60" s="88"/>
      <c r="B60" s="157"/>
      <c r="C60" s="83" t="s">
        <v>57</v>
      </c>
      <c r="D60" s="185"/>
      <c r="E60" s="74"/>
      <c r="F60" s="75"/>
      <c r="G60" s="75"/>
      <c r="H60" s="75"/>
      <c r="I60" s="75"/>
      <c r="J60" s="75"/>
      <c r="K60" s="75"/>
      <c r="L60" s="72"/>
      <c r="M60" s="72"/>
      <c r="N60" s="72"/>
      <c r="O60" s="72"/>
      <c r="P60" s="203"/>
    </row>
    <row r="61" spans="1:32" x14ac:dyDescent="0.25">
      <c r="A61" s="88"/>
      <c r="B61" s="160" t="s">
        <v>64</v>
      </c>
      <c r="C61" s="83" t="s">
        <v>106</v>
      </c>
      <c r="D61" s="185">
        <v>2</v>
      </c>
      <c r="E61" s="74">
        <v>2</v>
      </c>
      <c r="F61" s="77" t="s">
        <v>28</v>
      </c>
      <c r="G61" s="77"/>
      <c r="H61" s="68">
        <f>E61*G61</f>
        <v>0</v>
      </c>
      <c r="I61" s="77"/>
      <c r="J61" s="68">
        <f t="shared" ref="J61:J63" si="36">E61*I61</f>
        <v>0</v>
      </c>
      <c r="K61" s="77"/>
      <c r="L61" s="72"/>
      <c r="M61" s="72"/>
      <c r="N61" s="72"/>
      <c r="O61" s="72">
        <f t="shared" ref="O61:O71" si="37">L61+M61</f>
        <v>0</v>
      </c>
      <c r="P61" s="203">
        <f>O61*E61</f>
        <v>0</v>
      </c>
      <c r="W61" s="877" t="s">
        <v>291</v>
      </c>
      <c r="X61" s="877"/>
      <c r="Y61" s="877"/>
      <c r="Z61" s="122" t="s">
        <v>243</v>
      </c>
      <c r="AA61" s="122" t="s">
        <v>244</v>
      </c>
      <c r="AB61" s="122" t="s">
        <v>245</v>
      </c>
      <c r="AC61" s="123" t="s">
        <v>246</v>
      </c>
      <c r="AD61" s="196" t="s">
        <v>247</v>
      </c>
      <c r="AE61" s="122" t="s">
        <v>248</v>
      </c>
      <c r="AF61" s="212" t="s">
        <v>249</v>
      </c>
    </row>
    <row r="62" spans="1:32" x14ac:dyDescent="0.25">
      <c r="A62" s="88"/>
      <c r="B62" s="160" t="s">
        <v>65</v>
      </c>
      <c r="C62" s="83" t="s">
        <v>107</v>
      </c>
      <c r="D62" s="185">
        <v>4</v>
      </c>
      <c r="E62" s="74">
        <v>4</v>
      </c>
      <c r="F62" s="77" t="s">
        <v>28</v>
      </c>
      <c r="G62" s="77"/>
      <c r="H62" s="68">
        <f>E62*G62</f>
        <v>0</v>
      </c>
      <c r="I62" s="77"/>
      <c r="J62" s="68">
        <f t="shared" si="36"/>
        <v>0</v>
      </c>
      <c r="K62" s="77"/>
      <c r="L62" s="72"/>
      <c r="M62" s="72"/>
      <c r="N62" s="72">
        <v>45341.5</v>
      </c>
      <c r="O62" s="72">
        <f t="shared" si="37"/>
        <v>0</v>
      </c>
      <c r="P62" s="203">
        <f>O62*E62</f>
        <v>0</v>
      </c>
      <c r="W62" s="878" t="s">
        <v>250</v>
      </c>
      <c r="X62" s="878"/>
      <c r="Y62" s="878"/>
      <c r="Z62" s="124" t="s">
        <v>251</v>
      </c>
      <c r="AA62" s="125">
        <v>2.77</v>
      </c>
      <c r="AB62" s="125">
        <v>2.9</v>
      </c>
      <c r="AC62" s="123">
        <f>280/1.06</f>
        <v>264.15094339622641</v>
      </c>
      <c r="AD62" s="196">
        <f>AC62*AB62</f>
        <v>766.03773584905662</v>
      </c>
      <c r="AE62" s="125">
        <v>50</v>
      </c>
      <c r="AF62" s="219">
        <f>AE62*AB62</f>
        <v>145</v>
      </c>
    </row>
    <row r="63" spans="1:32" x14ac:dyDescent="0.25">
      <c r="A63" s="88"/>
      <c r="B63" s="160" t="s">
        <v>66</v>
      </c>
      <c r="C63" s="83" t="s">
        <v>108</v>
      </c>
      <c r="D63" s="185">
        <v>7</v>
      </c>
      <c r="E63" s="74">
        <v>7</v>
      </c>
      <c r="F63" s="77" t="s">
        <v>28</v>
      </c>
      <c r="G63" s="77"/>
      <c r="H63" s="68">
        <f>E63*G63</f>
        <v>0</v>
      </c>
      <c r="I63" s="77"/>
      <c r="J63" s="68">
        <f t="shared" si="36"/>
        <v>0</v>
      </c>
      <c r="K63" s="77"/>
      <c r="L63" s="72"/>
      <c r="M63" s="72"/>
      <c r="N63" s="72"/>
      <c r="O63" s="72">
        <f t="shared" si="37"/>
        <v>0</v>
      </c>
      <c r="P63" s="203">
        <f>O63*E63</f>
        <v>0</v>
      </c>
      <c r="W63" s="878" t="s">
        <v>252</v>
      </c>
      <c r="X63" s="878"/>
      <c r="Y63" s="878"/>
      <c r="Z63" s="124" t="s">
        <v>253</v>
      </c>
      <c r="AA63" s="125">
        <v>0.25</v>
      </c>
      <c r="AB63" s="125">
        <v>0.25</v>
      </c>
      <c r="AC63" s="123">
        <f>AC56</f>
        <v>268.8679245283019</v>
      </c>
      <c r="AD63" s="196">
        <f>AC63*AB63</f>
        <v>67.216981132075475</v>
      </c>
      <c r="AE63" s="125"/>
      <c r="AF63" s="219">
        <f>AE63*AB63</f>
        <v>0</v>
      </c>
    </row>
    <row r="64" spans="1:32" x14ac:dyDescent="0.25">
      <c r="A64" s="88"/>
      <c r="B64" s="160"/>
      <c r="C64" s="83" t="s">
        <v>48</v>
      </c>
      <c r="D64" s="185"/>
      <c r="E64" s="74"/>
      <c r="F64" s="77"/>
      <c r="G64" s="77"/>
      <c r="H64" s="77"/>
      <c r="I64" s="77"/>
      <c r="J64" s="77"/>
      <c r="K64" s="77"/>
      <c r="L64" s="72"/>
      <c r="M64" s="72"/>
      <c r="N64" s="72"/>
      <c r="O64" s="72"/>
      <c r="P64" s="203"/>
      <c r="W64" s="878" t="s">
        <v>254</v>
      </c>
      <c r="X64" s="878"/>
      <c r="Y64" s="878"/>
      <c r="Z64" s="124" t="s">
        <v>255</v>
      </c>
      <c r="AA64" s="125">
        <v>0.25</v>
      </c>
      <c r="AB64" s="125">
        <v>0.35</v>
      </c>
      <c r="AC64" s="123">
        <f>37/1.06</f>
        <v>34.905660377358487</v>
      </c>
      <c r="AD64" s="196">
        <f>AC64*AB64</f>
        <v>12.216981132075469</v>
      </c>
      <c r="AE64" s="125"/>
      <c r="AF64" s="219">
        <f>AE64*AB64</f>
        <v>0</v>
      </c>
    </row>
    <row r="65" spans="1:32" x14ac:dyDescent="0.25">
      <c r="A65" s="88"/>
      <c r="B65" s="160" t="s">
        <v>67</v>
      </c>
      <c r="C65" s="83" t="s">
        <v>109</v>
      </c>
      <c r="D65" s="185">
        <v>1</v>
      </c>
      <c r="E65" s="74">
        <v>1</v>
      </c>
      <c r="F65" s="77" t="s">
        <v>55</v>
      </c>
      <c r="G65" s="77"/>
      <c r="H65" s="68">
        <f>E65*G65</f>
        <v>0</v>
      </c>
      <c r="I65" s="77"/>
      <c r="J65" s="68">
        <f t="shared" ref="J65" si="38">E65*I65</f>
        <v>0</v>
      </c>
      <c r="K65" s="77"/>
      <c r="L65" s="72"/>
      <c r="M65" s="72"/>
      <c r="N65" s="72"/>
      <c r="O65" s="72">
        <f t="shared" ref="O65" si="39">L65+M65</f>
        <v>0</v>
      </c>
      <c r="P65" s="203">
        <f>O65*E65</f>
        <v>0</v>
      </c>
      <c r="W65" s="878" t="s">
        <v>256</v>
      </c>
      <c r="X65" s="878"/>
      <c r="Y65" s="878"/>
      <c r="Z65" s="124" t="s">
        <v>257</v>
      </c>
      <c r="AA65" s="125">
        <v>1</v>
      </c>
      <c r="AB65" s="125">
        <v>1</v>
      </c>
      <c r="AC65" s="123">
        <f>AN64</f>
        <v>0</v>
      </c>
      <c r="AD65" s="196">
        <f>AC65*AB65</f>
        <v>0</v>
      </c>
      <c r="AE65" s="125"/>
      <c r="AF65" s="219">
        <f>AE65*AB65</f>
        <v>0</v>
      </c>
    </row>
    <row r="66" spans="1:32" x14ac:dyDescent="0.25">
      <c r="A66" s="88"/>
      <c r="B66" s="160"/>
      <c r="C66" s="83" t="s">
        <v>48</v>
      </c>
      <c r="D66" s="185"/>
      <c r="E66" s="74"/>
      <c r="F66" s="77"/>
      <c r="G66" s="77"/>
      <c r="H66" s="77"/>
      <c r="I66" s="77"/>
      <c r="J66" s="77"/>
      <c r="K66" s="77"/>
      <c r="L66" s="72"/>
      <c r="M66" s="72"/>
      <c r="N66" s="72"/>
      <c r="O66" s="72"/>
      <c r="P66" s="203"/>
      <c r="W66" s="126"/>
      <c r="X66" s="126"/>
      <c r="Y66" s="126"/>
      <c r="Z66" s="126"/>
      <c r="AA66" s="125"/>
      <c r="AB66" s="125"/>
      <c r="AC66" s="123"/>
      <c r="AD66" s="212">
        <f>SUM(AD62:AD65)</f>
        <v>845.47169811320759</v>
      </c>
      <c r="AE66" s="122"/>
      <c r="AF66" s="212">
        <f>SUM(AF62:AF65)</f>
        <v>145</v>
      </c>
    </row>
    <row r="67" spans="1:32" x14ac:dyDescent="0.25">
      <c r="A67" s="88"/>
      <c r="B67" s="160" t="s">
        <v>68</v>
      </c>
      <c r="C67" s="83" t="s">
        <v>110</v>
      </c>
      <c r="D67" s="185">
        <v>2</v>
      </c>
      <c r="E67" s="74">
        <v>2</v>
      </c>
      <c r="F67" s="77" t="s">
        <v>28</v>
      </c>
      <c r="G67" s="77"/>
      <c r="H67" s="68">
        <f>E67*G67</f>
        <v>0</v>
      </c>
      <c r="I67" s="77"/>
      <c r="J67" s="68">
        <f t="shared" ref="J67" si="40">E67*I67</f>
        <v>0</v>
      </c>
      <c r="K67" s="77"/>
      <c r="L67" s="72"/>
      <c r="M67" s="72"/>
      <c r="N67" s="72"/>
      <c r="O67" s="72">
        <f t="shared" si="37"/>
        <v>0</v>
      </c>
      <c r="P67" s="203">
        <f>O67*E67</f>
        <v>0</v>
      </c>
      <c r="W67" s="126"/>
      <c r="X67" s="126"/>
      <c r="Y67" s="126"/>
      <c r="Z67" s="126"/>
      <c r="AA67" s="126"/>
      <c r="AB67" s="126"/>
      <c r="AC67" s="127"/>
      <c r="AD67" s="213"/>
      <c r="AE67" s="126"/>
      <c r="AF67" s="220"/>
    </row>
    <row r="68" spans="1:32" x14ac:dyDescent="0.25">
      <c r="A68" s="88"/>
      <c r="B68" s="160"/>
      <c r="C68" s="83" t="s">
        <v>48</v>
      </c>
      <c r="D68" s="185"/>
      <c r="E68" s="74"/>
      <c r="F68" s="77"/>
      <c r="G68" s="77"/>
      <c r="H68" s="77"/>
      <c r="I68" s="77"/>
      <c r="J68" s="77"/>
      <c r="K68" s="77"/>
      <c r="L68" s="72"/>
      <c r="M68" s="72"/>
      <c r="N68" s="72"/>
      <c r="O68" s="72"/>
      <c r="P68" s="203"/>
      <c r="W68" s="877" t="s">
        <v>293</v>
      </c>
      <c r="X68" s="877"/>
      <c r="Y68" s="877"/>
      <c r="Z68" s="122" t="s">
        <v>243</v>
      </c>
      <c r="AA68" s="122" t="s">
        <v>244</v>
      </c>
      <c r="AB68" s="122" t="s">
        <v>245</v>
      </c>
      <c r="AC68" s="123" t="s">
        <v>246</v>
      </c>
      <c r="AD68" s="196" t="s">
        <v>247</v>
      </c>
      <c r="AE68" s="122" t="s">
        <v>248</v>
      </c>
      <c r="AF68" s="212" t="s">
        <v>249</v>
      </c>
    </row>
    <row r="69" spans="1:32" x14ac:dyDescent="0.25">
      <c r="A69" s="88"/>
      <c r="B69" s="160" t="s">
        <v>69</v>
      </c>
      <c r="C69" s="83" t="s">
        <v>111</v>
      </c>
      <c r="D69" s="185">
        <v>3</v>
      </c>
      <c r="E69" s="74">
        <v>3</v>
      </c>
      <c r="F69" s="77" t="s">
        <v>28</v>
      </c>
      <c r="G69" s="77"/>
      <c r="H69" s="68">
        <f>E69*G69</f>
        <v>0</v>
      </c>
      <c r="I69" s="77"/>
      <c r="J69" s="68">
        <f t="shared" ref="J69" si="41">E69*I69</f>
        <v>0</v>
      </c>
      <c r="K69" s="77"/>
      <c r="L69" s="72"/>
      <c r="M69" s="72"/>
      <c r="N69" s="72"/>
      <c r="O69" s="72">
        <f t="shared" ref="O69" si="42">L69+M69</f>
        <v>0</v>
      </c>
      <c r="P69" s="205">
        <f>O69*E69</f>
        <v>0</v>
      </c>
      <c r="W69" s="878" t="s">
        <v>258</v>
      </c>
      <c r="X69" s="878"/>
      <c r="Y69" s="878"/>
      <c r="Z69" s="124" t="s">
        <v>251</v>
      </c>
      <c r="AA69" s="125">
        <v>11.11</v>
      </c>
      <c r="AB69" s="125">
        <v>12</v>
      </c>
      <c r="AC69" s="210">
        <f>63/1.05</f>
        <v>60</v>
      </c>
      <c r="AD69" s="196">
        <f>AC69*AB69</f>
        <v>720</v>
      </c>
      <c r="AE69" s="125">
        <v>10</v>
      </c>
      <c r="AF69" s="219">
        <f>AE69*AB69</f>
        <v>120</v>
      </c>
    </row>
    <row r="70" spans="1:32" x14ac:dyDescent="0.25">
      <c r="A70" s="88"/>
      <c r="B70" s="157"/>
      <c r="C70" s="83" t="s">
        <v>49</v>
      </c>
      <c r="D70" s="185"/>
      <c r="E70" s="74"/>
      <c r="F70" s="75"/>
      <c r="G70" s="75"/>
      <c r="H70" s="75"/>
      <c r="I70" s="75"/>
      <c r="J70" s="75"/>
      <c r="K70" s="75"/>
      <c r="L70" s="72"/>
      <c r="M70" s="72"/>
      <c r="N70" s="72"/>
      <c r="O70" s="72"/>
      <c r="P70" s="205"/>
      <c r="W70" s="878" t="s">
        <v>252</v>
      </c>
      <c r="X70" s="878"/>
      <c r="Y70" s="878"/>
      <c r="Z70" s="124" t="s">
        <v>253</v>
      </c>
      <c r="AA70" s="125">
        <v>0.25</v>
      </c>
      <c r="AB70" s="125">
        <v>0.25</v>
      </c>
      <c r="AC70" s="123">
        <f>AC56</f>
        <v>268.8679245283019</v>
      </c>
      <c r="AD70" s="196">
        <f>AC70*AB70</f>
        <v>67.216981132075475</v>
      </c>
      <c r="AE70" s="125"/>
      <c r="AF70" s="219">
        <f t="shared" ref="AF70:AF72" si="43">AE70*AB70</f>
        <v>0</v>
      </c>
    </row>
    <row r="71" spans="1:32" x14ac:dyDescent="0.25">
      <c r="A71" s="88"/>
      <c r="B71" s="160" t="s">
        <v>70</v>
      </c>
      <c r="C71" s="83" t="s">
        <v>112</v>
      </c>
      <c r="D71" s="185">
        <v>1</v>
      </c>
      <c r="E71" s="74">
        <v>1</v>
      </c>
      <c r="F71" s="77" t="s">
        <v>55</v>
      </c>
      <c r="G71" s="77"/>
      <c r="H71" s="68">
        <f>E71*G71</f>
        <v>0</v>
      </c>
      <c r="I71" s="77"/>
      <c r="J71" s="68">
        <f t="shared" ref="J71" si="44">E71*I71</f>
        <v>0</v>
      </c>
      <c r="K71" s="77"/>
      <c r="L71" s="72"/>
      <c r="M71" s="72"/>
      <c r="N71" s="72"/>
      <c r="O71" s="72">
        <f t="shared" si="37"/>
        <v>0</v>
      </c>
      <c r="P71" s="205">
        <f>O71*E71</f>
        <v>0</v>
      </c>
      <c r="W71" s="878" t="s">
        <v>254</v>
      </c>
      <c r="X71" s="878"/>
      <c r="Y71" s="878"/>
      <c r="Z71" s="124" t="s">
        <v>255</v>
      </c>
      <c r="AA71" s="125">
        <v>0.25</v>
      </c>
      <c r="AB71" s="125">
        <v>0.35</v>
      </c>
      <c r="AC71" s="123">
        <f>AC64</f>
        <v>34.905660377358487</v>
      </c>
      <c r="AD71" s="196">
        <f t="shared" ref="AD71:AD72" si="45">AC71*AB71</f>
        <v>12.216981132075469</v>
      </c>
      <c r="AE71" s="125"/>
      <c r="AF71" s="219">
        <f t="shared" si="43"/>
        <v>0</v>
      </c>
    </row>
    <row r="72" spans="1:32" x14ac:dyDescent="0.25">
      <c r="A72" s="88"/>
      <c r="B72" s="157"/>
      <c r="C72" s="83" t="s">
        <v>50</v>
      </c>
      <c r="D72" s="185"/>
      <c r="E72" s="74"/>
      <c r="F72" s="75"/>
      <c r="G72" s="75"/>
      <c r="H72" s="75"/>
      <c r="I72" s="75"/>
      <c r="J72" s="75"/>
      <c r="K72" s="75"/>
      <c r="L72" s="72"/>
      <c r="M72" s="72"/>
      <c r="N72" s="72"/>
      <c r="O72" s="72"/>
      <c r="P72" s="205"/>
      <c r="W72" s="878" t="str">
        <f>W65</f>
        <v>mortar (topping) included @ other item</v>
      </c>
      <c r="X72" s="878"/>
      <c r="Y72" s="878"/>
      <c r="Z72" s="124" t="s">
        <v>257</v>
      </c>
      <c r="AA72" s="125">
        <v>1</v>
      </c>
      <c r="AB72" s="125">
        <v>1</v>
      </c>
      <c r="AC72" s="123">
        <f>AC65</f>
        <v>0</v>
      </c>
      <c r="AD72" s="196">
        <f t="shared" si="45"/>
        <v>0</v>
      </c>
      <c r="AE72" s="125">
        <f>AE65</f>
        <v>0</v>
      </c>
      <c r="AF72" s="219">
        <f t="shared" si="43"/>
        <v>0</v>
      </c>
    </row>
    <row r="73" spans="1:32" x14ac:dyDescent="0.25">
      <c r="A73" s="88"/>
      <c r="B73" s="157"/>
      <c r="C73" s="81" t="s">
        <v>234</v>
      </c>
      <c r="D73" s="185"/>
      <c r="E73" s="74"/>
      <c r="F73" s="75"/>
      <c r="G73" s="75"/>
      <c r="H73" s="75">
        <f>SUM(H55:H71)</f>
        <v>0</v>
      </c>
      <c r="I73" s="75"/>
      <c r="J73" s="75">
        <f>SUM(J55:J71)</f>
        <v>0</v>
      </c>
      <c r="K73" s="75">
        <f>SUM(K55:K71)</f>
        <v>0</v>
      </c>
      <c r="L73" s="72"/>
      <c r="M73" s="72"/>
      <c r="N73" s="72"/>
      <c r="O73" s="72"/>
      <c r="P73" s="206">
        <f>SUM(P55:P71)</f>
        <v>200000</v>
      </c>
      <c r="W73" s="878" t="s">
        <v>259</v>
      </c>
      <c r="X73" s="878"/>
      <c r="Y73" s="878"/>
      <c r="Z73" s="124" t="s">
        <v>257</v>
      </c>
      <c r="AA73" s="125">
        <v>1</v>
      </c>
      <c r="AB73" s="125">
        <v>1</v>
      </c>
      <c r="AC73" s="123">
        <f>AC65</f>
        <v>0</v>
      </c>
      <c r="AD73" s="196">
        <f>AC73*AB73</f>
        <v>0</v>
      </c>
      <c r="AE73" s="125">
        <f>AE65</f>
        <v>0</v>
      </c>
      <c r="AF73" s="219">
        <f>AE73*AB73</f>
        <v>0</v>
      </c>
    </row>
    <row r="74" spans="1:32" x14ac:dyDescent="0.25">
      <c r="A74" s="88"/>
      <c r="B74" s="157"/>
      <c r="C74" s="82"/>
      <c r="D74" s="185"/>
      <c r="E74" s="74"/>
      <c r="F74" s="75"/>
      <c r="G74" s="75"/>
      <c r="H74" s="75"/>
      <c r="I74" s="75"/>
      <c r="J74" s="75"/>
      <c r="K74" s="75"/>
      <c r="L74" s="72"/>
      <c r="M74" s="72"/>
      <c r="N74" s="72"/>
      <c r="O74" s="72"/>
      <c r="P74" s="205"/>
      <c r="W74" s="126"/>
      <c r="X74" s="126"/>
      <c r="Y74" s="126"/>
      <c r="Z74" s="126"/>
      <c r="AA74" s="125"/>
      <c r="AB74" s="125"/>
      <c r="AC74" s="123"/>
      <c r="AD74" s="212">
        <f>SUM(AD69:AD73)</f>
        <v>799.43396226415098</v>
      </c>
      <c r="AE74" s="122"/>
      <c r="AF74" s="212">
        <f>SUM(AF69:AF73)</f>
        <v>120</v>
      </c>
    </row>
    <row r="75" spans="1:32" x14ac:dyDescent="0.25">
      <c r="A75" s="87" t="s">
        <v>130</v>
      </c>
      <c r="B75" s="80" t="s">
        <v>27</v>
      </c>
      <c r="C75" s="82"/>
      <c r="D75" s="185"/>
      <c r="E75" s="74"/>
      <c r="F75" s="75"/>
      <c r="G75" s="75"/>
      <c r="H75" s="75"/>
      <c r="I75" s="75"/>
      <c r="J75" s="75"/>
      <c r="K75" s="75"/>
      <c r="L75" s="72"/>
      <c r="M75" s="72"/>
      <c r="N75" s="72"/>
      <c r="O75" s="72"/>
      <c r="P75" s="205"/>
      <c r="W75" s="878"/>
      <c r="X75" s="878"/>
      <c r="Y75" s="878"/>
      <c r="Z75" s="124"/>
      <c r="AA75" s="125"/>
      <c r="AB75" s="125"/>
      <c r="AC75" s="123"/>
      <c r="AD75" s="196"/>
      <c r="AE75" s="125"/>
      <c r="AF75" s="219"/>
    </row>
    <row r="76" spans="1:32" x14ac:dyDescent="0.25">
      <c r="A76" s="88"/>
      <c r="B76" s="160" t="s">
        <v>62</v>
      </c>
      <c r="C76" s="84" t="s">
        <v>113</v>
      </c>
      <c r="D76" s="186">
        <v>1</v>
      </c>
      <c r="E76" s="74">
        <v>1</v>
      </c>
      <c r="F76" s="77" t="s">
        <v>55</v>
      </c>
      <c r="G76" s="77"/>
      <c r="H76" s="68">
        <f>E76*G76</f>
        <v>0</v>
      </c>
      <c r="I76" s="77"/>
      <c r="J76" s="68">
        <f t="shared" ref="J76" si="46">E76*I76</f>
        <v>0</v>
      </c>
      <c r="K76" s="71">
        <v>278766</v>
      </c>
      <c r="L76" s="72"/>
      <c r="M76" s="72"/>
      <c r="N76" s="72"/>
      <c r="O76" s="72">
        <v>278766</v>
      </c>
      <c r="P76" s="205">
        <f>O76*E76</f>
        <v>278766</v>
      </c>
      <c r="W76" s="878"/>
      <c r="X76" s="878"/>
      <c r="Y76" s="878"/>
      <c r="Z76" s="124"/>
      <c r="AA76" s="125"/>
      <c r="AB76" s="125"/>
      <c r="AC76" s="123"/>
      <c r="AD76" s="196"/>
      <c r="AE76" s="125"/>
      <c r="AF76" s="219"/>
    </row>
    <row r="77" spans="1:32" x14ac:dyDescent="0.25">
      <c r="A77" s="88"/>
      <c r="B77" s="157"/>
      <c r="C77" s="84" t="s">
        <v>54</v>
      </c>
      <c r="D77" s="186"/>
      <c r="E77" s="74"/>
      <c r="F77" s="77"/>
      <c r="G77" s="77"/>
      <c r="H77" s="77"/>
      <c r="I77" s="77"/>
      <c r="J77" s="77"/>
      <c r="K77" s="77"/>
      <c r="L77" s="72"/>
      <c r="M77" s="72"/>
      <c r="N77" s="72"/>
      <c r="O77" s="72"/>
      <c r="P77" s="205"/>
    </row>
    <row r="78" spans="1:32" x14ac:dyDescent="0.25">
      <c r="A78" s="88"/>
      <c r="B78" s="160" t="s">
        <v>63</v>
      </c>
      <c r="C78" s="84" t="s">
        <v>114</v>
      </c>
      <c r="D78" s="186">
        <v>1</v>
      </c>
      <c r="E78" s="74">
        <v>1</v>
      </c>
      <c r="F78" s="77" t="s">
        <v>55</v>
      </c>
      <c r="G78" s="77"/>
      <c r="H78" s="68">
        <f>E78*G78</f>
        <v>0</v>
      </c>
      <c r="I78" s="77"/>
      <c r="J78" s="68">
        <f t="shared" ref="J78" si="47">E78*I78</f>
        <v>0</v>
      </c>
      <c r="K78" s="71">
        <v>120446.9</v>
      </c>
      <c r="L78" s="72"/>
      <c r="M78" s="72"/>
      <c r="N78" s="72"/>
      <c r="O78" s="72">
        <v>120446.9</v>
      </c>
      <c r="P78" s="205">
        <f>O78*E78</f>
        <v>120446.9</v>
      </c>
    </row>
    <row r="79" spans="1:32" x14ac:dyDescent="0.25">
      <c r="A79" s="88"/>
      <c r="B79" s="157"/>
      <c r="C79" s="84" t="s">
        <v>37</v>
      </c>
      <c r="D79" s="186"/>
      <c r="E79" s="74"/>
      <c r="F79" s="77"/>
      <c r="G79" s="77"/>
      <c r="H79" s="77"/>
      <c r="I79" s="77"/>
      <c r="J79" s="77"/>
      <c r="K79" s="77"/>
      <c r="L79" s="72"/>
      <c r="M79" s="72"/>
      <c r="N79" s="72"/>
      <c r="O79" s="72"/>
      <c r="P79" s="205"/>
      <c r="W79" s="126"/>
      <c r="X79" s="126"/>
      <c r="Y79" s="126"/>
      <c r="Z79" s="126"/>
      <c r="AA79" s="126"/>
      <c r="AB79" s="126"/>
      <c r="AC79" s="127"/>
      <c r="AD79" s="213"/>
      <c r="AE79" s="126"/>
      <c r="AF79" s="220"/>
    </row>
    <row r="80" spans="1:32" x14ac:dyDescent="0.25">
      <c r="A80" s="88"/>
      <c r="B80" s="160" t="s">
        <v>64</v>
      </c>
      <c r="C80" s="84" t="s">
        <v>115</v>
      </c>
      <c r="D80" s="186">
        <v>1</v>
      </c>
      <c r="E80" s="74">
        <v>1</v>
      </c>
      <c r="F80" s="77" t="s">
        <v>55</v>
      </c>
      <c r="G80" s="77"/>
      <c r="H80" s="68">
        <f>E80*G80</f>
        <v>0</v>
      </c>
      <c r="I80" s="77"/>
      <c r="J80" s="68">
        <f t="shared" ref="J80" si="48">E80*I80</f>
        <v>0</v>
      </c>
      <c r="K80" s="71">
        <v>95427.5</v>
      </c>
      <c r="L80" s="72"/>
      <c r="M80" s="72"/>
      <c r="N80" s="72"/>
      <c r="O80" s="72">
        <v>95427.5</v>
      </c>
      <c r="P80" s="205">
        <f>O80*E80</f>
        <v>95427.5</v>
      </c>
      <c r="W80" s="877" t="s">
        <v>292</v>
      </c>
      <c r="X80" s="877"/>
      <c r="Y80" s="877"/>
      <c r="Z80" s="122" t="s">
        <v>243</v>
      </c>
      <c r="AA80" s="122" t="s">
        <v>244</v>
      </c>
      <c r="AB80" s="122" t="s">
        <v>245</v>
      </c>
      <c r="AC80" s="123" t="s">
        <v>246</v>
      </c>
      <c r="AD80" s="196" t="s">
        <v>247</v>
      </c>
      <c r="AE80" s="122" t="s">
        <v>248</v>
      </c>
      <c r="AF80" s="212" t="s">
        <v>249</v>
      </c>
    </row>
    <row r="81" spans="1:32" x14ac:dyDescent="0.25">
      <c r="A81" s="88"/>
      <c r="B81" s="157"/>
      <c r="C81" s="84" t="s">
        <v>37</v>
      </c>
      <c r="D81" s="186"/>
      <c r="E81" s="74"/>
      <c r="F81" s="77"/>
      <c r="G81" s="77"/>
      <c r="H81" s="77"/>
      <c r="I81" s="77"/>
      <c r="J81" s="77"/>
      <c r="K81" s="77"/>
      <c r="L81" s="72"/>
      <c r="M81" s="72"/>
      <c r="N81" s="72"/>
      <c r="O81" s="72"/>
      <c r="P81" s="205"/>
      <c r="W81" s="878" t="s">
        <v>260</v>
      </c>
      <c r="X81" s="878"/>
      <c r="Y81" s="878"/>
      <c r="Z81" s="124" t="s">
        <v>251</v>
      </c>
      <c r="AA81" s="125">
        <v>4.93</v>
      </c>
      <c r="AB81" s="125">
        <v>5.2</v>
      </c>
      <c r="AC81" s="210">
        <f>170/1.075</f>
        <v>158.13953488372093</v>
      </c>
      <c r="AD81" s="196">
        <f>AC81*AB81</f>
        <v>822.32558139534888</v>
      </c>
      <c r="AE81" s="125">
        <v>15</v>
      </c>
      <c r="AF81" s="219">
        <f>AE81*AB81</f>
        <v>78</v>
      </c>
    </row>
    <row r="82" spans="1:32" x14ac:dyDescent="0.25">
      <c r="A82" s="88"/>
      <c r="B82" s="160" t="s">
        <v>65</v>
      </c>
      <c r="C82" s="84" t="s">
        <v>116</v>
      </c>
      <c r="D82" s="186">
        <v>1</v>
      </c>
      <c r="E82" s="74">
        <v>1</v>
      </c>
      <c r="F82" s="77" t="s">
        <v>55</v>
      </c>
      <c r="G82" s="77"/>
      <c r="H82" s="68">
        <f>E82*G82</f>
        <v>0</v>
      </c>
      <c r="I82" s="77"/>
      <c r="J82" s="68">
        <f t="shared" ref="J82" si="49">E82*I82</f>
        <v>0</v>
      </c>
      <c r="K82" s="71">
        <v>45341.5</v>
      </c>
      <c r="L82" s="72"/>
      <c r="M82" s="72"/>
      <c r="N82" s="72"/>
      <c r="O82" s="72">
        <v>45341.5</v>
      </c>
      <c r="P82" s="205">
        <f>O82*E82</f>
        <v>45341.5</v>
      </c>
      <c r="W82" s="878" t="s">
        <v>261</v>
      </c>
      <c r="X82" s="878"/>
      <c r="Y82" s="878"/>
      <c r="Z82" s="124" t="s">
        <v>262</v>
      </c>
      <c r="AA82" s="125">
        <v>4.9299999999999997E-2</v>
      </c>
      <c r="AB82" s="125">
        <v>0.05</v>
      </c>
      <c r="AC82" s="123">
        <f>560/1.05</f>
        <v>533.33333333333326</v>
      </c>
      <c r="AD82" s="196">
        <f>AC82*AB82</f>
        <v>26.666666666666664</v>
      </c>
      <c r="AE82" s="125"/>
      <c r="AF82" s="219">
        <f>AE82*AB82</f>
        <v>0</v>
      </c>
    </row>
    <row r="83" spans="1:32" x14ac:dyDescent="0.25">
      <c r="A83" s="88"/>
      <c r="B83" s="157"/>
      <c r="C83" s="84" t="s">
        <v>37</v>
      </c>
      <c r="D83" s="186"/>
      <c r="E83" s="74"/>
      <c r="F83" s="77"/>
      <c r="G83" s="77"/>
      <c r="H83" s="77"/>
      <c r="I83" s="77"/>
      <c r="J83" s="77"/>
      <c r="K83" s="77"/>
      <c r="L83" s="72"/>
      <c r="M83" s="72"/>
      <c r="N83" s="72"/>
      <c r="O83" s="72"/>
      <c r="P83" s="205"/>
      <c r="W83" s="878" t="str">
        <f>W72</f>
        <v>mortar (topping) included @ other item</v>
      </c>
      <c r="X83" s="878"/>
      <c r="Y83" s="878"/>
      <c r="Z83" s="124" t="s">
        <v>257</v>
      </c>
      <c r="AA83" s="125">
        <v>1</v>
      </c>
      <c r="AB83" s="125">
        <v>1</v>
      </c>
      <c r="AC83" s="123">
        <f>AC73</f>
        <v>0</v>
      </c>
      <c r="AD83" s="196">
        <f>AC83*AB83</f>
        <v>0</v>
      </c>
      <c r="AE83" s="125">
        <f>AE65</f>
        <v>0</v>
      </c>
      <c r="AF83" s="219">
        <f>AE83*AB83</f>
        <v>0</v>
      </c>
    </row>
    <row r="84" spans="1:32" x14ac:dyDescent="0.25">
      <c r="A84" s="88"/>
      <c r="B84" s="160" t="s">
        <v>66</v>
      </c>
      <c r="C84" s="84" t="s">
        <v>117</v>
      </c>
      <c r="D84" s="186">
        <v>2</v>
      </c>
      <c r="E84" s="74">
        <v>2</v>
      </c>
      <c r="F84" s="77" t="s">
        <v>28</v>
      </c>
      <c r="G84" s="77"/>
      <c r="H84" s="68">
        <f>E84*G84</f>
        <v>0</v>
      </c>
      <c r="I84" s="77"/>
      <c r="J84" s="68">
        <f t="shared" ref="J84" si="50">E84*I84</f>
        <v>0</v>
      </c>
      <c r="K84" s="77"/>
      <c r="L84" s="72"/>
      <c r="M84" s="72"/>
      <c r="N84" s="72"/>
      <c r="O84" s="72">
        <f t="shared" ref="O84" si="51">L84+M84</f>
        <v>0</v>
      </c>
      <c r="P84" s="205">
        <f>O84*E84</f>
        <v>0</v>
      </c>
      <c r="W84" s="878"/>
      <c r="X84" s="878"/>
      <c r="Y84" s="878"/>
      <c r="Z84" s="124"/>
      <c r="AA84" s="125"/>
      <c r="AB84" s="125"/>
      <c r="AC84" s="123"/>
      <c r="AD84" s="212">
        <f>SUM(AD81:AD83)</f>
        <v>848.99224806201551</v>
      </c>
      <c r="AE84" s="125"/>
      <c r="AF84" s="212">
        <f>SUM(AF81:AF83)</f>
        <v>78</v>
      </c>
    </row>
    <row r="85" spans="1:32" x14ac:dyDescent="0.25">
      <c r="A85" s="88"/>
      <c r="B85" s="157"/>
      <c r="C85" s="84" t="s">
        <v>38</v>
      </c>
      <c r="D85" s="186"/>
      <c r="E85" s="74"/>
      <c r="F85" s="75"/>
      <c r="G85" s="75"/>
      <c r="H85" s="75"/>
      <c r="I85" s="75"/>
      <c r="J85" s="75"/>
      <c r="K85" s="75"/>
      <c r="L85" s="72"/>
      <c r="M85" s="72"/>
      <c r="N85" s="72"/>
      <c r="O85" s="72"/>
      <c r="P85" s="205"/>
      <c r="W85" s="126"/>
      <c r="X85" s="126"/>
      <c r="Y85" s="126"/>
      <c r="Z85" s="126"/>
      <c r="AA85" s="125"/>
      <c r="AB85" s="125"/>
      <c r="AC85" s="123"/>
      <c r="AD85" s="196"/>
      <c r="AE85" s="122"/>
      <c r="AF85" s="219"/>
    </row>
    <row r="86" spans="1:32" x14ac:dyDescent="0.25">
      <c r="A86" s="88"/>
      <c r="B86" s="160" t="s">
        <v>67</v>
      </c>
      <c r="C86" s="83" t="s">
        <v>118</v>
      </c>
      <c r="D86" s="185">
        <v>2</v>
      </c>
      <c r="E86" s="74">
        <v>2</v>
      </c>
      <c r="F86" s="77" t="s">
        <v>28</v>
      </c>
      <c r="G86" s="77"/>
      <c r="H86" s="68">
        <f>E86*G86</f>
        <v>0</v>
      </c>
      <c r="I86" s="77"/>
      <c r="J86" s="68">
        <f t="shared" ref="J86" si="52">E86*I86</f>
        <v>0</v>
      </c>
      <c r="K86" s="77"/>
      <c r="L86" s="72"/>
      <c r="M86" s="72"/>
      <c r="N86" s="72"/>
      <c r="O86" s="72">
        <f t="shared" ref="O86" si="53">L86+M86</f>
        <v>0</v>
      </c>
      <c r="P86" s="205">
        <f>O86*E86</f>
        <v>0</v>
      </c>
      <c r="W86" s="877"/>
      <c r="X86" s="877"/>
      <c r="Y86" s="877"/>
      <c r="Z86" s="122"/>
      <c r="AA86" s="122"/>
      <c r="AB86" s="122"/>
      <c r="AC86" s="123"/>
      <c r="AD86" s="196"/>
      <c r="AE86" s="122"/>
      <c r="AF86" s="212"/>
    </row>
    <row r="87" spans="1:32" x14ac:dyDescent="0.25">
      <c r="A87" s="88"/>
      <c r="B87" s="157"/>
      <c r="C87" s="83" t="s">
        <v>51</v>
      </c>
      <c r="D87" s="185"/>
      <c r="E87" s="74"/>
      <c r="F87" s="75"/>
      <c r="G87" s="75"/>
      <c r="H87" s="75"/>
      <c r="I87" s="75"/>
      <c r="J87" s="75"/>
      <c r="K87" s="75"/>
      <c r="L87" s="72"/>
      <c r="M87" s="72"/>
      <c r="N87" s="72"/>
      <c r="O87" s="72"/>
      <c r="P87" s="205"/>
      <c r="W87" s="882" t="s">
        <v>274</v>
      </c>
      <c r="X87" s="882"/>
      <c r="Y87" s="882"/>
      <c r="Z87" s="122" t="s">
        <v>243</v>
      </c>
      <c r="AA87" s="122" t="s">
        <v>244</v>
      </c>
      <c r="AB87" s="122" t="s">
        <v>245</v>
      </c>
      <c r="AC87" s="123" t="s">
        <v>246</v>
      </c>
      <c r="AD87" s="196" t="s">
        <v>247</v>
      </c>
      <c r="AE87" s="122" t="s">
        <v>248</v>
      </c>
      <c r="AF87" s="212" t="s">
        <v>249</v>
      </c>
    </row>
    <row r="88" spans="1:32" x14ac:dyDescent="0.25">
      <c r="A88" s="88"/>
      <c r="B88" s="160" t="s">
        <v>68</v>
      </c>
      <c r="C88" s="83" t="s">
        <v>119</v>
      </c>
      <c r="D88" s="185">
        <v>4</v>
      </c>
      <c r="E88" s="74">
        <v>4</v>
      </c>
      <c r="F88" s="77" t="s">
        <v>28</v>
      </c>
      <c r="G88" s="77"/>
      <c r="H88" s="68">
        <f>E88*G88</f>
        <v>0</v>
      </c>
      <c r="I88" s="77"/>
      <c r="J88" s="68">
        <f t="shared" ref="J88" si="54">E88*I88</f>
        <v>0</v>
      </c>
      <c r="K88" s="77"/>
      <c r="L88" s="72"/>
      <c r="M88" s="72"/>
      <c r="N88" s="72"/>
      <c r="O88" s="72">
        <f t="shared" ref="O88" si="55">L88+M88</f>
        <v>0</v>
      </c>
      <c r="P88" s="205">
        <f>O88*E88</f>
        <v>0</v>
      </c>
      <c r="W88" s="878" t="s">
        <v>273</v>
      </c>
      <c r="X88" s="878"/>
      <c r="Y88" s="878"/>
      <c r="Z88" s="124" t="s">
        <v>251</v>
      </c>
      <c r="AA88" s="125">
        <v>8.33</v>
      </c>
      <c r="AB88" s="125">
        <v>9</v>
      </c>
      <c r="AC88" s="123">
        <f>130/1.06</f>
        <v>122.64150943396226</v>
      </c>
      <c r="AD88" s="196">
        <f>AC88*AB88</f>
        <v>1103.7735849056603</v>
      </c>
      <c r="AE88" s="125">
        <v>17.5</v>
      </c>
      <c r="AF88" s="219">
        <f>AE88*AB88</f>
        <v>157.5</v>
      </c>
    </row>
    <row r="89" spans="1:32" x14ac:dyDescent="0.25">
      <c r="A89" s="88"/>
      <c r="B89" s="157"/>
      <c r="C89" s="83" t="s">
        <v>38</v>
      </c>
      <c r="D89" s="185"/>
      <c r="E89" s="74"/>
      <c r="F89" s="75"/>
      <c r="G89" s="75"/>
      <c r="H89" s="75"/>
      <c r="I89" s="75"/>
      <c r="J89" s="75"/>
      <c r="K89" s="75"/>
      <c r="L89" s="72"/>
      <c r="M89" s="72"/>
      <c r="N89" s="72"/>
      <c r="O89" s="72"/>
      <c r="P89" s="205"/>
      <c r="W89" s="878" t="s">
        <v>252</v>
      </c>
      <c r="X89" s="878"/>
      <c r="Y89" s="878"/>
      <c r="Z89" s="124" t="s">
        <v>253</v>
      </c>
      <c r="AA89" s="125">
        <v>0.25</v>
      </c>
      <c r="AB89" s="125">
        <v>0.25</v>
      </c>
      <c r="AC89" s="123">
        <f>260/1.06</f>
        <v>245.28301886792451</v>
      </c>
      <c r="AD89" s="196">
        <f>AC89*AB89</f>
        <v>61.320754716981128</v>
      </c>
      <c r="AE89" s="125"/>
      <c r="AF89" s="219">
        <f>AE89*AB89</f>
        <v>0</v>
      </c>
    </row>
    <row r="90" spans="1:32" x14ac:dyDescent="0.25">
      <c r="A90" s="88"/>
      <c r="B90" s="160" t="s">
        <v>69</v>
      </c>
      <c r="C90" s="83" t="s">
        <v>120</v>
      </c>
      <c r="D90" s="185">
        <v>1</v>
      </c>
      <c r="E90" s="74">
        <v>1</v>
      </c>
      <c r="F90" s="77" t="s">
        <v>55</v>
      </c>
      <c r="G90" s="77"/>
      <c r="H90" s="68">
        <f>E90*G90</f>
        <v>0</v>
      </c>
      <c r="I90" s="77"/>
      <c r="J90" s="68">
        <f t="shared" ref="J90" si="56">E90*I90</f>
        <v>0</v>
      </c>
      <c r="K90" s="77"/>
      <c r="L90" s="72"/>
      <c r="M90" s="72"/>
      <c r="N90" s="72"/>
      <c r="O90" s="72">
        <f t="shared" ref="O90" si="57">L90+M90</f>
        <v>0</v>
      </c>
      <c r="P90" s="205">
        <f>O90*E90</f>
        <v>0</v>
      </c>
      <c r="W90" s="878" t="s">
        <v>254</v>
      </c>
      <c r="X90" s="878"/>
      <c r="Y90" s="878"/>
      <c r="Z90" s="124" t="s">
        <v>255</v>
      </c>
      <c r="AA90" s="125">
        <v>0.25</v>
      </c>
      <c r="AB90" s="125">
        <v>0.35</v>
      </c>
      <c r="AC90" s="123">
        <f>37/1.06</f>
        <v>34.905660377358487</v>
      </c>
      <c r="AD90" s="196">
        <f>AC90*AB90</f>
        <v>12.216981132075469</v>
      </c>
      <c r="AE90" s="125"/>
      <c r="AF90" s="219">
        <f>AE90*AB90</f>
        <v>0</v>
      </c>
    </row>
    <row r="91" spans="1:32" x14ac:dyDescent="0.25">
      <c r="A91" s="88"/>
      <c r="B91" s="157"/>
      <c r="C91" s="83" t="s">
        <v>51</v>
      </c>
      <c r="D91" s="185"/>
      <c r="E91" s="74"/>
      <c r="F91" s="75"/>
      <c r="G91" s="75"/>
      <c r="H91" s="75"/>
      <c r="I91" s="75"/>
      <c r="J91" s="75"/>
      <c r="K91" s="75"/>
      <c r="L91" s="72"/>
      <c r="M91" s="72"/>
      <c r="N91" s="72"/>
      <c r="O91" s="72"/>
      <c r="P91" s="205"/>
      <c r="W91" s="878" t="s">
        <v>256</v>
      </c>
      <c r="X91" s="878"/>
      <c r="Y91" s="878"/>
      <c r="Z91" s="124" t="s">
        <v>257</v>
      </c>
      <c r="AA91" s="125">
        <v>1</v>
      </c>
      <c r="AB91" s="125">
        <v>1</v>
      </c>
      <c r="AC91" s="123">
        <f>AN90</f>
        <v>0</v>
      </c>
      <c r="AD91" s="196">
        <f>AC91*AB91</f>
        <v>0</v>
      </c>
      <c r="AE91" s="125"/>
      <c r="AF91" s="219">
        <f>AE91*AB91</f>
        <v>0</v>
      </c>
    </row>
    <row r="92" spans="1:32" x14ac:dyDescent="0.25">
      <c r="A92" s="88"/>
      <c r="B92" s="160" t="s">
        <v>70</v>
      </c>
      <c r="C92" s="83" t="s">
        <v>121</v>
      </c>
      <c r="D92" s="185">
        <v>1</v>
      </c>
      <c r="E92" s="74">
        <v>1</v>
      </c>
      <c r="F92" s="77" t="s">
        <v>55</v>
      </c>
      <c r="G92" s="77"/>
      <c r="H92" s="68">
        <f>E92*G92</f>
        <v>0</v>
      </c>
      <c r="I92" s="77"/>
      <c r="J92" s="68">
        <f t="shared" ref="J92" si="58">E92*I92</f>
        <v>0</v>
      </c>
      <c r="K92" s="71">
        <v>183816</v>
      </c>
      <c r="L92" s="72"/>
      <c r="M92" s="72"/>
      <c r="N92" s="72"/>
      <c r="O92" s="72">
        <v>183816</v>
      </c>
      <c r="P92" s="205">
        <f>O92*E92</f>
        <v>183816</v>
      </c>
      <c r="W92" s="126"/>
      <c r="X92" s="126"/>
      <c r="Y92" s="126"/>
      <c r="Z92" s="126"/>
      <c r="AA92" s="125"/>
      <c r="AB92" s="125"/>
      <c r="AC92" s="123"/>
      <c r="AD92" s="212">
        <f>SUM(AD88:AD91)</f>
        <v>1177.3113207547169</v>
      </c>
      <c r="AE92" s="122"/>
      <c r="AF92" s="212">
        <f>SUM(AF88:AF91)</f>
        <v>157.5</v>
      </c>
    </row>
    <row r="93" spans="1:32" x14ac:dyDescent="0.25">
      <c r="A93" s="88"/>
      <c r="B93" s="157"/>
      <c r="C93" s="83" t="s">
        <v>54</v>
      </c>
      <c r="D93" s="185"/>
      <c r="E93" s="74"/>
      <c r="F93" s="77"/>
      <c r="G93" s="77"/>
      <c r="H93" s="77"/>
      <c r="I93" s="77"/>
      <c r="J93" s="77"/>
      <c r="K93" s="71"/>
      <c r="L93" s="72"/>
      <c r="M93" s="72"/>
      <c r="N93" s="72"/>
      <c r="O93" s="72"/>
      <c r="P93" s="205"/>
      <c r="W93" s="126"/>
      <c r="X93" s="126"/>
      <c r="Y93" s="126"/>
      <c r="Z93" s="126"/>
      <c r="AA93" s="126"/>
      <c r="AB93" s="126"/>
      <c r="AC93" s="127"/>
      <c r="AD93" s="196"/>
      <c r="AE93" s="125"/>
      <c r="AF93" s="219"/>
    </row>
    <row r="94" spans="1:32" x14ac:dyDescent="0.25">
      <c r="A94" s="88"/>
      <c r="B94" s="160" t="s">
        <v>71</v>
      </c>
      <c r="C94" s="83" t="s">
        <v>122</v>
      </c>
      <c r="D94" s="185">
        <v>1</v>
      </c>
      <c r="E94" s="74">
        <v>1</v>
      </c>
      <c r="F94" s="77" t="s">
        <v>55</v>
      </c>
      <c r="G94" s="77"/>
      <c r="H94" s="68">
        <f>E94*G94</f>
        <v>0</v>
      </c>
      <c r="I94" s="77"/>
      <c r="J94" s="68">
        <f t="shared" ref="J94" si="59">E94*I94</f>
        <v>0</v>
      </c>
      <c r="K94" s="71">
        <v>200214</v>
      </c>
      <c r="L94" s="72"/>
      <c r="M94" s="72"/>
      <c r="N94" s="72"/>
      <c r="O94" s="72">
        <v>200214</v>
      </c>
      <c r="P94" s="205">
        <f>O94*E94</f>
        <v>200214</v>
      </c>
      <c r="W94" s="877"/>
      <c r="X94" s="877"/>
      <c r="Y94" s="877"/>
      <c r="Z94" s="122"/>
      <c r="AA94" s="122"/>
      <c r="AB94" s="122"/>
      <c r="AC94" s="123"/>
      <c r="AD94" s="196"/>
      <c r="AE94" s="122"/>
      <c r="AF94" s="212"/>
    </row>
    <row r="95" spans="1:32" x14ac:dyDescent="0.25">
      <c r="A95" s="88"/>
      <c r="B95" s="157"/>
      <c r="C95" s="83" t="s">
        <v>37</v>
      </c>
      <c r="D95" s="185"/>
      <c r="E95" s="74"/>
      <c r="F95" s="77"/>
      <c r="G95" s="77"/>
      <c r="H95" s="77"/>
      <c r="I95" s="77"/>
      <c r="J95" s="77"/>
      <c r="K95" s="71"/>
      <c r="L95" s="72"/>
      <c r="M95" s="72"/>
      <c r="N95" s="72"/>
      <c r="O95" s="72"/>
      <c r="P95" s="205"/>
      <c r="W95" s="878"/>
      <c r="X95" s="878"/>
      <c r="Y95" s="878"/>
      <c r="Z95" s="124"/>
      <c r="AA95" s="125"/>
      <c r="AB95" s="125"/>
      <c r="AC95" s="123"/>
      <c r="AD95" s="196"/>
      <c r="AE95" s="125"/>
      <c r="AF95" s="219"/>
    </row>
    <row r="96" spans="1:32" x14ac:dyDescent="0.25">
      <c r="A96" s="88"/>
      <c r="B96" s="160" t="s">
        <v>72</v>
      </c>
      <c r="C96" s="83" t="s">
        <v>123</v>
      </c>
      <c r="D96" s="185">
        <v>24</v>
      </c>
      <c r="E96" s="74">
        <v>24</v>
      </c>
      <c r="F96" s="77" t="s">
        <v>28</v>
      </c>
      <c r="G96" s="77"/>
      <c r="H96" s="68">
        <f>E96*G96</f>
        <v>0</v>
      </c>
      <c r="I96" s="77"/>
      <c r="J96" s="68">
        <f t="shared" ref="J96" si="60">E96*I96</f>
        <v>0</v>
      </c>
      <c r="K96" s="71">
        <v>18360</v>
      </c>
      <c r="L96" s="72"/>
      <c r="M96" s="72"/>
      <c r="N96" s="72"/>
      <c r="O96" s="72">
        <v>18360</v>
      </c>
      <c r="P96" s="205">
        <f>O96*E96</f>
        <v>440640</v>
      </c>
      <c r="W96" s="878"/>
      <c r="X96" s="878"/>
      <c r="Y96" s="878"/>
      <c r="Z96" s="124"/>
      <c r="AA96" s="125"/>
      <c r="AB96" s="125"/>
      <c r="AC96" s="123"/>
      <c r="AD96" s="196"/>
      <c r="AE96" s="125"/>
      <c r="AF96" s="219"/>
    </row>
    <row r="97" spans="1:32" x14ac:dyDescent="0.25">
      <c r="A97" s="88"/>
      <c r="B97" s="157"/>
      <c r="C97" s="83" t="s">
        <v>52</v>
      </c>
      <c r="D97" s="185"/>
      <c r="E97" s="74"/>
      <c r="F97" s="75"/>
      <c r="G97" s="75"/>
      <c r="H97" s="75"/>
      <c r="I97" s="75"/>
      <c r="J97" s="75"/>
      <c r="K97" s="71"/>
      <c r="L97" s="72"/>
      <c r="M97" s="72"/>
      <c r="N97" s="72"/>
      <c r="O97" s="72"/>
      <c r="P97" s="205"/>
      <c r="W97" s="881" t="s">
        <v>263</v>
      </c>
      <c r="X97" s="881"/>
      <c r="Y97" s="128"/>
      <c r="Z97" s="128"/>
      <c r="AA97" s="128"/>
      <c r="AB97" s="128"/>
      <c r="AC97" s="129"/>
      <c r="AD97" s="214"/>
      <c r="AE97" s="130"/>
      <c r="AF97" s="219"/>
    </row>
    <row r="98" spans="1:32" x14ac:dyDescent="0.25">
      <c r="A98" s="88"/>
      <c r="B98" s="157"/>
      <c r="C98" s="83" t="s">
        <v>58</v>
      </c>
      <c r="D98" s="185"/>
      <c r="E98" s="74"/>
      <c r="F98" s="75"/>
      <c r="G98" s="75"/>
      <c r="H98" s="75"/>
      <c r="I98" s="75"/>
      <c r="J98" s="75"/>
      <c r="K98" s="71"/>
      <c r="L98" s="72"/>
      <c r="M98" s="72"/>
      <c r="N98" s="72"/>
      <c r="O98" s="72"/>
      <c r="P98" s="205"/>
      <c r="W98" s="131"/>
      <c r="X98" s="131"/>
      <c r="Y98" s="132" t="s">
        <v>5</v>
      </c>
      <c r="Z98" s="133" t="s">
        <v>81</v>
      </c>
      <c r="AA98" s="133" t="s">
        <v>6</v>
      </c>
      <c r="AB98" s="133" t="s">
        <v>174</v>
      </c>
      <c r="AC98" s="134" t="s">
        <v>175</v>
      </c>
      <c r="AD98" s="215" t="s">
        <v>176</v>
      </c>
      <c r="AE98" s="135" t="s">
        <v>177</v>
      </c>
      <c r="AF98" s="212">
        <f>SUM(AF95:AF96)</f>
        <v>0</v>
      </c>
    </row>
    <row r="99" spans="1:32" x14ac:dyDescent="0.25">
      <c r="A99" s="88"/>
      <c r="B99" s="160" t="s">
        <v>73</v>
      </c>
      <c r="C99" s="83" t="s">
        <v>124</v>
      </c>
      <c r="D99" s="185">
        <v>1</v>
      </c>
      <c r="E99" s="74">
        <v>1</v>
      </c>
      <c r="F99" s="77" t="s">
        <v>55</v>
      </c>
      <c r="G99" s="77"/>
      <c r="H99" s="68">
        <f>E99*G99</f>
        <v>0</v>
      </c>
      <c r="I99" s="77"/>
      <c r="J99" s="68">
        <f t="shared" ref="J99" si="61">E99*I99</f>
        <v>0</v>
      </c>
      <c r="K99" s="71">
        <v>24480</v>
      </c>
      <c r="L99" s="72"/>
      <c r="M99" s="72"/>
      <c r="N99" s="72"/>
      <c r="O99" s="72">
        <v>24480</v>
      </c>
      <c r="P99" s="205">
        <f>O99*E99</f>
        <v>24480</v>
      </c>
      <c r="W99" s="879" t="s">
        <v>264</v>
      </c>
      <c r="X99" s="879"/>
      <c r="Y99" s="136" t="s">
        <v>253</v>
      </c>
      <c r="Z99" s="128">
        <f>0.18+0.2</f>
        <v>0.38</v>
      </c>
      <c r="AA99" s="128">
        <v>0.4</v>
      </c>
      <c r="AB99" s="137">
        <f>230/1.05</f>
        <v>219.04761904761904</v>
      </c>
      <c r="AC99" s="138">
        <f>AA99*AB99</f>
        <v>87.61904761904762</v>
      </c>
      <c r="AD99" s="214"/>
      <c r="AE99" s="139">
        <f>AD99*AA99</f>
        <v>0</v>
      </c>
      <c r="AF99" s="220"/>
    </row>
    <row r="100" spans="1:32" x14ac:dyDescent="0.25">
      <c r="A100" s="88"/>
      <c r="B100" s="157"/>
      <c r="C100" s="83" t="s">
        <v>53</v>
      </c>
      <c r="D100" s="185"/>
      <c r="E100" s="74"/>
      <c r="F100" s="75"/>
      <c r="G100" s="75"/>
      <c r="H100" s="75"/>
      <c r="I100" s="75"/>
      <c r="J100" s="75"/>
      <c r="K100" s="71"/>
      <c r="L100" s="72"/>
      <c r="M100" s="72"/>
      <c r="N100" s="72"/>
      <c r="O100" s="72"/>
      <c r="P100" s="205"/>
      <c r="W100" s="879" t="s">
        <v>265</v>
      </c>
      <c r="X100" s="879"/>
      <c r="Y100" s="136" t="s">
        <v>266</v>
      </c>
      <c r="Z100" s="128">
        <v>0.02</v>
      </c>
      <c r="AA100" s="128">
        <v>2.5000000000000001E-2</v>
      </c>
      <c r="AB100" s="137">
        <f>850</f>
        <v>850</v>
      </c>
      <c r="AC100" s="138">
        <f>AA100*AB100</f>
        <v>21.25</v>
      </c>
      <c r="AD100" s="214"/>
      <c r="AE100" s="139">
        <f>AD100*AA100</f>
        <v>0</v>
      </c>
      <c r="AF100" s="220"/>
    </row>
    <row r="101" spans="1:32" x14ac:dyDescent="0.25">
      <c r="A101" s="88"/>
      <c r="B101" s="157"/>
      <c r="C101" s="83" t="s">
        <v>59</v>
      </c>
      <c r="D101" s="185"/>
      <c r="E101" s="74"/>
      <c r="F101" s="75"/>
      <c r="G101" s="75"/>
      <c r="H101" s="75"/>
      <c r="I101" s="75"/>
      <c r="J101" s="75"/>
      <c r="K101" s="71"/>
      <c r="L101" s="72"/>
      <c r="M101" s="72"/>
      <c r="N101" s="72"/>
      <c r="O101" s="72"/>
      <c r="P101" s="205"/>
      <c r="W101" s="126"/>
      <c r="X101" s="126"/>
      <c r="Y101" s="126"/>
      <c r="Z101" s="126"/>
      <c r="AA101" s="126"/>
      <c r="AB101" s="126"/>
      <c r="AC101" s="140">
        <f>SUM(AC99:AC100)</f>
        <v>108.86904761904762</v>
      </c>
      <c r="AD101" s="214"/>
      <c r="AE101" s="135">
        <v>110</v>
      </c>
      <c r="AF101" s="212"/>
    </row>
    <row r="102" spans="1:32" ht="30" x14ac:dyDescent="0.25">
      <c r="A102" s="88"/>
      <c r="B102" s="160" t="s">
        <v>74</v>
      </c>
      <c r="C102" s="83" t="s">
        <v>125</v>
      </c>
      <c r="D102" s="185">
        <v>1</v>
      </c>
      <c r="E102" s="74">
        <v>1</v>
      </c>
      <c r="F102" s="77" t="s">
        <v>55</v>
      </c>
      <c r="G102" s="77"/>
      <c r="H102" s="68">
        <f>E102*G102</f>
        <v>0</v>
      </c>
      <c r="I102" s="77"/>
      <c r="J102" s="68">
        <f t="shared" ref="J102" si="62">E102*I102</f>
        <v>0</v>
      </c>
      <c r="K102" s="71">
        <f>65520+7560+5880</f>
        <v>78960</v>
      </c>
      <c r="L102" s="72"/>
      <c r="M102" s="72"/>
      <c r="N102" s="72"/>
      <c r="O102" s="72">
        <f>65520+7560+5880</f>
        <v>78960</v>
      </c>
      <c r="P102" s="205">
        <f>O102*E102</f>
        <v>78960</v>
      </c>
      <c r="W102" s="126"/>
      <c r="X102" s="126"/>
      <c r="Y102" s="126"/>
      <c r="Z102" s="126"/>
      <c r="AA102" s="126"/>
      <c r="AB102" s="126"/>
      <c r="AC102" s="127"/>
      <c r="AD102" s="213"/>
      <c r="AE102" s="126"/>
      <c r="AF102" s="219"/>
    </row>
    <row r="103" spans="1:32" x14ac:dyDescent="0.25">
      <c r="A103" s="88"/>
      <c r="B103" s="157"/>
      <c r="C103" s="83" t="s">
        <v>164</v>
      </c>
      <c r="D103" s="185"/>
      <c r="E103" s="74"/>
      <c r="F103" s="75"/>
      <c r="G103" s="75"/>
      <c r="H103" s="75"/>
      <c r="I103" s="75"/>
      <c r="J103" s="75"/>
      <c r="K103" s="71"/>
      <c r="L103" s="72"/>
      <c r="M103" s="72"/>
      <c r="N103" s="72"/>
      <c r="O103" s="72"/>
      <c r="P103" s="205"/>
      <c r="W103" s="880" t="s">
        <v>267</v>
      </c>
      <c r="X103" s="880"/>
      <c r="Y103" s="141" t="s">
        <v>243</v>
      </c>
      <c r="Z103" s="141" t="s">
        <v>244</v>
      </c>
      <c r="AA103" s="141" t="s">
        <v>245</v>
      </c>
      <c r="AB103" s="141" t="s">
        <v>246</v>
      </c>
      <c r="AC103" s="141" t="s">
        <v>247</v>
      </c>
      <c r="AD103" s="216" t="s">
        <v>248</v>
      </c>
      <c r="AE103" s="141" t="s">
        <v>249</v>
      </c>
      <c r="AF103" s="219"/>
    </row>
    <row r="104" spans="1:32" x14ac:dyDescent="0.25">
      <c r="A104" s="88"/>
      <c r="B104" s="160" t="s">
        <v>75</v>
      </c>
      <c r="C104" s="83" t="s">
        <v>126</v>
      </c>
      <c r="D104" s="185">
        <v>1</v>
      </c>
      <c r="E104" s="74">
        <v>1</v>
      </c>
      <c r="F104" s="77" t="s">
        <v>55</v>
      </c>
      <c r="G104" s="77"/>
      <c r="H104" s="68">
        <f>E104*G104</f>
        <v>0</v>
      </c>
      <c r="I104" s="77"/>
      <c r="J104" s="68">
        <f t="shared" ref="J104" si="63">E104*I104</f>
        <v>0</v>
      </c>
      <c r="K104" s="71">
        <v>151200</v>
      </c>
      <c r="L104" s="72"/>
      <c r="M104" s="72"/>
      <c r="N104" s="72"/>
      <c r="O104" s="72">
        <v>151200</v>
      </c>
      <c r="P104" s="205">
        <f>O104*E104</f>
        <v>151200</v>
      </c>
      <c r="W104" s="142"/>
      <c r="X104" s="143" t="s">
        <v>265</v>
      </c>
      <c r="Y104" s="143" t="s">
        <v>268</v>
      </c>
      <c r="Z104" s="143">
        <v>8.0000000000000002E-3</v>
      </c>
      <c r="AA104" s="143">
        <v>0.01</v>
      </c>
      <c r="AB104" s="143">
        <v>1000</v>
      </c>
      <c r="AC104" s="143">
        <f>AB104*AA104</f>
        <v>10</v>
      </c>
      <c r="AD104" s="144">
        <v>600</v>
      </c>
      <c r="AE104" s="143">
        <f>AD104*AA104</f>
        <v>6</v>
      </c>
      <c r="AF104" s="219"/>
    </row>
    <row r="105" spans="1:32" x14ac:dyDescent="0.25">
      <c r="A105" s="88"/>
      <c r="B105" s="157"/>
      <c r="C105" s="83" t="s">
        <v>164</v>
      </c>
      <c r="D105" s="185"/>
      <c r="E105" s="74"/>
      <c r="F105" s="75"/>
      <c r="G105" s="75"/>
      <c r="H105" s="75"/>
      <c r="I105" s="75"/>
      <c r="J105" s="75"/>
      <c r="K105" s="71"/>
      <c r="L105" s="72"/>
      <c r="M105" s="72"/>
      <c r="N105" s="72"/>
      <c r="O105" s="72"/>
      <c r="P105" s="205"/>
      <c r="W105" s="142"/>
      <c r="X105" s="143" t="s">
        <v>264</v>
      </c>
      <c r="Y105" s="143" t="s">
        <v>253</v>
      </c>
      <c r="Z105" s="143">
        <v>0.14399999999999999</v>
      </c>
      <c r="AA105" s="143">
        <v>0.17</v>
      </c>
      <c r="AB105" s="144">
        <f>230/1.075</f>
        <v>213.95348837209303</v>
      </c>
      <c r="AC105" s="144">
        <f>AB105*AA105</f>
        <v>36.372093023255822</v>
      </c>
      <c r="AD105" s="144">
        <v>150</v>
      </c>
      <c r="AE105" s="143">
        <f>AD105*AA105</f>
        <v>25.500000000000004</v>
      </c>
      <c r="AF105" s="212"/>
    </row>
    <row r="106" spans="1:32" x14ac:dyDescent="0.25">
      <c r="A106" s="88"/>
      <c r="B106" s="160" t="s">
        <v>76</v>
      </c>
      <c r="C106" s="83" t="s">
        <v>127</v>
      </c>
      <c r="D106" s="185">
        <v>1</v>
      </c>
      <c r="E106" s="74">
        <v>1</v>
      </c>
      <c r="F106" s="77" t="s">
        <v>55</v>
      </c>
      <c r="G106" s="77"/>
      <c r="H106" s="68">
        <f>E106*G106</f>
        <v>0</v>
      </c>
      <c r="I106" s="77"/>
      <c r="J106" s="68">
        <f t="shared" ref="J106" si="64">E106*I106</f>
        <v>0</v>
      </c>
      <c r="K106" s="71">
        <v>80640</v>
      </c>
      <c r="L106" s="72"/>
      <c r="M106" s="72"/>
      <c r="N106" s="72"/>
      <c r="O106" s="72">
        <v>80640</v>
      </c>
      <c r="P106" s="205">
        <f>O106*E106</f>
        <v>80640</v>
      </c>
      <c r="W106" s="142"/>
      <c r="X106" s="143" t="s">
        <v>269</v>
      </c>
      <c r="Y106" s="143" t="s">
        <v>253</v>
      </c>
      <c r="Z106" s="143">
        <v>5</v>
      </c>
      <c r="AA106" s="143">
        <v>5</v>
      </c>
      <c r="AB106" s="143">
        <f>50/1.05</f>
        <v>47.61904761904762</v>
      </c>
      <c r="AC106" s="143">
        <f>AB106*AA106</f>
        <v>238.0952380952381</v>
      </c>
      <c r="AD106" s="144">
        <v>20</v>
      </c>
      <c r="AE106" s="143">
        <f>AD106*AA106</f>
        <v>100</v>
      </c>
      <c r="AF106" s="220"/>
    </row>
    <row r="107" spans="1:32" x14ac:dyDescent="0.25">
      <c r="A107" s="88"/>
      <c r="B107" s="157"/>
      <c r="C107" s="83" t="s">
        <v>164</v>
      </c>
      <c r="D107" s="185"/>
      <c r="E107" s="74"/>
      <c r="F107" s="75"/>
      <c r="G107" s="75"/>
      <c r="H107" s="75"/>
      <c r="I107" s="75"/>
      <c r="J107" s="75"/>
      <c r="K107" s="71"/>
      <c r="L107" s="72"/>
      <c r="M107" s="72"/>
      <c r="N107" s="72"/>
      <c r="O107" s="72"/>
      <c r="P107" s="205"/>
      <c r="W107" s="142"/>
      <c r="X107" s="145"/>
      <c r="Y107" s="145"/>
      <c r="Z107" s="145"/>
      <c r="AA107" s="145"/>
      <c r="AB107" s="145"/>
      <c r="AC107" s="146">
        <f>SUM(AC104:AC106)</f>
        <v>284.46733111849392</v>
      </c>
      <c r="AD107" s="217"/>
      <c r="AE107" s="147">
        <f>SUM(AE104:AE106)</f>
        <v>131.5</v>
      </c>
      <c r="AF107" s="220"/>
    </row>
    <row r="108" spans="1:32" x14ac:dyDescent="0.25">
      <c r="A108" s="88"/>
      <c r="B108" s="160" t="s">
        <v>77</v>
      </c>
      <c r="C108" s="83" t="s">
        <v>128</v>
      </c>
      <c r="D108" s="185">
        <v>1</v>
      </c>
      <c r="E108" s="74">
        <v>1</v>
      </c>
      <c r="F108" s="77" t="s">
        <v>55</v>
      </c>
      <c r="G108" s="77"/>
      <c r="H108" s="68">
        <f>E108*G108</f>
        <v>0</v>
      </c>
      <c r="I108" s="77"/>
      <c r="J108" s="68">
        <f t="shared" ref="J108" si="65">E108*I108</f>
        <v>0</v>
      </c>
      <c r="K108" s="71">
        <f>27888+33600</f>
        <v>61488</v>
      </c>
      <c r="L108" s="72"/>
      <c r="M108" s="72"/>
      <c r="N108" s="72"/>
      <c r="O108" s="72">
        <f>27888+33600</f>
        <v>61488</v>
      </c>
      <c r="P108" s="205">
        <f>O108*E108</f>
        <v>61488</v>
      </c>
      <c r="W108" s="126"/>
      <c r="X108" s="126"/>
      <c r="Y108" s="126"/>
      <c r="Z108" s="126"/>
      <c r="AA108" s="126"/>
      <c r="AB108" s="126"/>
      <c r="AC108" s="127"/>
      <c r="AD108" s="213"/>
      <c r="AE108" s="126"/>
      <c r="AF108" s="220"/>
    </row>
    <row r="109" spans="1:32" x14ac:dyDescent="0.25">
      <c r="A109" s="88"/>
      <c r="B109" s="157"/>
      <c r="C109" s="83" t="s">
        <v>164</v>
      </c>
      <c r="D109" s="185"/>
      <c r="E109" s="74"/>
      <c r="F109" s="75"/>
      <c r="G109" s="75"/>
      <c r="H109" s="75"/>
      <c r="I109" s="75"/>
      <c r="J109" s="75"/>
      <c r="K109" s="75"/>
      <c r="L109" s="72"/>
      <c r="M109" s="72"/>
      <c r="N109" s="72"/>
      <c r="O109" s="72"/>
      <c r="P109" s="205"/>
      <c r="W109" s="126"/>
      <c r="X109" s="126"/>
      <c r="Y109" s="126"/>
      <c r="Z109" s="126"/>
      <c r="AA109" s="126"/>
      <c r="AB109" s="126"/>
      <c r="AC109" s="127"/>
      <c r="AD109" s="213"/>
      <c r="AE109" s="126"/>
      <c r="AF109" s="220"/>
    </row>
    <row r="110" spans="1:32" x14ac:dyDescent="0.25">
      <c r="A110" s="88"/>
      <c r="B110" s="157"/>
      <c r="C110" s="81" t="s">
        <v>235</v>
      </c>
      <c r="D110" s="185"/>
      <c r="E110" s="74"/>
      <c r="F110" s="75"/>
      <c r="G110" s="75"/>
      <c r="H110" s="75">
        <f>SUM(H76:H108)</f>
        <v>0</v>
      </c>
      <c r="I110" s="75"/>
      <c r="J110" s="75">
        <f>SUM(J76:J108)</f>
        <v>0</v>
      </c>
      <c r="K110" s="75">
        <f>SUM(K76:K108)</f>
        <v>1339139.8999999999</v>
      </c>
      <c r="L110" s="72"/>
      <c r="M110" s="72"/>
      <c r="N110" s="72"/>
      <c r="O110" s="72"/>
      <c r="P110" s="206">
        <f>SUM(P76:P108)</f>
        <v>1761419.9</v>
      </c>
      <c r="AF110" s="220"/>
    </row>
    <row r="111" spans="1:32" x14ac:dyDescent="0.25">
      <c r="A111" s="88"/>
      <c r="B111" s="157"/>
      <c r="C111" s="83"/>
      <c r="D111" s="185"/>
      <c r="E111" s="74"/>
      <c r="F111" s="75"/>
      <c r="G111" s="75"/>
      <c r="H111" s="75"/>
      <c r="I111" s="75"/>
      <c r="J111" s="75"/>
      <c r="K111" s="75"/>
      <c r="L111" s="72"/>
      <c r="M111" s="72"/>
      <c r="N111" s="72"/>
      <c r="O111" s="72"/>
      <c r="P111" s="205"/>
      <c r="AF111" s="220"/>
    </row>
    <row r="112" spans="1:32" x14ac:dyDescent="0.25">
      <c r="A112" s="88"/>
      <c r="B112" s="80" t="s">
        <v>141</v>
      </c>
      <c r="C112" s="83"/>
      <c r="D112" s="185"/>
      <c r="E112" s="74"/>
      <c r="F112" s="75"/>
      <c r="G112" s="75"/>
      <c r="H112" s="75"/>
      <c r="I112" s="75"/>
      <c r="J112" s="75"/>
      <c r="K112" s="75"/>
      <c r="L112" s="72"/>
      <c r="M112" s="72"/>
      <c r="N112" s="72"/>
      <c r="O112" s="72"/>
      <c r="P112" s="205"/>
      <c r="AF112" s="220"/>
    </row>
    <row r="113" spans="1:32" x14ac:dyDescent="0.25">
      <c r="A113" s="88"/>
      <c r="B113" s="160" t="s">
        <v>62</v>
      </c>
      <c r="C113" s="83" t="s">
        <v>142</v>
      </c>
      <c r="D113" s="185">
        <f>2+4</f>
        <v>6</v>
      </c>
      <c r="E113" s="74"/>
      <c r="F113" s="77" t="s">
        <v>28</v>
      </c>
      <c r="G113" s="77"/>
      <c r="H113" s="68">
        <f>E113*G113</f>
        <v>0</v>
      </c>
      <c r="I113" s="77"/>
      <c r="J113" s="68">
        <f t="shared" ref="J113:J114" si="66">E113*I113</f>
        <v>0</v>
      </c>
      <c r="K113" s="77"/>
      <c r="L113" s="72"/>
      <c r="M113" s="72"/>
      <c r="N113" s="72"/>
      <c r="O113" s="72"/>
      <c r="P113" s="205"/>
      <c r="AF113" s="220"/>
    </row>
    <row r="114" spans="1:32" x14ac:dyDescent="0.25">
      <c r="A114" s="88"/>
      <c r="B114" s="160" t="s">
        <v>63</v>
      </c>
      <c r="C114" s="83" t="s">
        <v>143</v>
      </c>
      <c r="D114" s="185"/>
      <c r="E114" s="74"/>
      <c r="F114" s="77" t="s">
        <v>28</v>
      </c>
      <c r="G114" s="77"/>
      <c r="H114" s="68">
        <f>E114*G114</f>
        <v>0</v>
      </c>
      <c r="I114" s="77"/>
      <c r="J114" s="68">
        <f t="shared" si="66"/>
        <v>0</v>
      </c>
      <c r="K114" s="77"/>
      <c r="L114" s="72"/>
      <c r="M114" s="72"/>
      <c r="N114" s="72"/>
      <c r="O114" s="72"/>
      <c r="P114" s="205"/>
      <c r="AF114" s="220"/>
    </row>
    <row r="115" spans="1:32" x14ac:dyDescent="0.25">
      <c r="A115" s="88"/>
      <c r="B115" s="157"/>
      <c r="C115" s="83" t="s">
        <v>144</v>
      </c>
      <c r="D115" s="185"/>
      <c r="E115" s="74"/>
      <c r="F115" s="75"/>
      <c r="G115" s="75"/>
      <c r="H115" s="75"/>
      <c r="I115" s="75"/>
      <c r="J115" s="75"/>
      <c r="K115" s="75"/>
      <c r="L115" s="72"/>
      <c r="M115" s="72"/>
      <c r="N115" s="72"/>
      <c r="O115" s="72"/>
      <c r="P115" s="205"/>
      <c r="AF115" s="220"/>
    </row>
    <row r="116" spans="1:32" x14ac:dyDescent="0.25">
      <c r="A116" s="88"/>
      <c r="B116" s="160"/>
      <c r="C116" s="83" t="s">
        <v>145</v>
      </c>
      <c r="D116" s="185"/>
      <c r="E116" s="74"/>
      <c r="F116" s="75"/>
      <c r="G116" s="75"/>
      <c r="H116" s="75"/>
      <c r="I116" s="75"/>
      <c r="J116" s="75"/>
      <c r="K116" s="75"/>
      <c r="L116" s="72"/>
      <c r="M116" s="72"/>
      <c r="N116" s="72"/>
      <c r="O116" s="72"/>
      <c r="P116" s="205"/>
      <c r="AF116" s="220"/>
    </row>
    <row r="117" spans="1:32" x14ac:dyDescent="0.25">
      <c r="A117" s="88"/>
      <c r="B117" s="160" t="s">
        <v>64</v>
      </c>
      <c r="C117" s="83" t="s">
        <v>146</v>
      </c>
      <c r="D117" s="185"/>
      <c r="E117" s="74"/>
      <c r="F117" s="77" t="s">
        <v>28</v>
      </c>
      <c r="G117" s="77"/>
      <c r="H117" s="68">
        <f>E117*G117</f>
        <v>0</v>
      </c>
      <c r="I117" s="77"/>
      <c r="J117" s="68">
        <f t="shared" ref="J117:J118" si="67">E117*I117</f>
        <v>0</v>
      </c>
      <c r="K117" s="77"/>
      <c r="L117" s="72"/>
      <c r="M117" s="72"/>
      <c r="N117" s="72"/>
      <c r="O117" s="72"/>
      <c r="P117" s="205"/>
      <c r="AF117" s="220"/>
    </row>
    <row r="118" spans="1:32" x14ac:dyDescent="0.25">
      <c r="A118" s="88"/>
      <c r="B118" s="160" t="s">
        <v>65</v>
      </c>
      <c r="C118" s="83" t="s">
        <v>147</v>
      </c>
      <c r="D118" s="185"/>
      <c r="E118" s="74"/>
      <c r="F118" s="77" t="s">
        <v>28</v>
      </c>
      <c r="G118" s="77"/>
      <c r="H118" s="68">
        <f>E118*G118</f>
        <v>0</v>
      </c>
      <c r="I118" s="77"/>
      <c r="J118" s="68">
        <f t="shared" si="67"/>
        <v>0</v>
      </c>
      <c r="K118" s="77"/>
      <c r="L118" s="72"/>
      <c r="M118" s="72"/>
      <c r="N118" s="72"/>
      <c r="O118" s="72"/>
      <c r="P118" s="205"/>
      <c r="AF118" s="220"/>
    </row>
    <row r="119" spans="1:32" x14ac:dyDescent="0.25">
      <c r="A119" s="88"/>
      <c r="B119" s="160" t="s">
        <v>66</v>
      </c>
      <c r="C119" s="83" t="s">
        <v>297</v>
      </c>
      <c r="D119" s="185"/>
      <c r="E119" s="74"/>
      <c r="F119" s="77" t="s">
        <v>100</v>
      </c>
      <c r="G119" s="77"/>
      <c r="H119" s="68">
        <f>E119*G119</f>
        <v>0</v>
      </c>
      <c r="I119" s="77"/>
      <c r="J119" s="68">
        <f t="shared" ref="J119:J120" si="68">E119*I119</f>
        <v>0</v>
      </c>
      <c r="K119" s="77"/>
      <c r="L119" s="72"/>
      <c r="M119" s="72"/>
      <c r="N119" s="72"/>
      <c r="O119" s="72"/>
      <c r="P119" s="205"/>
      <c r="AF119" s="220"/>
    </row>
    <row r="120" spans="1:32" x14ac:dyDescent="0.25">
      <c r="A120" s="88"/>
      <c r="B120" s="160" t="s">
        <v>67</v>
      </c>
      <c r="C120" s="83" t="s">
        <v>298</v>
      </c>
      <c r="D120" s="185"/>
      <c r="E120" s="74"/>
      <c r="F120" s="77" t="s">
        <v>100</v>
      </c>
      <c r="G120" s="77"/>
      <c r="H120" s="68">
        <f>E120*G120</f>
        <v>0</v>
      </c>
      <c r="I120" s="77"/>
      <c r="J120" s="68">
        <f t="shared" si="68"/>
        <v>0</v>
      </c>
      <c r="K120" s="77"/>
      <c r="L120" s="72"/>
      <c r="M120" s="72"/>
      <c r="N120" s="72"/>
      <c r="O120" s="72"/>
      <c r="P120" s="205"/>
      <c r="AF120" s="220"/>
    </row>
    <row r="121" spans="1:32" x14ac:dyDescent="0.25">
      <c r="A121" s="88"/>
      <c r="B121" s="160"/>
      <c r="C121" s="81" t="s">
        <v>236</v>
      </c>
      <c r="D121" s="185"/>
      <c r="E121" s="74"/>
      <c r="F121" s="75"/>
      <c r="G121" s="75"/>
      <c r="H121" s="75">
        <f>SUM(H113:H118)</f>
        <v>0</v>
      </c>
      <c r="I121" s="75"/>
      <c r="J121" s="75">
        <f>SUM(J113:J118)</f>
        <v>0</v>
      </c>
      <c r="K121" s="75">
        <f>SUM(K113:K118)</f>
        <v>0</v>
      </c>
      <c r="L121" s="72"/>
      <c r="M121" s="72"/>
      <c r="N121" s="72"/>
      <c r="O121" s="72"/>
      <c r="P121" s="206">
        <f>SUM(P113:P118)</f>
        <v>0</v>
      </c>
      <c r="AF121" s="220"/>
    </row>
    <row r="122" spans="1:32" x14ac:dyDescent="0.25">
      <c r="A122" s="88"/>
      <c r="B122" s="157"/>
      <c r="C122" s="83"/>
      <c r="D122" s="185"/>
      <c r="E122" s="74"/>
      <c r="F122" s="75"/>
      <c r="G122" s="75"/>
      <c r="H122" s="75"/>
      <c r="I122" s="75"/>
      <c r="J122" s="75"/>
      <c r="K122" s="75"/>
      <c r="L122" s="72"/>
      <c r="M122" s="72"/>
      <c r="N122" s="72"/>
      <c r="O122" s="72"/>
      <c r="P122" s="205"/>
      <c r="AF122" s="220"/>
    </row>
    <row r="123" spans="1:32" x14ac:dyDescent="0.25">
      <c r="A123" s="88"/>
      <c r="B123" s="80" t="s">
        <v>148</v>
      </c>
      <c r="C123" s="83"/>
      <c r="D123" s="185"/>
      <c r="E123" s="74"/>
      <c r="F123" s="75"/>
      <c r="G123" s="75"/>
      <c r="H123" s="75"/>
      <c r="I123" s="75"/>
      <c r="J123" s="75"/>
      <c r="K123" s="75"/>
      <c r="L123" s="72"/>
      <c r="M123" s="72"/>
      <c r="N123" s="72"/>
      <c r="O123" s="72"/>
      <c r="P123" s="205"/>
    </row>
    <row r="124" spans="1:32" x14ac:dyDescent="0.25">
      <c r="A124" s="88"/>
      <c r="B124" s="160" t="s">
        <v>62</v>
      </c>
      <c r="C124" s="83" t="s">
        <v>149</v>
      </c>
      <c r="D124" s="185">
        <v>76.8</v>
      </c>
      <c r="E124" s="74"/>
      <c r="F124" s="77" t="s">
        <v>100</v>
      </c>
      <c r="G124" s="77"/>
      <c r="H124" s="68">
        <f>E124*G124</f>
        <v>0</v>
      </c>
      <c r="I124" s="77"/>
      <c r="J124" s="68">
        <f t="shared" ref="J124:J126" si="69">E124*I124</f>
        <v>0</v>
      </c>
      <c r="K124" s="77"/>
      <c r="L124" s="72"/>
      <c r="M124" s="72"/>
      <c r="N124" s="72"/>
      <c r="O124" s="72"/>
      <c r="P124" s="205"/>
    </row>
    <row r="125" spans="1:32" x14ac:dyDescent="0.25">
      <c r="A125" s="88"/>
      <c r="B125" s="160" t="s">
        <v>63</v>
      </c>
      <c r="C125" s="83" t="s">
        <v>150</v>
      </c>
      <c r="D125" s="185">
        <v>56.4</v>
      </c>
      <c r="E125" s="74"/>
      <c r="F125" s="77" t="s">
        <v>100</v>
      </c>
      <c r="G125" s="77"/>
      <c r="H125" s="68">
        <f>E125*G125</f>
        <v>0</v>
      </c>
      <c r="I125" s="77"/>
      <c r="J125" s="68">
        <f t="shared" si="69"/>
        <v>0</v>
      </c>
      <c r="K125" s="77"/>
      <c r="L125" s="72"/>
      <c r="M125" s="72"/>
      <c r="N125" s="72"/>
      <c r="O125" s="72"/>
      <c r="P125" s="205"/>
      <c r="W125" s="880" t="s">
        <v>275</v>
      </c>
      <c r="X125" s="880"/>
      <c r="Y125" s="141" t="s">
        <v>243</v>
      </c>
      <c r="Z125" s="141" t="s">
        <v>244</v>
      </c>
      <c r="AA125" s="141" t="s">
        <v>245</v>
      </c>
      <c r="AB125" s="141" t="s">
        <v>246</v>
      </c>
      <c r="AC125" s="141" t="s">
        <v>247</v>
      </c>
      <c r="AD125" s="216" t="s">
        <v>248</v>
      </c>
      <c r="AE125" s="141" t="s">
        <v>249</v>
      </c>
    </row>
    <row r="126" spans="1:32" x14ac:dyDescent="0.25">
      <c r="A126" s="88"/>
      <c r="B126" s="160" t="s">
        <v>64</v>
      </c>
      <c r="C126" s="83" t="s">
        <v>151</v>
      </c>
      <c r="D126" s="185">
        <v>7.83</v>
      </c>
      <c r="E126" s="74"/>
      <c r="F126" s="77" t="s">
        <v>100</v>
      </c>
      <c r="G126" s="77"/>
      <c r="H126" s="68">
        <f>E126*G126</f>
        <v>0</v>
      </c>
      <c r="I126" s="77"/>
      <c r="J126" s="68">
        <f t="shared" si="69"/>
        <v>0</v>
      </c>
      <c r="K126" s="77"/>
      <c r="L126" s="72"/>
      <c r="M126" s="72"/>
      <c r="N126" s="72"/>
      <c r="O126" s="72"/>
      <c r="P126" s="205"/>
      <c r="W126" s="891" t="s">
        <v>276</v>
      </c>
      <c r="X126" s="891"/>
      <c r="Y126" s="143" t="s">
        <v>100</v>
      </c>
      <c r="Z126" s="143">
        <v>26</v>
      </c>
      <c r="AA126" s="143">
        <f>5*6</f>
        <v>30</v>
      </c>
      <c r="AB126" s="144">
        <f>240/1.07</f>
        <v>224.29906542056074</v>
      </c>
      <c r="AC126" s="144">
        <f>AB126*AA126</f>
        <v>6728.9719626168226</v>
      </c>
      <c r="AD126" s="144">
        <v>150</v>
      </c>
      <c r="AE126" s="144">
        <f>AD126*AA126</f>
        <v>4500</v>
      </c>
    </row>
    <row r="127" spans="1:32" x14ac:dyDescent="0.25">
      <c r="A127" s="88"/>
      <c r="B127" s="157"/>
      <c r="C127" s="83" t="s">
        <v>152</v>
      </c>
      <c r="D127" s="185"/>
      <c r="E127" s="74"/>
      <c r="F127" s="75"/>
      <c r="G127" s="75"/>
      <c r="H127" s="75"/>
      <c r="I127" s="75"/>
      <c r="J127" s="75"/>
      <c r="K127" s="75"/>
      <c r="L127" s="72"/>
      <c r="M127" s="72"/>
      <c r="N127" s="72"/>
      <c r="O127" s="72"/>
      <c r="P127" s="205"/>
      <c r="W127" s="891" t="s">
        <v>277</v>
      </c>
      <c r="X127" s="891"/>
      <c r="Y127" s="143" t="s">
        <v>283</v>
      </c>
      <c r="Z127" s="143">
        <v>10</v>
      </c>
      <c r="AA127" s="143">
        <v>10</v>
      </c>
      <c r="AB127" s="144">
        <f>150</f>
        <v>150</v>
      </c>
      <c r="AC127" s="144">
        <f t="shared" ref="AC127:AC133" si="70">AB127*AA127</f>
        <v>1500</v>
      </c>
      <c r="AD127" s="144">
        <v>65</v>
      </c>
      <c r="AE127" s="144">
        <f t="shared" ref="AE127:AE133" si="71">AD127*AA127</f>
        <v>650</v>
      </c>
    </row>
    <row r="128" spans="1:32" x14ac:dyDescent="0.25">
      <c r="A128" s="88"/>
      <c r="B128" s="160" t="s">
        <v>65</v>
      </c>
      <c r="C128" s="83" t="s">
        <v>157</v>
      </c>
      <c r="D128" s="185" t="s">
        <v>39</v>
      </c>
      <c r="E128" s="74"/>
      <c r="F128" s="75"/>
      <c r="G128" s="75"/>
      <c r="H128" s="68">
        <f>E128*G128</f>
        <v>0</v>
      </c>
      <c r="I128" s="75"/>
      <c r="J128" s="68">
        <f t="shared" ref="J128:J129" si="72">E128*I128</f>
        <v>0</v>
      </c>
      <c r="K128" s="75"/>
      <c r="L128" s="72"/>
      <c r="M128" s="72"/>
      <c r="N128" s="72"/>
      <c r="O128" s="72"/>
      <c r="P128" s="205" t="s">
        <v>161</v>
      </c>
      <c r="W128" s="891" t="s">
        <v>278</v>
      </c>
      <c r="X128" s="891"/>
      <c r="Y128" s="143" t="s">
        <v>283</v>
      </c>
      <c r="Z128" s="143">
        <v>10</v>
      </c>
      <c r="AA128" s="143">
        <v>10</v>
      </c>
      <c r="AB128" s="144">
        <f>150+30</f>
        <v>180</v>
      </c>
      <c r="AC128" s="144">
        <f t="shared" si="70"/>
        <v>1800</v>
      </c>
      <c r="AD128" s="144">
        <v>70</v>
      </c>
      <c r="AE128" s="144">
        <f t="shared" si="71"/>
        <v>700</v>
      </c>
    </row>
    <row r="129" spans="1:31" x14ac:dyDescent="0.25">
      <c r="A129" s="88"/>
      <c r="B129" s="151" t="s">
        <v>158</v>
      </c>
      <c r="C129" s="83" t="s">
        <v>159</v>
      </c>
      <c r="D129" s="185" t="s">
        <v>39</v>
      </c>
      <c r="E129" s="74"/>
      <c r="F129" s="75"/>
      <c r="G129" s="75"/>
      <c r="H129" s="68">
        <f>E129*G129</f>
        <v>0</v>
      </c>
      <c r="I129" s="75"/>
      <c r="J129" s="68">
        <f t="shared" si="72"/>
        <v>0</v>
      </c>
      <c r="K129" s="75"/>
      <c r="L129" s="72"/>
      <c r="M129" s="72"/>
      <c r="N129" s="72"/>
      <c r="O129" s="72"/>
      <c r="P129" s="205" t="s">
        <v>161</v>
      </c>
      <c r="W129" s="890" t="s">
        <v>280</v>
      </c>
      <c r="X129" s="890"/>
      <c r="Y129" s="143" t="s">
        <v>101</v>
      </c>
      <c r="Z129" s="143">
        <f>4.5*1.2</f>
        <v>5.3999999999999995</v>
      </c>
      <c r="AA129" s="143">
        <v>6</v>
      </c>
      <c r="AB129" s="144">
        <v>120</v>
      </c>
      <c r="AC129" s="144">
        <f t="shared" si="70"/>
        <v>720</v>
      </c>
      <c r="AD129" s="144">
        <v>135</v>
      </c>
      <c r="AE129" s="144">
        <f t="shared" si="71"/>
        <v>810</v>
      </c>
    </row>
    <row r="130" spans="1:31" x14ac:dyDescent="0.25">
      <c r="A130" s="88"/>
      <c r="B130" s="160"/>
      <c r="C130" s="83" t="s">
        <v>163</v>
      </c>
      <c r="D130" s="185"/>
      <c r="E130" s="74"/>
      <c r="F130" s="75"/>
      <c r="G130" s="75"/>
      <c r="H130" s="75"/>
      <c r="I130" s="75"/>
      <c r="J130" s="75"/>
      <c r="K130" s="75"/>
      <c r="L130" s="72"/>
      <c r="M130" s="72"/>
      <c r="N130" s="72"/>
      <c r="O130" s="72"/>
      <c r="P130" s="205"/>
      <c r="W130" s="890" t="s">
        <v>285</v>
      </c>
      <c r="X130" s="890"/>
      <c r="Y130" s="143" t="s">
        <v>100</v>
      </c>
      <c r="Z130" s="143">
        <v>26</v>
      </c>
      <c r="AA130" s="143">
        <v>30</v>
      </c>
      <c r="AB130" s="2">
        <v>80</v>
      </c>
      <c r="AC130" s="144">
        <f t="shared" si="70"/>
        <v>2400</v>
      </c>
      <c r="AD130" s="2">
        <v>80</v>
      </c>
      <c r="AE130" s="144">
        <f t="shared" si="71"/>
        <v>2400</v>
      </c>
    </row>
    <row r="131" spans="1:31" ht="15" customHeight="1" x14ac:dyDescent="0.25">
      <c r="A131" s="88"/>
      <c r="B131" s="160"/>
      <c r="C131" s="81" t="s">
        <v>237</v>
      </c>
      <c r="D131" s="185"/>
      <c r="E131" s="74"/>
      <c r="F131" s="75"/>
      <c r="G131" s="75"/>
      <c r="H131" s="75">
        <f>SUM(H124:H130)</f>
        <v>0</v>
      </c>
      <c r="I131" s="75"/>
      <c r="J131" s="75">
        <f>SUM(J124:J130)</f>
        <v>0</v>
      </c>
      <c r="K131" s="75">
        <f>SUM(K124:K130)</f>
        <v>0</v>
      </c>
      <c r="L131" s="72"/>
      <c r="M131" s="72"/>
      <c r="N131" s="72"/>
      <c r="O131" s="72"/>
      <c r="P131" s="206">
        <f>SUM(P124:P130)</f>
        <v>0</v>
      </c>
      <c r="W131" s="890" t="s">
        <v>279</v>
      </c>
      <c r="X131" s="890"/>
      <c r="Y131" s="143" t="s">
        <v>266</v>
      </c>
      <c r="Z131" s="143">
        <f>4.5*1.2*0.125+4.5*0.3*0.1</f>
        <v>0.80999999999999994</v>
      </c>
      <c r="AA131" s="143">
        <v>1</v>
      </c>
      <c r="AB131" s="2">
        <f>3600/1.05</f>
        <v>3428.5714285714284</v>
      </c>
      <c r="AC131" s="144">
        <f t="shared" si="70"/>
        <v>3428.5714285714284</v>
      </c>
      <c r="AD131" s="2">
        <v>650</v>
      </c>
      <c r="AE131" s="144">
        <f t="shared" si="71"/>
        <v>650</v>
      </c>
    </row>
    <row r="132" spans="1:31" ht="15" customHeight="1" x14ac:dyDescent="0.25">
      <c r="A132" s="88"/>
      <c r="B132" s="157"/>
      <c r="C132" s="82"/>
      <c r="D132" s="185"/>
      <c r="E132" s="74"/>
      <c r="F132" s="75"/>
      <c r="G132" s="75"/>
      <c r="H132" s="75"/>
      <c r="I132" s="75"/>
      <c r="J132" s="75"/>
      <c r="K132" s="75"/>
      <c r="L132" s="72"/>
      <c r="M132" s="72"/>
      <c r="N132" s="72"/>
      <c r="O132" s="72"/>
      <c r="P132" s="205"/>
      <c r="W132" s="890" t="s">
        <v>282</v>
      </c>
      <c r="X132" s="890"/>
      <c r="Y132" s="143" t="s">
        <v>284</v>
      </c>
      <c r="Z132" s="173">
        <f>(5*10+23*1.2+16)*0.616</f>
        <v>57.657599999999995</v>
      </c>
      <c r="AA132" s="143">
        <v>60</v>
      </c>
      <c r="AB132" s="2">
        <f>32/1.05</f>
        <v>30.476190476190474</v>
      </c>
      <c r="AC132" s="144">
        <f t="shared" si="70"/>
        <v>1828.5714285714284</v>
      </c>
      <c r="AD132" s="2">
        <v>8</v>
      </c>
      <c r="AE132" s="144">
        <f t="shared" si="71"/>
        <v>480</v>
      </c>
    </row>
    <row r="133" spans="1:31" x14ac:dyDescent="0.25">
      <c r="A133" s="87"/>
      <c r="B133" s="80" t="s">
        <v>131</v>
      </c>
      <c r="C133" s="82"/>
      <c r="D133" s="185"/>
      <c r="E133" s="74"/>
      <c r="F133" s="75"/>
      <c r="G133" s="75"/>
      <c r="H133" s="75"/>
      <c r="I133" s="75"/>
      <c r="J133" s="75"/>
      <c r="K133" s="75"/>
      <c r="L133" s="72"/>
      <c r="M133" s="72"/>
      <c r="N133" s="72"/>
      <c r="O133" s="72"/>
      <c r="P133" s="205"/>
      <c r="W133" s="890" t="s">
        <v>281</v>
      </c>
      <c r="X133" s="890"/>
      <c r="Y133" s="143" t="s">
        <v>101</v>
      </c>
      <c r="Z133" s="143">
        <f>0.3*4.5*2</f>
        <v>2.6999999999999997</v>
      </c>
      <c r="AA133" s="143">
        <v>3</v>
      </c>
      <c r="AB133" s="2">
        <v>200</v>
      </c>
      <c r="AC133" s="144">
        <f t="shared" si="70"/>
        <v>600</v>
      </c>
      <c r="AD133" s="2">
        <v>200</v>
      </c>
      <c r="AE133" s="144">
        <f t="shared" si="71"/>
        <v>600</v>
      </c>
    </row>
    <row r="134" spans="1:31" x14ac:dyDescent="0.25">
      <c r="A134" s="88"/>
      <c r="B134" s="159"/>
      <c r="C134" s="82"/>
      <c r="D134" s="185"/>
      <c r="E134" s="74"/>
      <c r="F134" s="75"/>
      <c r="G134" s="75"/>
      <c r="H134" s="75"/>
      <c r="I134" s="75"/>
      <c r="J134" s="75"/>
      <c r="K134" s="75"/>
      <c r="L134" s="72"/>
      <c r="M134" s="72"/>
      <c r="N134" s="72"/>
      <c r="O134" s="72"/>
      <c r="P134" s="205"/>
      <c r="AC134" s="146">
        <f>SUM(AC126:AC133)</f>
        <v>19006.114819759678</v>
      </c>
      <c r="AE134" s="146">
        <f>SUM(AE126:AE133)</f>
        <v>10790</v>
      </c>
    </row>
    <row r="135" spans="1:31" x14ac:dyDescent="0.25">
      <c r="A135" s="88"/>
      <c r="B135" s="167" t="s">
        <v>132</v>
      </c>
      <c r="C135" s="168"/>
      <c r="D135" s="187"/>
      <c r="E135" s="74"/>
      <c r="F135" s="75"/>
      <c r="G135" s="75"/>
      <c r="H135" s="75"/>
      <c r="I135" s="75"/>
      <c r="J135" s="75"/>
      <c r="K135" s="75"/>
      <c r="L135" s="72"/>
      <c r="M135" s="72"/>
      <c r="N135" s="72"/>
      <c r="O135" s="72"/>
      <c r="P135" s="205"/>
    </row>
    <row r="136" spans="1:31" x14ac:dyDescent="0.25">
      <c r="A136" s="88"/>
      <c r="B136" s="169" t="s">
        <v>62</v>
      </c>
      <c r="C136" s="170" t="s">
        <v>133</v>
      </c>
      <c r="D136" s="185">
        <f>61+1+5</f>
        <v>67</v>
      </c>
      <c r="E136" s="74"/>
      <c r="F136" s="73" t="s">
        <v>28</v>
      </c>
      <c r="G136" s="73"/>
      <c r="H136" s="68">
        <f>E136*G136</f>
        <v>0</v>
      </c>
      <c r="I136" s="73"/>
      <c r="J136" s="73"/>
      <c r="K136" s="73"/>
      <c r="L136" s="72"/>
      <c r="M136" s="72"/>
      <c r="N136" s="72"/>
      <c r="O136" s="72">
        <f t="shared" ref="O136:O139" si="73">L136+M136</f>
        <v>0</v>
      </c>
      <c r="P136" s="205">
        <f>O136*E136</f>
        <v>0</v>
      </c>
    </row>
    <row r="137" spans="1:31" x14ac:dyDescent="0.25">
      <c r="A137" s="88"/>
      <c r="B137" s="169" t="s">
        <v>63</v>
      </c>
      <c r="C137" s="170" t="s">
        <v>134</v>
      </c>
      <c r="D137" s="185">
        <f>60+29</f>
        <v>89</v>
      </c>
      <c r="E137" s="74"/>
      <c r="F137" s="73" t="s">
        <v>28</v>
      </c>
      <c r="G137" s="73"/>
      <c r="H137" s="68">
        <f>E137*G137</f>
        <v>0</v>
      </c>
      <c r="I137" s="73"/>
      <c r="J137" s="73"/>
      <c r="K137" s="73"/>
      <c r="L137" s="72"/>
      <c r="M137" s="72"/>
      <c r="N137" s="72"/>
      <c r="O137" s="72">
        <f t="shared" si="73"/>
        <v>0</v>
      </c>
      <c r="P137" s="205">
        <f>O137*E137</f>
        <v>0</v>
      </c>
    </row>
    <row r="138" spans="1:31" x14ac:dyDescent="0.25">
      <c r="A138" s="88"/>
      <c r="B138" s="169" t="s">
        <v>64</v>
      </c>
      <c r="C138" s="170" t="s">
        <v>135</v>
      </c>
      <c r="D138" s="185">
        <f>3+1</f>
        <v>4</v>
      </c>
      <c r="E138" s="74"/>
      <c r="F138" s="73" t="s">
        <v>28</v>
      </c>
      <c r="G138" s="73"/>
      <c r="H138" s="68">
        <f>E138*G138</f>
        <v>0</v>
      </c>
      <c r="I138" s="73"/>
      <c r="J138" s="73"/>
      <c r="K138" s="73"/>
      <c r="L138" s="72"/>
      <c r="M138" s="72"/>
      <c r="N138" s="72"/>
      <c r="O138" s="72">
        <f t="shared" si="73"/>
        <v>0</v>
      </c>
      <c r="P138" s="205">
        <f>O138*E138</f>
        <v>0</v>
      </c>
    </row>
    <row r="139" spans="1:31" x14ac:dyDescent="0.25">
      <c r="A139" s="88"/>
      <c r="B139" s="169" t="s">
        <v>65</v>
      </c>
      <c r="C139" s="170" t="s">
        <v>136</v>
      </c>
      <c r="D139" s="185">
        <v>10</v>
      </c>
      <c r="E139" s="74"/>
      <c r="F139" s="73" t="s">
        <v>28</v>
      </c>
      <c r="G139" s="73"/>
      <c r="H139" s="68">
        <f>E139*G139</f>
        <v>0</v>
      </c>
      <c r="I139" s="73"/>
      <c r="J139" s="73"/>
      <c r="K139" s="73"/>
      <c r="L139" s="72"/>
      <c r="M139" s="72"/>
      <c r="N139" s="72"/>
      <c r="O139" s="72">
        <f t="shared" si="73"/>
        <v>0</v>
      </c>
      <c r="P139" s="205">
        <f>O139*E139</f>
        <v>0</v>
      </c>
    </row>
    <row r="140" spans="1:31" x14ac:dyDescent="0.25">
      <c r="A140" s="88"/>
      <c r="B140" s="171"/>
      <c r="C140" s="170" t="s">
        <v>137</v>
      </c>
      <c r="D140" s="185"/>
      <c r="E140" s="74"/>
      <c r="F140" s="75"/>
      <c r="G140" s="75"/>
      <c r="H140" s="75"/>
      <c r="I140" s="75"/>
      <c r="J140" s="75"/>
      <c r="K140" s="75"/>
      <c r="L140" s="72"/>
      <c r="M140" s="72"/>
      <c r="N140" s="72"/>
      <c r="O140" s="72"/>
      <c r="P140" s="205"/>
    </row>
    <row r="141" spans="1:31" x14ac:dyDescent="0.25">
      <c r="A141" s="88"/>
      <c r="B141" s="169" t="s">
        <v>66</v>
      </c>
      <c r="C141" s="170" t="s">
        <v>138</v>
      </c>
      <c r="D141" s="185">
        <f>1+2+8</f>
        <v>11</v>
      </c>
      <c r="E141" s="74"/>
      <c r="F141" s="73" t="s">
        <v>28</v>
      </c>
      <c r="G141" s="73"/>
      <c r="H141" s="68">
        <f>E141*G141</f>
        <v>0</v>
      </c>
      <c r="I141" s="73"/>
      <c r="J141" s="73"/>
      <c r="K141" s="73"/>
      <c r="L141" s="72"/>
      <c r="M141" s="72"/>
      <c r="N141" s="72"/>
      <c r="O141" s="72"/>
      <c r="P141" s="205"/>
    </row>
    <row r="142" spans="1:31" x14ac:dyDescent="0.25">
      <c r="A142" s="88"/>
      <c r="B142" s="169" t="s">
        <v>67</v>
      </c>
      <c r="C142" s="170" t="s">
        <v>139</v>
      </c>
      <c r="D142" s="185">
        <v>44</v>
      </c>
      <c r="E142" s="74"/>
      <c r="F142" s="73" t="s">
        <v>28</v>
      </c>
      <c r="G142" s="73"/>
      <c r="H142" s="68">
        <f>E142*G142</f>
        <v>0</v>
      </c>
      <c r="I142" s="73"/>
      <c r="J142" s="73"/>
      <c r="K142" s="73"/>
      <c r="L142" s="72"/>
      <c r="M142" s="72"/>
      <c r="N142" s="72"/>
      <c r="O142" s="72">
        <f t="shared" ref="O142:O143" si="74">L142+M142</f>
        <v>0</v>
      </c>
      <c r="P142" s="205">
        <f>O142*E142</f>
        <v>0</v>
      </c>
    </row>
    <row r="143" spans="1:31" x14ac:dyDescent="0.25">
      <c r="A143" s="88"/>
      <c r="B143" s="172"/>
      <c r="C143" s="170" t="s">
        <v>140</v>
      </c>
      <c r="D143" s="185"/>
      <c r="E143" s="74"/>
      <c r="F143" s="68"/>
      <c r="G143" s="68"/>
      <c r="H143" s="68"/>
      <c r="I143" s="68"/>
      <c r="J143" s="68"/>
      <c r="K143" s="68"/>
      <c r="L143" s="72"/>
      <c r="M143" s="72"/>
      <c r="N143" s="72"/>
      <c r="O143" s="72">
        <f t="shared" si="74"/>
        <v>0</v>
      </c>
      <c r="P143" s="205">
        <f>O143*E143</f>
        <v>0</v>
      </c>
    </row>
    <row r="144" spans="1:31" x14ac:dyDescent="0.25">
      <c r="A144" s="88"/>
      <c r="B144" s="172" t="s">
        <v>68</v>
      </c>
      <c r="C144" s="170" t="s">
        <v>286</v>
      </c>
      <c r="D144" s="185"/>
      <c r="E144" s="74"/>
      <c r="F144" s="73" t="s">
        <v>28</v>
      </c>
      <c r="G144" s="68"/>
      <c r="H144" s="68"/>
      <c r="I144" s="68"/>
      <c r="J144" s="68"/>
      <c r="K144" s="68"/>
      <c r="L144" s="72"/>
      <c r="M144" s="72"/>
      <c r="N144" s="72"/>
      <c r="O144" s="72"/>
      <c r="P144" s="205"/>
    </row>
    <row r="145" spans="1:32" x14ac:dyDescent="0.25">
      <c r="A145" s="88"/>
      <c r="B145" s="172"/>
      <c r="C145" s="170" t="s">
        <v>238</v>
      </c>
      <c r="D145" s="185"/>
      <c r="E145" s="74"/>
      <c r="F145" s="73"/>
      <c r="G145" s="73"/>
      <c r="H145" s="73">
        <f>SUM(H136:H143)</f>
        <v>0</v>
      </c>
      <c r="I145" s="73"/>
      <c r="J145" s="73">
        <f>SUM(J136:J143)</f>
        <v>0</v>
      </c>
      <c r="K145" s="73">
        <f>SUM(K136:K143)</f>
        <v>0</v>
      </c>
      <c r="L145" s="72"/>
      <c r="M145" s="72"/>
      <c r="N145" s="72"/>
      <c r="O145" s="72"/>
      <c r="P145" s="100">
        <f>SUM(P136:P143)</f>
        <v>0</v>
      </c>
    </row>
    <row r="146" spans="1:32" x14ac:dyDescent="0.25">
      <c r="A146" s="88"/>
      <c r="B146" s="160"/>
      <c r="C146" s="83"/>
      <c r="D146" s="185"/>
      <c r="E146" s="74"/>
      <c r="F146" s="68"/>
      <c r="G146" s="68"/>
      <c r="H146" s="68"/>
      <c r="I146" s="68"/>
      <c r="J146" s="68"/>
      <c r="K146" s="68"/>
      <c r="L146" s="72"/>
      <c r="M146" s="72"/>
      <c r="N146" s="72"/>
      <c r="O146" s="72"/>
      <c r="P146" s="205"/>
    </row>
    <row r="147" spans="1:32" x14ac:dyDescent="0.25">
      <c r="A147" s="88"/>
      <c r="B147" s="80" t="s">
        <v>165</v>
      </c>
      <c r="C147" s="83"/>
      <c r="D147" s="185"/>
      <c r="E147" s="74"/>
      <c r="F147" s="68"/>
      <c r="G147" s="68"/>
      <c r="H147" s="68"/>
      <c r="I147" s="68"/>
      <c r="J147" s="68"/>
      <c r="K147" s="68"/>
      <c r="L147" s="72"/>
      <c r="M147" s="72"/>
      <c r="N147" s="72"/>
      <c r="O147" s="72"/>
      <c r="P147" s="205"/>
    </row>
    <row r="148" spans="1:32" x14ac:dyDescent="0.25">
      <c r="A148" s="88"/>
      <c r="B148" s="160" t="s">
        <v>62</v>
      </c>
      <c r="C148" s="83" t="s">
        <v>167</v>
      </c>
      <c r="D148" s="185">
        <v>10</v>
      </c>
      <c r="E148" s="74"/>
      <c r="F148" s="73" t="s">
        <v>28</v>
      </c>
      <c r="G148" s="73"/>
      <c r="H148" s="68">
        <f t="shared" ref="H148:H154" si="75">E148*G148</f>
        <v>0</v>
      </c>
      <c r="I148" s="73"/>
      <c r="J148" s="73"/>
      <c r="K148" s="73"/>
      <c r="L148" s="72"/>
      <c r="M148" s="72"/>
      <c r="N148" s="72"/>
      <c r="O148" s="72"/>
      <c r="P148" s="205"/>
    </row>
    <row r="149" spans="1:32" x14ac:dyDescent="0.25">
      <c r="A149" s="88"/>
      <c r="B149" s="160" t="s">
        <v>63</v>
      </c>
      <c r="C149" s="83" t="s">
        <v>168</v>
      </c>
      <c r="D149" s="185">
        <v>4</v>
      </c>
      <c r="E149" s="74"/>
      <c r="F149" s="73" t="s">
        <v>28</v>
      </c>
      <c r="G149" s="73"/>
      <c r="H149" s="68">
        <f t="shared" si="75"/>
        <v>0</v>
      </c>
      <c r="I149" s="73"/>
      <c r="J149" s="73"/>
      <c r="K149" s="73"/>
      <c r="L149" s="72"/>
      <c r="M149" s="72"/>
      <c r="N149" s="72"/>
      <c r="O149" s="72"/>
      <c r="P149" s="205"/>
    </row>
    <row r="150" spans="1:32" x14ac:dyDescent="0.25">
      <c r="A150" s="88"/>
      <c r="B150" s="160" t="s">
        <v>64</v>
      </c>
      <c r="C150" s="83" t="s">
        <v>169</v>
      </c>
      <c r="D150" s="185">
        <v>7</v>
      </c>
      <c r="E150" s="74"/>
      <c r="F150" s="73" t="s">
        <v>28</v>
      </c>
      <c r="G150" s="73"/>
      <c r="H150" s="68">
        <f t="shared" si="75"/>
        <v>0</v>
      </c>
      <c r="I150" s="73"/>
      <c r="J150" s="73"/>
      <c r="K150" s="73"/>
      <c r="L150" s="72"/>
      <c r="M150" s="72"/>
      <c r="N150" s="72"/>
      <c r="O150" s="72"/>
      <c r="P150" s="205"/>
    </row>
    <row r="151" spans="1:32" x14ac:dyDescent="0.25">
      <c r="A151" s="88"/>
      <c r="B151" s="160" t="s">
        <v>65</v>
      </c>
      <c r="C151" s="83" t="s">
        <v>170</v>
      </c>
      <c r="D151" s="185">
        <v>4</v>
      </c>
      <c r="E151" s="74"/>
      <c r="F151" s="73" t="s">
        <v>28</v>
      </c>
      <c r="G151" s="73"/>
      <c r="H151" s="68">
        <f t="shared" si="75"/>
        <v>0</v>
      </c>
      <c r="I151" s="73"/>
      <c r="J151" s="73"/>
      <c r="K151" s="73"/>
      <c r="L151" s="72"/>
      <c r="M151" s="72"/>
      <c r="N151" s="72"/>
      <c r="O151" s="72"/>
      <c r="P151" s="205"/>
    </row>
    <row r="152" spans="1:32" x14ac:dyDescent="0.25">
      <c r="A152" s="88"/>
      <c r="B152" s="160" t="s">
        <v>66</v>
      </c>
      <c r="C152" s="83" t="s">
        <v>171</v>
      </c>
      <c r="D152" s="185">
        <v>3</v>
      </c>
      <c r="E152" s="74"/>
      <c r="F152" s="73" t="s">
        <v>28</v>
      </c>
      <c r="G152" s="73"/>
      <c r="H152" s="68">
        <f t="shared" si="75"/>
        <v>0</v>
      </c>
      <c r="I152" s="73"/>
      <c r="J152" s="73"/>
      <c r="K152" s="73"/>
      <c r="L152" s="72"/>
      <c r="M152" s="72"/>
      <c r="N152" s="72"/>
      <c r="O152" s="72"/>
      <c r="P152" s="205"/>
    </row>
    <row r="153" spans="1:32" x14ac:dyDescent="0.25">
      <c r="A153" s="88"/>
      <c r="B153" s="160" t="s">
        <v>67</v>
      </c>
      <c r="C153" s="83" t="s">
        <v>172</v>
      </c>
      <c r="D153" s="185">
        <v>11</v>
      </c>
      <c r="E153" s="74"/>
      <c r="F153" s="73" t="s">
        <v>28</v>
      </c>
      <c r="G153" s="73"/>
      <c r="H153" s="68">
        <f t="shared" si="75"/>
        <v>0</v>
      </c>
      <c r="I153" s="73"/>
      <c r="J153" s="73"/>
      <c r="K153" s="73"/>
      <c r="L153" s="72"/>
      <c r="M153" s="72"/>
      <c r="N153" s="72"/>
      <c r="O153" s="72"/>
      <c r="P153" s="205"/>
    </row>
    <row r="154" spans="1:32" x14ac:dyDescent="0.25">
      <c r="A154" s="88"/>
      <c r="B154" s="160" t="s">
        <v>68</v>
      </c>
      <c r="C154" s="83" t="s">
        <v>173</v>
      </c>
      <c r="D154" s="185">
        <v>3</v>
      </c>
      <c r="E154" s="74"/>
      <c r="F154" s="73" t="s">
        <v>28</v>
      </c>
      <c r="G154" s="73"/>
      <c r="H154" s="68">
        <f t="shared" si="75"/>
        <v>0</v>
      </c>
      <c r="I154" s="73"/>
      <c r="J154" s="73"/>
      <c r="K154" s="73"/>
      <c r="L154" s="72"/>
      <c r="M154" s="72"/>
      <c r="N154" s="72"/>
      <c r="O154" s="72"/>
      <c r="P154" s="205"/>
    </row>
    <row r="155" spans="1:32" x14ac:dyDescent="0.25">
      <c r="A155" s="88"/>
      <c r="B155" s="160"/>
      <c r="C155" s="81" t="s">
        <v>239</v>
      </c>
      <c r="D155" s="185"/>
      <c r="E155" s="74"/>
      <c r="F155" s="73"/>
      <c r="G155" s="73"/>
      <c r="H155" s="73">
        <f>SUM(H148:H154)</f>
        <v>0</v>
      </c>
      <c r="I155" s="73"/>
      <c r="J155" s="73"/>
      <c r="K155" s="73"/>
      <c r="L155" s="72"/>
      <c r="M155" s="72"/>
      <c r="N155" s="72"/>
      <c r="O155" s="72"/>
      <c r="P155" s="205"/>
    </row>
    <row r="156" spans="1:32" x14ac:dyDescent="0.25">
      <c r="A156" s="88"/>
      <c r="B156" s="160"/>
      <c r="C156" s="83"/>
      <c r="D156" s="185"/>
      <c r="E156" s="74"/>
      <c r="F156" s="73"/>
      <c r="G156" s="73"/>
      <c r="H156" s="73"/>
      <c r="I156" s="73"/>
      <c r="J156" s="73"/>
      <c r="K156" s="73"/>
      <c r="L156" s="72"/>
      <c r="M156" s="72"/>
      <c r="N156" s="72"/>
      <c r="O156" s="72"/>
      <c r="P156" s="205"/>
    </row>
    <row r="157" spans="1:32" x14ac:dyDescent="0.25">
      <c r="A157" s="88"/>
      <c r="B157" s="160"/>
      <c r="C157" s="83" t="s">
        <v>240</v>
      </c>
      <c r="D157" s="185"/>
      <c r="E157" s="74"/>
      <c r="F157" s="73"/>
      <c r="G157" s="73"/>
      <c r="I157" s="73"/>
      <c r="K157" s="68"/>
      <c r="L157" s="72"/>
      <c r="M157" s="72"/>
      <c r="N157" s="72"/>
      <c r="O157" s="72"/>
      <c r="P157" s="203"/>
    </row>
    <row r="158" spans="1:32" x14ac:dyDescent="0.25">
      <c r="A158" s="88"/>
      <c r="B158" s="160"/>
      <c r="C158" s="83"/>
      <c r="D158" s="185"/>
      <c r="E158" s="74"/>
      <c r="F158" s="68"/>
      <c r="G158" s="68"/>
      <c r="H158" s="68"/>
      <c r="I158" s="68"/>
      <c r="J158" s="68"/>
      <c r="K158" s="68"/>
      <c r="L158" s="72"/>
      <c r="M158" s="72"/>
      <c r="N158" s="72"/>
      <c r="O158" s="72"/>
      <c r="P158" s="205"/>
    </row>
    <row r="159" spans="1:32" x14ac:dyDescent="0.25">
      <c r="A159" s="88"/>
      <c r="B159" s="161"/>
      <c r="C159" s="102"/>
      <c r="D159" s="188"/>
      <c r="E159" s="103"/>
      <c r="F159" s="104"/>
      <c r="G159" s="104"/>
      <c r="H159" s="104"/>
      <c r="I159" s="104"/>
      <c r="J159" s="104"/>
      <c r="K159" s="104"/>
      <c r="L159" s="105"/>
      <c r="M159" s="106"/>
      <c r="N159" s="106"/>
      <c r="O159" s="106"/>
      <c r="P159" s="207"/>
    </row>
    <row r="160" spans="1:32" s="101" customFormat="1" ht="15.75" thickBot="1" x14ac:dyDescent="0.3">
      <c r="A160" s="119"/>
      <c r="B160" s="107" t="s">
        <v>78</v>
      </c>
      <c r="C160" s="108"/>
      <c r="D160" s="113"/>
      <c r="E160" s="109"/>
      <c r="F160" s="110"/>
      <c r="G160" s="110"/>
      <c r="H160" s="111">
        <f>H29+H37+H52+H73+H110+H121+H131+H145+H155</f>
        <v>741079.56669591926</v>
      </c>
      <c r="I160" s="110"/>
      <c r="J160" s="111">
        <f>J29+J37+J52+J73+J110+J121+J131+J145+J155</f>
        <v>102431</v>
      </c>
      <c r="K160" s="111">
        <f>K29+K37+K52+K73+K110+K121+K131+K145+K155</f>
        <v>2182650.4666959192</v>
      </c>
      <c r="L160" s="112"/>
      <c r="M160" s="112"/>
      <c r="N160" s="112"/>
      <c r="O160" s="112"/>
      <c r="P160" s="208">
        <f>P29+P37+P52+P73+P110+P121+P131+P145+P155</f>
        <v>3133993.972933223</v>
      </c>
      <c r="AD160" s="218"/>
      <c r="AF160" s="218"/>
    </row>
    <row r="161" spans="1:32" s="27" customFormat="1" hidden="1" x14ac:dyDescent="0.25">
      <c r="A161" s="86"/>
      <c r="B161" s="162"/>
      <c r="C161" s="29"/>
      <c r="D161" s="62"/>
      <c r="E161" s="12"/>
      <c r="F161" s="48"/>
      <c r="G161" s="48"/>
      <c r="H161" s="48"/>
      <c r="I161" s="48"/>
      <c r="J161" s="48"/>
      <c r="K161" s="48"/>
      <c r="L161" s="13"/>
      <c r="M161" s="13"/>
      <c r="N161" s="13"/>
      <c r="O161" s="13"/>
      <c r="P161" s="14"/>
      <c r="AD161" s="211"/>
      <c r="AF161" s="211"/>
    </row>
    <row r="162" spans="1:32" s="27" customFormat="1" hidden="1" x14ac:dyDescent="0.25">
      <c r="A162" s="86"/>
      <c r="B162" s="162"/>
      <c r="C162" s="29"/>
      <c r="D162" s="62"/>
      <c r="E162" s="12"/>
      <c r="F162" s="48"/>
      <c r="G162" s="48"/>
      <c r="H162" s="48"/>
      <c r="I162" s="48"/>
      <c r="J162" s="48"/>
      <c r="K162" s="48"/>
      <c r="L162" s="13"/>
      <c r="M162" s="13"/>
      <c r="N162" s="13"/>
      <c r="O162" s="13"/>
      <c r="P162" s="14"/>
      <c r="AD162" s="211"/>
      <c r="AF162" s="211"/>
    </row>
    <row r="163" spans="1:32" s="27" customFormat="1" hidden="1" x14ac:dyDescent="0.25">
      <c r="A163" s="86"/>
      <c r="B163" s="162"/>
      <c r="C163" s="29"/>
      <c r="D163" s="62"/>
      <c r="E163" s="12"/>
      <c r="F163" s="48"/>
      <c r="G163" s="48"/>
      <c r="H163" s="48"/>
      <c r="I163" s="48"/>
      <c r="J163" s="48"/>
      <c r="K163" s="48"/>
      <c r="L163" s="13"/>
      <c r="M163" s="13"/>
      <c r="N163" s="13"/>
      <c r="O163" s="13"/>
      <c r="P163" s="14"/>
      <c r="AD163" s="211"/>
      <c r="AF163" s="211"/>
    </row>
    <row r="164" spans="1:32" s="27" customFormat="1" hidden="1" x14ac:dyDescent="0.25">
      <c r="A164" s="86"/>
      <c r="B164" s="162"/>
      <c r="C164" s="29"/>
      <c r="D164" s="62"/>
      <c r="E164" s="12"/>
      <c r="F164" s="48"/>
      <c r="G164" s="48"/>
      <c r="H164" s="48"/>
      <c r="I164" s="48"/>
      <c r="J164" s="48"/>
      <c r="K164" s="48"/>
      <c r="L164" s="13"/>
      <c r="M164" s="13"/>
      <c r="N164" s="13"/>
      <c r="O164" s="13"/>
      <c r="P164" s="14"/>
      <c r="AD164" s="211"/>
      <c r="AF164" s="211"/>
    </row>
    <row r="165" spans="1:32" s="27" customFormat="1" hidden="1" x14ac:dyDescent="0.25">
      <c r="A165" s="86"/>
      <c r="B165" s="162"/>
      <c r="C165" s="29"/>
      <c r="D165" s="62"/>
      <c r="E165" s="12"/>
      <c r="F165" s="48"/>
      <c r="G165" s="48"/>
      <c r="H165" s="48"/>
      <c r="I165" s="48"/>
      <c r="J165" s="48"/>
      <c r="K165" s="48"/>
      <c r="L165" s="13"/>
      <c r="M165" s="13"/>
      <c r="N165" s="13"/>
      <c r="O165" s="13"/>
      <c r="P165" s="14"/>
      <c r="AD165" s="211"/>
      <c r="AF165" s="211"/>
    </row>
    <row r="166" spans="1:32" s="27" customFormat="1" hidden="1" x14ac:dyDescent="0.25">
      <c r="A166" s="86"/>
      <c r="B166" s="162"/>
      <c r="C166" s="29"/>
      <c r="D166" s="62"/>
      <c r="E166" s="12"/>
      <c r="F166" s="48"/>
      <c r="G166" s="48"/>
      <c r="H166" s="48"/>
      <c r="I166" s="48"/>
      <c r="J166" s="48"/>
      <c r="K166" s="48"/>
      <c r="L166" s="13"/>
      <c r="M166" s="13"/>
      <c r="N166" s="13"/>
      <c r="O166" s="13"/>
      <c r="P166" s="14"/>
      <c r="AD166" s="211"/>
      <c r="AF166" s="211"/>
    </row>
    <row r="167" spans="1:32" s="27" customFormat="1" hidden="1" x14ac:dyDescent="0.25">
      <c r="A167" s="86"/>
      <c r="B167" s="162"/>
      <c r="C167" s="29"/>
      <c r="D167" s="62"/>
      <c r="E167" s="12"/>
      <c r="F167" s="48"/>
      <c r="G167" s="48"/>
      <c r="H167" s="48"/>
      <c r="I167" s="48"/>
      <c r="J167" s="48"/>
      <c r="K167" s="48"/>
      <c r="L167" s="13"/>
      <c r="M167" s="13"/>
      <c r="N167" s="13"/>
      <c r="O167" s="13"/>
      <c r="P167" s="14"/>
      <c r="AD167" s="211"/>
      <c r="AF167" s="211"/>
    </row>
    <row r="168" spans="1:32" s="27" customFormat="1" hidden="1" x14ac:dyDescent="0.25">
      <c r="A168" s="86"/>
      <c r="B168" s="162"/>
      <c r="C168" s="29"/>
      <c r="D168" s="62"/>
      <c r="E168" s="12"/>
      <c r="F168" s="48"/>
      <c r="G168" s="48"/>
      <c r="H168" s="48"/>
      <c r="I168" s="48"/>
      <c r="J168" s="48"/>
      <c r="K168" s="48"/>
      <c r="L168" s="13"/>
      <c r="M168" s="13"/>
      <c r="N168" s="13"/>
      <c r="O168" s="13"/>
      <c r="P168" s="14"/>
      <c r="AD168" s="211"/>
      <c r="AF168" s="211"/>
    </row>
    <row r="169" spans="1:32" s="27" customFormat="1" ht="15.75" hidden="1" thickBot="1" x14ac:dyDescent="0.3">
      <c r="A169" s="120" t="s">
        <v>12</v>
      </c>
      <c r="B169" s="155"/>
      <c r="C169" s="34"/>
      <c r="D169" s="61"/>
      <c r="E169" s="9"/>
      <c r="F169" s="35"/>
      <c r="G169" s="35"/>
      <c r="H169" s="35"/>
      <c r="I169" s="35"/>
      <c r="J169" s="35"/>
      <c r="K169" s="35"/>
      <c r="L169" s="10"/>
      <c r="M169" s="10"/>
      <c r="N169" s="10"/>
      <c r="O169" s="10"/>
      <c r="P169" s="11" t="e">
        <f>#REF!+#REF!+#REF!+#REF!+#REF!+#REF!</f>
        <v>#REF!</v>
      </c>
      <c r="AD169" s="211"/>
      <c r="AF169" s="211"/>
    </row>
    <row r="170" spans="1:32" ht="15.75" hidden="1" thickBot="1" x14ac:dyDescent="0.3">
      <c r="A170" s="120" t="s">
        <v>13</v>
      </c>
      <c r="B170" s="155"/>
      <c r="C170" s="34"/>
      <c r="D170" s="61"/>
      <c r="E170" s="9"/>
      <c r="F170" s="35"/>
      <c r="G170" s="35"/>
      <c r="H170" s="35"/>
      <c r="I170" s="35"/>
      <c r="J170" s="35"/>
      <c r="K170" s="35"/>
      <c r="L170" s="10"/>
      <c r="M170" s="10"/>
      <c r="N170" s="10"/>
      <c r="O170" s="10"/>
      <c r="P170" s="11" t="e">
        <f>#REF!+#REF!+#REF!+#REF!</f>
        <v>#REF!</v>
      </c>
    </row>
    <row r="171" spans="1:32" hidden="1" x14ac:dyDescent="0.25">
      <c r="A171" s="86"/>
      <c r="B171" s="162"/>
      <c r="C171" s="29"/>
      <c r="D171" s="62"/>
      <c r="E171" s="12"/>
      <c r="F171" s="48"/>
      <c r="G171" s="48"/>
      <c r="H171" s="48"/>
      <c r="I171" s="48"/>
      <c r="J171" s="48"/>
      <c r="K171" s="48"/>
      <c r="L171" s="13"/>
      <c r="M171" s="13"/>
      <c r="N171" s="13"/>
      <c r="O171" s="13"/>
      <c r="P171" s="14"/>
    </row>
    <row r="172" spans="1:32" ht="19.5" hidden="1" thickBot="1" x14ac:dyDescent="0.35">
      <c r="A172" s="121" t="s">
        <v>14</v>
      </c>
      <c r="B172" s="163"/>
      <c r="C172" s="44"/>
      <c r="D172" s="63"/>
      <c r="E172" s="15"/>
      <c r="F172" s="45"/>
      <c r="G172" s="45"/>
      <c r="H172" s="45"/>
      <c r="I172" s="45"/>
      <c r="J172" s="45"/>
      <c r="K172" s="45"/>
      <c r="L172" s="16"/>
      <c r="M172" s="16"/>
      <c r="N172" s="16"/>
      <c r="O172" s="16"/>
      <c r="P172" s="17" t="e">
        <f>P170+#REF!+P169+P17</f>
        <v>#REF!</v>
      </c>
    </row>
    <row r="173" spans="1:32" ht="15.75" thickBot="1" x14ac:dyDescent="0.3">
      <c r="A173" s="89"/>
      <c r="B173" s="164"/>
      <c r="C173" s="114"/>
      <c r="D173" s="118"/>
      <c r="E173" s="115"/>
      <c r="F173" s="116"/>
      <c r="G173" s="116"/>
      <c r="H173" s="116"/>
      <c r="I173" s="116"/>
      <c r="J173" s="116"/>
      <c r="K173" s="116"/>
      <c r="L173" s="117"/>
      <c r="M173" s="117"/>
      <c r="N173" s="117"/>
      <c r="O173" s="117"/>
      <c r="P173" s="209"/>
    </row>
    <row r="176" spans="1:32" x14ac:dyDescent="0.25">
      <c r="I176" s="90"/>
      <c r="J176" s="91"/>
      <c r="K176" s="92"/>
      <c r="L176" s="93"/>
      <c r="M176" s="193" t="s">
        <v>178</v>
      </c>
      <c r="N176" s="193"/>
      <c r="O176" s="194"/>
      <c r="P176" s="195">
        <f>K160</f>
        <v>2182650.4666959192</v>
      </c>
    </row>
    <row r="177" spans="1:18" x14ac:dyDescent="0.25">
      <c r="I177" s="94"/>
      <c r="J177" s="91"/>
      <c r="K177" s="95"/>
      <c r="L177" s="96"/>
      <c r="M177" s="195"/>
      <c r="N177" s="195"/>
      <c r="O177" s="196"/>
      <c r="P177" s="196"/>
    </row>
    <row r="178" spans="1:18" ht="15.75" x14ac:dyDescent="0.25">
      <c r="A178" s="28" t="s">
        <v>18</v>
      </c>
      <c r="B178" s="165"/>
      <c r="C178" s="28"/>
      <c r="D178" s="189"/>
      <c r="I178" s="885" t="s">
        <v>179</v>
      </c>
      <c r="J178" s="885"/>
      <c r="K178" s="885"/>
      <c r="L178" s="96" t="s">
        <v>180</v>
      </c>
      <c r="M178" s="195" t="s">
        <v>181</v>
      </c>
      <c r="N178" s="195"/>
      <c r="O178" s="196">
        <f>P176*0.03</f>
        <v>65479.514000877571</v>
      </c>
      <c r="P178" s="196">
        <f>O178+P176</f>
        <v>2248129.9806967969</v>
      </c>
    </row>
    <row r="179" spans="1:18" s="2" customFormat="1" ht="15.75" x14ac:dyDescent="0.25">
      <c r="A179" s="28"/>
      <c r="B179" s="165"/>
      <c r="C179" s="46"/>
      <c r="D179" s="190"/>
      <c r="F179" s="19"/>
      <c r="G179" s="19"/>
      <c r="H179" s="19"/>
      <c r="I179" s="885" t="s">
        <v>182</v>
      </c>
      <c r="J179" s="885"/>
      <c r="K179" s="885"/>
      <c r="L179" s="96" t="s">
        <v>180</v>
      </c>
      <c r="M179" s="195" t="s">
        <v>183</v>
      </c>
      <c r="N179" s="195"/>
      <c r="O179" s="196">
        <f>SUM(L178:L220)</f>
        <v>150390.47619047618</v>
      </c>
      <c r="P179" s="196">
        <f>P178+O179</f>
        <v>2398520.4568872731</v>
      </c>
      <c r="Q179" s="18"/>
      <c r="R179" s="18"/>
    </row>
    <row r="180" spans="1:18" s="2" customFormat="1" ht="15.75" x14ac:dyDescent="0.25">
      <c r="A180" s="28" t="s">
        <v>19</v>
      </c>
      <c r="B180" s="165"/>
      <c r="C180" s="28"/>
      <c r="D180" s="189"/>
      <c r="F180" s="19"/>
      <c r="G180" s="19"/>
      <c r="H180" s="19"/>
      <c r="I180" s="885" t="s">
        <v>184</v>
      </c>
      <c r="J180" s="885"/>
      <c r="K180" s="885"/>
      <c r="L180" s="96" t="s">
        <v>180</v>
      </c>
      <c r="M180" s="195" t="s">
        <v>185</v>
      </c>
      <c r="N180" s="195"/>
      <c r="O180" s="196"/>
      <c r="P180" s="196">
        <f>P179+O180</f>
        <v>2398520.4568872731</v>
      </c>
      <c r="Q180" s="18"/>
      <c r="R180" s="18"/>
    </row>
    <row r="181" spans="1:18" s="2" customFormat="1" ht="15.75" x14ac:dyDescent="0.25">
      <c r="A181" s="28"/>
      <c r="B181" s="165"/>
      <c r="C181" s="28"/>
      <c r="D181" s="189"/>
      <c r="F181" s="19"/>
      <c r="G181" s="19"/>
      <c r="H181" s="19"/>
      <c r="I181" s="886" t="s">
        <v>186</v>
      </c>
      <c r="J181" s="886"/>
      <c r="K181" s="886"/>
      <c r="L181" s="97" t="s">
        <v>161</v>
      </c>
      <c r="M181" s="195" t="s">
        <v>187</v>
      </c>
      <c r="N181" s="195"/>
      <c r="O181" s="196">
        <f>P180*0.15</f>
        <v>359778.06853309093</v>
      </c>
      <c r="P181" s="196">
        <f>P180+O181</f>
        <v>2758298.525420364</v>
      </c>
      <c r="Q181" s="18"/>
      <c r="R181" s="18"/>
    </row>
    <row r="182" spans="1:18" s="2" customFormat="1" ht="15.75" x14ac:dyDescent="0.25">
      <c r="A182" s="28"/>
      <c r="B182" s="165"/>
      <c r="C182" s="28"/>
      <c r="D182" s="189"/>
      <c r="F182" s="19"/>
      <c r="G182" s="19"/>
      <c r="H182" s="19"/>
      <c r="I182" s="887"/>
      <c r="J182" s="887"/>
      <c r="K182" s="887"/>
      <c r="L182" s="96"/>
      <c r="M182" s="195"/>
      <c r="N182" s="195"/>
      <c r="O182" s="196"/>
      <c r="P182" s="196">
        <f>P181+O182</f>
        <v>2758298.525420364</v>
      </c>
      <c r="Q182" s="18"/>
      <c r="R182" s="18"/>
    </row>
    <row r="183" spans="1:18" s="2" customFormat="1" ht="15.75" x14ac:dyDescent="0.25">
      <c r="A183" s="28" t="s">
        <v>20</v>
      </c>
      <c r="B183" s="165"/>
      <c r="C183" s="28"/>
      <c r="D183" s="189"/>
      <c r="F183" s="19"/>
      <c r="G183" s="19"/>
      <c r="H183" s="19"/>
      <c r="I183" s="885" t="s">
        <v>188</v>
      </c>
      <c r="J183" s="885"/>
      <c r="K183" s="885"/>
      <c r="L183" s="96" t="s">
        <v>189</v>
      </c>
      <c r="M183" s="195" t="s">
        <v>190</v>
      </c>
      <c r="N183" s="195"/>
      <c r="O183" s="196">
        <f>P182*0.1</f>
        <v>275829.85254203639</v>
      </c>
      <c r="P183" s="196">
        <f>+P182+O183</f>
        <v>3034128.3779624002</v>
      </c>
      <c r="Q183" s="18"/>
      <c r="R183" s="18"/>
    </row>
    <row r="184" spans="1:18" s="2" customFormat="1" ht="15.75" x14ac:dyDescent="0.25">
      <c r="A184" s="28" t="s">
        <v>21</v>
      </c>
      <c r="B184" s="165"/>
      <c r="C184" s="28"/>
      <c r="D184" s="189"/>
      <c r="F184" s="19"/>
      <c r="G184" s="19"/>
      <c r="H184" s="19"/>
      <c r="I184" s="885" t="s">
        <v>191</v>
      </c>
      <c r="J184" s="885"/>
      <c r="K184" s="885"/>
      <c r="L184" s="96">
        <f>2.15*(20000+15500)/1.05</f>
        <v>72690.476190476184</v>
      </c>
      <c r="M184" s="195"/>
      <c r="N184" s="195"/>
      <c r="O184" s="196"/>
      <c r="P184" s="196"/>
      <c r="Q184" s="18"/>
      <c r="R184" s="18"/>
    </row>
    <row r="185" spans="1:18" x14ac:dyDescent="0.25">
      <c r="I185" s="885" t="s">
        <v>192</v>
      </c>
      <c r="J185" s="885"/>
      <c r="K185" s="885"/>
      <c r="L185" s="96">
        <f>(2.15*12000)/1.075</f>
        <v>24000</v>
      </c>
      <c r="M185" s="197" t="s">
        <v>193</v>
      </c>
      <c r="N185" s="198"/>
      <c r="O185" s="199">
        <f>SUM(O178:O183)</f>
        <v>851477.91126648104</v>
      </c>
      <c r="P185" s="198">
        <f>P183</f>
        <v>3034128.3779624002</v>
      </c>
    </row>
    <row r="186" spans="1:18" x14ac:dyDescent="0.25">
      <c r="I186" s="885" t="s">
        <v>194</v>
      </c>
      <c r="J186" s="885"/>
      <c r="K186" s="885"/>
      <c r="L186" s="96">
        <v>3500</v>
      </c>
      <c r="M186" s="197" t="s">
        <v>195</v>
      </c>
      <c r="N186" s="198"/>
      <c r="O186" s="199">
        <f>SUM(O178:O184)</f>
        <v>851477.91126648104</v>
      </c>
      <c r="P186" s="198">
        <f>+P185-P183</f>
        <v>0</v>
      </c>
    </row>
    <row r="187" spans="1:18" x14ac:dyDescent="0.25">
      <c r="I187" s="885" t="s">
        <v>196</v>
      </c>
      <c r="J187" s="885"/>
      <c r="K187" s="885"/>
      <c r="L187" s="96">
        <v>3500</v>
      </c>
      <c r="M187" s="198"/>
      <c r="N187" s="198"/>
      <c r="O187" s="196"/>
      <c r="P187" s="195"/>
    </row>
    <row r="188" spans="1:18" x14ac:dyDescent="0.25">
      <c r="I188" s="885" t="s">
        <v>197</v>
      </c>
      <c r="J188" s="885"/>
      <c r="K188" s="885"/>
      <c r="L188" s="96">
        <v>4000</v>
      </c>
      <c r="M188" s="198"/>
      <c r="N188" s="198"/>
      <c r="O188" s="200"/>
      <c r="P188" s="200"/>
    </row>
    <row r="189" spans="1:18" x14ac:dyDescent="0.25">
      <c r="I189" s="885" t="s">
        <v>198</v>
      </c>
      <c r="J189" s="885"/>
      <c r="K189" s="885"/>
      <c r="L189" s="96">
        <f>1.5*2800</f>
        <v>4200</v>
      </c>
      <c r="M189" s="196"/>
      <c r="N189" s="196"/>
      <c r="O189" s="200"/>
      <c r="P189" s="200"/>
    </row>
    <row r="190" spans="1:18" x14ac:dyDescent="0.25">
      <c r="I190" s="885" t="s">
        <v>199</v>
      </c>
      <c r="J190" s="885"/>
      <c r="K190" s="885"/>
      <c r="L190" s="96">
        <v>5000</v>
      </c>
      <c r="M190" s="196"/>
      <c r="N190" s="196"/>
      <c r="O190" s="200"/>
      <c r="P190" s="200"/>
    </row>
    <row r="191" spans="1:18" x14ac:dyDescent="0.25">
      <c r="I191" s="885" t="s">
        <v>200</v>
      </c>
      <c r="J191" s="885"/>
      <c r="K191" s="885"/>
      <c r="L191" s="96"/>
      <c r="M191" s="196"/>
      <c r="N191" s="196"/>
      <c r="O191" s="200"/>
      <c r="P191" s="200"/>
    </row>
    <row r="192" spans="1:18" x14ac:dyDescent="0.25">
      <c r="I192" s="885" t="s">
        <v>201</v>
      </c>
      <c r="J192" s="885"/>
      <c r="K192" s="885"/>
      <c r="L192" s="96"/>
      <c r="M192" s="196"/>
      <c r="N192" s="196"/>
      <c r="O192" s="200"/>
      <c r="P192" s="200"/>
    </row>
    <row r="193" spans="9:16" x14ac:dyDescent="0.25">
      <c r="I193" s="885" t="s">
        <v>202</v>
      </c>
      <c r="J193" s="885"/>
      <c r="K193" s="885"/>
      <c r="L193" s="96"/>
      <c r="M193" s="196"/>
      <c r="N193" s="196"/>
      <c r="O193" s="200"/>
      <c r="P193" s="200"/>
    </row>
    <row r="194" spans="9:16" x14ac:dyDescent="0.25">
      <c r="I194" s="885" t="s">
        <v>203</v>
      </c>
      <c r="J194" s="885"/>
      <c r="K194" s="885"/>
      <c r="L194" s="96">
        <v>1000</v>
      </c>
      <c r="M194" s="196"/>
      <c r="N194" s="196"/>
      <c r="O194" s="200"/>
      <c r="P194" s="200"/>
    </row>
    <row r="195" spans="9:16" x14ac:dyDescent="0.25">
      <c r="I195" s="885" t="s">
        <v>204</v>
      </c>
      <c r="J195" s="885"/>
      <c r="K195" s="885"/>
      <c r="L195" s="96" t="s">
        <v>180</v>
      </c>
      <c r="M195" s="196"/>
      <c r="N195" s="196"/>
      <c r="O195" s="200"/>
      <c r="P195" s="200"/>
    </row>
    <row r="196" spans="9:16" x14ac:dyDescent="0.25">
      <c r="I196" s="885" t="s">
        <v>205</v>
      </c>
      <c r="J196" s="885"/>
      <c r="K196" s="885"/>
      <c r="L196" s="96">
        <f>2.15*2000</f>
        <v>4300</v>
      </c>
      <c r="M196" s="196"/>
      <c r="N196" s="196"/>
      <c r="O196" s="200"/>
      <c r="P196" s="200"/>
    </row>
    <row r="197" spans="9:16" x14ac:dyDescent="0.25">
      <c r="I197" s="885" t="s">
        <v>206</v>
      </c>
      <c r="J197" s="885"/>
      <c r="K197" s="885"/>
      <c r="L197" s="96">
        <f>2.15*8000</f>
        <v>17200</v>
      </c>
      <c r="M197" s="196"/>
      <c r="N197" s="196"/>
      <c r="O197" s="200"/>
      <c r="P197" s="200"/>
    </row>
    <row r="198" spans="9:16" x14ac:dyDescent="0.25">
      <c r="I198" s="885" t="s">
        <v>207</v>
      </c>
      <c r="J198" s="885"/>
      <c r="K198" s="885"/>
      <c r="L198" s="96" t="s">
        <v>180</v>
      </c>
      <c r="M198" s="196"/>
      <c r="N198" s="196"/>
      <c r="O198" s="200"/>
      <c r="P198" s="200"/>
    </row>
    <row r="199" spans="9:16" x14ac:dyDescent="0.25">
      <c r="I199" s="885" t="s">
        <v>208</v>
      </c>
      <c r="J199" s="885"/>
      <c r="K199" s="885"/>
      <c r="L199" s="96" t="s">
        <v>180</v>
      </c>
      <c r="M199" s="196"/>
      <c r="N199" s="196"/>
      <c r="O199" s="200"/>
      <c r="P199" s="200"/>
    </row>
    <row r="200" spans="9:16" x14ac:dyDescent="0.25">
      <c r="I200" s="885" t="s">
        <v>209</v>
      </c>
      <c r="J200" s="885"/>
      <c r="K200" s="885"/>
      <c r="L200" s="96" t="s">
        <v>180</v>
      </c>
      <c r="M200" s="196"/>
      <c r="N200" s="196"/>
      <c r="O200" s="200"/>
      <c r="P200" s="200"/>
    </row>
    <row r="201" spans="9:16" x14ac:dyDescent="0.25">
      <c r="I201" s="885" t="s">
        <v>210</v>
      </c>
      <c r="J201" s="885"/>
      <c r="K201" s="885"/>
      <c r="L201" s="98">
        <v>5000</v>
      </c>
      <c r="M201" s="196"/>
      <c r="N201" s="196"/>
      <c r="O201" s="200"/>
      <c r="P201" s="200"/>
    </row>
    <row r="202" spans="9:16" x14ac:dyDescent="0.25">
      <c r="I202" s="885" t="s">
        <v>211</v>
      </c>
      <c r="J202" s="885"/>
      <c r="K202" s="885"/>
      <c r="L202" s="98"/>
      <c r="M202" s="196"/>
      <c r="N202" s="196"/>
      <c r="O202" s="200"/>
      <c r="P202" s="200"/>
    </row>
    <row r="203" spans="9:16" x14ac:dyDescent="0.25">
      <c r="I203" s="885" t="s">
        <v>212</v>
      </c>
      <c r="J203" s="885"/>
      <c r="K203" s="885"/>
      <c r="L203" s="98"/>
      <c r="M203" s="196"/>
      <c r="N203" s="196"/>
      <c r="O203" s="200"/>
      <c r="P203" s="200"/>
    </row>
    <row r="204" spans="9:16" x14ac:dyDescent="0.25">
      <c r="I204" s="885" t="s">
        <v>213</v>
      </c>
      <c r="J204" s="885"/>
      <c r="K204" s="885"/>
      <c r="L204" s="98" t="s">
        <v>189</v>
      </c>
      <c r="M204" s="196"/>
      <c r="N204" s="196"/>
      <c r="O204" s="196"/>
      <c r="P204" s="196"/>
    </row>
    <row r="205" spans="9:16" x14ac:dyDescent="0.25">
      <c r="I205" s="885" t="s">
        <v>214</v>
      </c>
      <c r="J205" s="885"/>
      <c r="K205" s="885"/>
      <c r="L205" s="98"/>
      <c r="M205" s="196"/>
      <c r="N205" s="196"/>
      <c r="O205" s="196"/>
      <c r="P205" s="196"/>
    </row>
    <row r="206" spans="9:16" x14ac:dyDescent="0.25">
      <c r="I206" s="885" t="s">
        <v>215</v>
      </c>
      <c r="J206" s="885"/>
      <c r="K206" s="885"/>
      <c r="L206" s="98"/>
      <c r="M206" s="196"/>
      <c r="N206" s="196"/>
      <c r="O206" s="196"/>
      <c r="P206" s="196"/>
    </row>
    <row r="207" spans="9:16" x14ac:dyDescent="0.25">
      <c r="I207" s="886" t="s">
        <v>216</v>
      </c>
      <c r="J207" s="886"/>
      <c r="K207" s="886"/>
      <c r="L207" s="98"/>
      <c r="M207" s="196"/>
      <c r="N207" s="196"/>
      <c r="O207" s="196"/>
      <c r="P207" s="196"/>
    </row>
    <row r="208" spans="9:16" x14ac:dyDescent="0.25">
      <c r="I208" s="886" t="s">
        <v>217</v>
      </c>
      <c r="J208" s="886"/>
      <c r="K208" s="886"/>
      <c r="L208" s="98"/>
      <c r="M208" s="196"/>
      <c r="N208" s="196"/>
      <c r="O208" s="196"/>
      <c r="P208" s="196"/>
    </row>
    <row r="209" spans="9:16" x14ac:dyDescent="0.25">
      <c r="I209" s="886" t="s">
        <v>218</v>
      </c>
      <c r="J209" s="886"/>
      <c r="K209" s="886"/>
      <c r="L209" s="98"/>
      <c r="M209" s="196"/>
      <c r="N209" s="196"/>
      <c r="O209" s="196"/>
      <c r="P209" s="196"/>
    </row>
    <row r="210" spans="9:16" x14ac:dyDescent="0.25">
      <c r="I210" s="886" t="s">
        <v>219</v>
      </c>
      <c r="J210" s="886"/>
      <c r="K210" s="886"/>
      <c r="L210" s="98" t="s">
        <v>189</v>
      </c>
      <c r="M210" s="196"/>
      <c r="N210" s="196"/>
      <c r="O210" s="196"/>
      <c r="P210" s="196"/>
    </row>
    <row r="211" spans="9:16" x14ac:dyDescent="0.25">
      <c r="I211" s="886" t="s">
        <v>220</v>
      </c>
      <c r="J211" s="886"/>
      <c r="K211" s="886"/>
      <c r="L211" s="98" t="s">
        <v>180</v>
      </c>
      <c r="M211" s="196"/>
      <c r="N211" s="196"/>
      <c r="O211" s="196"/>
      <c r="P211" s="196"/>
    </row>
    <row r="212" spans="9:16" x14ac:dyDescent="0.25">
      <c r="I212" s="886" t="s">
        <v>221</v>
      </c>
      <c r="J212" s="886"/>
      <c r="K212" s="886"/>
      <c r="L212" s="98" t="s">
        <v>180</v>
      </c>
      <c r="M212" s="196"/>
      <c r="N212" s="196"/>
      <c r="O212" s="196"/>
      <c r="P212" s="196"/>
    </row>
    <row r="213" spans="9:16" x14ac:dyDescent="0.25">
      <c r="I213" s="886" t="s">
        <v>222</v>
      </c>
      <c r="J213" s="886"/>
      <c r="K213" s="886"/>
      <c r="L213" s="98">
        <v>2000</v>
      </c>
      <c r="M213" s="196"/>
      <c r="N213" s="196"/>
      <c r="O213" s="196"/>
      <c r="P213" s="196"/>
    </row>
    <row r="214" spans="9:16" ht="15.75" x14ac:dyDescent="0.25">
      <c r="I214" s="886" t="s">
        <v>223</v>
      </c>
      <c r="J214" s="886"/>
      <c r="K214" s="886"/>
      <c r="L214" s="98">
        <v>1000</v>
      </c>
      <c r="M214" s="201"/>
      <c r="N214" s="201"/>
      <c r="O214" s="201"/>
      <c r="P214" s="201"/>
    </row>
    <row r="215" spans="9:16" ht="15.75" x14ac:dyDescent="0.25">
      <c r="I215" s="886" t="s">
        <v>224</v>
      </c>
      <c r="J215" s="886"/>
      <c r="K215" s="886"/>
      <c r="L215" s="98"/>
      <c r="M215" s="201"/>
      <c r="N215" s="201"/>
      <c r="O215" s="201"/>
      <c r="P215" s="201"/>
    </row>
    <row r="216" spans="9:16" ht="15.75" x14ac:dyDescent="0.25">
      <c r="I216" s="883" t="s">
        <v>225</v>
      </c>
      <c r="J216" s="883"/>
      <c r="K216" s="883"/>
      <c r="L216" s="99"/>
      <c r="M216" s="199"/>
      <c r="N216" s="199"/>
      <c r="O216" s="196"/>
      <c r="P216" s="201"/>
    </row>
    <row r="217" spans="9:16" x14ac:dyDescent="0.25">
      <c r="I217" s="883" t="s">
        <v>226</v>
      </c>
      <c r="J217" s="883"/>
      <c r="K217" s="883"/>
      <c r="L217" s="94"/>
      <c r="M217" s="194"/>
      <c r="N217" s="194"/>
      <c r="O217" s="194"/>
      <c r="P217" s="194"/>
    </row>
    <row r="218" spans="9:16" x14ac:dyDescent="0.25">
      <c r="I218" s="883" t="s">
        <v>227</v>
      </c>
      <c r="J218" s="883"/>
      <c r="K218" s="883"/>
      <c r="L218" s="94"/>
      <c r="M218" s="194"/>
      <c r="N218" s="194"/>
      <c r="O218" s="194"/>
      <c r="P218" s="194"/>
    </row>
    <row r="219" spans="9:16" x14ac:dyDescent="0.25">
      <c r="I219" s="884" t="s">
        <v>228</v>
      </c>
      <c r="J219" s="884"/>
      <c r="K219" s="884"/>
      <c r="L219" s="94">
        <v>1500</v>
      </c>
      <c r="M219" s="194"/>
      <c r="N219" s="194"/>
      <c r="O219" s="194"/>
      <c r="P219" s="194"/>
    </row>
    <row r="220" spans="9:16" x14ac:dyDescent="0.25">
      <c r="I220" s="884" t="s">
        <v>229</v>
      </c>
      <c r="J220" s="884"/>
      <c r="K220" s="884"/>
      <c r="L220" s="94">
        <v>1500</v>
      </c>
      <c r="M220" s="194"/>
      <c r="N220" s="194"/>
      <c r="O220" s="194"/>
      <c r="P220" s="194"/>
    </row>
  </sheetData>
  <mergeCells count="105">
    <mergeCell ref="W133:X133"/>
    <mergeCell ref="W125:X125"/>
    <mergeCell ref="W126:X126"/>
    <mergeCell ref="W127:X127"/>
    <mergeCell ref="W128:X128"/>
    <mergeCell ref="W129:X129"/>
    <mergeCell ref="W130:X130"/>
    <mergeCell ref="W131:X131"/>
    <mergeCell ref="W132:X132"/>
    <mergeCell ref="P14:P15"/>
    <mergeCell ref="A14:B15"/>
    <mergeCell ref="C14:C15"/>
    <mergeCell ref="D14:D15"/>
    <mergeCell ref="E14:E15"/>
    <mergeCell ref="F14:F15"/>
    <mergeCell ref="L14:O14"/>
    <mergeCell ref="G14:G15"/>
    <mergeCell ref="H14:H15"/>
    <mergeCell ref="I14:I15"/>
    <mergeCell ref="J14:J15"/>
    <mergeCell ref="K14:K15"/>
    <mergeCell ref="I217:K217"/>
    <mergeCell ref="I208:K208"/>
    <mergeCell ref="I209:K209"/>
    <mergeCell ref="I210:K210"/>
    <mergeCell ref="I211:K211"/>
    <mergeCell ref="I212:K212"/>
    <mergeCell ref="I203:K203"/>
    <mergeCell ref="I204:K204"/>
    <mergeCell ref="I205:K205"/>
    <mergeCell ref="I206:K206"/>
    <mergeCell ref="I207:K207"/>
    <mergeCell ref="I213:K213"/>
    <mergeCell ref="I214:K214"/>
    <mergeCell ref="I215:K215"/>
    <mergeCell ref="I216:K216"/>
    <mergeCell ref="I200:K200"/>
    <mergeCell ref="I201:K201"/>
    <mergeCell ref="I202:K202"/>
    <mergeCell ref="I182:K182"/>
    <mergeCell ref="I183:K183"/>
    <mergeCell ref="I184:K184"/>
    <mergeCell ref="I185:K185"/>
    <mergeCell ref="I186:K186"/>
    <mergeCell ref="I187:K187"/>
    <mergeCell ref="I188:K188"/>
    <mergeCell ref="I189:K189"/>
    <mergeCell ref="I190:K190"/>
    <mergeCell ref="I193:K193"/>
    <mergeCell ref="I194:K194"/>
    <mergeCell ref="I195:K195"/>
    <mergeCell ref="I196:K196"/>
    <mergeCell ref="I197:K197"/>
    <mergeCell ref="I191:K191"/>
    <mergeCell ref="I192:K192"/>
    <mergeCell ref="I198:K198"/>
    <mergeCell ref="I199:K199"/>
    <mergeCell ref="W81:Y81"/>
    <mergeCell ref="W82:Y82"/>
    <mergeCell ref="W83:Y83"/>
    <mergeCell ref="W84:Y84"/>
    <mergeCell ref="I218:K218"/>
    <mergeCell ref="I219:K219"/>
    <mergeCell ref="I220:K220"/>
    <mergeCell ref="W61:Y61"/>
    <mergeCell ref="W62:Y62"/>
    <mergeCell ref="W63:Y63"/>
    <mergeCell ref="W64:Y64"/>
    <mergeCell ref="W65:Y65"/>
    <mergeCell ref="W68:Y68"/>
    <mergeCell ref="W69:Y69"/>
    <mergeCell ref="W70:Y70"/>
    <mergeCell ref="W71:Y71"/>
    <mergeCell ref="W72:Y72"/>
    <mergeCell ref="W75:Y75"/>
    <mergeCell ref="W76:Y76"/>
    <mergeCell ref="W73:Y73"/>
    <mergeCell ref="I178:K178"/>
    <mergeCell ref="I179:K179"/>
    <mergeCell ref="I180:K180"/>
    <mergeCell ref="I181:K181"/>
    <mergeCell ref="W47:Y47"/>
    <mergeCell ref="W48:Y48"/>
    <mergeCell ref="W49:Y49"/>
    <mergeCell ref="W50:Y50"/>
    <mergeCell ref="W51:Y51"/>
    <mergeCell ref="W100:X100"/>
    <mergeCell ref="W103:X103"/>
    <mergeCell ref="W54:Y54"/>
    <mergeCell ref="W55:Y55"/>
    <mergeCell ref="W56:Y56"/>
    <mergeCell ref="W57:Y57"/>
    <mergeCell ref="W58:Y58"/>
    <mergeCell ref="W88:Y88"/>
    <mergeCell ref="W97:X97"/>
    <mergeCell ref="W99:X99"/>
    <mergeCell ref="W94:Y94"/>
    <mergeCell ref="W95:Y95"/>
    <mergeCell ref="W96:Y96"/>
    <mergeCell ref="W86:Y86"/>
    <mergeCell ref="W87:Y87"/>
    <mergeCell ref="W89:Y89"/>
    <mergeCell ref="W90:Y90"/>
    <mergeCell ref="W91:Y91"/>
    <mergeCell ref="W80:Y80"/>
  </mergeCells>
  <pageMargins left="0.7" right="0.7" top="0.75" bottom="0.75" header="0.3" footer="0.3"/>
  <pageSetup paperSize="197" scale="55" orientation="portrait" r:id="rId1"/>
  <ignoredErrors>
    <ignoredError sqref="L22:L28" evalError="1"/>
    <ignoredError sqref="M21" evalError="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7:AR304"/>
  <sheetViews>
    <sheetView showGridLines="0" topLeftCell="N119" zoomScale="78" zoomScaleNormal="78" zoomScaleSheetLayoutView="84" workbookViewId="0">
      <selection activeCell="X154" sqref="X154"/>
    </sheetView>
  </sheetViews>
  <sheetFormatPr defaultRowHeight="15" outlineLevelCol="1" x14ac:dyDescent="0.25"/>
  <cols>
    <col min="1" max="1" width="8.85546875" style="19" customWidth="1"/>
    <col min="2" max="2" width="3.42578125" style="153" customWidth="1"/>
    <col min="3" max="3" width="5.42578125" style="294" customWidth="1"/>
    <col min="4" max="4" width="81.140625" style="18" bestFit="1" customWidth="1"/>
    <col min="5" max="5" width="10.85546875" style="60" customWidth="1" outlineLevel="1"/>
    <col min="6" max="6" width="9.710937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710937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0.7109375" style="1" customWidth="1"/>
    <col min="33" max="33" width="10.7109375" style="18" customWidth="1"/>
    <col min="34" max="41" width="9.140625" style="18"/>
    <col min="42" max="42" width="12" style="18" customWidth="1"/>
    <col min="43" max="43" width="9.140625" style="18"/>
    <col min="44" max="44" width="14.28515625" style="18" customWidth="1"/>
    <col min="45" max="16384" width="9.140625" style="18"/>
  </cols>
  <sheetData>
    <row r="7" spans="1:39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39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39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39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39" x14ac:dyDescent="0.25">
      <c r="A11" s="235"/>
      <c r="D11" s="21"/>
      <c r="E11" s="181"/>
    </row>
    <row r="12" spans="1:39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73"/>
      <c r="AM12" s="273"/>
    </row>
    <row r="13" spans="1:39" ht="15.75" thickBot="1" x14ac:dyDescent="0.3">
      <c r="T13" s="224"/>
      <c r="U13" s="273"/>
      <c r="V13" s="273"/>
      <c r="AK13" s="273"/>
      <c r="AL13" s="273"/>
      <c r="AM13" s="273"/>
    </row>
    <row r="14" spans="1:39" s="19" customFormat="1" x14ac:dyDescent="0.25">
      <c r="A14" s="906" t="s">
        <v>4</v>
      </c>
      <c r="B14" s="864" t="s">
        <v>7</v>
      </c>
      <c r="C14" s="908"/>
      <c r="D14" s="865"/>
      <c r="E14" s="915" t="s">
        <v>81</v>
      </c>
      <c r="F14" s="917" t="s">
        <v>6</v>
      </c>
      <c r="G14" s="868" t="s">
        <v>5</v>
      </c>
      <c r="H14" s="870" t="s">
        <v>174</v>
      </c>
      <c r="I14" s="870" t="s">
        <v>175</v>
      </c>
      <c r="J14" s="870" t="s">
        <v>176</v>
      </c>
      <c r="K14" s="870" t="s">
        <v>177</v>
      </c>
      <c r="L14" s="870" t="s">
        <v>178</v>
      </c>
      <c r="M14" s="872" t="s">
        <v>8</v>
      </c>
      <c r="N14" s="873"/>
      <c r="O14" s="874"/>
      <c r="P14" s="919" t="s">
        <v>11</v>
      </c>
      <c r="Q14" s="2"/>
      <c r="R14" s="2"/>
      <c r="T14" s="441"/>
      <c r="U14" s="274"/>
      <c r="V14" s="274"/>
      <c r="AK14" s="274"/>
      <c r="AL14" s="274"/>
      <c r="AM14" s="274"/>
    </row>
    <row r="15" spans="1:39" s="19" customFormat="1" ht="15.75" thickBot="1" x14ac:dyDescent="0.3">
      <c r="A15" s="907"/>
      <c r="B15" s="866"/>
      <c r="C15" s="909"/>
      <c r="D15" s="867"/>
      <c r="E15" s="916"/>
      <c r="F15" s="918"/>
      <c r="G15" s="869"/>
      <c r="H15" s="871"/>
      <c r="I15" s="871"/>
      <c r="J15" s="871"/>
      <c r="K15" s="871"/>
      <c r="L15" s="871"/>
      <c r="M15" s="54" t="s">
        <v>9</v>
      </c>
      <c r="N15" s="54" t="s">
        <v>10</v>
      </c>
      <c r="O15" s="54" t="s">
        <v>230</v>
      </c>
      <c r="P15" s="920"/>
      <c r="Q15" s="2"/>
      <c r="R15" s="2"/>
      <c r="T15" s="441"/>
      <c r="U15" s="274"/>
      <c r="V15" s="274"/>
      <c r="AK15" s="274"/>
      <c r="AL15" s="274"/>
      <c r="AM15" s="274"/>
    </row>
    <row r="16" spans="1:39" s="226" customFormat="1" ht="15.75" x14ac:dyDescent="0.25">
      <c r="A16" s="322" t="s">
        <v>80</v>
      </c>
      <c r="B16" s="251" t="s">
        <v>315</v>
      </c>
      <c r="C16" s="295"/>
      <c r="D16" s="259"/>
      <c r="E16" s="70"/>
      <c r="F16" s="301"/>
      <c r="G16" s="260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25"/>
      <c r="AM16" s="225"/>
    </row>
    <row r="17" spans="1:39" s="226" customFormat="1" x14ac:dyDescent="0.25">
      <c r="A17" s="263"/>
      <c r="B17" s="261"/>
      <c r="C17" s="293">
        <v>1</v>
      </c>
      <c r="D17" s="259" t="s">
        <v>300</v>
      </c>
      <c r="E17" s="71">
        <v>1</v>
      </c>
      <c r="F17" s="302">
        <v>1</v>
      </c>
      <c r="G17" s="262" t="s">
        <v>301</v>
      </c>
      <c r="H17" s="72">
        <v>10000</v>
      </c>
      <c r="I17" s="72">
        <f>H17*F17</f>
        <v>10000</v>
      </c>
      <c r="J17" s="72">
        <v>10000</v>
      </c>
      <c r="K17" s="72">
        <f>J17*F17</f>
        <v>10000</v>
      </c>
      <c r="L17" s="72">
        <f>I17+K17</f>
        <v>20000</v>
      </c>
      <c r="M17" s="67">
        <f t="shared" ref="M17:M33" si="0">H17/$P$255*$P$263</f>
        <v>13700.649710164853</v>
      </c>
      <c r="N17" s="67">
        <f t="shared" ref="N17:N33" si="1">J17/$P$255*$P$263</f>
        <v>13700.649710164853</v>
      </c>
      <c r="O17" s="72">
        <f>N17+M17</f>
        <v>27401.299420329706</v>
      </c>
      <c r="P17" s="203">
        <f>O17*F17</f>
        <v>27401.299420329706</v>
      </c>
      <c r="Q17" s="272">
        <f t="shared" ref="Q17:Q80" si="2">L17/$P$255*$P$263</f>
        <v>27401.299420329706</v>
      </c>
      <c r="R17" s="439">
        <f>P17-Q17</f>
        <v>0</v>
      </c>
      <c r="S17" s="230"/>
      <c r="T17" s="439"/>
      <c r="U17" s="275"/>
      <c r="V17" s="276"/>
      <c r="AK17" s="278"/>
      <c r="AL17" s="225"/>
      <c r="AM17" s="225"/>
    </row>
    <row r="18" spans="1:39" s="226" customFormat="1" x14ac:dyDescent="0.25">
      <c r="A18" s="263"/>
      <c r="B18" s="261"/>
      <c r="C18" s="293">
        <v>2</v>
      </c>
      <c r="D18" s="259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28" si="3">H18*F18</f>
        <v>10000</v>
      </c>
      <c r="J18" s="72">
        <v>8000</v>
      </c>
      <c r="K18" s="72">
        <f t="shared" ref="K18:K28" si="4">J18*F18</f>
        <v>8000</v>
      </c>
      <c r="L18" s="72">
        <f t="shared" ref="L18:L28" si="5">I18+K18</f>
        <v>18000</v>
      </c>
      <c r="M18" s="67">
        <f t="shared" si="0"/>
        <v>13700.649710164853</v>
      </c>
      <c r="N18" s="67">
        <f t="shared" si="1"/>
        <v>10960.519768131882</v>
      </c>
      <c r="O18" s="72">
        <f t="shared" ref="O18:O23" si="6">N18+M18</f>
        <v>24661.169478296735</v>
      </c>
      <c r="P18" s="203">
        <f t="shared" ref="P18:P26" si="7">O18*F18</f>
        <v>24661.169478296735</v>
      </c>
      <c r="Q18" s="272">
        <f t="shared" si="2"/>
        <v>24661.169478296732</v>
      </c>
      <c r="R18" s="439">
        <f t="shared" ref="R18:R23" si="8">P18-Q18</f>
        <v>0</v>
      </c>
      <c r="S18" s="230"/>
      <c r="T18" s="439"/>
      <c r="U18" s="275"/>
      <c r="V18" s="276"/>
      <c r="AK18" s="279"/>
      <c r="AL18" s="225"/>
      <c r="AM18" s="225"/>
    </row>
    <row r="19" spans="1:39" s="226" customFormat="1" x14ac:dyDescent="0.25">
      <c r="A19" s="263"/>
      <c r="B19" s="261"/>
      <c r="C19" s="293">
        <v>3</v>
      </c>
      <c r="D19" s="259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3"/>
        <v>5000</v>
      </c>
      <c r="J19" s="72">
        <v>10000</v>
      </c>
      <c r="K19" s="72">
        <f t="shared" si="4"/>
        <v>10000</v>
      </c>
      <c r="L19" s="72">
        <f t="shared" si="5"/>
        <v>15000</v>
      </c>
      <c r="M19" s="67">
        <f t="shared" si="0"/>
        <v>6850.3248550824264</v>
      </c>
      <c r="N19" s="67">
        <f t="shared" si="1"/>
        <v>13700.649710164853</v>
      </c>
      <c r="O19" s="72">
        <f t="shared" si="6"/>
        <v>20550.974565247277</v>
      </c>
      <c r="P19" s="203">
        <f t="shared" si="7"/>
        <v>20550.974565247277</v>
      </c>
      <c r="Q19" s="272">
        <f t="shared" si="2"/>
        <v>20550.974565247281</v>
      </c>
      <c r="R19" s="439">
        <f t="shared" si="8"/>
        <v>0</v>
      </c>
      <c r="S19" s="230"/>
      <c r="T19" s="439"/>
      <c r="U19" s="275"/>
      <c r="V19" s="264"/>
      <c r="AK19" s="278"/>
      <c r="AL19" s="225"/>
      <c r="AM19" s="225"/>
    </row>
    <row r="20" spans="1:39" s="226" customFormat="1" x14ac:dyDescent="0.25">
      <c r="A20" s="263"/>
      <c r="B20" s="261"/>
      <c r="C20" s="293">
        <v>4</v>
      </c>
      <c r="D20" s="481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3"/>
        <v>0</v>
      </c>
      <c r="J20" s="74">
        <f>4*(24000+16000+16000)/1.05</f>
        <v>213333.33333333331</v>
      </c>
      <c r="K20" s="72">
        <f t="shared" si="4"/>
        <v>213333.33333333331</v>
      </c>
      <c r="L20" s="72">
        <f t="shared" si="5"/>
        <v>213333.33333333331</v>
      </c>
      <c r="M20" s="67">
        <f t="shared" si="0"/>
        <v>0</v>
      </c>
      <c r="N20" s="67">
        <f t="shared" si="1"/>
        <v>292280.52715018351</v>
      </c>
      <c r="O20" s="72">
        <f t="shared" si="6"/>
        <v>292280.52715018351</v>
      </c>
      <c r="P20" s="203">
        <f t="shared" si="7"/>
        <v>292280.52715018351</v>
      </c>
      <c r="Q20" s="272">
        <f t="shared" si="2"/>
        <v>292280.52715018351</v>
      </c>
      <c r="R20" s="439">
        <f t="shared" si="8"/>
        <v>0</v>
      </c>
      <c r="S20" s="230"/>
      <c r="T20" s="439"/>
      <c r="U20" s="275"/>
      <c r="V20" s="280"/>
      <c r="AK20" s="278"/>
      <c r="AL20" s="225"/>
      <c r="AM20" s="225"/>
    </row>
    <row r="21" spans="1:39" s="226" customFormat="1" x14ac:dyDescent="0.25">
      <c r="A21" s="263"/>
      <c r="B21" s="261"/>
      <c r="C21" s="293">
        <v>5</v>
      </c>
      <c r="D21" s="259" t="s">
        <v>307</v>
      </c>
      <c r="E21" s="71">
        <v>1</v>
      </c>
      <c r="F21" s="302">
        <v>1</v>
      </c>
      <c r="G21" s="262" t="s">
        <v>301</v>
      </c>
      <c r="H21" s="72">
        <f>(AR42+AR51+AR58)/1.07</f>
        <v>66771.471962616823</v>
      </c>
      <c r="I21" s="72">
        <f t="shared" si="3"/>
        <v>66771.471962616823</v>
      </c>
      <c r="J21" s="72">
        <v>2500</v>
      </c>
      <c r="K21" s="72">
        <f t="shared" si="4"/>
        <v>2500</v>
      </c>
      <c r="L21" s="72">
        <f t="shared" si="5"/>
        <v>69271.471962616823</v>
      </c>
      <c r="M21" s="67">
        <f t="shared" si="0"/>
        <v>91481.254799190676</v>
      </c>
      <c r="N21" s="67">
        <f t="shared" si="1"/>
        <v>3425.1624275412132</v>
      </c>
      <c r="O21" s="72">
        <f t="shared" si="6"/>
        <v>94906.417226731894</v>
      </c>
      <c r="P21" s="203">
        <f t="shared" si="7"/>
        <v>94906.417226731894</v>
      </c>
      <c r="Q21" s="272">
        <f t="shared" si="2"/>
        <v>94906.417226731894</v>
      </c>
      <c r="R21" s="439">
        <f t="shared" si="8"/>
        <v>0</v>
      </c>
      <c r="S21" s="230"/>
      <c r="T21" s="439"/>
      <c r="U21" s="275"/>
      <c r="V21" s="281"/>
      <c r="AK21" s="278"/>
      <c r="AL21" s="225"/>
      <c r="AM21" s="225"/>
    </row>
    <row r="22" spans="1:39" s="226" customFormat="1" x14ac:dyDescent="0.25">
      <c r="A22" s="263"/>
      <c r="B22" s="261"/>
      <c r="C22" s="293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ref="I22:I23" si="9">H22*F22</f>
        <v>35000</v>
      </c>
      <c r="J22" s="72">
        <v>5000</v>
      </c>
      <c r="K22" s="72">
        <f t="shared" ref="K22:K23" si="10">J22*F22</f>
        <v>5000</v>
      </c>
      <c r="L22" s="72">
        <f t="shared" ref="L22:L23" si="11">I22+K22</f>
        <v>40000</v>
      </c>
      <c r="M22" s="67">
        <f t="shared" si="0"/>
        <v>47952.273985576983</v>
      </c>
      <c r="N22" s="67">
        <f t="shared" si="1"/>
        <v>6850.3248550824264</v>
      </c>
      <c r="O22" s="72">
        <f t="shared" si="6"/>
        <v>54802.598840659412</v>
      </c>
      <c r="P22" s="203">
        <f t="shared" si="7"/>
        <v>54802.598840659412</v>
      </c>
      <c r="Q22" s="272">
        <f t="shared" si="2"/>
        <v>54802.598840659412</v>
      </c>
      <c r="R22" s="439">
        <f t="shared" si="8"/>
        <v>0</v>
      </c>
      <c r="S22" s="230"/>
      <c r="T22" s="442"/>
      <c r="U22" s="275"/>
      <c r="V22" s="276"/>
      <c r="AK22" s="278"/>
      <c r="AL22" s="225"/>
      <c r="AM22" s="225"/>
    </row>
    <row r="23" spans="1:39" s="226" customFormat="1" x14ac:dyDescent="0.25">
      <c r="A23" s="263"/>
      <c r="B23" s="261"/>
      <c r="C23" s="293">
        <v>7</v>
      </c>
      <c r="D23" s="481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9"/>
        <v>108000</v>
      </c>
      <c r="J23" s="72"/>
      <c r="K23" s="72">
        <f t="shared" si="10"/>
        <v>0</v>
      </c>
      <c r="L23" s="72">
        <f t="shared" si="11"/>
        <v>108000</v>
      </c>
      <c r="M23" s="67">
        <f t="shared" si="0"/>
        <v>147967.0168697804</v>
      </c>
      <c r="N23" s="67">
        <f t="shared" si="1"/>
        <v>0</v>
      </c>
      <c r="O23" s="72">
        <f t="shared" si="6"/>
        <v>147967.0168697804</v>
      </c>
      <c r="P23" s="203">
        <f t="shared" si="7"/>
        <v>147967.0168697804</v>
      </c>
      <c r="Q23" s="272">
        <f t="shared" si="2"/>
        <v>147967.0168697804</v>
      </c>
      <c r="R23" s="439">
        <f t="shared" si="8"/>
        <v>0</v>
      </c>
      <c r="S23" s="230"/>
      <c r="T23" s="442"/>
      <c r="U23" s="275"/>
      <c r="V23" s="276"/>
      <c r="AK23" s="278"/>
      <c r="AL23" s="225"/>
      <c r="AM23" s="225"/>
    </row>
    <row r="24" spans="1:39" s="226" customFormat="1" x14ac:dyDescent="0.25">
      <c r="A24" s="263"/>
      <c r="B24" s="261"/>
      <c r="C24" s="293">
        <v>8</v>
      </c>
      <c r="D24" s="259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3"/>
        <v>0</v>
      </c>
      <c r="J24" s="72"/>
      <c r="K24" s="72">
        <f t="shared" si="4"/>
        <v>0</v>
      </c>
      <c r="L24" s="72">
        <f t="shared" si="5"/>
        <v>0</v>
      </c>
      <c r="M24" s="67">
        <f t="shared" si="0"/>
        <v>0</v>
      </c>
      <c r="N24" s="67">
        <f t="shared" si="1"/>
        <v>0</v>
      </c>
      <c r="O24" s="72">
        <f t="shared" ref="O24" si="12">N24+M24</f>
        <v>0</v>
      </c>
      <c r="P24" s="221" t="s">
        <v>333</v>
      </c>
      <c r="Q24" s="272">
        <f t="shared" si="2"/>
        <v>0</v>
      </c>
      <c r="R24" s="439" t="e">
        <f t="shared" ref="R24:R78" si="13">P24-Q24</f>
        <v>#VALUE!</v>
      </c>
      <c r="S24" s="230"/>
      <c r="T24" s="442"/>
      <c r="U24" s="275"/>
      <c r="V24" s="276"/>
      <c r="AK24" s="278"/>
      <c r="AL24" s="225"/>
      <c r="AM24" s="225"/>
    </row>
    <row r="25" spans="1:39" s="226" customFormat="1" x14ac:dyDescent="0.25">
      <c r="A25" s="263"/>
      <c r="B25" s="261"/>
      <c r="C25" s="293">
        <v>9</v>
      </c>
      <c r="D25" s="481" t="s">
        <v>499</v>
      </c>
      <c r="E25" s="487">
        <f>(60*10)+(60*12)</f>
        <v>1320</v>
      </c>
      <c r="F25" s="487">
        <f>(60*10)+(60*12)</f>
        <v>1320</v>
      </c>
      <c r="G25" s="262" t="s">
        <v>506</v>
      </c>
      <c r="H25" s="486">
        <f>155+47*5</f>
        <v>390</v>
      </c>
      <c r="I25" s="72">
        <f t="shared" ref="I25" si="14">H25*F25</f>
        <v>514800</v>
      </c>
      <c r="J25" s="72">
        <v>76</v>
      </c>
      <c r="K25" s="72">
        <f t="shared" ref="K25" si="15">J25*F25</f>
        <v>100320</v>
      </c>
      <c r="L25" s="72">
        <f t="shared" ref="L25" si="16">I25+K25</f>
        <v>615120</v>
      </c>
      <c r="M25" s="67">
        <f t="shared" si="0"/>
        <v>534.3253386964293</v>
      </c>
      <c r="N25" s="67">
        <f t="shared" si="1"/>
        <v>104.12493779725288</v>
      </c>
      <c r="O25" s="72">
        <f t="shared" ref="O25" si="17">N25+M25</f>
        <v>638.45027649368217</v>
      </c>
      <c r="P25" s="203">
        <f t="shared" si="7"/>
        <v>842754.36497166043</v>
      </c>
      <c r="Q25" s="272">
        <f t="shared" si="2"/>
        <v>842754.36497166043</v>
      </c>
      <c r="R25" s="439">
        <f t="shared" ref="R25" si="18">P25-Q25</f>
        <v>0</v>
      </c>
      <c r="S25" s="230"/>
      <c r="T25" s="442"/>
      <c r="U25" s="275"/>
      <c r="V25" s="276"/>
      <c r="AK25" s="278"/>
      <c r="AL25" s="225"/>
      <c r="AM25" s="225"/>
    </row>
    <row r="26" spans="1:39" s="226" customFormat="1" x14ac:dyDescent="0.25">
      <c r="A26" s="263"/>
      <c r="B26" s="261"/>
      <c r="C26" s="293">
        <v>10</v>
      </c>
      <c r="D26" s="481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ref="I26" si="19">H26*F26</f>
        <v>46601.941747572811</v>
      </c>
      <c r="J26" s="72">
        <v>4000</v>
      </c>
      <c r="K26" s="72">
        <f t="shared" ref="K26" si="20">J26*F26</f>
        <v>4000</v>
      </c>
      <c r="L26" s="72">
        <f t="shared" ref="L26" si="21">I26+K26</f>
        <v>50601.941747572811</v>
      </c>
      <c r="M26" s="67">
        <f t="shared" si="0"/>
        <v>63847.687969700273</v>
      </c>
      <c r="N26" s="67">
        <f t="shared" si="1"/>
        <v>5480.2598840659412</v>
      </c>
      <c r="O26" s="72">
        <f t="shared" ref="O26" si="22">N26+M26</f>
        <v>69327.947853766207</v>
      </c>
      <c r="P26" s="203">
        <f t="shared" si="7"/>
        <v>69327.947853766207</v>
      </c>
      <c r="Q26" s="272">
        <f t="shared" si="2"/>
        <v>69327.947853766222</v>
      </c>
      <c r="R26" s="439">
        <f t="shared" ref="R26" si="23">P26-Q26</f>
        <v>0</v>
      </c>
      <c r="S26" s="230"/>
      <c r="T26" s="442"/>
      <c r="U26" s="275"/>
      <c r="V26" s="276"/>
      <c r="AK26" s="278"/>
      <c r="AL26" s="225"/>
      <c r="AM26" s="225"/>
    </row>
    <row r="27" spans="1:39" s="226" customFormat="1" x14ac:dyDescent="0.25">
      <c r="A27" s="265"/>
      <c r="B27" s="258"/>
      <c r="C27" s="293">
        <v>11</v>
      </c>
      <c r="D27" s="259" t="s">
        <v>311</v>
      </c>
      <c r="E27" s="71">
        <v>1</v>
      </c>
      <c r="F27" s="302">
        <v>1</v>
      </c>
      <c r="G27" s="262" t="s">
        <v>301</v>
      </c>
      <c r="H27" s="72">
        <v>20000</v>
      </c>
      <c r="I27" s="72">
        <f t="shared" si="3"/>
        <v>20000</v>
      </c>
      <c r="J27" s="72">
        <v>5000</v>
      </c>
      <c r="K27" s="72">
        <f t="shared" si="4"/>
        <v>5000</v>
      </c>
      <c r="L27" s="72">
        <f t="shared" si="5"/>
        <v>25000</v>
      </c>
      <c r="M27" s="67">
        <f t="shared" si="0"/>
        <v>27401.299420329706</v>
      </c>
      <c r="N27" s="67">
        <f t="shared" si="1"/>
        <v>6850.3248550824264</v>
      </c>
      <c r="O27" s="72">
        <f t="shared" ref="O27:O30" si="24">N27+M27</f>
        <v>34251.624275412134</v>
      </c>
      <c r="P27" s="203">
        <f t="shared" ref="P27:P30" si="25">O27*F27</f>
        <v>34251.624275412134</v>
      </c>
      <c r="Q27" s="272">
        <f t="shared" si="2"/>
        <v>34251.624275412127</v>
      </c>
      <c r="R27" s="439">
        <f t="shared" si="13"/>
        <v>0</v>
      </c>
      <c r="T27" s="224"/>
      <c r="U27" s="275"/>
      <c r="V27" s="276"/>
      <c r="AK27" s="278"/>
      <c r="AL27" s="225"/>
      <c r="AM27" s="225"/>
    </row>
    <row r="28" spans="1:39" s="226" customFormat="1" x14ac:dyDescent="0.25">
      <c r="A28" s="265"/>
      <c r="B28" s="258"/>
      <c r="C28" s="293">
        <v>12</v>
      </c>
      <c r="D28" s="259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3"/>
        <v>10000</v>
      </c>
      <c r="J28" s="72">
        <v>15000</v>
      </c>
      <c r="K28" s="72">
        <f t="shared" si="4"/>
        <v>15000</v>
      </c>
      <c r="L28" s="72">
        <f t="shared" si="5"/>
        <v>25000</v>
      </c>
      <c r="M28" s="67">
        <f t="shared" si="0"/>
        <v>13700.649710164853</v>
      </c>
      <c r="N28" s="67">
        <f t="shared" si="1"/>
        <v>20550.974565247281</v>
      </c>
      <c r="O28" s="72">
        <f t="shared" si="24"/>
        <v>34251.624275412134</v>
      </c>
      <c r="P28" s="203">
        <f t="shared" si="25"/>
        <v>34251.624275412134</v>
      </c>
      <c r="Q28" s="272">
        <f t="shared" si="2"/>
        <v>34251.624275412127</v>
      </c>
      <c r="R28" s="439">
        <f t="shared" si="13"/>
        <v>0</v>
      </c>
      <c r="T28" s="224"/>
      <c r="U28" s="275"/>
      <c r="V28" s="276"/>
      <c r="AK28" s="278"/>
      <c r="AL28" s="225"/>
      <c r="AM28" s="225"/>
    </row>
    <row r="29" spans="1:39" s="226" customFormat="1" x14ac:dyDescent="0.25">
      <c r="A29" s="263"/>
      <c r="B29" s="261"/>
      <c r="C29" s="293">
        <v>13</v>
      </c>
      <c r="D29" s="481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ref="I29:I32" si="26">H29*F29</f>
        <v>45000</v>
      </c>
      <c r="J29" s="72"/>
      <c r="K29" s="72">
        <f t="shared" ref="K29:K32" si="27">J29*F29</f>
        <v>0</v>
      </c>
      <c r="L29" s="72">
        <f t="shared" ref="L29:L32" si="28">I29+K29</f>
        <v>45000</v>
      </c>
      <c r="M29" s="67">
        <f t="shared" si="0"/>
        <v>61652.923695741832</v>
      </c>
      <c r="N29" s="67">
        <f t="shared" si="1"/>
        <v>0</v>
      </c>
      <c r="O29" s="72">
        <f t="shared" si="24"/>
        <v>61652.923695741832</v>
      </c>
      <c r="P29" s="203">
        <f t="shared" si="25"/>
        <v>61652.923695741832</v>
      </c>
      <c r="Q29" s="272">
        <f t="shared" si="2"/>
        <v>61652.923695741832</v>
      </c>
      <c r="R29" s="439">
        <f t="shared" si="13"/>
        <v>0</v>
      </c>
      <c r="S29" s="230"/>
      <c r="T29" s="439"/>
      <c r="U29" s="275"/>
      <c r="V29" s="281"/>
      <c r="AK29" s="278"/>
      <c r="AL29" s="225"/>
      <c r="AM29" s="225"/>
    </row>
    <row r="30" spans="1:39" s="226" customFormat="1" x14ac:dyDescent="0.25">
      <c r="A30" s="263"/>
      <c r="B30" s="261"/>
      <c r="C30" s="293">
        <v>14</v>
      </c>
      <c r="D30" s="481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26"/>
        <v>32380.952380952378</v>
      </c>
      <c r="J30" s="72">
        <v>2000</v>
      </c>
      <c r="K30" s="72">
        <f t="shared" si="27"/>
        <v>2000</v>
      </c>
      <c r="L30" s="72">
        <f t="shared" si="28"/>
        <v>34380.952380952382</v>
      </c>
      <c r="M30" s="67">
        <f t="shared" si="0"/>
        <v>44364.008585295713</v>
      </c>
      <c r="N30" s="67">
        <f t="shared" si="1"/>
        <v>2740.1299420329706</v>
      </c>
      <c r="O30" s="72">
        <f t="shared" si="24"/>
        <v>47104.138527328687</v>
      </c>
      <c r="P30" s="203">
        <f t="shared" si="25"/>
        <v>47104.138527328687</v>
      </c>
      <c r="Q30" s="272">
        <f t="shared" si="2"/>
        <v>47104.138527328687</v>
      </c>
      <c r="R30" s="439">
        <f t="shared" ref="R30:R32" si="29">P30-Q30</f>
        <v>0</v>
      </c>
      <c r="S30" s="230"/>
      <c r="T30" s="442"/>
      <c r="U30" s="275"/>
      <c r="V30" s="276"/>
      <c r="AK30" s="278"/>
      <c r="AL30" s="225"/>
      <c r="AM30" s="225"/>
    </row>
    <row r="31" spans="1:39" s="226" customFormat="1" x14ac:dyDescent="0.25">
      <c r="A31" s="265"/>
      <c r="B31" s="258"/>
      <c r="C31" s="293">
        <v>15</v>
      </c>
      <c r="D31" s="481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26"/>
        <v>51650.485436893199</v>
      </c>
      <c r="J31" s="483">
        <f>(4*14000/1.03+20000/1.03)*0.3</f>
        <v>22135.922330097088</v>
      </c>
      <c r="K31" s="72">
        <f t="shared" si="27"/>
        <v>22135.922330097088</v>
      </c>
      <c r="L31" s="72">
        <f t="shared" si="28"/>
        <v>73786.407766990291</v>
      </c>
      <c r="M31" s="67">
        <f t="shared" si="0"/>
        <v>70764.520833084476</v>
      </c>
      <c r="N31" s="67">
        <f t="shared" si="1"/>
        <v>30327.651785607635</v>
      </c>
      <c r="O31" s="72">
        <f t="shared" ref="O31:O32" si="30">N31+M31</f>
        <v>101092.17261869212</v>
      </c>
      <c r="P31" s="203">
        <f t="shared" ref="P31:P32" si="31">O31*F31</f>
        <v>101092.17261869212</v>
      </c>
      <c r="Q31" s="272">
        <f t="shared" si="2"/>
        <v>101092.17261869212</v>
      </c>
      <c r="R31" s="439">
        <f t="shared" si="29"/>
        <v>0</v>
      </c>
      <c r="T31" s="224"/>
      <c r="U31" s="275"/>
      <c r="V31" s="276"/>
      <c r="AK31" s="278"/>
      <c r="AL31" s="225"/>
      <c r="AM31" s="225"/>
    </row>
    <row r="32" spans="1:39" s="226" customFormat="1" x14ac:dyDescent="0.25">
      <c r="A32" s="265"/>
      <c r="B32" s="258"/>
      <c r="C32" s="293">
        <v>16</v>
      </c>
      <c r="D32" s="481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26"/>
        <v>15000</v>
      </c>
      <c r="J32" s="72">
        <f>1700*5</f>
        <v>8500</v>
      </c>
      <c r="K32" s="72">
        <f t="shared" si="27"/>
        <v>8500</v>
      </c>
      <c r="L32" s="72">
        <f t="shared" si="28"/>
        <v>23500</v>
      </c>
      <c r="M32" s="67">
        <f t="shared" si="0"/>
        <v>20550.974565247281</v>
      </c>
      <c r="N32" s="67">
        <f t="shared" si="1"/>
        <v>11645.552253640126</v>
      </c>
      <c r="O32" s="72">
        <f t="shared" si="30"/>
        <v>32196.526818887407</v>
      </c>
      <c r="P32" s="203">
        <f t="shared" si="31"/>
        <v>32196.526818887407</v>
      </c>
      <c r="Q32" s="272">
        <f t="shared" si="2"/>
        <v>32196.526818887403</v>
      </c>
      <c r="R32" s="439">
        <f t="shared" si="29"/>
        <v>0</v>
      </c>
      <c r="T32" s="224"/>
      <c r="U32" s="275"/>
      <c r="V32" s="276"/>
      <c r="AK32" s="278"/>
      <c r="AL32" s="225"/>
      <c r="AM32" s="225"/>
    </row>
    <row r="33" spans="1:44" s="226" customFormat="1" x14ac:dyDescent="0.25">
      <c r="A33" s="265"/>
      <c r="B33" s="258"/>
      <c r="C33" s="293">
        <v>17</v>
      </c>
      <c r="D33" s="481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ref="I33" si="32">H33*F33</f>
        <v>10000</v>
      </c>
      <c r="J33" s="72">
        <v>5000</v>
      </c>
      <c r="K33" s="72">
        <f t="shared" ref="K33" si="33">J33*F33</f>
        <v>5000</v>
      </c>
      <c r="L33" s="72">
        <f t="shared" ref="L33" si="34">I33+K33</f>
        <v>15000</v>
      </c>
      <c r="M33" s="67">
        <f t="shared" si="0"/>
        <v>13700.649710164853</v>
      </c>
      <c r="N33" s="67">
        <f t="shared" si="1"/>
        <v>6850.3248550824264</v>
      </c>
      <c r="O33" s="72">
        <f t="shared" ref="O33" si="35">N33+M33</f>
        <v>20550.974565247277</v>
      </c>
      <c r="P33" s="203">
        <f t="shared" ref="P33" si="36">O33*F33</f>
        <v>20550.974565247277</v>
      </c>
      <c r="Q33" s="272">
        <f t="shared" si="2"/>
        <v>20550.974565247281</v>
      </c>
      <c r="R33" s="439">
        <f t="shared" ref="R33" si="37">P33-Q33</f>
        <v>0</v>
      </c>
      <c r="T33" s="224"/>
      <c r="U33" s="275"/>
      <c r="V33" s="276"/>
      <c r="AK33" s="278"/>
      <c r="AL33" s="225"/>
      <c r="AM33" s="225"/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2"/>
        <v>0</v>
      </c>
      <c r="R34" s="439">
        <f t="shared" si="13"/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980204.85152803524</v>
      </c>
      <c r="J35" s="312"/>
      <c r="K35" s="313">
        <f>SUM(K16:K34)</f>
        <v>410789.25566343038</v>
      </c>
      <c r="L35" s="313">
        <f>SUM(L16:L34)</f>
        <v>1390994.1071914658</v>
      </c>
      <c r="M35" s="312"/>
      <c r="N35" s="312"/>
      <c r="O35" s="313"/>
      <c r="P35" s="314">
        <f>SUM(P16:P34)</f>
        <v>1905752.3011533772</v>
      </c>
      <c r="Q35" s="272">
        <f t="shared" si="2"/>
        <v>1905752.3011533774</v>
      </c>
      <c r="R35" s="439">
        <f t="shared" si="13"/>
        <v>0</v>
      </c>
      <c r="T35" s="443"/>
      <c r="U35" s="275"/>
      <c r="V35" s="276"/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2"/>
        <v>0</v>
      </c>
      <c r="R36" s="439">
        <f t="shared" si="13"/>
        <v>0</v>
      </c>
      <c r="T36" s="224"/>
      <c r="U36" s="283"/>
      <c r="V36" s="284"/>
      <c r="AK36" s="127"/>
      <c r="AL36" s="288" t="s">
        <v>317</v>
      </c>
      <c r="AM36" s="227"/>
      <c r="AN36" s="228"/>
      <c r="AO36" s="228"/>
      <c r="AP36" s="232">
        <f>11500000*0.3</f>
        <v>3450000</v>
      </c>
      <c r="AQ36" s="228"/>
      <c r="AR36" s="227"/>
    </row>
    <row r="37" spans="1:44" x14ac:dyDescent="0.25">
      <c r="A37" s="237"/>
      <c r="B37" s="290" t="s">
        <v>319</v>
      </c>
      <c r="C37" s="291" t="s">
        <v>25</v>
      </c>
      <c r="D37" s="166"/>
      <c r="E37" s="239"/>
      <c r="F37" s="301"/>
      <c r="G37" s="68"/>
      <c r="H37" s="67"/>
      <c r="I37" s="67"/>
      <c r="J37" s="67"/>
      <c r="K37" s="67"/>
      <c r="L37" s="67"/>
      <c r="M37" s="69"/>
      <c r="N37" s="69"/>
      <c r="O37" s="69"/>
      <c r="P37" s="203"/>
      <c r="Q37" s="272">
        <f t="shared" si="2"/>
        <v>0</v>
      </c>
      <c r="R37" s="439"/>
      <c r="AL37" s="227" t="s">
        <v>310</v>
      </c>
      <c r="AM37" s="227"/>
      <c r="AN37" s="228"/>
      <c r="AO37" s="228"/>
      <c r="AP37" s="228"/>
      <c r="AQ37" s="228"/>
      <c r="AR37" s="229">
        <f>AP36*0.006</f>
        <v>20700</v>
      </c>
    </row>
    <row r="38" spans="1:44" x14ac:dyDescent="0.25">
      <c r="A38" s="237"/>
      <c r="B38" s="246"/>
      <c r="C38" s="293">
        <v>1</v>
      </c>
      <c r="D38" s="81" t="s">
        <v>289</v>
      </c>
      <c r="E38" s="239">
        <f>491+3.8</f>
        <v>494.8</v>
      </c>
      <c r="F38" s="301">
        <v>498</v>
      </c>
      <c r="G38" s="68" t="s">
        <v>16</v>
      </c>
      <c r="H38" s="67">
        <f>AD47</f>
        <v>845.47169811320759</v>
      </c>
      <c r="I38" s="67">
        <f>F38*H38</f>
        <v>421044.90566037741</v>
      </c>
      <c r="J38" s="74">
        <f>AF47</f>
        <v>214.6</v>
      </c>
      <c r="K38" s="67">
        <f>F38*J38</f>
        <v>106870.8</v>
      </c>
      <c r="L38" s="67">
        <f>K38+I38</f>
        <v>527915.7056603774</v>
      </c>
      <c r="M38" s="67">
        <f>H38/$P$255*$P$263</f>
        <v>1158.3511575707303</v>
      </c>
      <c r="N38" s="67">
        <f>J38/$P$255*$P$263</f>
        <v>294.01594278013772</v>
      </c>
      <c r="O38" s="72">
        <f t="shared" ref="O38:O42" si="38">N38+M38</f>
        <v>1452.367100350868</v>
      </c>
      <c r="P38" s="203">
        <f t="shared" ref="P38:P42" si="39">O38*F38</f>
        <v>723278.81597473228</v>
      </c>
      <c r="Q38" s="272">
        <f t="shared" si="2"/>
        <v>723278.81597473228</v>
      </c>
      <c r="R38" s="439">
        <f t="shared" ref="R38:R42" si="40">P38-Q38</f>
        <v>0</v>
      </c>
      <c r="AL38" s="227" t="s">
        <v>312</v>
      </c>
      <c r="AM38" s="227"/>
      <c r="AN38" s="228"/>
      <c r="AO38" s="228"/>
      <c r="AP38" s="228"/>
      <c r="AQ38" s="228"/>
      <c r="AR38" s="229">
        <f>(AR37*0.125)+30</f>
        <v>2617.5</v>
      </c>
    </row>
    <row r="39" spans="1:44" x14ac:dyDescent="0.25">
      <c r="A39" s="238"/>
      <c r="B39" s="246"/>
      <c r="C39" s="293">
        <v>2</v>
      </c>
      <c r="D39" s="81" t="s">
        <v>270</v>
      </c>
      <c r="E39" s="239">
        <f>262</f>
        <v>262</v>
      </c>
      <c r="F39" s="301">
        <v>265</v>
      </c>
      <c r="G39" s="68" t="s">
        <v>16</v>
      </c>
      <c r="H39" s="67">
        <f>AD54</f>
        <v>775.82659478885887</v>
      </c>
      <c r="I39" s="67">
        <f>F39*H39</f>
        <v>205594.0476190476</v>
      </c>
      <c r="J39" s="74">
        <v>75</v>
      </c>
      <c r="K39" s="67">
        <f t="shared" ref="K39:K45" si="41">F39*J39</f>
        <v>19875</v>
      </c>
      <c r="L39" s="67">
        <f t="shared" ref="L39:L45" si="42">K39+I39</f>
        <v>225469.0476190476</v>
      </c>
      <c r="M39" s="67">
        <f>H39/$P$255*$P$263</f>
        <v>1062.9328411032163</v>
      </c>
      <c r="N39" s="67">
        <f>J39/$P$255*$P$263</f>
        <v>102.75487282623641</v>
      </c>
      <c r="O39" s="72">
        <f t="shared" si="38"/>
        <v>1165.6877139294527</v>
      </c>
      <c r="P39" s="203">
        <f t="shared" si="39"/>
        <v>308907.24419130496</v>
      </c>
      <c r="Q39" s="272">
        <f t="shared" si="2"/>
        <v>308907.24419130496</v>
      </c>
      <c r="R39" s="439">
        <f t="shared" si="40"/>
        <v>0</v>
      </c>
      <c r="AB39" s="18">
        <f>1/3</f>
        <v>0.33333333333333331</v>
      </c>
      <c r="AL39" s="227" t="s">
        <v>314</v>
      </c>
      <c r="AM39" s="227"/>
      <c r="AN39" s="228"/>
      <c r="AO39" s="228"/>
      <c r="AP39" s="228"/>
      <c r="AQ39" s="228"/>
      <c r="AR39" s="229">
        <f>AR37*0.12</f>
        <v>2484</v>
      </c>
    </row>
    <row r="40" spans="1:44" x14ac:dyDescent="0.25">
      <c r="A40" s="238"/>
      <c r="B40" s="246"/>
      <c r="C40" s="293">
        <v>3</v>
      </c>
      <c r="D40" s="81" t="s">
        <v>290</v>
      </c>
      <c r="E40" s="239">
        <f>23.6</f>
        <v>23.6</v>
      </c>
      <c r="F40" s="301">
        <v>26</v>
      </c>
      <c r="G40" s="68" t="s">
        <v>16</v>
      </c>
      <c r="H40" s="67">
        <f>AD63</f>
        <v>799.43396226415098</v>
      </c>
      <c r="I40" s="67">
        <f t="shared" ref="I40:I45" si="43">F40*H40</f>
        <v>20785.283018867925</v>
      </c>
      <c r="J40" s="74">
        <f>AF63</f>
        <v>216</v>
      </c>
      <c r="K40" s="67">
        <f t="shared" si="41"/>
        <v>5616</v>
      </c>
      <c r="L40" s="67">
        <f t="shared" si="42"/>
        <v>26401.283018867925</v>
      </c>
      <c r="M40" s="67">
        <f>H40/$P$255*$P$263</f>
        <v>1095.276468339028</v>
      </c>
      <c r="N40" s="67">
        <f>J40/$P$255*$P$263</f>
        <v>295.93403373956085</v>
      </c>
      <c r="O40" s="72">
        <f t="shared" si="38"/>
        <v>1391.2105020785889</v>
      </c>
      <c r="P40" s="203">
        <f t="shared" si="39"/>
        <v>36171.473054043308</v>
      </c>
      <c r="Q40" s="272">
        <f t="shared" si="2"/>
        <v>36171.473054043308</v>
      </c>
      <c r="R40" s="439">
        <f t="shared" si="40"/>
        <v>0</v>
      </c>
      <c r="AL40" s="227" t="s">
        <v>299</v>
      </c>
      <c r="AM40" s="227"/>
      <c r="AN40" s="228"/>
      <c r="AO40" s="228"/>
      <c r="AP40" s="228"/>
      <c r="AQ40" s="228"/>
      <c r="AR40" s="229">
        <f>AR37*0.002</f>
        <v>41.4</v>
      </c>
    </row>
    <row r="41" spans="1:44" x14ac:dyDescent="0.25">
      <c r="A41" s="238"/>
      <c r="B41" s="246"/>
      <c r="C41" s="293">
        <v>4</v>
      </c>
      <c r="D41" s="81" t="s">
        <v>241</v>
      </c>
      <c r="E41" s="239">
        <v>12</v>
      </c>
      <c r="F41" s="301">
        <v>14</v>
      </c>
      <c r="G41" s="68" t="s">
        <v>16</v>
      </c>
      <c r="H41" s="67">
        <f>AD74</f>
        <v>1281.3207547169811</v>
      </c>
      <c r="I41" s="67">
        <f>F41*H41</f>
        <v>17938.490566037737</v>
      </c>
      <c r="J41" s="74">
        <f>AF74</f>
        <v>214.5</v>
      </c>
      <c r="K41" s="67">
        <f t="shared" si="41"/>
        <v>3003</v>
      </c>
      <c r="L41" s="67">
        <f t="shared" si="42"/>
        <v>20941.490566037737</v>
      </c>
      <c r="M41" s="67">
        <f>H41/$P$255*$P$263</f>
        <v>1755.4926826741416</v>
      </c>
      <c r="N41" s="67">
        <f>J41/$P$255*$P$263</f>
        <v>293.87893628303613</v>
      </c>
      <c r="O41" s="72">
        <f t="shared" si="38"/>
        <v>2049.3716189571778</v>
      </c>
      <c r="P41" s="203">
        <f t="shared" si="39"/>
        <v>28691.202665400488</v>
      </c>
      <c r="Q41" s="272">
        <f t="shared" si="2"/>
        <v>28691.202665400495</v>
      </c>
      <c r="R41" s="439">
        <f t="shared" si="40"/>
        <v>0</v>
      </c>
      <c r="AL41" s="227" t="s">
        <v>302</v>
      </c>
      <c r="AM41" s="227"/>
      <c r="AN41" s="228"/>
      <c r="AO41" s="228"/>
      <c r="AP41" s="228"/>
      <c r="AQ41" s="228"/>
      <c r="AR41" s="229">
        <v>200</v>
      </c>
    </row>
    <row r="42" spans="1:44" x14ac:dyDescent="0.25">
      <c r="A42" s="238"/>
      <c r="B42" s="246"/>
      <c r="C42" s="293">
        <v>5</v>
      </c>
      <c r="D42" s="81" t="s">
        <v>242</v>
      </c>
      <c r="E42" s="239">
        <v>28.5</v>
      </c>
      <c r="F42" s="301">
        <v>31</v>
      </c>
      <c r="G42" s="68" t="s">
        <v>16</v>
      </c>
      <c r="H42" s="67">
        <f>AD81</f>
        <v>1293.5849056603774</v>
      </c>
      <c r="I42" s="67">
        <f t="shared" si="43"/>
        <v>40101.132075471702</v>
      </c>
      <c r="J42" s="74">
        <f>AF81</f>
        <v>215.1</v>
      </c>
      <c r="K42" s="67">
        <f t="shared" si="41"/>
        <v>6668.0999999999995</v>
      </c>
      <c r="L42" s="67">
        <f t="shared" si="42"/>
        <v>46769.2320754717</v>
      </c>
      <c r="M42" s="67">
        <f>H42/$P$255*$P$263</f>
        <v>1772.295366280948</v>
      </c>
      <c r="N42" s="67">
        <f>J42/$P$255*$P$263</f>
        <v>294.70097526564598</v>
      </c>
      <c r="O42" s="72">
        <f t="shared" si="38"/>
        <v>2066.9963415465941</v>
      </c>
      <c r="P42" s="203">
        <f t="shared" si="39"/>
        <v>64076.886587944413</v>
      </c>
      <c r="Q42" s="272">
        <f t="shared" si="2"/>
        <v>64076.886587944413</v>
      </c>
      <c r="R42" s="439">
        <f t="shared" si="40"/>
        <v>0</v>
      </c>
      <c r="W42" s="904" t="s">
        <v>291</v>
      </c>
      <c r="X42" s="904"/>
      <c r="Y42" s="904"/>
      <c r="Z42" s="148" t="s">
        <v>243</v>
      </c>
      <c r="AA42" s="148" t="s">
        <v>244</v>
      </c>
      <c r="AB42" s="148" t="s">
        <v>245</v>
      </c>
      <c r="AC42" s="123" t="s">
        <v>246</v>
      </c>
      <c r="AD42" s="196" t="s">
        <v>247</v>
      </c>
      <c r="AE42" s="148" t="s">
        <v>248</v>
      </c>
      <c r="AF42" s="212" t="s">
        <v>249</v>
      </c>
      <c r="AL42" s="227" t="s">
        <v>304</v>
      </c>
      <c r="AM42" s="227"/>
      <c r="AN42" s="228"/>
      <c r="AO42" s="228"/>
      <c r="AP42" s="228"/>
      <c r="AQ42" s="228"/>
      <c r="AR42" s="231">
        <f>SUM(AR37:AR41)</f>
        <v>26042.9</v>
      </c>
    </row>
    <row r="43" spans="1:44" x14ac:dyDescent="0.25">
      <c r="A43" s="238"/>
      <c r="B43" s="246"/>
      <c r="C43" s="293">
        <v>6</v>
      </c>
      <c r="D43" s="81" t="s">
        <v>44</v>
      </c>
      <c r="E43" s="239">
        <v>45.86</v>
      </c>
      <c r="F43" s="301">
        <v>48</v>
      </c>
      <c r="G43" s="68" t="s">
        <v>16</v>
      </c>
      <c r="H43" s="67"/>
      <c r="I43" s="67">
        <f t="shared" si="43"/>
        <v>0</v>
      </c>
      <c r="J43" s="74"/>
      <c r="K43" s="67">
        <f t="shared" si="41"/>
        <v>0</v>
      </c>
      <c r="L43" s="67">
        <f t="shared" si="42"/>
        <v>0</v>
      </c>
      <c r="M43" s="67">
        <f>H43/$P$255*$P$264</f>
        <v>0</v>
      </c>
      <c r="N43" s="67">
        <f>J43/$P$255*$P$264</f>
        <v>0</v>
      </c>
      <c r="O43" s="72">
        <f>N43*F43</f>
        <v>0</v>
      </c>
      <c r="P43" s="221" t="s">
        <v>296</v>
      </c>
      <c r="Q43" s="272">
        <f t="shared" si="2"/>
        <v>0</v>
      </c>
      <c r="R43" s="439" t="e">
        <f t="shared" si="13"/>
        <v>#VALUE!</v>
      </c>
      <c r="W43" s="878" t="s">
        <v>250</v>
      </c>
      <c r="X43" s="878"/>
      <c r="Y43" s="878"/>
      <c r="Z43" s="124" t="s">
        <v>251</v>
      </c>
      <c r="AA43" s="149">
        <v>2.77</v>
      </c>
      <c r="AB43" s="149">
        <v>2.9</v>
      </c>
      <c r="AC43" s="123">
        <f>280/1.06</f>
        <v>264.15094339622641</v>
      </c>
      <c r="AD43" s="196">
        <f>AC43*AB43</f>
        <v>766.03773584905662</v>
      </c>
      <c r="AE43" s="149">
        <v>74</v>
      </c>
      <c r="AF43" s="219">
        <f>AE43*AB43</f>
        <v>214.6</v>
      </c>
      <c r="AL43" s="227" t="s">
        <v>306</v>
      </c>
      <c r="AM43" s="227"/>
      <c r="AN43" s="228"/>
      <c r="AO43" s="228"/>
      <c r="AP43" s="228"/>
      <c r="AQ43" s="228"/>
      <c r="AR43" s="229"/>
    </row>
    <row r="44" spans="1:44" x14ac:dyDescent="0.25">
      <c r="A44" s="238"/>
      <c r="B44" s="246"/>
      <c r="C44" s="293">
        <v>7</v>
      </c>
      <c r="D44" s="83" t="s">
        <v>162</v>
      </c>
      <c r="E44" s="239">
        <v>238.71</v>
      </c>
      <c r="F44" s="301">
        <v>242</v>
      </c>
      <c r="G44" s="68" t="s">
        <v>16</v>
      </c>
      <c r="H44" s="67">
        <f>AD88</f>
        <v>1060.7423734791041</v>
      </c>
      <c r="I44" s="67">
        <f t="shared" si="43"/>
        <v>256699.6543819432</v>
      </c>
      <c r="J44" s="74">
        <f>AF88</f>
        <v>215.10000000000002</v>
      </c>
      <c r="K44" s="67">
        <f t="shared" si="41"/>
        <v>52054.200000000004</v>
      </c>
      <c r="L44" s="67">
        <f t="shared" si="42"/>
        <v>308753.85438194318</v>
      </c>
      <c r="M44" s="67">
        <f>H44/$P$255*$P$263</f>
        <v>1453.2859691766064</v>
      </c>
      <c r="N44" s="67">
        <f>J44/$P$255*$P$263</f>
        <v>294.70097526564604</v>
      </c>
      <c r="O44" s="72">
        <f t="shared" ref="O44" si="44">N44+M44</f>
        <v>1747.9869444422525</v>
      </c>
      <c r="P44" s="203">
        <f t="shared" ref="P44" si="45">O44*F44</f>
        <v>423012.84055502509</v>
      </c>
      <c r="Q44" s="272">
        <f t="shared" si="2"/>
        <v>423012.84055502509</v>
      </c>
      <c r="R44" s="439">
        <f t="shared" ref="R44" si="46">P44-Q44</f>
        <v>0</v>
      </c>
      <c r="W44" s="878" t="s">
        <v>252</v>
      </c>
      <c r="X44" s="878"/>
      <c r="Y44" s="878"/>
      <c r="Z44" s="124" t="s">
        <v>253</v>
      </c>
      <c r="AA44" s="149">
        <v>0.25</v>
      </c>
      <c r="AB44" s="149">
        <v>0.25</v>
      </c>
      <c r="AC44" s="123">
        <f>AC78</f>
        <v>268.8679245283019</v>
      </c>
      <c r="AD44" s="196">
        <f>AC44*AB44</f>
        <v>67.216981132075475</v>
      </c>
      <c r="AE44" s="149"/>
      <c r="AF44" s="219">
        <f>AE44*AB44</f>
        <v>0</v>
      </c>
      <c r="AL44" s="227"/>
      <c r="AM44" s="227"/>
      <c r="AN44" s="228"/>
      <c r="AO44" s="228"/>
      <c r="AP44" s="228"/>
      <c r="AQ44" s="228"/>
      <c r="AR44" s="229"/>
    </row>
    <row r="45" spans="1:44" ht="15.75" x14ac:dyDescent="0.25">
      <c r="A45" s="238"/>
      <c r="B45" s="247"/>
      <c r="C45" s="293">
        <v>8</v>
      </c>
      <c r="D45" s="175" t="s">
        <v>287</v>
      </c>
      <c r="E45" s="240">
        <f>96.84+64.56+11.89</f>
        <v>173.29000000000002</v>
      </c>
      <c r="F45" s="177">
        <v>0</v>
      </c>
      <c r="G45" s="178" t="s">
        <v>16</v>
      </c>
      <c r="H45" s="191"/>
      <c r="I45" s="191">
        <f t="shared" si="43"/>
        <v>0</v>
      </c>
      <c r="J45" s="192"/>
      <c r="K45" s="191">
        <f t="shared" si="41"/>
        <v>0</v>
      </c>
      <c r="L45" s="191">
        <f t="shared" si="42"/>
        <v>0</v>
      </c>
      <c r="M45" s="67">
        <f>H45/$P$255*$P$263</f>
        <v>0</v>
      </c>
      <c r="N45" s="67">
        <f>J45/$P$255*$P$263</f>
        <v>0</v>
      </c>
      <c r="O45" s="192">
        <f>N45*F45</f>
        <v>0</v>
      </c>
      <c r="P45" s="204" t="s">
        <v>288</v>
      </c>
      <c r="Q45" s="272">
        <f t="shared" si="2"/>
        <v>0</v>
      </c>
      <c r="R45" s="439" t="e">
        <f t="shared" si="13"/>
        <v>#VALUE!</v>
      </c>
      <c r="W45" s="878" t="s">
        <v>254</v>
      </c>
      <c r="X45" s="878"/>
      <c r="Y45" s="878"/>
      <c r="Z45" s="124" t="s">
        <v>255</v>
      </c>
      <c r="AA45" s="149">
        <v>0.25</v>
      </c>
      <c r="AB45" s="149">
        <v>0.35</v>
      </c>
      <c r="AC45" s="123">
        <f>37/1.06</f>
        <v>34.905660377358487</v>
      </c>
      <c r="AD45" s="196">
        <f>AC45*AB45</f>
        <v>12.216981132075469</v>
      </c>
      <c r="AE45" s="149"/>
      <c r="AF45" s="219">
        <f>AE45*AB45</f>
        <v>0</v>
      </c>
      <c r="AL45" s="233" t="s">
        <v>308</v>
      </c>
      <c r="AM45" s="227"/>
      <c r="AN45" s="228"/>
      <c r="AO45" s="228"/>
      <c r="AP45" s="232">
        <f>11500000*0.3</f>
        <v>3450000</v>
      </c>
      <c r="AQ45" s="228"/>
      <c r="AR45" s="229"/>
    </row>
    <row r="46" spans="1:44" x14ac:dyDescent="0.25">
      <c r="A46" s="238"/>
      <c r="B46" s="246"/>
      <c r="C46" s="293"/>
      <c r="D46" s="81"/>
      <c r="E46" s="239"/>
      <c r="F46" s="301"/>
      <c r="G46" s="67"/>
      <c r="H46" s="67"/>
      <c r="I46" s="67"/>
      <c r="J46" s="74"/>
      <c r="K46" s="67"/>
      <c r="L46" s="67"/>
      <c r="M46" s="72"/>
      <c r="N46" s="72"/>
      <c r="O46" s="74"/>
      <c r="P46" s="100"/>
      <c r="Q46" s="272">
        <f t="shared" si="2"/>
        <v>0</v>
      </c>
      <c r="R46" s="439">
        <f t="shared" si="13"/>
        <v>0</v>
      </c>
      <c r="V46" s="273"/>
      <c r="W46" s="878" t="s">
        <v>256</v>
      </c>
      <c r="X46" s="878"/>
      <c r="Y46" s="878"/>
      <c r="Z46" s="124" t="s">
        <v>257</v>
      </c>
      <c r="AA46" s="149">
        <v>1</v>
      </c>
      <c r="AB46" s="149">
        <v>1</v>
      </c>
      <c r="AC46" s="123">
        <v>0</v>
      </c>
      <c r="AD46" s="196">
        <f>AC46*AB46</f>
        <v>0</v>
      </c>
      <c r="AE46" s="149">
        <v>0</v>
      </c>
      <c r="AF46" s="219">
        <f>AE46*AB46</f>
        <v>0</v>
      </c>
      <c r="AL46" s="227" t="s">
        <v>310</v>
      </c>
      <c r="AM46" s="227"/>
      <c r="AN46" s="228"/>
      <c r="AO46" s="228"/>
      <c r="AP46" s="228"/>
      <c r="AQ46" s="228"/>
      <c r="AR46" s="229">
        <f>AP45*0.0055</f>
        <v>18975</v>
      </c>
    </row>
    <row r="47" spans="1:44" x14ac:dyDescent="0.25">
      <c r="A47" s="237"/>
      <c r="B47" s="290" t="s">
        <v>320</v>
      </c>
      <c r="C47" s="291" t="s">
        <v>83</v>
      </c>
      <c r="D47" s="166"/>
      <c r="E47" s="239"/>
      <c r="F47" s="301"/>
      <c r="G47" s="68"/>
      <c r="H47" s="67"/>
      <c r="I47" s="67"/>
      <c r="J47" s="74"/>
      <c r="K47" s="67"/>
      <c r="L47" s="67"/>
      <c r="M47" s="69"/>
      <c r="N47" s="69"/>
      <c r="O47" s="69"/>
      <c r="P47" s="203"/>
      <c r="Q47" s="272">
        <f t="shared" si="2"/>
        <v>0</v>
      </c>
      <c r="R47" s="439"/>
      <c r="V47" s="273"/>
      <c r="W47" s="126"/>
      <c r="X47" s="126"/>
      <c r="Y47" s="126"/>
      <c r="Z47" s="126"/>
      <c r="AA47" s="149"/>
      <c r="AB47" s="149"/>
      <c r="AC47" s="123"/>
      <c r="AD47" s="212">
        <f>SUM(AD43:AD46)</f>
        <v>845.47169811320759</v>
      </c>
      <c r="AE47" s="148"/>
      <c r="AF47" s="212">
        <f>SUM(AF43:AF46)</f>
        <v>214.6</v>
      </c>
      <c r="AL47" s="227" t="s">
        <v>312</v>
      </c>
      <c r="AM47" s="227"/>
      <c r="AN47" s="228"/>
      <c r="AO47" s="228"/>
      <c r="AP47" s="228"/>
      <c r="AQ47" s="228"/>
      <c r="AR47" s="229">
        <f>(AR46*0.125)+30</f>
        <v>2401.875</v>
      </c>
    </row>
    <row r="48" spans="1:44" x14ac:dyDescent="0.25">
      <c r="A48" s="237"/>
      <c r="B48" s="246"/>
      <c r="C48" s="293">
        <v>1</v>
      </c>
      <c r="D48" s="81" t="s">
        <v>84</v>
      </c>
      <c r="E48" s="239">
        <v>16.22</v>
      </c>
      <c r="F48" s="301">
        <v>18</v>
      </c>
      <c r="G48" s="73" t="s">
        <v>101</v>
      </c>
      <c r="H48" s="67">
        <f>AD96</f>
        <v>1177.3113207547169</v>
      </c>
      <c r="I48" s="67">
        <f>F48*H48</f>
        <v>21191.603773584906</v>
      </c>
      <c r="J48" s="74">
        <f>AF96</f>
        <v>215.1</v>
      </c>
      <c r="K48" s="67">
        <f>F48*J48</f>
        <v>3871.7999999999997</v>
      </c>
      <c r="L48" s="67">
        <f>K48+I48</f>
        <v>25063.403773584905</v>
      </c>
      <c r="M48" s="67">
        <f>H48/$P$255*$P$263</f>
        <v>1612.9930005471913</v>
      </c>
      <c r="N48" s="67">
        <f>J48/$P$255*$P$263</f>
        <v>294.70097526564598</v>
      </c>
      <c r="O48" s="72">
        <f t="shared" ref="O48:O51" si="47">N48+M48</f>
        <v>1907.6939758128374</v>
      </c>
      <c r="P48" s="203">
        <f t="shared" ref="P48:P51" si="48">O48*F48</f>
        <v>34338.491564631069</v>
      </c>
      <c r="Q48" s="272">
        <f t="shared" si="2"/>
        <v>34338.491564631069</v>
      </c>
      <c r="R48" s="439">
        <f t="shared" ref="R48:R51" si="49">P48-Q48</f>
        <v>0</v>
      </c>
      <c r="V48" s="273"/>
      <c r="AL48" s="227" t="s">
        <v>314</v>
      </c>
      <c r="AM48" s="227"/>
      <c r="AN48" s="228"/>
      <c r="AO48" s="228"/>
      <c r="AP48" s="228"/>
      <c r="AQ48" s="228"/>
      <c r="AR48" s="229">
        <f>AR46*0.12</f>
        <v>2277</v>
      </c>
    </row>
    <row r="49" spans="1:44" x14ac:dyDescent="0.25">
      <c r="A49" s="237"/>
      <c r="B49" s="246"/>
      <c r="C49" s="293">
        <v>2</v>
      </c>
      <c r="D49" s="81" t="s">
        <v>85</v>
      </c>
      <c r="E49" s="239">
        <v>44.33</v>
      </c>
      <c r="F49" s="301">
        <v>46</v>
      </c>
      <c r="G49" s="73" t="s">
        <v>101</v>
      </c>
      <c r="H49" s="67">
        <f>AD104</f>
        <v>1287.6886792452831</v>
      </c>
      <c r="I49" s="67">
        <f t="shared" ref="I49:I51" si="50">F49*H49</f>
        <v>59233.67924528302</v>
      </c>
      <c r="J49" s="74">
        <f>AF104</f>
        <v>215.1</v>
      </c>
      <c r="K49" s="67">
        <f t="shared" ref="K49:K51" si="51">F49*J49</f>
        <v>9894.6</v>
      </c>
      <c r="L49" s="67">
        <f t="shared" ref="L49:L51" si="52">K49+I49</f>
        <v>69128.279245283018</v>
      </c>
      <c r="M49" s="67">
        <f>H49/$P$255*$P$263</f>
        <v>1764.2171530084447</v>
      </c>
      <c r="N49" s="67">
        <f>J49/$P$255*$P$263</f>
        <v>294.70097526564598</v>
      </c>
      <c r="O49" s="72">
        <f t="shared" si="47"/>
        <v>2058.9181282740906</v>
      </c>
      <c r="P49" s="203">
        <f t="shared" si="48"/>
        <v>94710.23390060816</v>
      </c>
      <c r="Q49" s="272">
        <f t="shared" si="2"/>
        <v>94710.233900608175</v>
      </c>
      <c r="R49" s="439">
        <f t="shared" si="49"/>
        <v>0</v>
      </c>
      <c r="AL49" s="227" t="s">
        <v>299</v>
      </c>
      <c r="AM49" s="227"/>
      <c r="AN49" s="228"/>
      <c r="AO49" s="228"/>
      <c r="AP49" s="228"/>
      <c r="AQ49" s="228"/>
      <c r="AR49" s="229">
        <f>AR46*0.002</f>
        <v>37.950000000000003</v>
      </c>
    </row>
    <row r="50" spans="1:44" x14ac:dyDescent="0.25">
      <c r="A50" s="237"/>
      <c r="B50" s="246"/>
      <c r="C50" s="293">
        <v>3</v>
      </c>
      <c r="D50" s="81" t="s">
        <v>490</v>
      </c>
      <c r="E50" s="241">
        <f>1350+85</f>
        <v>1435</v>
      </c>
      <c r="F50" s="301">
        <v>1450</v>
      </c>
      <c r="G50" s="73" t="s">
        <v>101</v>
      </c>
      <c r="H50" s="407">
        <v>165</v>
      </c>
      <c r="I50" s="67">
        <f t="shared" si="50"/>
        <v>239250</v>
      </c>
      <c r="J50" s="407">
        <v>165</v>
      </c>
      <c r="K50" s="67">
        <f t="shared" si="51"/>
        <v>239250</v>
      </c>
      <c r="L50" s="67">
        <f t="shared" si="52"/>
        <v>478500</v>
      </c>
      <c r="M50" s="67">
        <f>H50/$P$255*$P$263</f>
        <v>226.06072021772005</v>
      </c>
      <c r="N50" s="67">
        <f>J50/$P$255*$P$263</f>
        <v>226.06072021772005</v>
      </c>
      <c r="O50" s="72">
        <f t="shared" si="47"/>
        <v>452.12144043544009</v>
      </c>
      <c r="P50" s="203">
        <f t="shared" si="48"/>
        <v>655576.08863138815</v>
      </c>
      <c r="Q50" s="272">
        <f t="shared" si="2"/>
        <v>655576.08863138815</v>
      </c>
      <c r="R50" s="439">
        <f t="shared" si="49"/>
        <v>0</v>
      </c>
      <c r="W50" s="904" t="s">
        <v>292</v>
      </c>
      <c r="X50" s="904"/>
      <c r="Y50" s="904"/>
      <c r="Z50" s="148" t="s">
        <v>243</v>
      </c>
      <c r="AA50" s="148" t="s">
        <v>244</v>
      </c>
      <c r="AB50" s="148" t="s">
        <v>245</v>
      </c>
      <c r="AC50" s="123" t="s">
        <v>246</v>
      </c>
      <c r="AD50" s="196" t="s">
        <v>247</v>
      </c>
      <c r="AE50" s="148" t="s">
        <v>248</v>
      </c>
      <c r="AF50" s="212" t="s">
        <v>249</v>
      </c>
      <c r="AL50" s="227" t="s">
        <v>302</v>
      </c>
      <c r="AM50" s="227"/>
      <c r="AN50" s="228"/>
      <c r="AO50" s="228"/>
      <c r="AP50" s="228"/>
      <c r="AQ50" s="228"/>
      <c r="AR50" s="229">
        <v>200</v>
      </c>
    </row>
    <row r="51" spans="1:44" x14ac:dyDescent="0.25">
      <c r="A51" s="237"/>
      <c r="B51" s="246"/>
      <c r="C51" s="293">
        <v>4</v>
      </c>
      <c r="D51" s="81" t="s">
        <v>491</v>
      </c>
      <c r="E51" s="241">
        <f>685+46</f>
        <v>731</v>
      </c>
      <c r="F51" s="301">
        <v>744</v>
      </c>
      <c r="G51" s="73" t="s">
        <v>101</v>
      </c>
      <c r="H51" s="407">
        <v>180</v>
      </c>
      <c r="I51" s="67">
        <f t="shared" si="50"/>
        <v>133920</v>
      </c>
      <c r="J51" s="407">
        <v>190</v>
      </c>
      <c r="K51" s="67">
        <f t="shared" si="51"/>
        <v>141360</v>
      </c>
      <c r="L51" s="67">
        <f t="shared" si="52"/>
        <v>275280</v>
      </c>
      <c r="M51" s="67">
        <f>H51/$P$255*$P$263</f>
        <v>246.61169478296733</v>
      </c>
      <c r="N51" s="67">
        <f>J51/$P$255*$P$263</f>
        <v>260.31234449313223</v>
      </c>
      <c r="O51" s="72">
        <f t="shared" si="47"/>
        <v>506.92403927609956</v>
      </c>
      <c r="P51" s="203">
        <f t="shared" si="48"/>
        <v>377151.48522141809</v>
      </c>
      <c r="Q51" s="272">
        <f t="shared" si="2"/>
        <v>377151.48522141809</v>
      </c>
      <c r="R51" s="439">
        <f t="shared" si="49"/>
        <v>0</v>
      </c>
      <c r="W51" s="878" t="s">
        <v>260</v>
      </c>
      <c r="X51" s="878"/>
      <c r="Y51" s="878"/>
      <c r="Z51" s="124" t="s">
        <v>251</v>
      </c>
      <c r="AA51" s="149">
        <v>4.93</v>
      </c>
      <c r="AB51" s="149">
        <v>5.15</v>
      </c>
      <c r="AC51" s="210">
        <f>154/1.06</f>
        <v>145.28301886792451</v>
      </c>
      <c r="AD51" s="196">
        <f>AC51*AB51</f>
        <v>748.20754716981128</v>
      </c>
      <c r="AE51" s="149">
        <v>18</v>
      </c>
      <c r="AF51" s="219">
        <f>AE51*AB51</f>
        <v>92.7</v>
      </c>
      <c r="AL51" s="227" t="s">
        <v>304</v>
      </c>
      <c r="AM51" s="227"/>
      <c r="AN51" s="228"/>
      <c r="AO51" s="228"/>
      <c r="AP51" s="228"/>
      <c r="AQ51" s="228"/>
      <c r="AR51" s="231">
        <f>SUM(AR45:AR50)</f>
        <v>23891.825000000001</v>
      </c>
    </row>
    <row r="52" spans="1:44" x14ac:dyDescent="0.25">
      <c r="A52" s="237"/>
      <c r="B52" s="246"/>
      <c r="C52" s="293">
        <v>5</v>
      </c>
      <c r="D52" s="81" t="s">
        <v>334</v>
      </c>
      <c r="E52" s="307" t="s">
        <v>39</v>
      </c>
      <c r="F52" s="301">
        <v>0</v>
      </c>
      <c r="G52" s="73"/>
      <c r="H52" s="67"/>
      <c r="I52" s="67"/>
      <c r="J52" s="67"/>
      <c r="K52" s="67"/>
      <c r="L52" s="67"/>
      <c r="M52" s="69"/>
      <c r="N52" s="69"/>
      <c r="O52" s="69"/>
      <c r="P52" s="438" t="s">
        <v>288</v>
      </c>
      <c r="Q52" s="272">
        <f t="shared" si="2"/>
        <v>0</v>
      </c>
      <c r="R52" s="439" t="e">
        <f t="shared" si="13"/>
        <v>#VALUE!</v>
      </c>
      <c r="W52" s="878" t="s">
        <v>261</v>
      </c>
      <c r="X52" s="878"/>
      <c r="Y52" s="878"/>
      <c r="Z52" s="124" t="s">
        <v>262</v>
      </c>
      <c r="AA52" s="149">
        <v>4.9299999999999997E-2</v>
      </c>
      <c r="AB52" s="149">
        <v>0.05</v>
      </c>
      <c r="AC52" s="123">
        <f>580/1.05</f>
        <v>552.38095238095241</v>
      </c>
      <c r="AD52" s="196">
        <f>AC52*AB52</f>
        <v>27.61904761904762</v>
      </c>
      <c r="AE52" s="149"/>
      <c r="AF52" s="219">
        <f>AE52*AB52</f>
        <v>0</v>
      </c>
      <c r="AL52" s="227"/>
      <c r="AM52" s="227"/>
      <c r="AN52" s="228"/>
      <c r="AO52" s="228"/>
      <c r="AP52" s="228"/>
      <c r="AQ52" s="228"/>
      <c r="AR52" s="229"/>
    </row>
    <row r="53" spans="1:44" ht="15.75" x14ac:dyDescent="0.25">
      <c r="A53" s="237"/>
      <c r="B53" s="246"/>
      <c r="C53" s="293"/>
      <c r="D53" s="79"/>
      <c r="E53" s="239"/>
      <c r="F53" s="301"/>
      <c r="G53" s="68"/>
      <c r="H53" s="67"/>
      <c r="I53" s="67"/>
      <c r="J53" s="67"/>
      <c r="K53" s="67"/>
      <c r="L53" s="67"/>
      <c r="M53" s="69"/>
      <c r="N53" s="69"/>
      <c r="O53" s="69"/>
      <c r="P53" s="203"/>
      <c r="Q53" s="272">
        <f t="shared" si="2"/>
        <v>0</v>
      </c>
      <c r="R53" s="439">
        <f t="shared" si="13"/>
        <v>0</v>
      </c>
      <c r="W53" s="878" t="str">
        <f>W61</f>
        <v>mortar (topping) included @ other item</v>
      </c>
      <c r="X53" s="878"/>
      <c r="Y53" s="878"/>
      <c r="Z53" s="124" t="s">
        <v>257</v>
      </c>
      <c r="AA53" s="149">
        <v>1</v>
      </c>
      <c r="AB53" s="149">
        <v>1</v>
      </c>
      <c r="AC53" s="123">
        <f>AC62</f>
        <v>0</v>
      </c>
      <c r="AD53" s="196">
        <f>AC53*AB53</f>
        <v>0</v>
      </c>
      <c r="AE53" s="149">
        <f>AE46</f>
        <v>0</v>
      </c>
      <c r="AF53" s="219">
        <f>AE53*AB53</f>
        <v>0</v>
      </c>
      <c r="AL53" s="288" t="s">
        <v>318</v>
      </c>
      <c r="AM53" s="227"/>
      <c r="AN53" s="228"/>
      <c r="AO53" s="228"/>
      <c r="AP53" s="232">
        <f>11500000</f>
        <v>11500000</v>
      </c>
      <c r="AQ53" s="228"/>
      <c r="AR53" s="229"/>
    </row>
    <row r="54" spans="1:44" x14ac:dyDescent="0.25">
      <c r="A54" s="237"/>
      <c r="B54" s="290" t="s">
        <v>321</v>
      </c>
      <c r="C54" s="291" t="s">
        <v>87</v>
      </c>
      <c r="D54" s="79"/>
      <c r="E54" s="239"/>
      <c r="F54" s="301"/>
      <c r="G54" s="68"/>
      <c r="H54" s="74"/>
      <c r="I54" s="67"/>
      <c r="J54" s="67"/>
      <c r="K54" s="67"/>
      <c r="L54" s="67"/>
      <c r="M54" s="69"/>
      <c r="N54" s="69"/>
      <c r="O54" s="69"/>
      <c r="P54" s="203"/>
      <c r="Q54" s="272">
        <f t="shared" si="2"/>
        <v>0</v>
      </c>
      <c r="R54" s="439">
        <f t="shared" si="13"/>
        <v>0</v>
      </c>
      <c r="W54" s="878"/>
      <c r="X54" s="878"/>
      <c r="Y54" s="878"/>
      <c r="Z54" s="124"/>
      <c r="AA54" s="149"/>
      <c r="AB54" s="149"/>
      <c r="AC54" s="123"/>
      <c r="AD54" s="212">
        <f>SUM(AD51:AD53)</f>
        <v>775.82659478885887</v>
      </c>
      <c r="AE54" s="149"/>
      <c r="AF54" s="212">
        <f>SUM(AF51:AF53)</f>
        <v>92.7</v>
      </c>
      <c r="AL54" s="227" t="s">
        <v>310</v>
      </c>
      <c r="AM54" s="227"/>
      <c r="AN54" s="228"/>
      <c r="AO54" s="228"/>
      <c r="AP54" s="228"/>
      <c r="AQ54" s="228"/>
      <c r="AR54" s="229">
        <f>AP53*0.0015</f>
        <v>17250</v>
      </c>
    </row>
    <row r="55" spans="1:44" x14ac:dyDescent="0.25">
      <c r="A55" s="237"/>
      <c r="B55" s="246"/>
      <c r="C55" s="293">
        <v>1</v>
      </c>
      <c r="D55" s="81" t="s">
        <v>322</v>
      </c>
      <c r="E55" s="239">
        <v>269</v>
      </c>
      <c r="F55" s="301">
        <v>273</v>
      </c>
      <c r="G55" s="73" t="s">
        <v>101</v>
      </c>
      <c r="H55" s="347">
        <f>(105+175)+150</f>
        <v>430</v>
      </c>
      <c r="I55" s="67">
        <f>F55*H55</f>
        <v>117390</v>
      </c>
      <c r="J55" s="67">
        <f>225+150</f>
        <v>375</v>
      </c>
      <c r="K55" s="67">
        <f t="shared" ref="K55" si="53">F55*J55</f>
        <v>102375</v>
      </c>
      <c r="L55" s="72">
        <f t="shared" ref="L55:L56" si="54">I55+K55</f>
        <v>219765</v>
      </c>
      <c r="M55" s="67">
        <f>H55/$P$255*$P$263</f>
        <v>589.12793753708866</v>
      </c>
      <c r="N55" s="67">
        <f>J55/$P$255*$P$263</f>
        <v>513.77436413118198</v>
      </c>
      <c r="O55" s="72">
        <f t="shared" ref="O55:O56" si="55">N55+M55</f>
        <v>1102.9023016682706</v>
      </c>
      <c r="P55" s="203">
        <f t="shared" ref="P55:P56" si="56">O55*F55</f>
        <v>301092.3283554379</v>
      </c>
      <c r="Q55" s="272">
        <f t="shared" si="2"/>
        <v>301092.3283554379</v>
      </c>
      <c r="R55" s="439">
        <f t="shared" ref="R55:R56" si="57">P55-Q55</f>
        <v>0</v>
      </c>
      <c r="AL55" s="227" t="s">
        <v>312</v>
      </c>
      <c r="AM55" s="227"/>
      <c r="AN55" s="228"/>
      <c r="AO55" s="228"/>
      <c r="AP55" s="228"/>
      <c r="AQ55" s="228"/>
      <c r="AR55" s="229">
        <f>AR54*0.125</f>
        <v>2156.25</v>
      </c>
    </row>
    <row r="56" spans="1:44" ht="15" customHeight="1" x14ac:dyDescent="0.25">
      <c r="A56" s="237"/>
      <c r="B56" s="246"/>
      <c r="C56" s="293">
        <v>2</v>
      </c>
      <c r="D56" s="81" t="s">
        <v>90</v>
      </c>
      <c r="E56" s="239">
        <v>36.700000000000003</v>
      </c>
      <c r="F56" s="301">
        <v>39</v>
      </c>
      <c r="G56" s="73" t="s">
        <v>101</v>
      </c>
      <c r="H56" s="347">
        <f>(167+175)+150</f>
        <v>492</v>
      </c>
      <c r="I56" s="67">
        <f>F56*H56</f>
        <v>19188</v>
      </c>
      <c r="J56" s="67">
        <f>225+150</f>
        <v>375</v>
      </c>
      <c r="K56" s="67">
        <f t="shared" ref="K56" si="58">F56*J56</f>
        <v>14625</v>
      </c>
      <c r="L56" s="72">
        <f t="shared" si="54"/>
        <v>33813</v>
      </c>
      <c r="M56" s="67">
        <f>H56/$P$255*$P$263</f>
        <v>674.07196574011073</v>
      </c>
      <c r="N56" s="67">
        <f>J56/$P$255*$P$263</f>
        <v>513.77436413118198</v>
      </c>
      <c r="O56" s="72">
        <f t="shared" si="55"/>
        <v>1187.8463298712927</v>
      </c>
      <c r="P56" s="203">
        <f t="shared" si="56"/>
        <v>46326.006864980416</v>
      </c>
      <c r="Q56" s="272">
        <f t="shared" si="2"/>
        <v>46326.006864980416</v>
      </c>
      <c r="R56" s="439">
        <f t="shared" si="57"/>
        <v>0</v>
      </c>
      <c r="AL56" s="227" t="s">
        <v>314</v>
      </c>
      <c r="AM56" s="227"/>
      <c r="AN56" s="228"/>
      <c r="AO56" s="228"/>
      <c r="AP56" s="228"/>
      <c r="AQ56" s="228"/>
      <c r="AR56" s="229">
        <f>AR54*0.12</f>
        <v>2070</v>
      </c>
    </row>
    <row r="57" spans="1:44" ht="15" customHeight="1" x14ac:dyDescent="0.25">
      <c r="A57" s="237"/>
      <c r="B57" s="246"/>
      <c r="C57" s="293"/>
      <c r="D57" s="81" t="s">
        <v>155</v>
      </c>
      <c r="E57" s="239"/>
      <c r="F57" s="301"/>
      <c r="G57" s="68"/>
      <c r="H57" s="347"/>
      <c r="I57" s="67"/>
      <c r="J57" s="67"/>
      <c r="K57" s="67"/>
      <c r="L57" s="67"/>
      <c r="M57" s="69"/>
      <c r="N57" s="69"/>
      <c r="O57" s="69"/>
      <c r="P57" s="203"/>
      <c r="Q57" s="272">
        <f t="shared" si="2"/>
        <v>0</v>
      </c>
      <c r="R57" s="439">
        <f t="shared" si="13"/>
        <v>0</v>
      </c>
      <c r="W57" s="904" t="s">
        <v>293</v>
      </c>
      <c r="X57" s="904"/>
      <c r="Y57" s="904"/>
      <c r="Z57" s="148" t="s">
        <v>243</v>
      </c>
      <c r="AA57" s="148" t="s">
        <v>244</v>
      </c>
      <c r="AB57" s="148" t="s">
        <v>245</v>
      </c>
      <c r="AC57" s="123" t="s">
        <v>246</v>
      </c>
      <c r="AD57" s="196" t="s">
        <v>247</v>
      </c>
      <c r="AE57" s="148" t="s">
        <v>248</v>
      </c>
      <c r="AF57" s="212" t="s">
        <v>249</v>
      </c>
      <c r="AL57" s="227" t="s">
        <v>299</v>
      </c>
      <c r="AM57" s="227"/>
      <c r="AN57" s="228"/>
      <c r="AO57" s="228"/>
      <c r="AP57" s="228"/>
      <c r="AQ57" s="228"/>
      <c r="AR57" s="229">
        <f>AR54*0.002</f>
        <v>34.5</v>
      </c>
    </row>
    <row r="58" spans="1:44" x14ac:dyDescent="0.25">
      <c r="A58" s="237"/>
      <c r="B58" s="246"/>
      <c r="C58" s="293">
        <v>3</v>
      </c>
      <c r="D58" s="81" t="s">
        <v>92</v>
      </c>
      <c r="E58" s="239">
        <v>62</v>
      </c>
      <c r="F58" s="301">
        <v>64</v>
      </c>
      <c r="G58" s="73" t="s">
        <v>101</v>
      </c>
      <c r="H58" s="347">
        <f>(177+155)+150</f>
        <v>482</v>
      </c>
      <c r="I58" s="67">
        <f>F58*H58</f>
        <v>30848</v>
      </c>
      <c r="J58" s="67">
        <f>225+150</f>
        <v>375</v>
      </c>
      <c r="K58" s="67">
        <f t="shared" ref="K58" si="59">F58*J58</f>
        <v>24000</v>
      </c>
      <c r="L58" s="72">
        <f t="shared" ref="L58" si="60">I58+K58</f>
        <v>54848</v>
      </c>
      <c r="M58" s="67">
        <f>H58/$P$255*$P$263</f>
        <v>660.37131602994589</v>
      </c>
      <c r="N58" s="67">
        <f>J58/$P$255*$P$263</f>
        <v>513.77436413118198</v>
      </c>
      <c r="O58" s="72">
        <f t="shared" ref="O58" si="61">N58+M58</f>
        <v>1174.145680161128</v>
      </c>
      <c r="P58" s="203">
        <f t="shared" ref="P58" si="62">O58*F58</f>
        <v>75145.323530312191</v>
      </c>
      <c r="Q58" s="272">
        <f t="shared" si="2"/>
        <v>75145.323530312191</v>
      </c>
      <c r="R58" s="439">
        <f t="shared" ref="R58" si="63">P58-Q58</f>
        <v>0</v>
      </c>
      <c r="W58" s="878" t="s">
        <v>258</v>
      </c>
      <c r="X58" s="878"/>
      <c r="Y58" s="878"/>
      <c r="Z58" s="124" t="s">
        <v>251</v>
      </c>
      <c r="AA58" s="149">
        <v>11.11</v>
      </c>
      <c r="AB58" s="149">
        <v>12</v>
      </c>
      <c r="AC58" s="210">
        <f>63/1.05</f>
        <v>60</v>
      </c>
      <c r="AD58" s="196">
        <f>AC58*AB58</f>
        <v>720</v>
      </c>
      <c r="AE58" s="149">
        <v>18</v>
      </c>
      <c r="AF58" s="219">
        <f>AE58*AB58</f>
        <v>216</v>
      </c>
      <c r="AL58" s="227" t="s">
        <v>304</v>
      </c>
      <c r="AM58" s="227"/>
      <c r="AN58" s="228"/>
      <c r="AO58" s="228"/>
      <c r="AP58" s="228"/>
      <c r="AQ58" s="228"/>
      <c r="AR58" s="231">
        <f>SUM(AR53:AR57)</f>
        <v>21510.75</v>
      </c>
    </row>
    <row r="59" spans="1:44" x14ac:dyDescent="0.25">
      <c r="A59" s="237"/>
      <c r="B59" s="248"/>
      <c r="C59" s="298"/>
      <c r="D59" s="81" t="s">
        <v>154</v>
      </c>
      <c r="E59" s="239"/>
      <c r="F59" s="301"/>
      <c r="G59" s="68"/>
      <c r="H59" s="74"/>
      <c r="I59" s="67"/>
      <c r="J59" s="67"/>
      <c r="K59" s="67"/>
      <c r="L59" s="67"/>
      <c r="M59" s="69"/>
      <c r="N59" s="69"/>
      <c r="O59" s="69"/>
      <c r="P59" s="203"/>
      <c r="Q59" s="272">
        <f t="shared" si="2"/>
        <v>0</v>
      </c>
      <c r="R59" s="439">
        <f t="shared" si="13"/>
        <v>0</v>
      </c>
      <c r="W59" s="878" t="s">
        <v>252</v>
      </c>
      <c r="X59" s="878"/>
      <c r="Y59" s="878"/>
      <c r="Z59" s="124" t="s">
        <v>253</v>
      </c>
      <c r="AA59" s="149">
        <v>0.25</v>
      </c>
      <c r="AB59" s="149">
        <v>0.25</v>
      </c>
      <c r="AC59" s="123">
        <f>AC78</f>
        <v>268.8679245283019</v>
      </c>
      <c r="AD59" s="196">
        <f>AC59*AB59</f>
        <v>67.216981132075475</v>
      </c>
      <c r="AE59" s="149"/>
      <c r="AF59" s="219">
        <f t="shared" ref="AF59:AF61" si="64">AE59*AB59</f>
        <v>0</v>
      </c>
    </row>
    <row r="60" spans="1:44" x14ac:dyDescent="0.25">
      <c r="A60" s="237"/>
      <c r="B60" s="246"/>
      <c r="C60" s="293">
        <v>4</v>
      </c>
      <c r="D60" s="81" t="s">
        <v>93</v>
      </c>
      <c r="E60" s="239">
        <v>252</v>
      </c>
      <c r="F60" s="301">
        <v>255</v>
      </c>
      <c r="G60" s="73" t="s">
        <v>101</v>
      </c>
      <c r="H60" s="74">
        <f>(230+160)</f>
        <v>390</v>
      </c>
      <c r="I60" s="67">
        <f>F60*H60</f>
        <v>99450</v>
      </c>
      <c r="J60" s="67">
        <v>225</v>
      </c>
      <c r="K60" s="67">
        <f t="shared" ref="K60" si="65">F60*J60</f>
        <v>57375</v>
      </c>
      <c r="L60" s="72">
        <f t="shared" ref="L60" si="66">I60+K60</f>
        <v>156825</v>
      </c>
      <c r="M60" s="67">
        <f>H60/$P$255*$P$263</f>
        <v>534.3253386964293</v>
      </c>
      <c r="N60" s="67">
        <f>J60/$P$255*$P$263</f>
        <v>308.26461847870917</v>
      </c>
      <c r="O60" s="72">
        <f t="shared" ref="O60" si="67">N60+M60</f>
        <v>842.58995717513847</v>
      </c>
      <c r="P60" s="203">
        <f t="shared" ref="P60" si="68">O60*F60</f>
        <v>214860.43907966031</v>
      </c>
      <c r="Q60" s="272">
        <f t="shared" si="2"/>
        <v>214860.43907966031</v>
      </c>
      <c r="R60" s="439">
        <f t="shared" ref="R60" si="69">P60-Q60</f>
        <v>0</v>
      </c>
      <c r="W60" s="878" t="s">
        <v>254</v>
      </c>
      <c r="X60" s="878"/>
      <c r="Y60" s="878"/>
      <c r="Z60" s="124" t="s">
        <v>255</v>
      </c>
      <c r="AA60" s="149">
        <v>0.25</v>
      </c>
      <c r="AB60" s="149">
        <v>0.35</v>
      </c>
      <c r="AC60" s="123">
        <f>AC45</f>
        <v>34.905660377358487</v>
      </c>
      <c r="AD60" s="196">
        <f t="shared" ref="AD60:AD61" si="70">AC60*AB60</f>
        <v>12.216981132075469</v>
      </c>
      <c r="AE60" s="149"/>
      <c r="AF60" s="219">
        <f t="shared" si="64"/>
        <v>0</v>
      </c>
    </row>
    <row r="61" spans="1:44" x14ac:dyDescent="0.25">
      <c r="A61" s="237"/>
      <c r="B61" s="248"/>
      <c r="C61" s="298"/>
      <c r="D61" s="81" t="s">
        <v>94</v>
      </c>
      <c r="E61" s="239"/>
      <c r="F61" s="301"/>
      <c r="G61" s="68"/>
      <c r="H61" s="74"/>
      <c r="I61" s="67"/>
      <c r="J61" s="67"/>
      <c r="K61" s="67"/>
      <c r="L61" s="67"/>
      <c r="M61" s="69"/>
      <c r="N61" s="69"/>
      <c r="O61" s="69"/>
      <c r="P61" s="203"/>
      <c r="Q61" s="272">
        <f t="shared" si="2"/>
        <v>0</v>
      </c>
      <c r="R61" s="439">
        <f t="shared" si="13"/>
        <v>0</v>
      </c>
      <c r="W61" s="878" t="str">
        <f>W46</f>
        <v>mortar (topping) included @ other item</v>
      </c>
      <c r="X61" s="878"/>
      <c r="Y61" s="878"/>
      <c r="Z61" s="124" t="s">
        <v>257</v>
      </c>
      <c r="AA61" s="149">
        <v>1</v>
      </c>
      <c r="AB61" s="149">
        <v>1</v>
      </c>
      <c r="AC61" s="123">
        <f>AC46</f>
        <v>0</v>
      </c>
      <c r="AD61" s="196">
        <f t="shared" si="70"/>
        <v>0</v>
      </c>
      <c r="AE61" s="149">
        <f>AE46</f>
        <v>0</v>
      </c>
      <c r="AF61" s="219">
        <f t="shared" si="64"/>
        <v>0</v>
      </c>
    </row>
    <row r="62" spans="1:44" x14ac:dyDescent="0.25">
      <c r="A62" s="237"/>
      <c r="B62" s="246"/>
      <c r="C62" s="293">
        <v>5</v>
      </c>
      <c r="D62" s="81" t="s">
        <v>160</v>
      </c>
      <c r="E62" s="348">
        <f>29.2+51.05</f>
        <v>80.25</v>
      </c>
      <c r="F62" s="349">
        <v>82</v>
      </c>
      <c r="G62" s="73" t="s">
        <v>101</v>
      </c>
      <c r="H62" s="74"/>
      <c r="I62" s="67">
        <f>F62*H62</f>
        <v>0</v>
      </c>
      <c r="J62" s="67"/>
      <c r="K62" s="67">
        <f t="shared" ref="K62:K65" si="71">F62*J62</f>
        <v>0</v>
      </c>
      <c r="L62" s="72">
        <f t="shared" ref="L62" si="72">I62+K62</f>
        <v>0</v>
      </c>
      <c r="M62" s="67">
        <f>H62/$P$255*$P$263</f>
        <v>0</v>
      </c>
      <c r="N62" s="67">
        <f>J62/$P$255*$P$263</f>
        <v>0</v>
      </c>
      <c r="O62" s="72">
        <f>N62*F62</f>
        <v>0</v>
      </c>
      <c r="P62" s="221" t="s">
        <v>296</v>
      </c>
      <c r="Q62" s="272">
        <f t="shared" si="2"/>
        <v>0</v>
      </c>
      <c r="R62" s="439" t="e">
        <f t="shared" si="13"/>
        <v>#VALUE!</v>
      </c>
      <c r="W62" s="878" t="s">
        <v>259</v>
      </c>
      <c r="X62" s="878"/>
      <c r="Y62" s="878"/>
      <c r="Z62" s="124" t="s">
        <v>257</v>
      </c>
      <c r="AA62" s="149">
        <v>1</v>
      </c>
      <c r="AB62" s="149">
        <v>1</v>
      </c>
      <c r="AC62" s="123">
        <f>AC46</f>
        <v>0</v>
      </c>
      <c r="AD62" s="196">
        <f>AC62*AB62</f>
        <v>0</v>
      </c>
      <c r="AE62" s="149">
        <f>AE46</f>
        <v>0</v>
      </c>
      <c r="AF62" s="219">
        <f>AE62*AB62</f>
        <v>0</v>
      </c>
    </row>
    <row r="63" spans="1:44" x14ac:dyDescent="0.25">
      <c r="A63" s="237"/>
      <c r="B63" s="246"/>
      <c r="C63" s="293">
        <v>6</v>
      </c>
      <c r="D63" s="81" t="s">
        <v>492</v>
      </c>
      <c r="E63" s="239">
        <v>61.7</v>
      </c>
      <c r="F63" s="301">
        <v>63</v>
      </c>
      <c r="G63" s="73" t="s">
        <v>100</v>
      </c>
      <c r="H63" s="74">
        <v>130</v>
      </c>
      <c r="I63" s="67">
        <f>F63*H63</f>
        <v>8190</v>
      </c>
      <c r="J63" s="67">
        <v>120</v>
      </c>
      <c r="K63" s="67">
        <f t="shared" si="71"/>
        <v>7560</v>
      </c>
      <c r="L63" s="72">
        <f t="shared" ref="L63" si="73">I63+K63</f>
        <v>15750</v>
      </c>
      <c r="M63" s="67">
        <f>H63/$P$255*$P$263</f>
        <v>178.10844623214311</v>
      </c>
      <c r="N63" s="67">
        <f>J63/$P$255*$P$263</f>
        <v>164.40779652197824</v>
      </c>
      <c r="O63" s="72">
        <f t="shared" ref="O63" si="74">N63+M63</f>
        <v>342.51624275412132</v>
      </c>
      <c r="P63" s="203">
        <f t="shared" ref="P63" si="75">O63*F63</f>
        <v>21578.523293509643</v>
      </c>
      <c r="Q63" s="272">
        <f t="shared" si="2"/>
        <v>21578.523293509643</v>
      </c>
      <c r="R63" s="439">
        <f t="shared" ref="R63" si="76">P63-Q63</f>
        <v>0</v>
      </c>
      <c r="W63" s="126"/>
      <c r="X63" s="126"/>
      <c r="Y63" s="126"/>
      <c r="Z63" s="126"/>
      <c r="AA63" s="149"/>
      <c r="AB63" s="149"/>
      <c r="AC63" s="123"/>
      <c r="AD63" s="212">
        <f>SUM(AD58:AD62)</f>
        <v>799.43396226415098</v>
      </c>
      <c r="AE63" s="148"/>
      <c r="AF63" s="212">
        <f>SUM(AF58:AF62)</f>
        <v>216</v>
      </c>
    </row>
    <row r="64" spans="1:44" hidden="1" x14ac:dyDescent="0.25">
      <c r="A64" s="237"/>
      <c r="B64" s="246"/>
      <c r="C64" s="293"/>
      <c r="D64" s="81"/>
      <c r="E64" s="239"/>
      <c r="F64" s="301"/>
      <c r="G64" s="68"/>
      <c r="H64" s="74"/>
      <c r="I64" s="67"/>
      <c r="J64" s="67"/>
      <c r="K64" s="67"/>
      <c r="L64" s="67"/>
      <c r="M64" s="69"/>
      <c r="N64" s="69"/>
      <c r="O64" s="69"/>
      <c r="P64" s="203"/>
      <c r="Q64" s="272">
        <f t="shared" si="2"/>
        <v>0</v>
      </c>
      <c r="R64" s="439"/>
    </row>
    <row r="65" spans="1:32" x14ac:dyDescent="0.25">
      <c r="A65" s="237"/>
      <c r="B65" s="246"/>
      <c r="C65" s="293">
        <v>7</v>
      </c>
      <c r="D65" s="81" t="s">
        <v>357</v>
      </c>
      <c r="E65" s="239">
        <v>152.9</v>
      </c>
      <c r="F65" s="301">
        <v>154</v>
      </c>
      <c r="G65" s="73" t="s">
        <v>101</v>
      </c>
      <c r="H65" s="74"/>
      <c r="I65" s="67">
        <f>F65*H65</f>
        <v>0</v>
      </c>
      <c r="J65" s="67"/>
      <c r="K65" s="67">
        <f t="shared" si="71"/>
        <v>0</v>
      </c>
      <c r="L65" s="72">
        <f t="shared" ref="L65" si="77">I65+K65</f>
        <v>0</v>
      </c>
      <c r="M65" s="67">
        <f>H65/$P$255*$P$263</f>
        <v>0</v>
      </c>
      <c r="N65" s="67">
        <f>J65/$P$255*$P$263</f>
        <v>0</v>
      </c>
      <c r="O65" s="72">
        <f>N65*F65</f>
        <v>0</v>
      </c>
      <c r="P65" s="221" t="s">
        <v>288</v>
      </c>
      <c r="Q65" s="272">
        <f t="shared" si="2"/>
        <v>0</v>
      </c>
      <c r="R65" s="439" t="e">
        <f t="shared" ref="R65" si="78">P65-Q65</f>
        <v>#VALUE!</v>
      </c>
    </row>
    <row r="66" spans="1:32" x14ac:dyDescent="0.25">
      <c r="A66" s="237"/>
      <c r="B66" s="248"/>
      <c r="C66" s="298"/>
      <c r="D66" s="81"/>
      <c r="E66" s="239"/>
      <c r="F66" s="301"/>
      <c r="G66" s="68"/>
      <c r="H66" s="74"/>
      <c r="I66" s="67"/>
      <c r="J66" s="67"/>
      <c r="K66" s="67"/>
      <c r="L66" s="67"/>
      <c r="M66" s="69"/>
      <c r="N66" s="69"/>
      <c r="O66" s="69"/>
      <c r="P66" s="203"/>
      <c r="Q66" s="272">
        <f t="shared" si="2"/>
        <v>0</v>
      </c>
      <c r="R66" s="439">
        <f t="shared" si="13"/>
        <v>0</v>
      </c>
    </row>
    <row r="67" spans="1:32" x14ac:dyDescent="0.25">
      <c r="A67" s="237"/>
      <c r="B67" s="290" t="s">
        <v>323</v>
      </c>
      <c r="C67" s="291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76"/>
      <c r="N67" s="69"/>
      <c r="O67" s="69"/>
      <c r="P67" s="203"/>
      <c r="Q67" s="272">
        <f t="shared" si="2"/>
        <v>0</v>
      </c>
      <c r="R67" s="439">
        <f t="shared" si="13"/>
        <v>0</v>
      </c>
    </row>
    <row r="68" spans="1:32" x14ac:dyDescent="0.25">
      <c r="A68" s="238"/>
      <c r="B68" s="249"/>
      <c r="C68" s="293">
        <v>1</v>
      </c>
      <c r="D68" s="83" t="s">
        <v>104</v>
      </c>
      <c r="E68" s="242">
        <v>3</v>
      </c>
      <c r="F68" s="302">
        <v>3</v>
      </c>
      <c r="G68" s="77" t="s">
        <v>28</v>
      </c>
      <c r="H68" s="328">
        <f>25000*2*0.85/1.07</f>
        <v>39719.626168224298</v>
      </c>
      <c r="I68" s="67">
        <f>F68*H68</f>
        <v>119158.8785046729</v>
      </c>
      <c r="J68" s="328">
        <f>25000*2*0.15/1.07</f>
        <v>7009.3457943925232</v>
      </c>
      <c r="K68" s="67">
        <f t="shared" ref="K68" si="79">F68*J68</f>
        <v>21028.037383177569</v>
      </c>
      <c r="L68" s="72">
        <f t="shared" ref="L68" si="80">I68+K68</f>
        <v>140186.91588785048</v>
      </c>
      <c r="M68" s="67">
        <f>H68/$P$255*$P$263</f>
        <v>54418.468474953857</v>
      </c>
      <c r="N68" s="67">
        <f>J68/$P$255*$P$263</f>
        <v>9603.2591426389154</v>
      </c>
      <c r="O68" s="72">
        <f t="shared" ref="O68" si="81">N68+M68</f>
        <v>64021.727617592769</v>
      </c>
      <c r="P68" s="203">
        <f t="shared" ref="P68" si="82">O68*F68</f>
        <v>192065.18285277829</v>
      </c>
      <c r="Q68" s="272">
        <f t="shared" si="2"/>
        <v>192065.18285277835</v>
      </c>
      <c r="R68" s="439">
        <f t="shared" ref="R68" si="83">P68-Q68</f>
        <v>0</v>
      </c>
    </row>
    <row r="69" spans="1:32" x14ac:dyDescent="0.25">
      <c r="A69" s="238"/>
      <c r="B69" s="245"/>
      <c r="C69" s="293"/>
      <c r="D69" s="83" t="s">
        <v>324</v>
      </c>
      <c r="E69" s="242"/>
      <c r="F69" s="302"/>
      <c r="G69" s="75"/>
      <c r="H69" s="74"/>
      <c r="I69" s="74"/>
      <c r="J69" s="74"/>
      <c r="K69" s="74"/>
      <c r="L69" s="74"/>
      <c r="M69" s="72"/>
      <c r="N69" s="72"/>
      <c r="O69" s="72"/>
      <c r="P69" s="203"/>
      <c r="Q69" s="272">
        <f t="shared" si="2"/>
        <v>0</v>
      </c>
      <c r="R69" s="439">
        <f t="shared" si="13"/>
        <v>0</v>
      </c>
      <c r="W69" s="904" t="s">
        <v>294</v>
      </c>
      <c r="X69" s="904"/>
      <c r="Y69" s="904"/>
      <c r="Z69" s="148" t="s">
        <v>243</v>
      </c>
      <c r="AA69" s="148" t="s">
        <v>244</v>
      </c>
      <c r="AB69" s="148" t="s">
        <v>245</v>
      </c>
      <c r="AC69" s="123" t="s">
        <v>246</v>
      </c>
      <c r="AD69" s="196" t="s">
        <v>247</v>
      </c>
      <c r="AE69" s="148" t="s">
        <v>248</v>
      </c>
      <c r="AF69" s="212" t="s">
        <v>249</v>
      </c>
    </row>
    <row r="70" spans="1:32" x14ac:dyDescent="0.25">
      <c r="A70" s="238"/>
      <c r="B70" s="249"/>
      <c r="C70" s="293">
        <v>2</v>
      </c>
      <c r="D70" s="83" t="s">
        <v>105</v>
      </c>
      <c r="E70" s="242">
        <v>1</v>
      </c>
      <c r="F70" s="302">
        <v>1</v>
      </c>
      <c r="G70" s="77" t="s">
        <v>55</v>
      </c>
      <c r="H70" s="328">
        <f>25000*2*0.85/1.07</f>
        <v>39719.626168224298</v>
      </c>
      <c r="I70" s="67">
        <f>F70*H70</f>
        <v>39719.626168224298</v>
      </c>
      <c r="J70" s="328">
        <f>25000*2*0.15/1.07</f>
        <v>7009.3457943925232</v>
      </c>
      <c r="K70" s="67">
        <f t="shared" ref="K70" si="84">F70*J70</f>
        <v>7009.3457943925232</v>
      </c>
      <c r="L70" s="72">
        <f t="shared" ref="L70" si="85">I70+K70</f>
        <v>46728.971962616823</v>
      </c>
      <c r="M70" s="67">
        <f>H70/$P$255*$P$263</f>
        <v>54418.468474953857</v>
      </c>
      <c r="N70" s="67">
        <f>J70/$P$255*$P$263</f>
        <v>9603.2591426389154</v>
      </c>
      <c r="O70" s="72">
        <f t="shared" ref="O70" si="86">N70+M70</f>
        <v>64021.727617592769</v>
      </c>
      <c r="P70" s="203">
        <f t="shared" ref="P70" si="87">O70*F70</f>
        <v>64021.727617592769</v>
      </c>
      <c r="Q70" s="272">
        <f t="shared" si="2"/>
        <v>64021.727617592769</v>
      </c>
      <c r="R70" s="439">
        <f t="shared" ref="R70" si="88">P70-Q70</f>
        <v>0</v>
      </c>
      <c r="W70" s="878" t="s">
        <v>272</v>
      </c>
      <c r="X70" s="878"/>
      <c r="Y70" s="878"/>
      <c r="Z70" s="124" t="s">
        <v>251</v>
      </c>
      <c r="AA70" s="149">
        <v>12.5</v>
      </c>
      <c r="AB70" s="149">
        <v>13</v>
      </c>
      <c r="AC70" s="123">
        <f>98/1.06</f>
        <v>92.452830188679243</v>
      </c>
      <c r="AD70" s="196">
        <f>AC70*AB70</f>
        <v>1201.8867924528302</v>
      </c>
      <c r="AE70" s="149">
        <v>16.5</v>
      </c>
      <c r="AF70" s="219">
        <f>AE70*AB70</f>
        <v>214.5</v>
      </c>
    </row>
    <row r="71" spans="1:32" x14ac:dyDescent="0.25">
      <c r="A71" s="238"/>
      <c r="B71" s="245"/>
      <c r="C71" s="293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72"/>
      <c r="N71" s="72"/>
      <c r="O71" s="72"/>
      <c r="P71" s="203"/>
      <c r="Q71" s="272">
        <f t="shared" si="2"/>
        <v>0</v>
      </c>
      <c r="R71" s="439">
        <f t="shared" si="13"/>
        <v>0</v>
      </c>
      <c r="W71" s="878" t="s">
        <v>252</v>
      </c>
      <c r="X71" s="878"/>
      <c r="Y71" s="878"/>
      <c r="Z71" s="124" t="s">
        <v>253</v>
      </c>
      <c r="AA71" s="149">
        <v>0.25</v>
      </c>
      <c r="AB71" s="149">
        <v>0.25</v>
      </c>
      <c r="AC71" s="123">
        <f>285/1.06</f>
        <v>268.8679245283019</v>
      </c>
      <c r="AD71" s="196">
        <f>AC71*AB71</f>
        <v>67.216981132075475</v>
      </c>
      <c r="AE71" s="149"/>
      <c r="AF71" s="219">
        <f>AE71*AB71</f>
        <v>0</v>
      </c>
    </row>
    <row r="72" spans="1:32" s="273" customFormat="1" x14ac:dyDescent="0.25">
      <c r="A72" s="350"/>
      <c r="B72" s="351"/>
      <c r="C72" s="352">
        <v>3</v>
      </c>
      <c r="D72" s="35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89">F72*H72</f>
        <v>13106.796116504855</v>
      </c>
      <c r="J72" s="74">
        <v>700</v>
      </c>
      <c r="K72" s="74">
        <f t="shared" ref="K72:K74" si="90">F72*J72</f>
        <v>1400</v>
      </c>
      <c r="L72" s="72">
        <f t="shared" ref="L72:L77" si="91">I72+K72</f>
        <v>14506.796116504855</v>
      </c>
      <c r="M72" s="67">
        <f t="shared" ref="M72:M77" si="92">H72/$P$255*$P$263</f>
        <v>8978.5811207391034</v>
      </c>
      <c r="N72" s="67">
        <f t="shared" ref="N72:N77" si="93">J72/$P$255*$P$263</f>
        <v>959.04547971153966</v>
      </c>
      <c r="O72" s="72">
        <f t="shared" ref="O72:O77" si="94">N72+M72</f>
        <v>9937.6266004506433</v>
      </c>
      <c r="P72" s="203">
        <f t="shared" ref="P72:P77" si="95">O72*F72</f>
        <v>19875.253200901287</v>
      </c>
      <c r="Q72" s="272">
        <f t="shared" si="2"/>
        <v>19875.253200901283</v>
      </c>
      <c r="R72" s="439">
        <f t="shared" ref="R72:R77" si="96">P72-Q72</f>
        <v>0</v>
      </c>
      <c r="T72" s="224"/>
      <c r="W72" s="878" t="s">
        <v>254</v>
      </c>
      <c r="X72" s="878"/>
      <c r="Y72" s="878"/>
      <c r="Z72" s="124" t="s">
        <v>255</v>
      </c>
      <c r="AA72" s="223">
        <v>0.25</v>
      </c>
      <c r="AB72" s="223">
        <v>0.35</v>
      </c>
      <c r="AC72" s="123">
        <f>37/1.06</f>
        <v>34.905660377358487</v>
      </c>
      <c r="AD72" s="196">
        <f>AC72*AB72</f>
        <v>12.216981132075469</v>
      </c>
      <c r="AE72" s="223"/>
      <c r="AF72" s="219">
        <f>AE72*AB72</f>
        <v>0</v>
      </c>
    </row>
    <row r="73" spans="1:32" s="273" customFormat="1" x14ac:dyDescent="0.25">
      <c r="A73" s="350"/>
      <c r="B73" s="351"/>
      <c r="C73" s="352">
        <v>4</v>
      </c>
      <c r="D73" s="35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89"/>
        <v>26213.592233009709</v>
      </c>
      <c r="J73" s="74">
        <f>J72</f>
        <v>700</v>
      </c>
      <c r="K73" s="74">
        <f t="shared" si="90"/>
        <v>2800</v>
      </c>
      <c r="L73" s="72">
        <f t="shared" si="91"/>
        <v>29013.592233009709</v>
      </c>
      <c r="M73" s="67">
        <f t="shared" si="92"/>
        <v>8978.5811207391034</v>
      </c>
      <c r="N73" s="67">
        <f t="shared" si="93"/>
        <v>959.04547971153966</v>
      </c>
      <c r="O73" s="72">
        <f t="shared" si="94"/>
        <v>9937.6266004506433</v>
      </c>
      <c r="P73" s="203">
        <f t="shared" si="95"/>
        <v>39750.506401802573</v>
      </c>
      <c r="Q73" s="272">
        <f t="shared" si="2"/>
        <v>39750.506401802566</v>
      </c>
      <c r="R73" s="439">
        <f t="shared" si="96"/>
        <v>0</v>
      </c>
      <c r="T73" s="224"/>
      <c r="W73" s="878" t="s">
        <v>256</v>
      </c>
      <c r="X73" s="878"/>
      <c r="Y73" s="878"/>
      <c r="Z73" s="124" t="s">
        <v>257</v>
      </c>
      <c r="AA73" s="223">
        <v>1</v>
      </c>
      <c r="AB73" s="223">
        <v>1</v>
      </c>
      <c r="AC73" s="123">
        <f>AN64</f>
        <v>0</v>
      </c>
      <c r="AD73" s="196">
        <f>AC73*AB73</f>
        <v>0</v>
      </c>
      <c r="AE73" s="223"/>
      <c r="AF73" s="219">
        <f>AE73*AB73</f>
        <v>0</v>
      </c>
    </row>
    <row r="74" spans="1:32" s="273" customFormat="1" x14ac:dyDescent="0.25">
      <c r="A74" s="350"/>
      <c r="B74" s="351"/>
      <c r="C74" s="352">
        <v>5</v>
      </c>
      <c r="D74" s="35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89"/>
        <v>59466.01941747572</v>
      </c>
      <c r="J74" s="74">
        <f>J73</f>
        <v>700</v>
      </c>
      <c r="K74" s="74">
        <f t="shared" si="90"/>
        <v>4900</v>
      </c>
      <c r="L74" s="72">
        <f t="shared" si="91"/>
        <v>64366.01941747572</v>
      </c>
      <c r="M74" s="67">
        <f t="shared" si="92"/>
        <v>11638.901452809947</v>
      </c>
      <c r="N74" s="67">
        <f t="shared" si="93"/>
        <v>959.04547971153966</v>
      </c>
      <c r="O74" s="72">
        <f t="shared" si="94"/>
        <v>12597.946932521487</v>
      </c>
      <c r="P74" s="203">
        <f t="shared" si="95"/>
        <v>88185.628527650406</v>
      </c>
      <c r="Q74" s="272">
        <f t="shared" si="2"/>
        <v>88185.628527650391</v>
      </c>
      <c r="R74" s="439">
        <f t="shared" si="96"/>
        <v>0</v>
      </c>
      <c r="T74" s="224"/>
      <c r="W74" s="126"/>
      <c r="X74" s="126"/>
      <c r="Y74" s="126"/>
      <c r="Z74" s="126"/>
      <c r="AA74" s="223"/>
      <c r="AB74" s="223"/>
      <c r="AC74" s="123"/>
      <c r="AD74" s="212">
        <f>SUM(AD70:AD73)</f>
        <v>1281.3207547169811</v>
      </c>
      <c r="AE74" s="222"/>
      <c r="AF74" s="212">
        <f>SUM(AF70:AF73)</f>
        <v>214.5</v>
      </c>
    </row>
    <row r="75" spans="1:32" s="273" customFormat="1" x14ac:dyDescent="0.25">
      <c r="A75" s="350"/>
      <c r="B75" s="351"/>
      <c r="C75" s="352">
        <v>6</v>
      </c>
      <c r="D75" s="35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89"/>
        <v>8495.1456310679605</v>
      </c>
      <c r="J75" s="74">
        <f>J74</f>
        <v>700</v>
      </c>
      <c r="K75" s="74">
        <f t="shared" ref="K75" si="97">F75*J75</f>
        <v>700</v>
      </c>
      <c r="L75" s="72">
        <f t="shared" si="91"/>
        <v>9195.1456310679605</v>
      </c>
      <c r="M75" s="67">
        <f t="shared" si="92"/>
        <v>11638.901452809947</v>
      </c>
      <c r="N75" s="67">
        <f t="shared" si="93"/>
        <v>959.04547971153966</v>
      </c>
      <c r="O75" s="72">
        <f t="shared" si="94"/>
        <v>12597.946932521487</v>
      </c>
      <c r="P75" s="203">
        <f t="shared" si="95"/>
        <v>12597.946932521487</v>
      </c>
      <c r="Q75" s="272">
        <f t="shared" si="2"/>
        <v>12597.946932521485</v>
      </c>
      <c r="R75" s="439">
        <f t="shared" si="96"/>
        <v>0</v>
      </c>
      <c r="T75" s="224"/>
      <c r="AD75" s="224"/>
      <c r="AF75" s="224"/>
    </row>
    <row r="76" spans="1:32" s="273" customFormat="1" x14ac:dyDescent="0.25">
      <c r="A76" s="350"/>
      <c r="B76" s="351"/>
      <c r="C76" s="352">
        <v>7</v>
      </c>
      <c r="D76" s="35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89"/>
        <v>14660.194174757282</v>
      </c>
      <c r="J76" s="74">
        <v>650</v>
      </c>
      <c r="K76" s="74">
        <f t="shared" ref="K76" si="98">F76*J76</f>
        <v>1300</v>
      </c>
      <c r="L76" s="72">
        <f t="shared" si="91"/>
        <v>15960.194174757282</v>
      </c>
      <c r="M76" s="67">
        <f t="shared" si="92"/>
        <v>10042.70925356744</v>
      </c>
      <c r="N76" s="67">
        <f t="shared" si="93"/>
        <v>890.54223116071546</v>
      </c>
      <c r="O76" s="72">
        <f t="shared" si="94"/>
        <v>10933.251484728156</v>
      </c>
      <c r="P76" s="203">
        <f t="shared" si="95"/>
        <v>21866.502969456313</v>
      </c>
      <c r="Q76" s="272">
        <f t="shared" si="2"/>
        <v>21866.502969456313</v>
      </c>
      <c r="R76" s="439">
        <f t="shared" si="96"/>
        <v>0</v>
      </c>
      <c r="T76" s="224"/>
      <c r="W76" s="904" t="s">
        <v>295</v>
      </c>
      <c r="X76" s="904"/>
      <c r="Y76" s="904"/>
      <c r="Z76" s="222" t="s">
        <v>243</v>
      </c>
      <c r="AA76" s="222" t="s">
        <v>244</v>
      </c>
      <c r="AB76" s="222" t="s">
        <v>245</v>
      </c>
      <c r="AC76" s="123" t="s">
        <v>246</v>
      </c>
      <c r="AD76" s="196" t="s">
        <v>247</v>
      </c>
      <c r="AE76" s="222" t="s">
        <v>248</v>
      </c>
      <c r="AF76" s="212" t="s">
        <v>249</v>
      </c>
    </row>
    <row r="77" spans="1:32" x14ac:dyDescent="0.25">
      <c r="A77" s="238"/>
      <c r="B77" s="249"/>
      <c r="C77" s="293">
        <v>8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67">
        <f t="shared" si="89"/>
        <v>23632.07547169811</v>
      </c>
      <c r="J77" s="74">
        <v>700</v>
      </c>
      <c r="K77" s="67">
        <f t="shared" ref="K77" si="99">F77*J77</f>
        <v>2100</v>
      </c>
      <c r="L77" s="72">
        <f t="shared" si="91"/>
        <v>25732.07547169811</v>
      </c>
      <c r="M77" s="67">
        <f t="shared" si="92"/>
        <v>10792.492932063822</v>
      </c>
      <c r="N77" s="67">
        <f t="shared" si="93"/>
        <v>959.04547971153966</v>
      </c>
      <c r="O77" s="72">
        <f t="shared" si="94"/>
        <v>11751.538411775362</v>
      </c>
      <c r="P77" s="203">
        <f t="shared" si="95"/>
        <v>35254.615235326084</v>
      </c>
      <c r="Q77" s="272">
        <f t="shared" si="2"/>
        <v>35254.615235326084</v>
      </c>
      <c r="R77" s="439">
        <f t="shared" si="96"/>
        <v>0</v>
      </c>
      <c r="W77" s="878" t="s">
        <v>271</v>
      </c>
      <c r="X77" s="878"/>
      <c r="Y77" s="878"/>
      <c r="Z77" s="124" t="s">
        <v>251</v>
      </c>
      <c r="AA77" s="149">
        <v>8.33</v>
      </c>
      <c r="AB77" s="149">
        <v>9</v>
      </c>
      <c r="AC77" s="123">
        <f>143/1.06</f>
        <v>134.90566037735849</v>
      </c>
      <c r="AD77" s="196">
        <f>AC77*AB77</f>
        <v>1214.1509433962265</v>
      </c>
      <c r="AE77" s="149">
        <v>23.9</v>
      </c>
      <c r="AF77" s="219">
        <f>AE77*AB77</f>
        <v>215.1</v>
      </c>
    </row>
    <row r="78" spans="1:32" x14ac:dyDescent="0.25">
      <c r="A78" s="238"/>
      <c r="B78" s="245"/>
      <c r="C78" s="293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72"/>
      <c r="N78" s="72"/>
      <c r="O78" s="72"/>
      <c r="P78" s="205"/>
      <c r="Q78" s="272">
        <f t="shared" si="2"/>
        <v>0</v>
      </c>
      <c r="R78" s="439">
        <f t="shared" si="13"/>
        <v>0</v>
      </c>
      <c r="W78" s="878" t="s">
        <v>252</v>
      </c>
      <c r="X78" s="878"/>
      <c r="Y78" s="878"/>
      <c r="Z78" s="124" t="s">
        <v>253</v>
      </c>
      <c r="AA78" s="149">
        <v>0.25</v>
      </c>
      <c r="AB78" s="149">
        <v>0.25</v>
      </c>
      <c r="AC78" s="123">
        <f>AC71</f>
        <v>268.8679245283019</v>
      </c>
      <c r="AD78" s="196">
        <f>AC78*AB78</f>
        <v>67.216981132075475</v>
      </c>
      <c r="AE78" s="149"/>
      <c r="AF78" s="219">
        <f>AE78*AB78</f>
        <v>0</v>
      </c>
    </row>
    <row r="79" spans="1:32" x14ac:dyDescent="0.25">
      <c r="A79" s="238"/>
      <c r="B79" s="249"/>
      <c r="C79" s="293">
        <v>9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67">
        <f>F79*H79</f>
        <v>8584.9056603773588</v>
      </c>
      <c r="J79" s="74">
        <f>J77</f>
        <v>700</v>
      </c>
      <c r="K79" s="67">
        <f t="shared" ref="K79" si="100">F79*J79</f>
        <v>700</v>
      </c>
      <c r="L79" s="72">
        <f t="shared" ref="L79" si="101">I79+K79</f>
        <v>9284.9056603773588</v>
      </c>
      <c r="M79" s="67">
        <f>H79/$P$255*$P$263</f>
        <v>11761.878524764166</v>
      </c>
      <c r="N79" s="67">
        <f>J79/$P$255*$P$263</f>
        <v>959.04547971153966</v>
      </c>
      <c r="O79" s="72">
        <f t="shared" ref="O79" si="102">N79+M79</f>
        <v>12720.924004475706</v>
      </c>
      <c r="P79" s="203">
        <f t="shared" ref="P79" si="103">O79*F79</f>
        <v>12720.924004475706</v>
      </c>
      <c r="Q79" s="272">
        <f t="shared" si="2"/>
        <v>12720.924004475706</v>
      </c>
      <c r="R79" s="439">
        <f t="shared" ref="R79" si="104">P79-Q79</f>
        <v>0</v>
      </c>
      <c r="W79" s="878" t="s">
        <v>254</v>
      </c>
      <c r="X79" s="878"/>
      <c r="Y79" s="878"/>
      <c r="Z79" s="124" t="s">
        <v>255</v>
      </c>
      <c r="AA79" s="149">
        <v>0.25</v>
      </c>
      <c r="AB79" s="149">
        <v>0.35</v>
      </c>
      <c r="AC79" s="123">
        <f>37/1.06</f>
        <v>34.905660377358487</v>
      </c>
      <c r="AD79" s="196">
        <f>AC79*AB79</f>
        <v>12.216981132075469</v>
      </c>
      <c r="AE79" s="149"/>
      <c r="AF79" s="219">
        <f>AE79*AB79</f>
        <v>0</v>
      </c>
    </row>
    <row r="80" spans="1:32" x14ac:dyDescent="0.25">
      <c r="A80" s="238"/>
      <c r="B80" s="245"/>
      <c r="C80" s="293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72"/>
      <c r="N80" s="72"/>
      <c r="O80" s="72"/>
      <c r="P80" s="205"/>
      <c r="Q80" s="272">
        <f t="shared" si="2"/>
        <v>0</v>
      </c>
      <c r="R80" s="439">
        <f t="shared" ref="R80:R148" si="105">P80-Q80</f>
        <v>0</v>
      </c>
      <c r="W80" s="878" t="s">
        <v>256</v>
      </c>
      <c r="X80" s="878"/>
      <c r="Y80" s="878"/>
      <c r="Z80" s="124" t="s">
        <v>257</v>
      </c>
      <c r="AA80" s="149">
        <v>1</v>
      </c>
      <c r="AB80" s="149">
        <v>1</v>
      </c>
      <c r="AC80" s="123">
        <v>0</v>
      </c>
      <c r="AD80" s="196">
        <f>AC80*AB80</f>
        <v>0</v>
      </c>
      <c r="AE80" s="149">
        <v>0</v>
      </c>
      <c r="AF80" s="219">
        <f>AE80*AB80</f>
        <v>0</v>
      </c>
    </row>
    <row r="81" spans="1:32" x14ac:dyDescent="0.25">
      <c r="A81" s="238"/>
      <c r="B81" s="245"/>
      <c r="C81" s="293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72"/>
      <c r="N81" s="72"/>
      <c r="O81" s="72"/>
      <c r="P81" s="205"/>
      <c r="Q81" s="272">
        <f t="shared" ref="Q81:Q144" si="106">L81/$P$255*$P$263</f>
        <v>0</v>
      </c>
      <c r="R81" s="439">
        <f t="shared" si="105"/>
        <v>0</v>
      </c>
      <c r="W81" s="126"/>
      <c r="X81" s="126"/>
      <c r="Y81" s="126"/>
      <c r="Z81" s="126"/>
      <c r="AA81" s="149"/>
      <c r="AB81" s="149"/>
      <c r="AC81" s="123"/>
      <c r="AD81" s="212">
        <f>SUM(AD77:AD80)</f>
        <v>1293.5849056603774</v>
      </c>
      <c r="AE81" s="148"/>
      <c r="AF81" s="212">
        <f>SUM(AF77:AF80)</f>
        <v>215.1</v>
      </c>
    </row>
    <row r="82" spans="1:32" x14ac:dyDescent="0.25">
      <c r="A82" s="237"/>
      <c r="B82" s="290" t="s">
        <v>329</v>
      </c>
      <c r="C82" s="291" t="s">
        <v>27</v>
      </c>
      <c r="D82" s="82"/>
      <c r="E82" s="242"/>
      <c r="F82" s="302"/>
      <c r="G82" s="75"/>
      <c r="H82" s="74"/>
      <c r="I82" s="74"/>
      <c r="J82" s="74"/>
      <c r="K82" s="74"/>
      <c r="L82" s="74"/>
      <c r="M82" s="72"/>
      <c r="N82" s="72"/>
      <c r="O82" s="72"/>
      <c r="P82" s="205"/>
      <c r="Q82" s="272">
        <f t="shared" si="106"/>
        <v>0</v>
      </c>
      <c r="R82" s="439">
        <f t="shared" si="105"/>
        <v>0</v>
      </c>
    </row>
    <row r="83" spans="1:32" x14ac:dyDescent="0.25">
      <c r="A83" s="238"/>
      <c r="B83" s="249"/>
      <c r="C83" s="293">
        <v>1</v>
      </c>
      <c r="D83" s="84" t="s">
        <v>113</v>
      </c>
      <c r="E83" s="243">
        <v>1</v>
      </c>
      <c r="F83" s="302">
        <v>1</v>
      </c>
      <c r="G83" s="77" t="s">
        <v>55</v>
      </c>
      <c r="H83" s="72">
        <f>S83/$H$81</f>
        <v>221449.62616822429</v>
      </c>
      <c r="I83" s="67">
        <f>F83*H83</f>
        <v>221449.62616822429</v>
      </c>
      <c r="J83" s="72">
        <f>T83/$H$81</f>
        <v>39079.345794392524</v>
      </c>
      <c r="K83" s="67">
        <f t="shared" ref="K83" si="107">F83*J83</f>
        <v>39079.345794392524</v>
      </c>
      <c r="L83" s="72">
        <f t="shared" ref="L83" si="108">I83+K83</f>
        <v>260528.97196261681</v>
      </c>
      <c r="M83" s="67">
        <f>H83/$P$255*$P$263</f>
        <v>303400.37565777969</v>
      </c>
      <c r="N83" s="67">
        <f>J83/$P$255*$P$263</f>
        <v>53541.24276313759</v>
      </c>
      <c r="O83" s="72">
        <f t="shared" ref="O83" si="109">N83+M83</f>
        <v>356941.61842091731</v>
      </c>
      <c r="P83" s="203">
        <f t="shared" ref="P83" si="110">O83*F83</f>
        <v>356941.61842091731</v>
      </c>
      <c r="Q83" s="272">
        <f t="shared" si="106"/>
        <v>356941.61842091731</v>
      </c>
      <c r="R83" s="439">
        <f t="shared" si="105"/>
        <v>0</v>
      </c>
      <c r="S83" s="72">
        <f>278766*0.85</f>
        <v>236951.1</v>
      </c>
      <c r="T83" s="72">
        <f>278766*0.15</f>
        <v>41814.9</v>
      </c>
      <c r="W83" s="904" t="s">
        <v>350</v>
      </c>
      <c r="X83" s="904"/>
      <c r="Y83" s="904"/>
      <c r="Z83" s="148" t="s">
        <v>243</v>
      </c>
      <c r="AA83" s="148" t="s">
        <v>244</v>
      </c>
      <c r="AB83" s="148" t="s">
        <v>245</v>
      </c>
      <c r="AC83" s="123" t="s">
        <v>246</v>
      </c>
      <c r="AD83" s="196" t="s">
        <v>247</v>
      </c>
      <c r="AE83" s="148" t="s">
        <v>248</v>
      </c>
      <c r="AF83" s="212" t="s">
        <v>249</v>
      </c>
    </row>
    <row r="84" spans="1:32" x14ac:dyDescent="0.25">
      <c r="A84" s="238"/>
      <c r="B84" s="245"/>
      <c r="C84" s="293"/>
      <c r="D84" s="84" t="s">
        <v>54</v>
      </c>
      <c r="E84" s="243"/>
      <c r="F84" s="302"/>
      <c r="G84" s="77"/>
      <c r="H84" s="74"/>
      <c r="I84" s="74"/>
      <c r="J84" s="74"/>
      <c r="K84" s="74"/>
      <c r="L84" s="74"/>
      <c r="M84" s="72"/>
      <c r="N84" s="72"/>
      <c r="O84" s="72"/>
      <c r="P84" s="205"/>
      <c r="Q84" s="272">
        <f t="shared" si="106"/>
        <v>0</v>
      </c>
      <c r="R84" s="439">
        <f t="shared" si="105"/>
        <v>0</v>
      </c>
      <c r="S84" s="74"/>
      <c r="T84" s="74"/>
      <c r="W84" s="878" t="s">
        <v>250</v>
      </c>
      <c r="X84" s="878"/>
      <c r="Y84" s="878"/>
      <c r="Z84" s="124" t="s">
        <v>251</v>
      </c>
      <c r="AA84" s="149">
        <v>2.77</v>
      </c>
      <c r="AB84" s="149">
        <v>3</v>
      </c>
      <c r="AC84" s="335">
        <f>350/1.07</f>
        <v>327.10280373831773</v>
      </c>
      <c r="AD84" s="196">
        <f>AC84*AB84</f>
        <v>981.30841121495314</v>
      </c>
      <c r="AE84" s="149">
        <v>71.7</v>
      </c>
      <c r="AF84" s="219">
        <f>AE84*AB84</f>
        <v>215.10000000000002</v>
      </c>
    </row>
    <row r="85" spans="1:32" x14ac:dyDescent="0.25">
      <c r="A85" s="238"/>
      <c r="B85" s="249"/>
      <c r="C85" s="293">
        <v>2</v>
      </c>
      <c r="D85" s="84" t="s">
        <v>114</v>
      </c>
      <c r="E85" s="243">
        <v>1</v>
      </c>
      <c r="F85" s="302">
        <v>1</v>
      </c>
      <c r="G85" s="77" t="s">
        <v>55</v>
      </c>
      <c r="H85" s="72">
        <f>S85/$H$81</f>
        <v>95682.196261682227</v>
      </c>
      <c r="I85" s="67">
        <f>F85*H85</f>
        <v>95682.196261682227</v>
      </c>
      <c r="J85" s="72">
        <f>T85/$H$81</f>
        <v>16885.093457943924</v>
      </c>
      <c r="K85" s="67">
        <f t="shared" ref="K85" si="111">F85*J85</f>
        <v>16885.093457943924</v>
      </c>
      <c r="L85" s="72">
        <f t="shared" ref="L85" si="112">I85+K85</f>
        <v>112567.28971962615</v>
      </c>
      <c r="M85" s="67">
        <f>H85/$P$255*$P$263</f>
        <v>131090.82544805532</v>
      </c>
      <c r="N85" s="67">
        <f>J85/$P$255*$P$263</f>
        <v>23133.675079068587</v>
      </c>
      <c r="O85" s="72">
        <f t="shared" ref="O85" si="113">N85+M85</f>
        <v>154224.50052712389</v>
      </c>
      <c r="P85" s="203">
        <f t="shared" ref="P85" si="114">O85*F85</f>
        <v>154224.50052712389</v>
      </c>
      <c r="Q85" s="272">
        <f t="shared" si="106"/>
        <v>154224.50052712389</v>
      </c>
      <c r="R85" s="439">
        <f t="shared" si="105"/>
        <v>0</v>
      </c>
      <c r="S85" s="72">
        <f>120447*0.85</f>
        <v>102379.95</v>
      </c>
      <c r="T85" s="72">
        <f>120447*0.15</f>
        <v>18067.05</v>
      </c>
      <c r="W85" s="878" t="s">
        <v>252</v>
      </c>
      <c r="X85" s="878"/>
      <c r="Y85" s="878"/>
      <c r="Z85" s="124" t="s">
        <v>253</v>
      </c>
      <c r="AA85" s="149">
        <v>0.25</v>
      </c>
      <c r="AB85" s="149">
        <v>0.25</v>
      </c>
      <c r="AC85" s="123">
        <f>AC44</f>
        <v>268.8679245283019</v>
      </c>
      <c r="AD85" s="196">
        <f>AC85*AB85</f>
        <v>67.216981132075475</v>
      </c>
      <c r="AE85" s="149"/>
      <c r="AF85" s="219">
        <f>AE85*AB85</f>
        <v>0</v>
      </c>
    </row>
    <row r="86" spans="1:32" x14ac:dyDescent="0.25">
      <c r="A86" s="238"/>
      <c r="B86" s="245"/>
      <c r="C86" s="293"/>
      <c r="D86" s="84" t="s">
        <v>37</v>
      </c>
      <c r="E86" s="243"/>
      <c r="F86" s="302"/>
      <c r="G86" s="77"/>
      <c r="H86" s="74"/>
      <c r="I86" s="74"/>
      <c r="J86" s="74"/>
      <c r="K86" s="74"/>
      <c r="L86" s="74"/>
      <c r="M86" s="72"/>
      <c r="N86" s="72"/>
      <c r="O86" s="72"/>
      <c r="P86" s="205"/>
      <c r="Q86" s="272">
        <f t="shared" si="106"/>
        <v>0</v>
      </c>
      <c r="R86" s="439">
        <f t="shared" si="105"/>
        <v>0</v>
      </c>
      <c r="S86" s="74"/>
      <c r="T86" s="74"/>
      <c r="W86" s="878" t="s">
        <v>254</v>
      </c>
      <c r="X86" s="878"/>
      <c r="Y86" s="878"/>
      <c r="Z86" s="124" t="s">
        <v>255</v>
      </c>
      <c r="AA86" s="149">
        <v>0.25</v>
      </c>
      <c r="AB86" s="149">
        <v>0.35</v>
      </c>
      <c r="AC86" s="123">
        <f>AC45</f>
        <v>34.905660377358487</v>
      </c>
      <c r="AD86" s="196">
        <f>AC86*AB86</f>
        <v>12.216981132075469</v>
      </c>
      <c r="AE86" s="149"/>
      <c r="AF86" s="219">
        <f>AE86*AB86</f>
        <v>0</v>
      </c>
    </row>
    <row r="87" spans="1:32" x14ac:dyDescent="0.25">
      <c r="A87" s="238"/>
      <c r="B87" s="249"/>
      <c r="C87" s="293">
        <v>3</v>
      </c>
      <c r="D87" s="84" t="s">
        <v>115</v>
      </c>
      <c r="E87" s="243">
        <v>1</v>
      </c>
      <c r="F87" s="302">
        <v>1</v>
      </c>
      <c r="G87" s="77" t="s">
        <v>55</v>
      </c>
      <c r="H87" s="72">
        <f>S87/$H$81</f>
        <v>75806.892523364484</v>
      </c>
      <c r="I87" s="67">
        <f>F87*H87</f>
        <v>75806.892523364484</v>
      </c>
      <c r="J87" s="72">
        <f>T87/$H$81</f>
        <v>13377.686915887849</v>
      </c>
      <c r="K87" s="67">
        <f t="shared" ref="K87" si="115">F87*J87</f>
        <v>13377.686915887849</v>
      </c>
      <c r="L87" s="72">
        <f t="shared" ref="L87" si="116">I87+K87</f>
        <v>89184.579439252338</v>
      </c>
      <c r="M87" s="67">
        <f>H87/$P$255*$P$263</f>
        <v>103860.36800787318</v>
      </c>
      <c r="N87" s="67">
        <f>J87/$P$255*$P$263</f>
        <v>18328.300236683499</v>
      </c>
      <c r="O87" s="72">
        <f t="shared" ref="O87" si="117">N87+M87</f>
        <v>122188.66824455668</v>
      </c>
      <c r="P87" s="203">
        <f t="shared" ref="P87" si="118">O87*F87</f>
        <v>122188.66824455668</v>
      </c>
      <c r="Q87" s="272">
        <f t="shared" si="106"/>
        <v>122188.66824455668</v>
      </c>
      <c r="R87" s="439">
        <f t="shared" si="105"/>
        <v>0</v>
      </c>
      <c r="S87" s="72">
        <f>95427.5*0.85</f>
        <v>81113.375</v>
      </c>
      <c r="T87" s="72">
        <f>95427.5*0.15</f>
        <v>14314.125</v>
      </c>
      <c r="W87" s="878" t="s">
        <v>256</v>
      </c>
      <c r="X87" s="878"/>
      <c r="Y87" s="878"/>
      <c r="Z87" s="124" t="s">
        <v>257</v>
      </c>
      <c r="AA87" s="149">
        <v>1</v>
      </c>
      <c r="AB87" s="149">
        <v>1</v>
      </c>
      <c r="AC87" s="123">
        <v>0</v>
      </c>
      <c r="AD87" s="196">
        <f>AC87*AB87</f>
        <v>0</v>
      </c>
      <c r="AE87" s="149">
        <v>0</v>
      </c>
      <c r="AF87" s="219">
        <f>AE87*AB87</f>
        <v>0</v>
      </c>
    </row>
    <row r="88" spans="1:32" x14ac:dyDescent="0.25">
      <c r="A88" s="238"/>
      <c r="B88" s="245"/>
      <c r="C88" s="293"/>
      <c r="D88" s="84" t="s">
        <v>37</v>
      </c>
      <c r="E88" s="243"/>
      <c r="F88" s="302"/>
      <c r="G88" s="77"/>
      <c r="H88" s="74"/>
      <c r="I88" s="74"/>
      <c r="J88" s="74"/>
      <c r="K88" s="74"/>
      <c r="L88" s="74"/>
      <c r="M88" s="72"/>
      <c r="N88" s="72"/>
      <c r="O88" s="72"/>
      <c r="P88" s="205"/>
      <c r="Q88" s="272">
        <f t="shared" si="106"/>
        <v>0</v>
      </c>
      <c r="R88" s="439">
        <f t="shared" si="105"/>
        <v>0</v>
      </c>
      <c r="S88" s="74"/>
      <c r="T88" s="74"/>
      <c r="W88" s="126"/>
      <c r="X88" s="126"/>
      <c r="Y88" s="126"/>
      <c r="Z88" s="126"/>
      <c r="AA88" s="149"/>
      <c r="AB88" s="149"/>
      <c r="AC88" s="123"/>
      <c r="AD88" s="212">
        <f>SUM(AD84:AD87)</f>
        <v>1060.7423734791041</v>
      </c>
      <c r="AE88" s="148"/>
      <c r="AF88" s="212">
        <f>SUM(AF84:AF87)</f>
        <v>215.10000000000002</v>
      </c>
    </row>
    <row r="89" spans="1:32" x14ac:dyDescent="0.25">
      <c r="A89" s="238"/>
      <c r="B89" s="249"/>
      <c r="C89" s="293">
        <v>4</v>
      </c>
      <c r="D89" s="84" t="s">
        <v>116</v>
      </c>
      <c r="E89" s="243">
        <v>1</v>
      </c>
      <c r="F89" s="302">
        <v>1</v>
      </c>
      <c r="G89" s="77" t="s">
        <v>55</v>
      </c>
      <c r="H89" s="72">
        <f>S89/$H$81</f>
        <v>36019.345794392517</v>
      </c>
      <c r="I89" s="67">
        <f>F89*H89</f>
        <v>36019.345794392517</v>
      </c>
      <c r="J89" s="72">
        <f>T89/$H$81</f>
        <v>6356.3551401869154</v>
      </c>
      <c r="K89" s="67">
        <f t="shared" ref="K89" si="119">F89*J89</f>
        <v>6356.3551401869154</v>
      </c>
      <c r="L89" s="72">
        <f t="shared" ref="L89" si="120">I89+K89</f>
        <v>42375.700934579436</v>
      </c>
      <c r="M89" s="67">
        <f>H89/$P$255*$P$263</f>
        <v>49348.843951827148</v>
      </c>
      <c r="N89" s="67">
        <f>J89/$P$255*$P$263</f>
        <v>8708.6195209106736</v>
      </c>
      <c r="O89" s="72">
        <f t="shared" ref="O89" si="121">N89+M89</f>
        <v>58057.463472737822</v>
      </c>
      <c r="P89" s="203">
        <f t="shared" ref="P89" si="122">O89*F89</f>
        <v>58057.463472737822</v>
      </c>
      <c r="Q89" s="272">
        <f t="shared" si="106"/>
        <v>58057.463472737814</v>
      </c>
      <c r="R89" s="439">
        <f t="shared" si="105"/>
        <v>0</v>
      </c>
      <c r="S89" s="72">
        <f>45342*0.85</f>
        <v>38540.699999999997</v>
      </c>
      <c r="T89" s="72">
        <f>45342*0.15</f>
        <v>6801.3</v>
      </c>
    </row>
    <row r="90" spans="1:32" x14ac:dyDescent="0.25">
      <c r="A90" s="238"/>
      <c r="B90" s="245"/>
      <c r="C90" s="293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2"/>
      <c r="N90" s="72"/>
      <c r="O90" s="72"/>
      <c r="P90" s="205"/>
      <c r="Q90" s="272">
        <f t="shared" si="106"/>
        <v>0</v>
      </c>
      <c r="R90" s="439">
        <f t="shared" si="105"/>
        <v>0</v>
      </c>
      <c r="S90" s="74"/>
      <c r="T90" s="74"/>
    </row>
    <row r="91" spans="1:32" x14ac:dyDescent="0.25">
      <c r="A91" s="238"/>
      <c r="B91" s="249"/>
      <c r="C91" s="293">
        <v>5</v>
      </c>
      <c r="D91" s="84" t="s">
        <v>117</v>
      </c>
      <c r="E91" s="243">
        <v>2</v>
      </c>
      <c r="F91" s="302">
        <v>2</v>
      </c>
      <c r="G91" s="77" t="s">
        <v>28</v>
      </c>
      <c r="H91" s="266">
        <f>S91/$H$81</f>
        <v>10027.219626168224</v>
      </c>
      <c r="I91" s="67">
        <f>F91*H91</f>
        <v>20054.439252336448</v>
      </c>
      <c r="J91" s="266">
        <f>T91/$H$81</f>
        <v>1769.5093457943924</v>
      </c>
      <c r="K91" s="67">
        <f t="shared" ref="K91" si="123">F91*J91</f>
        <v>3539.0186915887848</v>
      </c>
      <c r="L91" s="72">
        <f t="shared" ref="L91" si="124">I91+K91</f>
        <v>23593.457943925234</v>
      </c>
      <c r="M91" s="67">
        <f>H91/$P$255*$P$263</f>
        <v>13737.9423665021</v>
      </c>
      <c r="N91" s="67">
        <f>J91/$P$255*$P$263</f>
        <v>2424.3427705591939</v>
      </c>
      <c r="O91" s="72">
        <f t="shared" ref="O91" si="125">N91+M91</f>
        <v>16162.285137061295</v>
      </c>
      <c r="P91" s="203">
        <f t="shared" ref="P91" si="126">O91*F91</f>
        <v>32324.57027412259</v>
      </c>
      <c r="Q91" s="272">
        <f t="shared" si="106"/>
        <v>32324.57027412259</v>
      </c>
      <c r="R91" s="439">
        <f t="shared" si="105"/>
        <v>0</v>
      </c>
      <c r="S91" s="328">
        <f>14025*0.85*0.9</f>
        <v>10729.125</v>
      </c>
      <c r="T91" s="328">
        <f>14025*0.15*0.9</f>
        <v>1893.375</v>
      </c>
      <c r="W91" s="900" t="s">
        <v>351</v>
      </c>
      <c r="X91" s="900"/>
      <c r="Y91" s="900"/>
      <c r="Z91" s="148" t="s">
        <v>243</v>
      </c>
      <c r="AA91" s="148" t="s">
        <v>244</v>
      </c>
      <c r="AB91" s="148" t="s">
        <v>245</v>
      </c>
      <c r="AC91" s="123" t="s">
        <v>246</v>
      </c>
      <c r="AD91" s="196" t="s">
        <v>247</v>
      </c>
      <c r="AE91" s="148" t="s">
        <v>248</v>
      </c>
      <c r="AF91" s="212" t="s">
        <v>249</v>
      </c>
    </row>
    <row r="92" spans="1:32" x14ac:dyDescent="0.25">
      <c r="A92" s="238"/>
      <c r="B92" s="245"/>
      <c r="C92" s="293"/>
      <c r="D92" s="84" t="s">
        <v>38</v>
      </c>
      <c r="E92" s="243"/>
      <c r="F92" s="302"/>
      <c r="G92" s="75"/>
      <c r="H92" s="74"/>
      <c r="I92" s="74"/>
      <c r="J92" s="74"/>
      <c r="K92" s="74"/>
      <c r="L92" s="74"/>
      <c r="M92" s="72"/>
      <c r="N92" s="72"/>
      <c r="O92" s="72"/>
      <c r="P92" s="205"/>
      <c r="Q92" s="272">
        <f t="shared" si="106"/>
        <v>0</v>
      </c>
      <c r="R92" s="439">
        <f t="shared" si="105"/>
        <v>0</v>
      </c>
      <c r="S92" s="74"/>
      <c r="T92" s="74"/>
      <c r="W92" s="878" t="s">
        <v>352</v>
      </c>
      <c r="X92" s="878"/>
      <c r="Y92" s="878"/>
      <c r="Z92" s="124" t="s">
        <v>251</v>
      </c>
      <c r="AA92" s="149">
        <v>8.33</v>
      </c>
      <c r="AB92" s="149">
        <v>9</v>
      </c>
      <c r="AC92" s="123">
        <f>130/1.06</f>
        <v>122.64150943396226</v>
      </c>
      <c r="AD92" s="196">
        <f>AC92*AB92</f>
        <v>1103.7735849056603</v>
      </c>
      <c r="AE92" s="149">
        <f>AE77</f>
        <v>23.9</v>
      </c>
      <c r="AF92" s="219">
        <f>AE92*AB92</f>
        <v>215.1</v>
      </c>
    </row>
    <row r="93" spans="1:32" x14ac:dyDescent="0.25">
      <c r="A93" s="238"/>
      <c r="B93" s="249"/>
      <c r="C93" s="293">
        <v>6</v>
      </c>
      <c r="D93" s="83" t="s">
        <v>118</v>
      </c>
      <c r="E93" s="242">
        <v>2</v>
      </c>
      <c r="F93" s="302">
        <v>2</v>
      </c>
      <c r="G93" s="77" t="s">
        <v>28</v>
      </c>
      <c r="H93" s="266">
        <f>S93/$H$81</f>
        <v>12944.228971962617</v>
      </c>
      <c r="I93" s="67">
        <f>F93*H93</f>
        <v>25888.457943925234</v>
      </c>
      <c r="J93" s="266">
        <f>T93/$H$81</f>
        <v>2284.2757009345796</v>
      </c>
      <c r="K93" s="67">
        <f t="shared" ref="K93" si="127">F93*J93</f>
        <v>4568.5514018691592</v>
      </c>
      <c r="L93" s="72">
        <f t="shared" ref="L93" si="128">I93+K93</f>
        <v>30457.009345794395</v>
      </c>
      <c r="M93" s="67">
        <f>H93/$P$255*$P$263</f>
        <v>17734.434691302711</v>
      </c>
      <c r="N93" s="67">
        <f>J93/$P$255*$P$263</f>
        <v>3129.6061219945964</v>
      </c>
      <c r="O93" s="72">
        <f t="shared" ref="O93" si="129">N93+M93</f>
        <v>20864.040813297306</v>
      </c>
      <c r="P93" s="203">
        <f t="shared" ref="P93" si="130">O93*F93</f>
        <v>41728.081626594612</v>
      </c>
      <c r="Q93" s="272">
        <f t="shared" si="106"/>
        <v>41728.08162659462</v>
      </c>
      <c r="R93" s="439">
        <f t="shared" si="105"/>
        <v>0</v>
      </c>
      <c r="S93" s="328">
        <f>18105*0.85*0.9</f>
        <v>13850.325000000001</v>
      </c>
      <c r="T93" s="328">
        <f>18105*0.15*0.9</f>
        <v>2444.1750000000002</v>
      </c>
      <c r="W93" s="878" t="s">
        <v>252</v>
      </c>
      <c r="X93" s="878"/>
      <c r="Y93" s="878"/>
      <c r="Z93" s="124" t="s">
        <v>253</v>
      </c>
      <c r="AA93" s="149">
        <v>0.25</v>
      </c>
      <c r="AB93" s="149">
        <v>0.25</v>
      </c>
      <c r="AC93" s="123">
        <f>260/1.06</f>
        <v>245.28301886792451</v>
      </c>
      <c r="AD93" s="196">
        <f>AC93*AB93</f>
        <v>61.320754716981128</v>
      </c>
      <c r="AE93" s="149"/>
      <c r="AF93" s="219">
        <f>AE93*AB93</f>
        <v>0</v>
      </c>
    </row>
    <row r="94" spans="1:32" x14ac:dyDescent="0.25">
      <c r="A94" s="238"/>
      <c r="B94" s="245"/>
      <c r="C94" s="293"/>
      <c r="D94" s="83" t="s">
        <v>51</v>
      </c>
      <c r="E94" s="242"/>
      <c r="F94" s="302"/>
      <c r="G94" s="75"/>
      <c r="H94" s="74"/>
      <c r="I94" s="74"/>
      <c r="J94" s="74"/>
      <c r="K94" s="74"/>
      <c r="L94" s="74"/>
      <c r="M94" s="72"/>
      <c r="N94" s="72"/>
      <c r="O94" s="72"/>
      <c r="P94" s="205"/>
      <c r="Q94" s="272">
        <f t="shared" si="106"/>
        <v>0</v>
      </c>
      <c r="R94" s="439">
        <f t="shared" si="105"/>
        <v>0</v>
      </c>
      <c r="S94" s="74"/>
      <c r="T94" s="74"/>
      <c r="W94" s="878" t="s">
        <v>254</v>
      </c>
      <c r="X94" s="878"/>
      <c r="Y94" s="878"/>
      <c r="Z94" s="124" t="s">
        <v>255</v>
      </c>
      <c r="AA94" s="149">
        <v>0.25</v>
      </c>
      <c r="AB94" s="149">
        <v>0.35</v>
      </c>
      <c r="AC94" s="123">
        <f>37/1.06</f>
        <v>34.905660377358487</v>
      </c>
      <c r="AD94" s="196">
        <f>AC94*AB94</f>
        <v>12.216981132075469</v>
      </c>
      <c r="AE94" s="149"/>
      <c r="AF94" s="219">
        <f>AE94*AB94</f>
        <v>0</v>
      </c>
    </row>
    <row r="95" spans="1:32" x14ac:dyDescent="0.25">
      <c r="A95" s="238"/>
      <c r="B95" s="249"/>
      <c r="C95" s="293">
        <v>7</v>
      </c>
      <c r="D95" s="83" t="s">
        <v>119</v>
      </c>
      <c r="E95" s="242">
        <v>4</v>
      </c>
      <c r="F95" s="302">
        <v>4</v>
      </c>
      <c r="G95" s="77" t="s">
        <v>28</v>
      </c>
      <c r="H95" s="266">
        <f>S95/$H$81</f>
        <v>6563.2710280373831</v>
      </c>
      <c r="I95" s="67">
        <f>F95*H95</f>
        <v>26253.084112149532</v>
      </c>
      <c r="J95" s="266">
        <f>T95/$H$81</f>
        <v>1158.2242990654204</v>
      </c>
      <c r="K95" s="67">
        <f t="shared" ref="K95" si="131">F95*J95</f>
        <v>4632.8971962616815</v>
      </c>
      <c r="L95" s="72">
        <f t="shared" ref="L95" si="132">I95+K95</f>
        <v>30885.981308411214</v>
      </c>
      <c r="M95" s="67">
        <f>H95/$P$255*$P$263</f>
        <v>8992.1077308013755</v>
      </c>
      <c r="N95" s="67">
        <f>J95/$P$255*$P$263</f>
        <v>1586.842540729654</v>
      </c>
      <c r="O95" s="72">
        <f t="shared" ref="O95" si="133">N95+M95</f>
        <v>10578.95027153103</v>
      </c>
      <c r="P95" s="203">
        <f t="shared" ref="P95" si="134">O95*F95</f>
        <v>42315.80108612412</v>
      </c>
      <c r="Q95" s="272">
        <f t="shared" si="106"/>
        <v>42315.801086124113</v>
      </c>
      <c r="R95" s="439">
        <f t="shared" si="105"/>
        <v>0</v>
      </c>
      <c r="S95" s="328">
        <f>9180*0.85*0.9</f>
        <v>7022.7</v>
      </c>
      <c r="T95" s="328">
        <f>9180*0.15*0.9</f>
        <v>1239.3</v>
      </c>
      <c r="W95" s="878" t="s">
        <v>256</v>
      </c>
      <c r="X95" s="878"/>
      <c r="Y95" s="878"/>
      <c r="Z95" s="124" t="s">
        <v>257</v>
      </c>
      <c r="AA95" s="149">
        <v>1</v>
      </c>
      <c r="AB95" s="149">
        <v>1</v>
      </c>
      <c r="AC95" s="123">
        <v>0</v>
      </c>
      <c r="AD95" s="196">
        <f>AC95*AB95</f>
        <v>0</v>
      </c>
      <c r="AE95" s="149">
        <v>0</v>
      </c>
      <c r="AF95" s="219">
        <f>AE95*AB95</f>
        <v>0</v>
      </c>
    </row>
    <row r="96" spans="1:32" x14ac:dyDescent="0.25">
      <c r="A96" s="238"/>
      <c r="B96" s="245"/>
      <c r="C96" s="293"/>
      <c r="D96" s="83" t="s">
        <v>38</v>
      </c>
      <c r="E96" s="242"/>
      <c r="F96" s="302"/>
      <c r="G96" s="75"/>
      <c r="H96" s="74"/>
      <c r="I96" s="74"/>
      <c r="J96" s="74"/>
      <c r="K96" s="74"/>
      <c r="L96" s="74"/>
      <c r="M96" s="72"/>
      <c r="N96" s="72"/>
      <c r="O96" s="72"/>
      <c r="P96" s="205"/>
      <c r="Q96" s="272">
        <f t="shared" si="106"/>
        <v>0</v>
      </c>
      <c r="R96" s="439">
        <f t="shared" si="105"/>
        <v>0</v>
      </c>
      <c r="S96" s="74"/>
      <c r="T96" s="74"/>
      <c r="W96" s="126"/>
      <c r="X96" s="126"/>
      <c r="Y96" s="126"/>
      <c r="Z96" s="126"/>
      <c r="AA96" s="149"/>
      <c r="AB96" s="149"/>
      <c r="AC96" s="123"/>
      <c r="AD96" s="212">
        <f>SUM(AD92:AD95)</f>
        <v>1177.3113207547169</v>
      </c>
      <c r="AE96" s="148"/>
      <c r="AF96" s="212">
        <f>SUM(AF92:AF95)</f>
        <v>215.1</v>
      </c>
    </row>
    <row r="97" spans="1:32" x14ac:dyDescent="0.25">
      <c r="A97" s="238"/>
      <c r="B97" s="249"/>
      <c r="C97" s="293">
        <v>8</v>
      </c>
      <c r="D97" s="83" t="s">
        <v>120</v>
      </c>
      <c r="E97" s="242">
        <v>1</v>
      </c>
      <c r="F97" s="302">
        <v>1</v>
      </c>
      <c r="G97" s="77" t="s">
        <v>55</v>
      </c>
      <c r="H97" s="266">
        <f>S97/$H$81</f>
        <v>3281.6355140186915</v>
      </c>
      <c r="I97" s="67">
        <f>F97*H97</f>
        <v>3281.6355140186915</v>
      </c>
      <c r="J97" s="266">
        <f>T97/$H$81</f>
        <v>579.11214953271019</v>
      </c>
      <c r="K97" s="67">
        <f t="shared" ref="K97" si="135">F97*J97</f>
        <v>579.11214953271019</v>
      </c>
      <c r="L97" s="72">
        <f t="shared" ref="L97" si="136">I97+K97</f>
        <v>3860.7476635514017</v>
      </c>
      <c r="M97" s="67">
        <f>H97/$P$255*$P$263</f>
        <v>4496.0538654006878</v>
      </c>
      <c r="N97" s="67">
        <f>J97/$P$255*$P$263</f>
        <v>793.42127036482702</v>
      </c>
      <c r="O97" s="72">
        <f t="shared" ref="O97" si="137">N97+M97</f>
        <v>5289.475135765515</v>
      </c>
      <c r="P97" s="203">
        <f t="shared" ref="P97" si="138">O97*F97</f>
        <v>5289.475135765515</v>
      </c>
      <c r="Q97" s="272">
        <f t="shared" si="106"/>
        <v>5289.4751357655141</v>
      </c>
      <c r="R97" s="439">
        <f t="shared" si="105"/>
        <v>0</v>
      </c>
      <c r="S97" s="328">
        <f>4590*0.85*0.9</f>
        <v>3511.35</v>
      </c>
      <c r="T97" s="328">
        <f>4590*0.15*0.9</f>
        <v>619.65</v>
      </c>
    </row>
    <row r="98" spans="1:32" x14ac:dyDescent="0.25">
      <c r="A98" s="238"/>
      <c r="B98" s="245"/>
      <c r="C98" s="293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2"/>
      <c r="N98" s="72"/>
      <c r="O98" s="72"/>
      <c r="P98" s="205"/>
      <c r="Q98" s="272">
        <f t="shared" si="106"/>
        <v>0</v>
      </c>
      <c r="R98" s="439">
        <f t="shared" si="105"/>
        <v>0</v>
      </c>
      <c r="S98" s="74"/>
      <c r="T98" s="74"/>
    </row>
    <row r="99" spans="1:32" x14ac:dyDescent="0.25">
      <c r="A99" s="238"/>
      <c r="B99" s="249"/>
      <c r="C99" s="293">
        <v>9</v>
      </c>
      <c r="D99" s="83" t="s">
        <v>121</v>
      </c>
      <c r="E99" s="242">
        <v>1</v>
      </c>
      <c r="F99" s="302">
        <v>1</v>
      </c>
      <c r="G99" s="77" t="s">
        <v>55</v>
      </c>
      <c r="H99" s="72">
        <f>S99/$H$81</f>
        <v>146022.05607476635</v>
      </c>
      <c r="I99" s="67">
        <f>F99*H99</f>
        <v>146022.05607476635</v>
      </c>
      <c r="J99" s="72">
        <f>T99/$H$81</f>
        <v>25768.598130841117</v>
      </c>
      <c r="K99" s="67">
        <f t="shared" ref="K99" si="139">F99*J99</f>
        <v>25768.598130841117</v>
      </c>
      <c r="L99" s="72">
        <f t="shared" ref="L99" si="140">I99+K99</f>
        <v>171790.65420560748</v>
      </c>
      <c r="M99" s="67">
        <f>H99/$P$255*$P$263</f>
        <v>200059.70402384235</v>
      </c>
      <c r="N99" s="67">
        <f>J99/$P$255*$P$263</f>
        <v>35304.653651266293</v>
      </c>
      <c r="O99" s="72">
        <f t="shared" ref="O99" si="141">N99+M99</f>
        <v>235364.35767510865</v>
      </c>
      <c r="P99" s="203">
        <f t="shared" ref="P99" si="142">O99*F99</f>
        <v>235364.35767510865</v>
      </c>
      <c r="Q99" s="272">
        <f t="shared" si="106"/>
        <v>235364.35767510865</v>
      </c>
      <c r="R99" s="439">
        <f t="shared" si="105"/>
        <v>0</v>
      </c>
      <c r="S99" s="72">
        <f>183816*0.85</f>
        <v>156243.6</v>
      </c>
      <c r="T99" s="72">
        <f>183816*0.15</f>
        <v>27572.399999999998</v>
      </c>
      <c r="W99" s="900" t="s">
        <v>351</v>
      </c>
      <c r="X99" s="900"/>
      <c r="Y99" s="900"/>
      <c r="Z99" s="148" t="s">
        <v>243</v>
      </c>
      <c r="AA99" s="148" t="s">
        <v>244</v>
      </c>
      <c r="AB99" s="148" t="s">
        <v>245</v>
      </c>
      <c r="AC99" s="123" t="s">
        <v>246</v>
      </c>
      <c r="AD99" s="123" t="s">
        <v>247</v>
      </c>
      <c r="AE99" s="148" t="s">
        <v>248</v>
      </c>
      <c r="AF99" s="148" t="s">
        <v>249</v>
      </c>
    </row>
    <row r="100" spans="1:32" x14ac:dyDescent="0.25">
      <c r="A100" s="238"/>
      <c r="B100" s="245"/>
      <c r="C100" s="293"/>
      <c r="D100" s="83" t="s">
        <v>54</v>
      </c>
      <c r="E100" s="242"/>
      <c r="F100" s="302"/>
      <c r="G100" s="77"/>
      <c r="H100" s="74"/>
      <c r="I100" s="74"/>
      <c r="J100" s="74"/>
      <c r="K100" s="74"/>
      <c r="L100" s="72"/>
      <c r="M100" s="72"/>
      <c r="N100" s="72"/>
      <c r="O100" s="72"/>
      <c r="P100" s="205"/>
      <c r="Q100" s="272">
        <f t="shared" si="106"/>
        <v>0</v>
      </c>
      <c r="R100" s="439">
        <f t="shared" si="105"/>
        <v>0</v>
      </c>
      <c r="S100" s="74"/>
      <c r="T100" s="74"/>
      <c r="W100" s="878" t="s">
        <v>353</v>
      </c>
      <c r="X100" s="878"/>
      <c r="Y100" s="878"/>
      <c r="Z100" s="124" t="s">
        <v>251</v>
      </c>
      <c r="AA100" s="149">
        <v>8.33</v>
      </c>
      <c r="AB100" s="149">
        <v>9</v>
      </c>
      <c r="AC100" s="123">
        <f>143/1.06</f>
        <v>134.90566037735849</v>
      </c>
      <c r="AD100" s="123">
        <f>AC100*AB100</f>
        <v>1214.1509433962265</v>
      </c>
      <c r="AE100" s="149">
        <f>AE92</f>
        <v>23.9</v>
      </c>
      <c r="AF100" s="219">
        <f>AE100*AB100</f>
        <v>215.1</v>
      </c>
    </row>
    <row r="101" spans="1:32" x14ac:dyDescent="0.25">
      <c r="A101" s="238"/>
      <c r="B101" s="249"/>
      <c r="C101" s="293">
        <v>10</v>
      </c>
      <c r="D101" s="83" t="s">
        <v>122</v>
      </c>
      <c r="E101" s="242">
        <v>1</v>
      </c>
      <c r="F101" s="302">
        <v>1</v>
      </c>
      <c r="G101" s="77" t="s">
        <v>55</v>
      </c>
      <c r="H101" s="72">
        <f>S101/$H$81</f>
        <v>159048.50467289719</v>
      </c>
      <c r="I101" s="67">
        <f>F101*H101</f>
        <v>159048.50467289719</v>
      </c>
      <c r="J101" s="72">
        <f>T101/$H$81</f>
        <v>28067.383177570089</v>
      </c>
      <c r="K101" s="67">
        <f t="shared" ref="K101" si="143">F101*J101</f>
        <v>28067.383177570089</v>
      </c>
      <c r="L101" s="72">
        <f t="shared" ref="L101" si="144">I101+K101</f>
        <v>187115.88785046729</v>
      </c>
      <c r="M101" s="67">
        <f>H101/$P$255*$P$263</f>
        <v>217906.78494488823</v>
      </c>
      <c r="N101" s="67">
        <f>J101/$P$255*$P$263</f>
        <v>38454.138519686152</v>
      </c>
      <c r="O101" s="72">
        <f t="shared" ref="O101" si="145">N101+M101</f>
        <v>256360.92346457439</v>
      </c>
      <c r="P101" s="203">
        <f t="shared" ref="P101" si="146">O101*F101</f>
        <v>256360.92346457439</v>
      </c>
      <c r="Q101" s="272">
        <f t="shared" si="106"/>
        <v>256360.92346457436</v>
      </c>
      <c r="R101" s="439">
        <f t="shared" si="105"/>
        <v>0</v>
      </c>
      <c r="S101" s="72">
        <f>200214*0.85</f>
        <v>170181.9</v>
      </c>
      <c r="T101" s="72">
        <f>200214*0.15</f>
        <v>30032.1</v>
      </c>
      <c r="W101" s="878" t="s">
        <v>252</v>
      </c>
      <c r="X101" s="878"/>
      <c r="Y101" s="878"/>
      <c r="Z101" s="124" t="s">
        <v>253</v>
      </c>
      <c r="AA101" s="149">
        <v>0.25</v>
      </c>
      <c r="AB101" s="149">
        <v>0.25</v>
      </c>
      <c r="AC101" s="123">
        <f>260/1.06</f>
        <v>245.28301886792451</v>
      </c>
      <c r="AD101" s="123">
        <f>AC101*AB101</f>
        <v>61.320754716981128</v>
      </c>
      <c r="AE101" s="149"/>
      <c r="AF101" s="219">
        <f>AE101*AB101</f>
        <v>0</v>
      </c>
    </row>
    <row r="102" spans="1:32" x14ac:dyDescent="0.25">
      <c r="A102" s="238"/>
      <c r="B102" s="245"/>
      <c r="C102" s="293"/>
      <c r="D102" s="83" t="s">
        <v>37</v>
      </c>
      <c r="E102" s="242"/>
      <c r="F102" s="302"/>
      <c r="G102" s="77"/>
      <c r="H102" s="74"/>
      <c r="I102" s="74"/>
      <c r="J102" s="74"/>
      <c r="K102" s="74"/>
      <c r="L102" s="72"/>
      <c r="M102" s="72"/>
      <c r="N102" s="72"/>
      <c r="O102" s="72"/>
      <c r="P102" s="205"/>
      <c r="Q102" s="272">
        <f t="shared" si="106"/>
        <v>0</v>
      </c>
      <c r="R102" s="439">
        <f t="shared" si="105"/>
        <v>0</v>
      </c>
      <c r="S102" s="74"/>
      <c r="T102" s="74"/>
      <c r="U102" s="273"/>
      <c r="V102" s="273"/>
      <c r="W102" s="878" t="s">
        <v>254</v>
      </c>
      <c r="X102" s="878"/>
      <c r="Y102" s="878"/>
      <c r="Z102" s="124" t="s">
        <v>255</v>
      </c>
      <c r="AA102" s="149">
        <v>0.25</v>
      </c>
      <c r="AB102" s="149">
        <v>0.35</v>
      </c>
      <c r="AC102" s="123">
        <f>37/1.06</f>
        <v>34.905660377358487</v>
      </c>
      <c r="AD102" s="123">
        <f>AC102*AB102</f>
        <v>12.216981132075469</v>
      </c>
      <c r="AE102" s="149"/>
      <c r="AF102" s="219">
        <f>AE102*AB102</f>
        <v>0</v>
      </c>
    </row>
    <row r="103" spans="1:32" x14ac:dyDescent="0.25">
      <c r="A103" s="238"/>
      <c r="B103" s="249"/>
      <c r="C103" s="293">
        <v>11</v>
      </c>
      <c r="D103" s="83" t="s">
        <v>123</v>
      </c>
      <c r="E103" s="242">
        <v>24</v>
      </c>
      <c r="F103" s="302">
        <v>24</v>
      </c>
      <c r="G103" s="77" t="s">
        <v>28</v>
      </c>
      <c r="H103" s="72">
        <f>S103/$H$81</f>
        <v>14585.046728971962</v>
      </c>
      <c r="I103" s="67">
        <f>F103*H103</f>
        <v>350041.1214953271</v>
      </c>
      <c r="J103" s="72">
        <f>T103/$H$81</f>
        <v>2573.8317757009345</v>
      </c>
      <c r="K103" s="67">
        <f t="shared" ref="K103" si="147">F103*J103</f>
        <v>61771.962616822428</v>
      </c>
      <c r="L103" s="72">
        <f t="shared" ref="L103" si="148">I103+K103</f>
        <v>411813.08411214955</v>
      </c>
      <c r="M103" s="67">
        <f>H103/$P$255*$P$263</f>
        <v>19982.461624003052</v>
      </c>
      <c r="N103" s="67">
        <f>J103/$P$255*$P$263</f>
        <v>3526.3167571770095</v>
      </c>
      <c r="O103" s="72">
        <f t="shared" ref="O103" si="149">N103+M103</f>
        <v>23508.778381180062</v>
      </c>
      <c r="P103" s="203">
        <f t="shared" ref="P103" si="150">O103*F103</f>
        <v>564210.68114832148</v>
      </c>
      <c r="Q103" s="272">
        <f t="shared" si="106"/>
        <v>564210.68114832148</v>
      </c>
      <c r="R103" s="439">
        <f t="shared" si="105"/>
        <v>0</v>
      </c>
      <c r="S103" s="72">
        <f>18360*0.85</f>
        <v>15606</v>
      </c>
      <c r="T103" s="72">
        <f>18360*0.15</f>
        <v>2754</v>
      </c>
      <c r="U103" s="273"/>
      <c r="V103" s="273"/>
      <c r="W103" s="878" t="s">
        <v>256</v>
      </c>
      <c r="X103" s="878"/>
      <c r="Y103" s="878"/>
      <c r="Z103" s="124" t="s">
        <v>257</v>
      </c>
      <c r="AA103" s="149">
        <v>1</v>
      </c>
      <c r="AB103" s="149">
        <v>1</v>
      </c>
      <c r="AC103" s="123">
        <f>AX104</f>
        <v>0</v>
      </c>
      <c r="AD103" s="123">
        <f>AC103*AB103</f>
        <v>0</v>
      </c>
      <c r="AE103" s="149"/>
      <c r="AF103" s="219">
        <f>AE103*AB103</f>
        <v>0</v>
      </c>
    </row>
    <row r="104" spans="1:32" x14ac:dyDescent="0.25">
      <c r="A104" s="238"/>
      <c r="B104" s="245"/>
      <c r="C104" s="293"/>
      <c r="D104" s="83" t="s">
        <v>52</v>
      </c>
      <c r="E104" s="242"/>
      <c r="F104" s="302"/>
      <c r="G104" s="75"/>
      <c r="H104" s="74"/>
      <c r="I104" s="74"/>
      <c r="J104" s="74"/>
      <c r="K104" s="74"/>
      <c r="L104" s="72"/>
      <c r="M104" s="72"/>
      <c r="N104" s="72"/>
      <c r="O104" s="72"/>
      <c r="P104" s="205"/>
      <c r="Q104" s="272">
        <f t="shared" si="106"/>
        <v>0</v>
      </c>
      <c r="R104" s="439">
        <f t="shared" si="105"/>
        <v>0</v>
      </c>
      <c r="S104" s="74"/>
      <c r="T104" s="74"/>
      <c r="U104" s="273"/>
      <c r="V104" s="273"/>
      <c r="W104" s="126"/>
      <c r="X104" s="126"/>
      <c r="Y104" s="126"/>
      <c r="Z104" s="126"/>
      <c r="AA104" s="149"/>
      <c r="AB104" s="149"/>
      <c r="AC104" s="123"/>
      <c r="AD104" s="212">
        <f>SUM(AD100:AD103)</f>
        <v>1287.6886792452831</v>
      </c>
      <c r="AE104" s="148"/>
      <c r="AF104" s="212">
        <f>SUM(AF100:AF103)</f>
        <v>215.1</v>
      </c>
    </row>
    <row r="105" spans="1:32" x14ac:dyDescent="0.25">
      <c r="A105" s="238"/>
      <c r="B105" s="245"/>
      <c r="C105" s="293"/>
      <c r="D105" s="83" t="s">
        <v>58</v>
      </c>
      <c r="E105" s="242"/>
      <c r="F105" s="302"/>
      <c r="G105" s="75"/>
      <c r="H105" s="74"/>
      <c r="I105" s="74"/>
      <c r="J105" s="74"/>
      <c r="K105" s="74"/>
      <c r="L105" s="72"/>
      <c r="M105" s="72"/>
      <c r="N105" s="72"/>
      <c r="O105" s="72"/>
      <c r="P105" s="205"/>
      <c r="Q105" s="272">
        <f t="shared" si="106"/>
        <v>0</v>
      </c>
      <c r="R105" s="439">
        <f t="shared" si="105"/>
        <v>0</v>
      </c>
      <c r="S105" s="74"/>
      <c r="T105" s="74"/>
      <c r="U105" s="273"/>
      <c r="V105" s="273"/>
      <c r="W105" s="338"/>
      <c r="X105" s="338"/>
      <c r="Y105" s="339"/>
      <c r="Z105" s="340"/>
      <c r="AA105" s="340"/>
      <c r="AB105" s="340"/>
      <c r="AC105" s="341"/>
      <c r="AD105" s="150"/>
      <c r="AE105" s="342"/>
      <c r="AF105" s="212"/>
    </row>
    <row r="106" spans="1:32" x14ac:dyDescent="0.25">
      <c r="A106" s="238"/>
      <c r="B106" s="249"/>
      <c r="C106" s="293">
        <v>12</v>
      </c>
      <c r="D106" s="83" t="s">
        <v>124</v>
      </c>
      <c r="E106" s="242">
        <v>1</v>
      </c>
      <c r="F106" s="302">
        <v>1</v>
      </c>
      <c r="G106" s="77" t="s">
        <v>55</v>
      </c>
      <c r="H106" s="72">
        <f>S106/$H$81</f>
        <v>19446.728971962617</v>
      </c>
      <c r="I106" s="67">
        <f>F106*H106</f>
        <v>19446.728971962617</v>
      </c>
      <c r="J106" s="72">
        <f>T106/$H$81</f>
        <v>3431.7757009345792</v>
      </c>
      <c r="K106" s="67">
        <f t="shared" ref="K106" si="151">F106*J106</f>
        <v>3431.7757009345792</v>
      </c>
      <c r="L106" s="72">
        <f t="shared" ref="L106" si="152">I106+K106</f>
        <v>22878.504672897197</v>
      </c>
      <c r="M106" s="67">
        <f>H106/$P$255*$P$263</f>
        <v>26643.282165337409</v>
      </c>
      <c r="N106" s="67">
        <f>J106/$P$255*$P$263</f>
        <v>4701.7556762360127</v>
      </c>
      <c r="O106" s="72">
        <f t="shared" ref="O106" si="153">N106+M106</f>
        <v>31345.037841573423</v>
      </c>
      <c r="P106" s="203">
        <f t="shared" ref="P106" si="154">O106*F106</f>
        <v>31345.037841573423</v>
      </c>
      <c r="Q106" s="272">
        <f t="shared" si="106"/>
        <v>31345.037841573419</v>
      </c>
      <c r="R106" s="439">
        <f t="shared" si="105"/>
        <v>0</v>
      </c>
      <c r="S106" s="72">
        <f>24480*0.85</f>
        <v>20808</v>
      </c>
      <c r="T106" s="72">
        <f>24480*0.15</f>
        <v>3672</v>
      </c>
      <c r="U106" s="273"/>
      <c r="V106" s="273"/>
      <c r="W106" s="905"/>
      <c r="X106" s="905"/>
      <c r="Y106" s="343"/>
      <c r="Z106" s="336"/>
      <c r="AA106" s="336"/>
      <c r="AB106" s="344"/>
      <c r="AC106" s="345"/>
      <c r="AD106" s="337"/>
      <c r="AE106" s="342"/>
      <c r="AF106" s="220"/>
    </row>
    <row r="107" spans="1:32" x14ac:dyDescent="0.25">
      <c r="A107" s="238"/>
      <c r="B107" s="245"/>
      <c r="C107" s="293"/>
      <c r="D107" s="83" t="s">
        <v>53</v>
      </c>
      <c r="E107" s="242"/>
      <c r="F107" s="302"/>
      <c r="G107" s="75"/>
      <c r="H107" s="74"/>
      <c r="I107" s="74"/>
      <c r="J107" s="74"/>
      <c r="K107" s="74"/>
      <c r="L107" s="72"/>
      <c r="M107" s="72"/>
      <c r="N107" s="72"/>
      <c r="O107" s="72"/>
      <c r="P107" s="205"/>
      <c r="Q107" s="272">
        <f t="shared" si="106"/>
        <v>0</v>
      </c>
      <c r="R107" s="439">
        <f t="shared" si="105"/>
        <v>0</v>
      </c>
      <c r="S107" s="74"/>
      <c r="T107" s="74"/>
      <c r="U107" s="273"/>
      <c r="V107" s="273"/>
      <c r="W107" s="905"/>
      <c r="X107" s="905"/>
      <c r="Y107" s="343"/>
      <c r="Z107" s="336"/>
      <c r="AA107" s="336"/>
      <c r="AB107" s="344"/>
      <c r="AC107" s="345"/>
      <c r="AD107" s="337"/>
      <c r="AE107" s="342"/>
      <c r="AF107" s="220"/>
    </row>
    <row r="108" spans="1:32" x14ac:dyDescent="0.25">
      <c r="A108" s="238"/>
      <c r="B108" s="245"/>
      <c r="C108" s="293"/>
      <c r="D108" s="83" t="s">
        <v>59</v>
      </c>
      <c r="E108" s="242"/>
      <c r="F108" s="302"/>
      <c r="G108" s="75"/>
      <c r="H108" s="74"/>
      <c r="I108" s="74"/>
      <c r="J108" s="74"/>
      <c r="K108" s="74"/>
      <c r="L108" s="72"/>
      <c r="M108" s="72"/>
      <c r="N108" s="72"/>
      <c r="O108" s="72"/>
      <c r="P108" s="205"/>
      <c r="Q108" s="272">
        <f t="shared" si="106"/>
        <v>0</v>
      </c>
      <c r="R108" s="439">
        <f t="shared" si="105"/>
        <v>0</v>
      </c>
      <c r="S108" s="74"/>
      <c r="T108" s="74"/>
      <c r="U108" s="273"/>
      <c r="V108" s="273"/>
      <c r="W108" s="126"/>
      <c r="X108" s="126"/>
      <c r="Y108" s="126"/>
      <c r="Z108" s="126"/>
      <c r="AA108" s="126"/>
      <c r="AB108" s="126"/>
      <c r="AC108" s="346"/>
      <c r="AD108" s="337"/>
      <c r="AE108" s="342"/>
      <c r="AF108" s="212"/>
    </row>
    <row r="109" spans="1:32" ht="15" customHeight="1" x14ac:dyDescent="0.25">
      <c r="A109" s="238"/>
      <c r="B109" s="249"/>
      <c r="C109" s="293">
        <v>13</v>
      </c>
      <c r="D109" s="83" t="s">
        <v>125</v>
      </c>
      <c r="E109" s="242">
        <v>1</v>
      </c>
      <c r="F109" s="302">
        <v>1</v>
      </c>
      <c r="G109" s="77" t="s">
        <v>55</v>
      </c>
      <c r="H109" s="72">
        <f>S109/$H$81</f>
        <v>62725.233644859807</v>
      </c>
      <c r="I109" s="67">
        <f>F109*H109</f>
        <v>62725.233644859807</v>
      </c>
      <c r="J109" s="72">
        <f>T109/$H$81</f>
        <v>11069.158878504672</v>
      </c>
      <c r="K109" s="67">
        <f t="shared" ref="K109" si="155">F109*J109</f>
        <v>11069.158878504672</v>
      </c>
      <c r="L109" s="72">
        <f t="shared" ref="L109" si="156">I109+K109</f>
        <v>73794.392523364484</v>
      </c>
      <c r="M109" s="67">
        <f>H109/$P$255*$P$263</f>
        <v>85937.645415647115</v>
      </c>
      <c r="N109" s="67">
        <f>J109/$P$255*$P$263</f>
        <v>15165.466838055372</v>
      </c>
      <c r="O109" s="72">
        <f t="shared" ref="O109" si="157">N109+M109</f>
        <v>101103.11225370249</v>
      </c>
      <c r="P109" s="203">
        <f t="shared" ref="P109" si="158">O109*F109</f>
        <v>101103.11225370249</v>
      </c>
      <c r="Q109" s="272">
        <f t="shared" si="106"/>
        <v>101103.11225370249</v>
      </c>
      <c r="R109" s="439">
        <f t="shared" si="105"/>
        <v>0</v>
      </c>
      <c r="S109" s="72">
        <f>(65520+7560+5880)*0.85</f>
        <v>67116</v>
      </c>
      <c r="T109" s="72">
        <f>(65520+7560+5880)*0.15</f>
        <v>11844</v>
      </c>
      <c r="W109" s="126"/>
      <c r="X109" s="126"/>
      <c r="Y109" s="126"/>
      <c r="Z109" s="126"/>
      <c r="AA109" s="126"/>
      <c r="AB109" s="126"/>
      <c r="AC109" s="127"/>
      <c r="AD109" s="213"/>
      <c r="AE109" s="126"/>
      <c r="AF109" s="219"/>
    </row>
    <row r="110" spans="1:32" x14ac:dyDescent="0.25">
      <c r="A110" s="238"/>
      <c r="B110" s="245"/>
      <c r="C110" s="293"/>
      <c r="D110" s="83" t="s">
        <v>164</v>
      </c>
      <c r="E110" s="242"/>
      <c r="F110" s="302"/>
      <c r="G110" s="75"/>
      <c r="H110" s="74"/>
      <c r="I110" s="74"/>
      <c r="J110" s="74"/>
      <c r="K110" s="74"/>
      <c r="L110" s="72"/>
      <c r="M110" s="72"/>
      <c r="N110" s="72"/>
      <c r="O110" s="72"/>
      <c r="P110" s="205"/>
      <c r="Q110" s="272">
        <f t="shared" si="106"/>
        <v>0</v>
      </c>
      <c r="R110" s="439">
        <f t="shared" si="105"/>
        <v>0</v>
      </c>
      <c r="S110" s="74"/>
      <c r="T110" s="74"/>
      <c r="W110" s="880" t="s">
        <v>267</v>
      </c>
      <c r="X110" s="880"/>
      <c r="Y110" s="141" t="s">
        <v>243</v>
      </c>
      <c r="Z110" s="141" t="s">
        <v>244</v>
      </c>
      <c r="AA110" s="141" t="s">
        <v>245</v>
      </c>
      <c r="AB110" s="141" t="s">
        <v>246</v>
      </c>
      <c r="AC110" s="141" t="s">
        <v>247</v>
      </c>
      <c r="AD110" s="216" t="s">
        <v>248</v>
      </c>
      <c r="AE110" s="141" t="s">
        <v>249</v>
      </c>
      <c r="AF110" s="219"/>
    </row>
    <row r="111" spans="1:32" x14ac:dyDescent="0.25">
      <c r="A111" s="238"/>
      <c r="B111" s="249"/>
      <c r="C111" s="293">
        <v>14</v>
      </c>
      <c r="D111" s="83" t="s">
        <v>126</v>
      </c>
      <c r="E111" s="242">
        <v>1</v>
      </c>
      <c r="F111" s="302">
        <v>1</v>
      </c>
      <c r="G111" s="77" t="s">
        <v>55</v>
      </c>
      <c r="H111" s="72">
        <f>S111/$H$81</f>
        <v>120112.14953271027</v>
      </c>
      <c r="I111" s="67">
        <f>F111*H111</f>
        <v>120112.14953271027</v>
      </c>
      <c r="J111" s="72">
        <f>T111/$H$81</f>
        <v>21196.261682242988</v>
      </c>
      <c r="K111" s="67">
        <f t="shared" ref="K111" si="159">F111*J111</f>
        <v>21196.261682242988</v>
      </c>
      <c r="L111" s="72">
        <f t="shared" ref="L111" si="160">I111+K111</f>
        <v>141308.41121495326</v>
      </c>
      <c r="M111" s="67">
        <f>H111/$P$255*$P$263</f>
        <v>164561.44866826045</v>
      </c>
      <c r="N111" s="67">
        <f>J111/$P$255*$P$263</f>
        <v>29040.25564734008</v>
      </c>
      <c r="O111" s="72">
        <f t="shared" ref="O111" si="161">N111+M111</f>
        <v>193601.70431560054</v>
      </c>
      <c r="P111" s="203">
        <f t="shared" ref="P111" si="162">O111*F111</f>
        <v>193601.70431560054</v>
      </c>
      <c r="Q111" s="272">
        <f t="shared" si="106"/>
        <v>193601.70431560051</v>
      </c>
      <c r="R111" s="439">
        <f t="shared" si="105"/>
        <v>0</v>
      </c>
      <c r="S111" s="72">
        <f>151200*0.85</f>
        <v>128520</v>
      </c>
      <c r="T111" s="72">
        <f>151200*0.15</f>
        <v>22680</v>
      </c>
      <c r="W111" s="142"/>
      <c r="X111" s="152" t="s">
        <v>265</v>
      </c>
      <c r="Y111" s="152" t="s">
        <v>268</v>
      </c>
      <c r="Z111" s="152">
        <v>8.0000000000000002E-3</v>
      </c>
      <c r="AA111" s="152">
        <v>0.01</v>
      </c>
      <c r="AB111" s="152">
        <v>1000</v>
      </c>
      <c r="AC111" s="152">
        <f>AB111*AA111</f>
        <v>10</v>
      </c>
      <c r="AD111" s="144">
        <v>600</v>
      </c>
      <c r="AE111" s="152">
        <f>AD111*AA111</f>
        <v>6</v>
      </c>
      <c r="AF111" s="219"/>
    </row>
    <row r="112" spans="1:32" x14ac:dyDescent="0.25">
      <c r="A112" s="238"/>
      <c r="B112" s="245"/>
      <c r="C112" s="293"/>
      <c r="D112" s="83" t="s">
        <v>164</v>
      </c>
      <c r="E112" s="242"/>
      <c r="F112" s="302"/>
      <c r="G112" s="75"/>
      <c r="H112" s="74"/>
      <c r="I112" s="74"/>
      <c r="J112" s="74"/>
      <c r="K112" s="74"/>
      <c r="L112" s="72"/>
      <c r="M112" s="72"/>
      <c r="N112" s="72"/>
      <c r="O112" s="72"/>
      <c r="P112" s="205"/>
      <c r="Q112" s="272">
        <f t="shared" si="106"/>
        <v>0</v>
      </c>
      <c r="R112" s="439">
        <f t="shared" si="105"/>
        <v>0</v>
      </c>
      <c r="S112" s="74"/>
      <c r="T112" s="74"/>
      <c r="W112" s="142"/>
      <c r="X112" s="152" t="s">
        <v>264</v>
      </c>
      <c r="Y112" s="152" t="s">
        <v>253</v>
      </c>
      <c r="Z112" s="152">
        <v>0.14399999999999999</v>
      </c>
      <c r="AA112" s="152">
        <v>0.17</v>
      </c>
      <c r="AB112" s="144">
        <f>230/1.075</f>
        <v>213.95348837209303</v>
      </c>
      <c r="AC112" s="144">
        <f>AB112*AA112</f>
        <v>36.372093023255822</v>
      </c>
      <c r="AD112" s="144">
        <v>150</v>
      </c>
      <c r="AE112" s="152">
        <f>AD112*AA112</f>
        <v>25.500000000000004</v>
      </c>
      <c r="AF112" s="212"/>
    </row>
    <row r="113" spans="1:32" x14ac:dyDescent="0.25">
      <c r="A113" s="238"/>
      <c r="B113" s="249"/>
      <c r="C113" s="293">
        <v>15</v>
      </c>
      <c r="D113" s="83" t="s">
        <v>127</v>
      </c>
      <c r="E113" s="242">
        <v>1</v>
      </c>
      <c r="F113" s="302">
        <v>1</v>
      </c>
      <c r="G113" s="77" t="s">
        <v>55</v>
      </c>
      <c r="H113" s="72">
        <f>S113/$H$81</f>
        <v>64059.813084112146</v>
      </c>
      <c r="I113" s="67">
        <f>F113*H113</f>
        <v>64059.813084112146</v>
      </c>
      <c r="J113" s="72">
        <f>T113/$H$81</f>
        <v>11304.67289719626</v>
      </c>
      <c r="K113" s="67">
        <f t="shared" ref="K113" si="163">F113*J113</f>
        <v>11304.67289719626</v>
      </c>
      <c r="L113" s="72">
        <f t="shared" ref="L113" si="164">I113+K113</f>
        <v>75364.485981308404</v>
      </c>
      <c r="M113" s="67">
        <f>H113/$P$255*$P$263</f>
        <v>87766.105956405561</v>
      </c>
      <c r="N113" s="67">
        <f>J113/$P$255*$P$263</f>
        <v>15488.13634524804</v>
      </c>
      <c r="O113" s="72">
        <f t="shared" ref="O113" si="165">N113+M113</f>
        <v>103254.2423016536</v>
      </c>
      <c r="P113" s="203">
        <f t="shared" ref="P113" si="166">O113*F113</f>
        <v>103254.2423016536</v>
      </c>
      <c r="Q113" s="272">
        <f t="shared" si="106"/>
        <v>103254.2423016536</v>
      </c>
      <c r="R113" s="439">
        <f t="shared" si="105"/>
        <v>0</v>
      </c>
      <c r="S113" s="72">
        <f>80640*0.85</f>
        <v>68544</v>
      </c>
      <c r="T113" s="72">
        <f>80640*0.15</f>
        <v>12096</v>
      </c>
      <c r="W113" s="142"/>
      <c r="X113" s="152" t="s">
        <v>269</v>
      </c>
      <c r="Y113" s="152" t="s">
        <v>253</v>
      </c>
      <c r="Z113" s="152">
        <v>5</v>
      </c>
      <c r="AA113" s="152">
        <v>5</v>
      </c>
      <c r="AB113" s="437">
        <f>50/1.05</f>
        <v>47.61904761904762</v>
      </c>
      <c r="AC113" s="437">
        <f>AB113*AA113</f>
        <v>238.0952380952381</v>
      </c>
      <c r="AD113" s="144">
        <v>20</v>
      </c>
      <c r="AE113" s="152">
        <f>AD113*AA113</f>
        <v>100</v>
      </c>
      <c r="AF113" s="220"/>
    </row>
    <row r="114" spans="1:32" x14ac:dyDescent="0.25">
      <c r="A114" s="238"/>
      <c r="B114" s="245"/>
      <c r="C114" s="293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2"/>
      <c r="N114" s="72"/>
      <c r="O114" s="72"/>
      <c r="P114" s="205"/>
      <c r="Q114" s="272">
        <f t="shared" si="106"/>
        <v>0</v>
      </c>
      <c r="R114" s="439">
        <f t="shared" si="105"/>
        <v>0</v>
      </c>
      <c r="S114" s="74"/>
      <c r="T114" s="74"/>
      <c r="W114" s="142"/>
      <c r="X114" s="145"/>
      <c r="Y114" s="145"/>
      <c r="Z114" s="145"/>
      <c r="AA114" s="145"/>
      <c r="AB114" s="145"/>
      <c r="AC114" s="146">
        <f>SUM(AC111:AC113)</f>
        <v>284.46733111849392</v>
      </c>
      <c r="AD114" s="217"/>
      <c r="AE114" s="147">
        <f>SUM(AE111:AE113)</f>
        <v>131.5</v>
      </c>
      <c r="AF114" s="220"/>
    </row>
    <row r="115" spans="1:32" x14ac:dyDescent="0.25">
      <c r="A115" s="238"/>
      <c r="B115" s="249"/>
      <c r="C115" s="293">
        <v>16</v>
      </c>
      <c r="D115" s="83" t="s">
        <v>128</v>
      </c>
      <c r="E115" s="242">
        <v>1</v>
      </c>
      <c r="F115" s="302">
        <v>1</v>
      </c>
      <c r="G115" s="77" t="s">
        <v>55</v>
      </c>
      <c r="H115" s="72">
        <f>S115/$H$81</f>
        <v>48845.607476635509</v>
      </c>
      <c r="I115" s="67">
        <f>F115*H115</f>
        <v>48845.607476635509</v>
      </c>
      <c r="J115" s="72">
        <f>T115/$H$81</f>
        <v>8619.8130841121474</v>
      </c>
      <c r="K115" s="67">
        <f t="shared" ref="K115" si="167">F115*J115</f>
        <v>8619.8130841121474</v>
      </c>
      <c r="L115" s="72">
        <f t="shared" ref="L115" si="168">I115+K115</f>
        <v>57465.420560747654</v>
      </c>
      <c r="M115" s="67">
        <f>H115/$P$255*$P$263</f>
        <v>66921.655791759244</v>
      </c>
      <c r="N115" s="67">
        <f>J115/$P$255*$P$263</f>
        <v>11809.70396325163</v>
      </c>
      <c r="O115" s="72">
        <f t="shared" ref="O115" si="169">N115+M115</f>
        <v>78731.359755010868</v>
      </c>
      <c r="P115" s="203">
        <f t="shared" ref="P115" si="170">O115*F115</f>
        <v>78731.359755010868</v>
      </c>
      <c r="Q115" s="272">
        <f t="shared" si="106"/>
        <v>78731.359755010868</v>
      </c>
      <c r="R115" s="439">
        <f t="shared" si="105"/>
        <v>0</v>
      </c>
      <c r="S115" s="72">
        <f>(27888+33600)*0.85</f>
        <v>52264.799999999996</v>
      </c>
      <c r="T115" s="72">
        <f>(27888+33600)*0.15</f>
        <v>9223.1999999999989</v>
      </c>
      <c r="W115" s="126"/>
      <c r="X115" s="126"/>
      <c r="Y115" s="126"/>
      <c r="Z115" s="126"/>
      <c r="AA115" s="126"/>
      <c r="AB115" s="126"/>
      <c r="AC115" s="127"/>
      <c r="AD115" s="213"/>
      <c r="AE115" s="126"/>
      <c r="AF115" s="220"/>
    </row>
    <row r="116" spans="1:32" x14ac:dyDescent="0.25">
      <c r="A116" s="238"/>
      <c r="B116" s="245"/>
      <c r="C116" s="293"/>
      <c r="D116" s="83" t="s">
        <v>164</v>
      </c>
      <c r="E116" s="242"/>
      <c r="F116" s="302"/>
      <c r="G116" s="75"/>
      <c r="H116" s="74"/>
      <c r="I116" s="74"/>
      <c r="J116" s="74"/>
      <c r="K116" s="74"/>
      <c r="L116" s="74"/>
      <c r="M116" s="72"/>
      <c r="N116" s="72"/>
      <c r="O116" s="72"/>
      <c r="P116" s="205"/>
      <c r="Q116" s="272">
        <f t="shared" si="106"/>
        <v>0</v>
      </c>
      <c r="R116" s="439"/>
      <c r="S116" s="74"/>
      <c r="W116" s="880" t="s">
        <v>275</v>
      </c>
      <c r="X116" s="880"/>
      <c r="Y116" s="141" t="s">
        <v>243</v>
      </c>
      <c r="Z116" s="141" t="s">
        <v>244</v>
      </c>
      <c r="AA116" s="141" t="s">
        <v>245</v>
      </c>
      <c r="AB116" s="141" t="s">
        <v>246</v>
      </c>
      <c r="AC116" s="141" t="s">
        <v>247</v>
      </c>
      <c r="AD116" s="216" t="s">
        <v>248</v>
      </c>
      <c r="AE116" s="141" t="s">
        <v>249</v>
      </c>
      <c r="AF116" s="220"/>
    </row>
    <row r="117" spans="1:32" x14ac:dyDescent="0.25">
      <c r="A117" s="238"/>
      <c r="B117" s="245"/>
      <c r="C117" s="293"/>
      <c r="D117" s="83"/>
      <c r="E117" s="242"/>
      <c r="F117" s="302"/>
      <c r="G117" s="75"/>
      <c r="H117" s="74"/>
      <c r="I117" s="74"/>
      <c r="J117" s="74"/>
      <c r="K117" s="74"/>
      <c r="L117" s="74"/>
      <c r="M117" s="72"/>
      <c r="N117" s="72"/>
      <c r="O117" s="72"/>
      <c r="P117" s="205"/>
      <c r="Q117" s="272">
        <f t="shared" si="106"/>
        <v>0</v>
      </c>
      <c r="R117" s="439"/>
      <c r="W117" s="891" t="s">
        <v>276</v>
      </c>
      <c r="X117" s="891"/>
      <c r="Y117" s="152" t="s">
        <v>100</v>
      </c>
      <c r="Z117" s="152">
        <v>26</v>
      </c>
      <c r="AA117" s="152">
        <f>5*6</f>
        <v>30</v>
      </c>
      <c r="AB117" s="144">
        <f>270/1.05</f>
        <v>257.14285714285711</v>
      </c>
      <c r="AC117" s="144">
        <f t="shared" ref="AC117:AC124" si="171">AB117*AA117</f>
        <v>7714.2857142857138</v>
      </c>
      <c r="AD117" s="144">
        <v>150</v>
      </c>
      <c r="AE117" s="144">
        <f t="shared" ref="AE117:AE124" si="172">AD117*AA117</f>
        <v>4500</v>
      </c>
      <c r="AF117" s="220"/>
    </row>
    <row r="118" spans="1:32" x14ac:dyDescent="0.25">
      <c r="A118" s="238"/>
      <c r="B118" s="289" t="s">
        <v>330</v>
      </c>
      <c r="C118" s="300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72"/>
      <c r="N118" s="72"/>
      <c r="O118" s="72"/>
      <c r="P118" s="205"/>
      <c r="Q118" s="272">
        <f t="shared" si="106"/>
        <v>0</v>
      </c>
      <c r="R118" s="439"/>
      <c r="W118" s="891" t="s">
        <v>277</v>
      </c>
      <c r="X118" s="891"/>
      <c r="Y118" s="152" t="s">
        <v>283</v>
      </c>
      <c r="Z118" s="152">
        <v>10</v>
      </c>
      <c r="AA118" s="152">
        <v>10</v>
      </c>
      <c r="AB118" s="144">
        <v>250</v>
      </c>
      <c r="AC118" s="144">
        <f t="shared" si="171"/>
        <v>2500</v>
      </c>
      <c r="AD118" s="144">
        <v>65</v>
      </c>
      <c r="AE118" s="144">
        <f t="shared" si="172"/>
        <v>650</v>
      </c>
      <c r="AF118" s="220"/>
    </row>
    <row r="119" spans="1:32" x14ac:dyDescent="0.25">
      <c r="A119" s="238"/>
      <c r="B119" s="249"/>
      <c r="C119" s="293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328">
        <f>2400/1.05</f>
        <v>2285.7142857142858</v>
      </c>
      <c r="I119" s="67">
        <f>F119*H119</f>
        <v>45714.285714285717</v>
      </c>
      <c r="J119" s="74">
        <v>350</v>
      </c>
      <c r="K119" s="67">
        <f t="shared" ref="K119:K120" si="173">F119*J119</f>
        <v>7000</v>
      </c>
      <c r="L119" s="72">
        <f t="shared" ref="L119:L120" si="174">I119+K119</f>
        <v>52714.285714285717</v>
      </c>
      <c r="M119" s="67">
        <f>H119/$P$255*$P$263</f>
        <v>3131.5770766091096</v>
      </c>
      <c r="N119" s="67">
        <f>J119/$P$255*$P$263</f>
        <v>479.52273985576983</v>
      </c>
      <c r="O119" s="72">
        <f t="shared" ref="O119:O120" si="175">N119+M119</f>
        <v>3611.0998164648795</v>
      </c>
      <c r="P119" s="203">
        <f t="shared" ref="P119:P120" si="176">O119*F119</f>
        <v>72221.996329297588</v>
      </c>
      <c r="Q119" s="272">
        <f t="shared" si="106"/>
        <v>72221.996329297588</v>
      </c>
      <c r="R119" s="439">
        <f t="shared" si="105"/>
        <v>0</v>
      </c>
      <c r="W119" s="891" t="s">
        <v>278</v>
      </c>
      <c r="X119" s="891"/>
      <c r="Y119" s="152" t="s">
        <v>283</v>
      </c>
      <c r="Z119" s="152">
        <v>10</v>
      </c>
      <c r="AA119" s="152">
        <v>10</v>
      </c>
      <c r="AB119" s="144">
        <v>280</v>
      </c>
      <c r="AC119" s="144">
        <f t="shared" si="171"/>
        <v>2800</v>
      </c>
      <c r="AD119" s="144">
        <v>70</v>
      </c>
      <c r="AE119" s="144">
        <f t="shared" si="172"/>
        <v>700</v>
      </c>
      <c r="AF119" s="220"/>
    </row>
    <row r="120" spans="1:32" x14ac:dyDescent="0.25">
      <c r="A120" s="238"/>
      <c r="B120" s="249"/>
      <c r="C120" s="293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328">
        <f>350/1.05</f>
        <v>333.33333333333331</v>
      </c>
      <c r="I120" s="67">
        <f>F120*H120</f>
        <v>16000</v>
      </c>
      <c r="J120" s="74">
        <v>75</v>
      </c>
      <c r="K120" s="67">
        <f t="shared" si="173"/>
        <v>3600</v>
      </c>
      <c r="L120" s="72">
        <f t="shared" si="174"/>
        <v>19600</v>
      </c>
      <c r="M120" s="67">
        <f>H120/$P$255*$P$263</f>
        <v>456.68832367216174</v>
      </c>
      <c r="N120" s="67">
        <f>J120/$P$255*$P$263</f>
        <v>102.75487282623641</v>
      </c>
      <c r="O120" s="72">
        <f t="shared" si="175"/>
        <v>559.44319649839815</v>
      </c>
      <c r="P120" s="203">
        <f t="shared" si="176"/>
        <v>26853.273431923109</v>
      </c>
      <c r="Q120" s="272">
        <f t="shared" si="106"/>
        <v>26853.273431923109</v>
      </c>
      <c r="R120" s="439">
        <f t="shared" si="105"/>
        <v>0</v>
      </c>
      <c r="W120" s="890" t="s">
        <v>280</v>
      </c>
      <c r="X120" s="890"/>
      <c r="Y120" s="152" t="s">
        <v>101</v>
      </c>
      <c r="Z120" s="152">
        <f>4.5*1.2</f>
        <v>5.3999999999999995</v>
      </c>
      <c r="AA120" s="152">
        <v>6</v>
      </c>
      <c r="AB120" s="144">
        <v>160</v>
      </c>
      <c r="AC120" s="144">
        <f t="shared" si="171"/>
        <v>960</v>
      </c>
      <c r="AD120" s="144">
        <v>145</v>
      </c>
      <c r="AE120" s="144">
        <f t="shared" si="172"/>
        <v>870</v>
      </c>
      <c r="AF120" s="220"/>
    </row>
    <row r="121" spans="1:32" x14ac:dyDescent="0.25">
      <c r="A121" s="238"/>
      <c r="B121" s="245"/>
      <c r="C121" s="293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72"/>
      <c r="N121" s="72"/>
      <c r="O121" s="72"/>
      <c r="P121" s="205"/>
      <c r="Q121" s="272">
        <f t="shared" si="106"/>
        <v>0</v>
      </c>
      <c r="R121" s="439">
        <f t="shared" si="105"/>
        <v>0</v>
      </c>
      <c r="W121" s="890" t="s">
        <v>285</v>
      </c>
      <c r="X121" s="890"/>
      <c r="Y121" s="152" t="s">
        <v>100</v>
      </c>
      <c r="Z121" s="152">
        <v>26</v>
      </c>
      <c r="AA121" s="152">
        <v>32</v>
      </c>
      <c r="AB121" s="2">
        <v>90</v>
      </c>
      <c r="AC121" s="144">
        <f t="shared" si="171"/>
        <v>2880</v>
      </c>
      <c r="AD121" s="2">
        <v>90</v>
      </c>
      <c r="AE121" s="144">
        <f t="shared" si="172"/>
        <v>2880</v>
      </c>
      <c r="AF121" s="220"/>
    </row>
    <row r="122" spans="1:32" x14ac:dyDescent="0.25">
      <c r="A122" s="238"/>
      <c r="B122" s="249"/>
      <c r="C122" s="293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67">
        <f>F122*H122</f>
        <v>15238.095238095237</v>
      </c>
      <c r="J122" s="74">
        <v>400</v>
      </c>
      <c r="K122" s="67">
        <f t="shared" ref="K122:K123" si="177">F122*J122</f>
        <v>1600</v>
      </c>
      <c r="L122" s="72">
        <f t="shared" ref="L122:L123" si="178">I122+K122</f>
        <v>16838.095238095237</v>
      </c>
      <c r="M122" s="67">
        <f>H122/$P$255*$P$263</f>
        <v>5219.2951276818485</v>
      </c>
      <c r="N122" s="67">
        <f>J122/$P$255*$P$263</f>
        <v>548.02598840659414</v>
      </c>
      <c r="O122" s="72">
        <f t="shared" ref="O122:O123" si="179">N122+M122</f>
        <v>5767.321116088443</v>
      </c>
      <c r="P122" s="203">
        <f t="shared" ref="P122:P123" si="180">O122*F122</f>
        <v>23069.284464353772</v>
      </c>
      <c r="Q122" s="272">
        <f t="shared" si="106"/>
        <v>23069.284464353772</v>
      </c>
      <c r="R122" s="439">
        <f t="shared" si="105"/>
        <v>0</v>
      </c>
      <c r="W122" s="890" t="s">
        <v>279</v>
      </c>
      <c r="X122" s="890"/>
      <c r="Y122" s="152" t="s">
        <v>266</v>
      </c>
      <c r="Z122" s="152">
        <f>4.5*1.2*0.15+(4.5*0.3*0.1)*2</f>
        <v>1.0799999999999998</v>
      </c>
      <c r="AA122" s="152">
        <v>1.25</v>
      </c>
      <c r="AB122" s="2">
        <f>3800/1.05</f>
        <v>3619.0476190476188</v>
      </c>
      <c r="AC122" s="144">
        <f t="shared" si="171"/>
        <v>4523.8095238095239</v>
      </c>
      <c r="AD122" s="2">
        <v>800</v>
      </c>
      <c r="AE122" s="144">
        <f t="shared" si="172"/>
        <v>1000</v>
      </c>
      <c r="AF122" s="220"/>
    </row>
    <row r="123" spans="1:32" x14ac:dyDescent="0.25">
      <c r="A123" s="238"/>
      <c r="B123" s="249"/>
      <c r="C123" s="293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328">
        <f>750/1.05</f>
        <v>714.28571428571422</v>
      </c>
      <c r="I123" s="67">
        <f>F123*H123</f>
        <v>11428.571428571428</v>
      </c>
      <c r="J123" s="74">
        <v>75</v>
      </c>
      <c r="K123" s="67">
        <f t="shared" si="177"/>
        <v>1200</v>
      </c>
      <c r="L123" s="72">
        <f t="shared" si="178"/>
        <v>12628.571428571428</v>
      </c>
      <c r="M123" s="67">
        <f>H123/$P$255*$P$263</f>
        <v>978.61783644034642</v>
      </c>
      <c r="N123" s="67">
        <f>J123/$P$255*$P$263</f>
        <v>102.75487282623641</v>
      </c>
      <c r="O123" s="72">
        <f t="shared" si="179"/>
        <v>1081.3727092665829</v>
      </c>
      <c r="P123" s="203">
        <f t="shared" si="180"/>
        <v>17301.963348265326</v>
      </c>
      <c r="Q123" s="272">
        <f t="shared" si="106"/>
        <v>17301.963348265326</v>
      </c>
      <c r="R123" s="439">
        <f t="shared" si="105"/>
        <v>0</v>
      </c>
      <c r="W123" s="890" t="s">
        <v>282</v>
      </c>
      <c r="X123" s="890"/>
      <c r="Y123" s="152" t="s">
        <v>284</v>
      </c>
      <c r="Z123" s="173">
        <f>(5*12+23*1.2+16)*0.616</f>
        <v>63.817599999999999</v>
      </c>
      <c r="AA123" s="152">
        <v>75</v>
      </c>
      <c r="AB123" s="2">
        <f>33/1.05</f>
        <v>31.428571428571427</v>
      </c>
      <c r="AC123" s="144">
        <f t="shared" si="171"/>
        <v>2357.1428571428569</v>
      </c>
      <c r="AD123" s="2">
        <v>12</v>
      </c>
      <c r="AE123" s="144">
        <f t="shared" si="172"/>
        <v>900</v>
      </c>
      <c r="AF123" s="220"/>
    </row>
    <row r="124" spans="1:32" x14ac:dyDescent="0.25">
      <c r="A124" s="238"/>
      <c r="B124" s="245"/>
      <c r="C124" s="293"/>
      <c r="D124" s="83"/>
      <c r="E124" s="242"/>
      <c r="F124" s="302"/>
      <c r="G124" s="75"/>
      <c r="H124" s="74"/>
      <c r="I124" s="74"/>
      <c r="J124" s="74"/>
      <c r="K124" s="74"/>
      <c r="L124" s="74"/>
      <c r="M124" s="72"/>
      <c r="N124" s="72"/>
      <c r="O124" s="72"/>
      <c r="P124" s="205"/>
      <c r="Q124" s="272">
        <f t="shared" si="106"/>
        <v>0</v>
      </c>
      <c r="R124" s="439"/>
      <c r="W124" s="890" t="s">
        <v>281</v>
      </c>
      <c r="X124" s="890"/>
      <c r="Y124" s="152" t="s">
        <v>101</v>
      </c>
      <c r="Z124" s="152">
        <f>0.3*4.5*2</f>
        <v>2.6999999999999997</v>
      </c>
      <c r="AA124" s="152">
        <v>3</v>
      </c>
      <c r="AB124" s="2">
        <v>220</v>
      </c>
      <c r="AC124" s="144">
        <f t="shared" si="171"/>
        <v>660</v>
      </c>
      <c r="AD124" s="2">
        <v>200</v>
      </c>
      <c r="AE124" s="144">
        <f t="shared" si="172"/>
        <v>600</v>
      </c>
      <c r="AF124" s="220"/>
    </row>
    <row r="125" spans="1:32" x14ac:dyDescent="0.25">
      <c r="A125" s="238"/>
      <c r="B125" s="289" t="s">
        <v>332</v>
      </c>
      <c r="C125" s="300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72"/>
      <c r="N125" s="72"/>
      <c r="O125" s="72"/>
      <c r="P125" s="205"/>
      <c r="Q125" s="272">
        <f t="shared" si="106"/>
        <v>0</v>
      </c>
      <c r="R125" s="439"/>
      <c r="W125" s="890" t="s">
        <v>379</v>
      </c>
      <c r="X125" s="890"/>
      <c r="Y125" s="415" t="s">
        <v>301</v>
      </c>
      <c r="Z125" s="415">
        <v>1</v>
      </c>
      <c r="AA125" s="415">
        <v>1</v>
      </c>
      <c r="AB125" s="2">
        <v>1000</v>
      </c>
      <c r="AC125" s="144">
        <f t="shared" ref="AC125" si="181">AB125*AA125</f>
        <v>1000</v>
      </c>
      <c r="AD125" s="2">
        <v>800</v>
      </c>
      <c r="AE125" s="144">
        <f t="shared" ref="AE125" si="182">AD125*AA125</f>
        <v>800</v>
      </c>
    </row>
    <row r="126" spans="1:32" x14ac:dyDescent="0.25">
      <c r="A126" s="238"/>
      <c r="B126" s="249"/>
      <c r="C126" s="293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67">
        <f t="shared" ref="I126:I131" si="183">F126*H126</f>
        <v>17160</v>
      </c>
      <c r="J126" s="74">
        <v>75</v>
      </c>
      <c r="K126" s="67">
        <f t="shared" ref="K126:K128" si="184">F126*J126</f>
        <v>5850</v>
      </c>
      <c r="L126" s="72">
        <f t="shared" ref="L126:L129" si="185">I126+K126</f>
        <v>23010</v>
      </c>
      <c r="M126" s="67">
        <f t="shared" ref="M126:M132" si="186">H126/$P$255*$P$263</f>
        <v>301.41429362362675</v>
      </c>
      <c r="N126" s="67">
        <f t="shared" ref="N126:N132" si="187">J126/$P$255*$P$263</f>
        <v>102.75487282623641</v>
      </c>
      <c r="O126" s="72">
        <f t="shared" ref="O126:O129" si="188">N126+M126</f>
        <v>404.16916644986316</v>
      </c>
      <c r="P126" s="203">
        <f t="shared" ref="P126:P129" si="189">O126*F126</f>
        <v>31525.194983089325</v>
      </c>
      <c r="Q126" s="272">
        <f t="shared" si="106"/>
        <v>31525.194983089325</v>
      </c>
      <c r="R126" s="439">
        <f t="shared" si="105"/>
        <v>0</v>
      </c>
      <c r="AC126" s="146">
        <f>SUM(AC117:AC125)</f>
        <v>25395.238095238092</v>
      </c>
      <c r="AD126" s="18"/>
      <c r="AE126" s="146">
        <f>SUM(AE117:AE125)</f>
        <v>12900</v>
      </c>
    </row>
    <row r="127" spans="1:32" x14ac:dyDescent="0.25">
      <c r="A127" s="238"/>
      <c r="B127" s="249"/>
      <c r="C127" s="293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67">
        <f t="shared" si="183"/>
        <v>7733.3333333333321</v>
      </c>
      <c r="J127" s="74">
        <v>75</v>
      </c>
      <c r="K127" s="67">
        <f t="shared" si="184"/>
        <v>4350</v>
      </c>
      <c r="L127" s="72">
        <f t="shared" si="185"/>
        <v>12083.333333333332</v>
      </c>
      <c r="M127" s="67">
        <f t="shared" si="186"/>
        <v>182.67532946886465</v>
      </c>
      <c r="N127" s="67">
        <f t="shared" si="187"/>
        <v>102.75487282623641</v>
      </c>
      <c r="O127" s="72">
        <f t="shared" si="188"/>
        <v>285.43020229510103</v>
      </c>
      <c r="P127" s="203">
        <f t="shared" si="189"/>
        <v>16554.95173311586</v>
      </c>
      <c r="Q127" s="272">
        <f t="shared" si="106"/>
        <v>16554.95173311586</v>
      </c>
      <c r="R127" s="439">
        <f t="shared" si="105"/>
        <v>0</v>
      </c>
    </row>
    <row r="128" spans="1:32" x14ac:dyDescent="0.25">
      <c r="A128" s="238"/>
      <c r="B128" s="249"/>
      <c r="C128" s="293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67">
        <f t="shared" si="183"/>
        <v>15321.428571428571</v>
      </c>
      <c r="J128" s="74">
        <v>120</v>
      </c>
      <c r="K128" s="67">
        <f t="shared" si="184"/>
        <v>2340</v>
      </c>
      <c r="L128" s="72">
        <f t="shared" si="185"/>
        <v>17661.428571428572</v>
      </c>
      <c r="M128" s="67">
        <f t="shared" si="186"/>
        <v>1076.4796200843812</v>
      </c>
      <c r="N128" s="67">
        <f t="shared" si="187"/>
        <v>164.40779652197824</v>
      </c>
      <c r="O128" s="72">
        <f t="shared" si="188"/>
        <v>1240.8874166063595</v>
      </c>
      <c r="P128" s="203">
        <f t="shared" si="189"/>
        <v>24197.304623824009</v>
      </c>
      <c r="Q128" s="272">
        <f t="shared" si="106"/>
        <v>24197.304623824009</v>
      </c>
      <c r="R128" s="439">
        <f t="shared" si="105"/>
        <v>0</v>
      </c>
    </row>
    <row r="129" spans="1:32" x14ac:dyDescent="0.25">
      <c r="A129" s="238"/>
      <c r="B129" s="249"/>
      <c r="C129" s="293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67">
        <f t="shared" si="183"/>
        <v>2285.7142857142858</v>
      </c>
      <c r="J129" s="74">
        <v>175</v>
      </c>
      <c r="K129" s="67">
        <f t="shared" ref="K129:K131" si="190">F129*J129</f>
        <v>350</v>
      </c>
      <c r="L129" s="72">
        <f t="shared" si="185"/>
        <v>2635.7142857142858</v>
      </c>
      <c r="M129" s="67">
        <f t="shared" si="186"/>
        <v>1565.7885383045548</v>
      </c>
      <c r="N129" s="67">
        <f t="shared" si="187"/>
        <v>239.76136992788491</v>
      </c>
      <c r="O129" s="72">
        <f t="shared" si="188"/>
        <v>1805.5499082324397</v>
      </c>
      <c r="P129" s="203">
        <f t="shared" si="189"/>
        <v>3611.0998164648795</v>
      </c>
      <c r="Q129" s="272">
        <f t="shared" si="106"/>
        <v>3611.099816464879</v>
      </c>
      <c r="R129" s="439">
        <f t="shared" si="105"/>
        <v>0</v>
      </c>
      <c r="U129" s="226"/>
      <c r="V129" s="226"/>
      <c r="W129" s="898" t="s">
        <v>366</v>
      </c>
      <c r="X129" s="898"/>
      <c r="Y129" s="898"/>
      <c r="Z129" s="355"/>
      <c r="AA129" s="355"/>
      <c r="AB129" s="355"/>
      <c r="AC129" s="355"/>
      <c r="AD129" s="355"/>
      <c r="AE129" s="356"/>
      <c r="AF129" s="356"/>
    </row>
    <row r="130" spans="1:32" x14ac:dyDescent="0.25">
      <c r="A130" s="238"/>
      <c r="B130" s="249"/>
      <c r="C130" s="293">
        <v>5</v>
      </c>
      <c r="D130" s="83" t="s">
        <v>416</v>
      </c>
      <c r="E130" s="306" t="s">
        <v>39</v>
      </c>
      <c r="F130" s="302"/>
      <c r="G130" s="75"/>
      <c r="H130" s="74"/>
      <c r="I130" s="67">
        <f t="shared" si="183"/>
        <v>0</v>
      </c>
      <c r="J130" s="74"/>
      <c r="K130" s="67">
        <f t="shared" si="190"/>
        <v>0</v>
      </c>
      <c r="L130" s="72">
        <f t="shared" ref="L130:L131" si="191">I130+K130</f>
        <v>0</v>
      </c>
      <c r="M130" s="67">
        <f t="shared" si="186"/>
        <v>0</v>
      </c>
      <c r="N130" s="67">
        <f t="shared" si="187"/>
        <v>0</v>
      </c>
      <c r="O130" s="72">
        <f>N130*F130</f>
        <v>0</v>
      </c>
      <c r="P130" s="305" t="s">
        <v>288</v>
      </c>
      <c r="Q130" s="272">
        <f t="shared" si="106"/>
        <v>0</v>
      </c>
      <c r="R130" s="439" t="e">
        <f t="shared" ref="R130:R132" si="192">P130-Q130</f>
        <v>#VALUE!</v>
      </c>
      <c r="U130" s="226"/>
      <c r="V130" s="226"/>
      <c r="W130" s="354"/>
      <c r="X130" s="354"/>
      <c r="Y130" s="354"/>
      <c r="Z130" s="355" t="s">
        <v>81</v>
      </c>
      <c r="AA130" s="355" t="s">
        <v>6</v>
      </c>
      <c r="AB130" s="355" t="s">
        <v>5</v>
      </c>
      <c r="AC130" s="355" t="s">
        <v>174</v>
      </c>
      <c r="AD130" s="355" t="s">
        <v>175</v>
      </c>
      <c r="AE130" s="356" t="s">
        <v>176</v>
      </c>
      <c r="AF130" s="356" t="s">
        <v>177</v>
      </c>
    </row>
    <row r="131" spans="1:32" s="1" customFormat="1" x14ac:dyDescent="0.25">
      <c r="A131" s="238"/>
      <c r="B131" s="250"/>
      <c r="C131" s="293">
        <v>6</v>
      </c>
      <c r="D131" s="83" t="s">
        <v>159</v>
      </c>
      <c r="E131" s="306" t="s">
        <v>39</v>
      </c>
      <c r="F131" s="302"/>
      <c r="G131" s="75"/>
      <c r="H131" s="74"/>
      <c r="I131" s="67">
        <f t="shared" si="183"/>
        <v>0</v>
      </c>
      <c r="J131" s="74"/>
      <c r="K131" s="67">
        <f t="shared" si="190"/>
        <v>0</v>
      </c>
      <c r="L131" s="72">
        <f t="shared" si="191"/>
        <v>0</v>
      </c>
      <c r="M131" s="67">
        <f t="shared" si="186"/>
        <v>0</v>
      </c>
      <c r="N131" s="67">
        <f t="shared" si="187"/>
        <v>0</v>
      </c>
      <c r="O131" s="72">
        <f>N131*F131</f>
        <v>0</v>
      </c>
      <c r="P131" s="305" t="s">
        <v>288</v>
      </c>
      <c r="Q131" s="272">
        <f t="shared" si="106"/>
        <v>0</v>
      </c>
      <c r="R131" s="439" t="e">
        <f t="shared" si="192"/>
        <v>#VALUE!</v>
      </c>
      <c r="S131" s="18"/>
      <c r="T131" s="224"/>
      <c r="U131" s="225"/>
      <c r="V131" s="225"/>
      <c r="W131" s="899" t="s">
        <v>367</v>
      </c>
      <c r="X131" s="899"/>
      <c r="Y131" s="899"/>
      <c r="Z131" s="357">
        <f>5.925*5.9</f>
        <v>34.957500000000003</v>
      </c>
      <c r="AA131" s="358">
        <v>35</v>
      </c>
      <c r="AB131" s="358" t="s">
        <v>101</v>
      </c>
      <c r="AC131" s="359">
        <f>4500/1.12</f>
        <v>4017.8571428571427</v>
      </c>
      <c r="AD131" s="360">
        <f>AC131*AA131</f>
        <v>140625</v>
      </c>
      <c r="AE131" s="361">
        <v>375</v>
      </c>
      <c r="AF131" s="362">
        <f>AE131*AA131</f>
        <v>13125</v>
      </c>
    </row>
    <row r="132" spans="1:32" s="1" customFormat="1" x14ac:dyDescent="0.25">
      <c r="A132" s="238"/>
      <c r="B132" s="250"/>
      <c r="C132" s="293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67">
        <f t="shared" ref="I132" si="193">F132*H132</f>
        <v>38806.213592233013</v>
      </c>
      <c r="J132" s="74">
        <f>5878*0.15/1.03</f>
        <v>856.01941747572812</v>
      </c>
      <c r="K132" s="67">
        <f t="shared" ref="K132" si="194">F132*J132</f>
        <v>6848.155339805825</v>
      </c>
      <c r="L132" s="72">
        <f t="shared" ref="L132" si="195">I132+K132</f>
        <v>45654.368932038837</v>
      </c>
      <c r="M132" s="67">
        <f t="shared" si="186"/>
        <v>6645.8792375627827</v>
      </c>
      <c r="N132" s="67">
        <f t="shared" si="187"/>
        <v>1172.802218393432</v>
      </c>
      <c r="O132" s="72">
        <f t="shared" ref="O132" si="196">N132+M132</f>
        <v>7818.6814559562144</v>
      </c>
      <c r="P132" s="203">
        <f t="shared" ref="P132" si="197">O132*F132</f>
        <v>62549.451647649716</v>
      </c>
      <c r="Q132" s="272">
        <f t="shared" si="106"/>
        <v>62549.451647649716</v>
      </c>
      <c r="R132" s="439">
        <f t="shared" si="192"/>
        <v>0</v>
      </c>
      <c r="S132" s="18"/>
      <c r="T132" s="224"/>
      <c r="U132" s="225"/>
      <c r="V132" s="225"/>
      <c r="W132" s="899" t="s">
        <v>368</v>
      </c>
      <c r="X132" s="899"/>
      <c r="Y132" s="899"/>
      <c r="Z132" s="358">
        <f>2*3.5</f>
        <v>7</v>
      </c>
      <c r="AA132" s="358">
        <v>12</v>
      </c>
      <c r="AB132" s="358" t="s">
        <v>100</v>
      </c>
      <c r="AC132" s="360">
        <f>7.4*50</f>
        <v>370</v>
      </c>
      <c r="AD132" s="360">
        <f>AC132*AA132</f>
        <v>4440</v>
      </c>
      <c r="AE132" s="362">
        <v>85</v>
      </c>
      <c r="AF132" s="362">
        <f>AE132*AA132</f>
        <v>1020</v>
      </c>
    </row>
    <row r="133" spans="1:32" s="1" customFormat="1" ht="15" customHeight="1" x14ac:dyDescent="0.25">
      <c r="A133" s="238"/>
      <c r="B133" s="245"/>
      <c r="C133" s="293"/>
      <c r="D133" s="82"/>
      <c r="E133" s="242"/>
      <c r="F133" s="302"/>
      <c r="G133" s="75"/>
      <c r="H133" s="74"/>
      <c r="I133" s="74"/>
      <c r="J133" s="74"/>
      <c r="K133" s="74"/>
      <c r="L133" s="74"/>
      <c r="M133" s="72"/>
      <c r="N133" s="72"/>
      <c r="O133" s="72"/>
      <c r="P133" s="205"/>
      <c r="Q133" s="272">
        <f t="shared" si="106"/>
        <v>0</v>
      </c>
      <c r="R133" s="439"/>
      <c r="S133" s="18"/>
      <c r="T133" s="224"/>
      <c r="U133" s="225"/>
      <c r="V133" s="225"/>
      <c r="W133" s="899" t="s">
        <v>369</v>
      </c>
      <c r="X133" s="899"/>
      <c r="Y133" s="899"/>
      <c r="Z133" s="358">
        <v>11.8</v>
      </c>
      <c r="AA133" s="358">
        <v>12</v>
      </c>
      <c r="AB133" s="358" t="s">
        <v>100</v>
      </c>
      <c r="AC133" s="360">
        <f>47.1*36/1.12</f>
        <v>1513.9285714285713</v>
      </c>
      <c r="AD133" s="360">
        <f>AC133*AA133</f>
        <v>18167.142857142855</v>
      </c>
      <c r="AE133" s="362">
        <v>200</v>
      </c>
      <c r="AF133" s="362">
        <f>AE133*AA133</f>
        <v>2400</v>
      </c>
    </row>
    <row r="134" spans="1:32" x14ac:dyDescent="0.25">
      <c r="A134" s="238"/>
      <c r="B134" s="290" t="s">
        <v>335</v>
      </c>
      <c r="C134" s="291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72"/>
      <c r="N134" s="72"/>
      <c r="O134" s="72"/>
      <c r="P134" s="205"/>
      <c r="Q134" s="272">
        <f t="shared" si="106"/>
        <v>0</v>
      </c>
      <c r="R134" s="439"/>
      <c r="U134" s="226"/>
      <c r="V134" s="226"/>
      <c r="W134" s="899" t="s">
        <v>370</v>
      </c>
      <c r="X134" s="899"/>
      <c r="Y134" s="899"/>
      <c r="Z134" s="363">
        <f>(5.825*7)+(5.9*2)</f>
        <v>52.575000000000003</v>
      </c>
      <c r="AA134" s="358">
        <v>54</v>
      </c>
      <c r="AB134" s="358" t="s">
        <v>100</v>
      </c>
      <c r="AC134" s="360">
        <f>33*36/1.12</f>
        <v>1060.7142857142856</v>
      </c>
      <c r="AD134" s="360">
        <f>AC134*AA134</f>
        <v>57278.57142857142</v>
      </c>
      <c r="AE134" s="362">
        <v>130</v>
      </c>
      <c r="AF134" s="362">
        <f>AE134*AA134</f>
        <v>7020</v>
      </c>
    </row>
    <row r="135" spans="1:32" x14ac:dyDescent="0.25">
      <c r="A135" s="238"/>
      <c r="B135" s="249"/>
      <c r="C135" s="293">
        <v>1</v>
      </c>
      <c r="D135" s="83" t="s">
        <v>414</v>
      </c>
      <c r="E135" s="242">
        <v>15.7</v>
      </c>
      <c r="F135" s="302">
        <v>16.5</v>
      </c>
      <c r="G135" s="77" t="s">
        <v>100</v>
      </c>
      <c r="H135" s="407">
        <f>152640*0.85/F135/1.05</f>
        <v>7488.8311688311687</v>
      </c>
      <c r="I135" s="67">
        <f>F135*H135</f>
        <v>123565.71428571429</v>
      </c>
      <c r="J135" s="407">
        <f>152640*0.15/F135/1.05</f>
        <v>1321.5584415584417</v>
      </c>
      <c r="K135" s="67">
        <f t="shared" ref="K135" si="198">F135*J135</f>
        <v>21805.71428571429</v>
      </c>
      <c r="L135" s="72">
        <f t="shared" ref="L135" si="199">I135+K135</f>
        <v>145371.42857142858</v>
      </c>
      <c r="M135" s="67">
        <f>H135/$P$255*$P$263</f>
        <v>10260.185258272026</v>
      </c>
      <c r="N135" s="67">
        <f>J135/$P$255*$P$263</f>
        <v>1810.620927930358</v>
      </c>
      <c r="O135" s="72">
        <f t="shared" ref="O135" si="200">N135+M135</f>
        <v>12070.806186202384</v>
      </c>
      <c r="P135" s="203">
        <f t="shared" ref="P135" si="201">O135*F135</f>
        <v>199168.30207233934</v>
      </c>
      <c r="Q135" s="272">
        <f t="shared" si="106"/>
        <v>199168.30207233934</v>
      </c>
      <c r="R135" s="439">
        <f t="shared" ref="R135:R138" si="202">P135-Q135</f>
        <v>0</v>
      </c>
      <c r="U135" s="226"/>
      <c r="V135" s="226"/>
      <c r="W135" s="899" t="s">
        <v>371</v>
      </c>
      <c r="X135" s="899"/>
      <c r="Y135" s="899"/>
      <c r="Z135" s="363">
        <f>(5.825*1)</f>
        <v>5.8250000000000002</v>
      </c>
      <c r="AA135" s="358">
        <v>6</v>
      </c>
      <c r="AB135" s="358" t="s">
        <v>100</v>
      </c>
      <c r="AC135" s="360">
        <f>9.42*36/1.075</f>
        <v>315.46046511627907</v>
      </c>
      <c r="AD135" s="360">
        <f>AC135*AA135</f>
        <v>1892.7627906976745</v>
      </c>
      <c r="AE135" s="362">
        <v>35</v>
      </c>
      <c r="AF135" s="362">
        <f>AE135*AA135</f>
        <v>210</v>
      </c>
    </row>
    <row r="136" spans="1:32" x14ac:dyDescent="0.25">
      <c r="A136" s="238"/>
      <c r="B136" s="249"/>
      <c r="C136" s="293">
        <v>2</v>
      </c>
      <c r="D136" s="83" t="s">
        <v>415</v>
      </c>
      <c r="E136" s="242">
        <v>8.5</v>
      </c>
      <c r="F136" s="302">
        <v>9</v>
      </c>
      <c r="G136" s="77" t="s">
        <v>100</v>
      </c>
      <c r="H136" s="407">
        <f>59360*0.8/F136/1.05</f>
        <v>5025.1851851851852</v>
      </c>
      <c r="I136" s="67">
        <f>F136*H136</f>
        <v>45226.666666666664</v>
      </c>
      <c r="J136" s="407">
        <f>59360*0.2/F136/1.05</f>
        <v>1256.2962962962963</v>
      </c>
      <c r="K136" s="67">
        <f t="shared" ref="K136" si="203">F136*J136</f>
        <v>11306.666666666666</v>
      </c>
      <c r="L136" s="72">
        <f t="shared" ref="L136" si="204">I136+K136</f>
        <v>56533.333333333328</v>
      </c>
      <c r="M136" s="67">
        <f>H136/$P$255*$P$263</f>
        <v>6884.8301950932118</v>
      </c>
      <c r="N136" s="67">
        <f>J136/$P$255*$P$263</f>
        <v>1721.207548773303</v>
      </c>
      <c r="O136" s="72">
        <f t="shared" ref="O136" si="205">N136+M136</f>
        <v>8606.0377438665146</v>
      </c>
      <c r="P136" s="203">
        <f t="shared" ref="P136" si="206">O136*F136</f>
        <v>77454.339694798633</v>
      </c>
      <c r="Q136" s="272">
        <f t="shared" si="106"/>
        <v>77454.339694798618</v>
      </c>
      <c r="R136" s="439">
        <f t="shared" ref="R136" si="207">P136-Q136</f>
        <v>0</v>
      </c>
      <c r="T136" s="899" t="s">
        <v>372</v>
      </c>
      <c r="U136" s="899"/>
      <c r="V136" s="899"/>
      <c r="W136" s="899"/>
      <c r="X136" s="899"/>
      <c r="Y136" s="899"/>
      <c r="Z136" s="357">
        <f>7*5.925</f>
        <v>41.475000000000001</v>
      </c>
      <c r="AA136" s="358">
        <v>42</v>
      </c>
      <c r="AB136" s="364" t="s">
        <v>100</v>
      </c>
      <c r="AC136" s="360">
        <f>4.7*70/1.12</f>
        <v>293.75</v>
      </c>
      <c r="AD136" s="360">
        <f t="shared" ref="AD136:AD141" si="208">AC136*AA136</f>
        <v>12337.5</v>
      </c>
      <c r="AE136" s="362">
        <v>60</v>
      </c>
      <c r="AF136" s="362">
        <f t="shared" ref="AF136:AF141" si="209">AE136*AA136</f>
        <v>2520</v>
      </c>
    </row>
    <row r="137" spans="1:32" x14ac:dyDescent="0.25">
      <c r="A137" s="238"/>
      <c r="B137" s="249"/>
      <c r="C137" s="293">
        <v>3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AC126/F137</f>
        <v>6348.8095238095229</v>
      </c>
      <c r="I137" s="67">
        <f>F137*H137</f>
        <v>25395.238095238092</v>
      </c>
      <c r="J137" s="74">
        <f>AE126/F137</f>
        <v>3225</v>
      </c>
      <c r="K137" s="67">
        <f t="shared" ref="K137:K138" si="210">F137*J137</f>
        <v>12900</v>
      </c>
      <c r="L137" s="72">
        <f t="shared" ref="L137:L138" si="211">I137+K137</f>
        <v>38295.238095238092</v>
      </c>
      <c r="M137" s="67">
        <f>H137/$P$255*$P$263</f>
        <v>8698.2815362272795</v>
      </c>
      <c r="N137" s="67">
        <f>J137/$P$255*$P$263</f>
        <v>4418.4595315281649</v>
      </c>
      <c r="O137" s="72">
        <f t="shared" ref="O137:O138" si="212">N137+M137</f>
        <v>13116.741067755444</v>
      </c>
      <c r="P137" s="203">
        <f t="shared" ref="P137:P138" si="213">O137*F137</f>
        <v>52466.964271021774</v>
      </c>
      <c r="Q137" s="272">
        <f t="shared" si="106"/>
        <v>52466.964271021781</v>
      </c>
      <c r="R137" s="439">
        <f t="shared" si="202"/>
        <v>0</v>
      </c>
      <c r="U137" s="226"/>
      <c r="V137" s="226"/>
      <c r="W137" s="899" t="s">
        <v>373</v>
      </c>
      <c r="X137" s="899"/>
      <c r="Y137" s="899"/>
      <c r="Z137" s="357">
        <v>5.83</v>
      </c>
      <c r="AA137" s="358">
        <v>6</v>
      </c>
      <c r="AB137" s="364" t="s">
        <v>100</v>
      </c>
      <c r="AC137" s="360">
        <f>600/1.05</f>
        <v>571.42857142857144</v>
      </c>
      <c r="AD137" s="360">
        <f t="shared" si="208"/>
        <v>3428.5714285714284</v>
      </c>
      <c r="AE137" s="362">
        <v>150</v>
      </c>
      <c r="AF137" s="362">
        <f t="shared" si="209"/>
        <v>900</v>
      </c>
    </row>
    <row r="138" spans="1:32" x14ac:dyDescent="0.25">
      <c r="A138" s="238"/>
      <c r="B138" s="249"/>
      <c r="C138" s="293">
        <v>4</v>
      </c>
      <c r="D138" s="83" t="s">
        <v>337</v>
      </c>
      <c r="E138" s="242">
        <v>56</v>
      </c>
      <c r="F138" s="302">
        <v>58</v>
      </c>
      <c r="G138" s="77" t="s">
        <v>101</v>
      </c>
      <c r="H138" s="328">
        <v>185</v>
      </c>
      <c r="I138" s="67">
        <f>F138*H138</f>
        <v>10730</v>
      </c>
      <c r="J138" s="74">
        <v>185</v>
      </c>
      <c r="K138" s="67">
        <f t="shared" si="210"/>
        <v>10730</v>
      </c>
      <c r="L138" s="72">
        <f t="shared" si="211"/>
        <v>21460</v>
      </c>
      <c r="M138" s="67">
        <f>H138/$P$255*$P$263</f>
        <v>253.46201963804975</v>
      </c>
      <c r="N138" s="67">
        <f>J138/$P$255*$P$263</f>
        <v>253.46201963804975</v>
      </c>
      <c r="O138" s="72">
        <f t="shared" si="212"/>
        <v>506.92403927609951</v>
      </c>
      <c r="P138" s="203">
        <f t="shared" si="213"/>
        <v>29401.59427801377</v>
      </c>
      <c r="Q138" s="272">
        <f t="shared" si="106"/>
        <v>29401.594278013774</v>
      </c>
      <c r="R138" s="439">
        <f t="shared" si="202"/>
        <v>0</v>
      </c>
      <c r="U138" s="226"/>
      <c r="V138" s="226"/>
      <c r="W138" s="899" t="s">
        <v>374</v>
      </c>
      <c r="X138" s="899"/>
      <c r="Y138" s="899"/>
      <c r="Z138" s="357">
        <v>2</v>
      </c>
      <c r="AA138" s="358">
        <v>2</v>
      </c>
      <c r="AB138" s="364" t="s">
        <v>283</v>
      </c>
      <c r="AC138" s="360">
        <f>14.13*60</f>
        <v>847.80000000000007</v>
      </c>
      <c r="AD138" s="360">
        <f t="shared" si="208"/>
        <v>1695.6000000000001</v>
      </c>
      <c r="AE138" s="362">
        <v>151</v>
      </c>
      <c r="AF138" s="362">
        <f t="shared" si="209"/>
        <v>302</v>
      </c>
    </row>
    <row r="139" spans="1:32" x14ac:dyDescent="0.25">
      <c r="A139" s="238"/>
      <c r="B139" s="289"/>
      <c r="C139" s="300"/>
      <c r="D139" s="83"/>
      <c r="E139" s="242"/>
      <c r="F139" s="302"/>
      <c r="G139" s="75"/>
      <c r="H139" s="74"/>
      <c r="I139" s="74"/>
      <c r="J139" s="74"/>
      <c r="K139" s="74"/>
      <c r="L139" s="74"/>
      <c r="M139" s="72"/>
      <c r="N139" s="72"/>
      <c r="O139" s="72"/>
      <c r="P139" s="205"/>
      <c r="Q139" s="272">
        <f t="shared" si="106"/>
        <v>0</v>
      </c>
      <c r="R139" s="439"/>
      <c r="U139" s="226"/>
      <c r="V139" s="226"/>
      <c r="W139" s="899" t="s">
        <v>375</v>
      </c>
      <c r="X139" s="899"/>
      <c r="Y139" s="899"/>
      <c r="Z139" s="357">
        <v>2</v>
      </c>
      <c r="AA139" s="358">
        <v>2</v>
      </c>
      <c r="AB139" s="364" t="s">
        <v>283</v>
      </c>
      <c r="AC139" s="360">
        <f>24.72*60</f>
        <v>1483.1999999999998</v>
      </c>
      <c r="AD139" s="360">
        <f t="shared" si="208"/>
        <v>2966.3999999999996</v>
      </c>
      <c r="AE139" s="362">
        <v>152</v>
      </c>
      <c r="AF139" s="362">
        <f t="shared" si="209"/>
        <v>304</v>
      </c>
    </row>
    <row r="140" spans="1:32" s="1" customFormat="1" x14ac:dyDescent="0.25">
      <c r="A140" s="237"/>
      <c r="B140" s="412" t="s">
        <v>338</v>
      </c>
      <c r="C140" s="413" t="s">
        <v>131</v>
      </c>
      <c r="D140" s="82"/>
      <c r="E140" s="242"/>
      <c r="F140" s="302"/>
      <c r="G140" s="77"/>
      <c r="H140" s="74"/>
      <c r="I140" s="74"/>
      <c r="J140" s="74"/>
      <c r="K140" s="67"/>
      <c r="L140" s="72"/>
      <c r="M140" s="67"/>
      <c r="N140" s="67"/>
      <c r="O140" s="72"/>
      <c r="P140" s="203"/>
      <c r="Q140" s="272">
        <f t="shared" si="106"/>
        <v>0</v>
      </c>
      <c r="R140" s="439"/>
      <c r="S140" s="18"/>
      <c r="U140" s="226"/>
      <c r="V140" s="226"/>
      <c r="W140" s="899" t="s">
        <v>376</v>
      </c>
      <c r="X140" s="899"/>
      <c r="Y140" s="899"/>
      <c r="Z140" s="357">
        <f>4*4</f>
        <v>16</v>
      </c>
      <c r="AA140" s="358">
        <v>16</v>
      </c>
      <c r="AB140" s="364" t="s">
        <v>283</v>
      </c>
      <c r="AC140" s="360">
        <v>160</v>
      </c>
      <c r="AD140" s="360">
        <f t="shared" si="208"/>
        <v>2560</v>
      </c>
      <c r="AE140" s="362">
        <v>35</v>
      </c>
      <c r="AF140" s="362">
        <f t="shared" si="209"/>
        <v>560</v>
      </c>
    </row>
    <row r="141" spans="1:32" s="224" customFormat="1" x14ac:dyDescent="0.25">
      <c r="A141" s="411"/>
      <c r="B141" s="412"/>
      <c r="C141" s="413">
        <v>1</v>
      </c>
      <c r="D141" s="83" t="s">
        <v>456</v>
      </c>
      <c r="E141" s="242">
        <v>1</v>
      </c>
      <c r="F141" s="302">
        <v>1</v>
      </c>
      <c r="G141" s="77" t="s">
        <v>55</v>
      </c>
      <c r="H141" s="74">
        <f>(23600+74200)*0.85/1.3889/1.07</f>
        <v>55937.496425262238</v>
      </c>
      <c r="I141" s="74">
        <f t="shared" ref="I141:I143" si="214">F141*H141</f>
        <v>55937.496425262238</v>
      </c>
      <c r="J141" s="74">
        <f>(23600+74200)*0.15/1.3889/1.07</f>
        <v>9871.3228985756905</v>
      </c>
      <c r="K141" s="67">
        <f t="shared" ref="K141:K143" si="215">F141*J141</f>
        <v>9871.3228985756905</v>
      </c>
      <c r="L141" s="72">
        <f t="shared" ref="L141:L143" si="216">I141+K141</f>
        <v>65808.819323837932</v>
      </c>
      <c r="M141" s="67">
        <f>H141/$P$255*$P$263</f>
        <v>76638.004418611657</v>
      </c>
      <c r="N141" s="67">
        <f>J141/$P$255*$P$263</f>
        <v>13524.353720931469</v>
      </c>
      <c r="O141" s="72">
        <f t="shared" ref="O141:O143" si="217">N141+M141</f>
        <v>90162.358139543125</v>
      </c>
      <c r="P141" s="203">
        <f t="shared" ref="P141:P143" si="218">O141*F141</f>
        <v>90162.358139543125</v>
      </c>
      <c r="Q141" s="272">
        <f t="shared" si="106"/>
        <v>90162.358139543125</v>
      </c>
      <c r="R141" s="439">
        <f t="shared" ref="R141:R143" si="219">P141-Q141</f>
        <v>0</v>
      </c>
      <c r="S141" s="273"/>
      <c r="T141" s="1"/>
      <c r="U141" s="226"/>
      <c r="V141" s="226"/>
      <c r="W141" s="899" t="s">
        <v>377</v>
      </c>
      <c r="X141" s="899"/>
      <c r="Y141" s="899"/>
      <c r="Z141" s="357">
        <v>58</v>
      </c>
      <c r="AA141" s="358">
        <v>60</v>
      </c>
      <c r="AB141" s="364" t="s">
        <v>101</v>
      </c>
      <c r="AC141" s="360">
        <v>65</v>
      </c>
      <c r="AD141" s="360">
        <f t="shared" si="208"/>
        <v>3900</v>
      </c>
      <c r="AE141" s="362">
        <v>65</v>
      </c>
      <c r="AF141" s="362">
        <f t="shared" si="209"/>
        <v>3900</v>
      </c>
    </row>
    <row r="142" spans="1:32" s="224" customFormat="1" x14ac:dyDescent="0.25">
      <c r="A142" s="411"/>
      <c r="B142" s="412"/>
      <c r="C142" s="413">
        <v>2</v>
      </c>
      <c r="D142" s="83" t="s">
        <v>457</v>
      </c>
      <c r="E142" s="242">
        <v>1</v>
      </c>
      <c r="F142" s="302">
        <v>1</v>
      </c>
      <c r="G142" s="77" t="s">
        <v>55</v>
      </c>
      <c r="H142" s="74">
        <f>(58600+74200)*0.85/1.3889/1.07</f>
        <v>75956.027865795753</v>
      </c>
      <c r="I142" s="74">
        <f t="shared" si="214"/>
        <v>75956.027865795753</v>
      </c>
      <c r="J142" s="74">
        <f>(58600+74200)*0.15/1.3889/1.07</f>
        <v>13404.00491749337</v>
      </c>
      <c r="K142" s="67">
        <f t="shared" si="215"/>
        <v>13404.00491749337</v>
      </c>
      <c r="L142" s="72">
        <f t="shared" si="216"/>
        <v>89360.03278328912</v>
      </c>
      <c r="M142" s="67">
        <f>H142/$P$255*$P$263</f>
        <v>104064.6931164788</v>
      </c>
      <c r="N142" s="67">
        <f>J142/$P$255*$P$263</f>
        <v>18364.357608790382</v>
      </c>
      <c r="O142" s="72">
        <f t="shared" si="217"/>
        <v>122429.05072526918</v>
      </c>
      <c r="P142" s="203">
        <f t="shared" si="218"/>
        <v>122429.05072526918</v>
      </c>
      <c r="Q142" s="272">
        <f t="shared" si="106"/>
        <v>122429.05072526919</v>
      </c>
      <c r="R142" s="439">
        <f t="shared" si="219"/>
        <v>0</v>
      </c>
      <c r="S142" s="273"/>
      <c r="T142" s="1"/>
      <c r="U142" s="226"/>
      <c r="V142" s="226"/>
      <c r="W142" s="899" t="s">
        <v>378</v>
      </c>
      <c r="X142" s="899"/>
      <c r="Y142" s="899"/>
      <c r="Z142" s="358">
        <v>1</v>
      </c>
      <c r="AA142" s="358">
        <v>1</v>
      </c>
      <c r="AB142" s="358" t="s">
        <v>301</v>
      </c>
      <c r="AC142" s="360">
        <v>2000</v>
      </c>
      <c r="AD142" s="360">
        <f>AC142*AA142</f>
        <v>2000</v>
      </c>
      <c r="AE142" s="362">
        <v>500</v>
      </c>
      <c r="AF142" s="362">
        <f>AE142*AA142</f>
        <v>500</v>
      </c>
    </row>
    <row r="143" spans="1:32" s="224" customFormat="1" x14ac:dyDescent="0.25">
      <c r="A143" s="411"/>
      <c r="B143" s="412"/>
      <c r="C143" s="413">
        <v>3</v>
      </c>
      <c r="D143" s="83" t="s">
        <v>418</v>
      </c>
      <c r="E143" s="242">
        <v>1</v>
      </c>
      <c r="F143" s="302">
        <v>1</v>
      </c>
      <c r="G143" s="77" t="s">
        <v>55</v>
      </c>
      <c r="H143" s="74">
        <f>5900*0.85/1.3889/1.03</f>
        <v>3505.6030231369796</v>
      </c>
      <c r="I143" s="74">
        <f t="shared" si="214"/>
        <v>3505.6030231369796</v>
      </c>
      <c r="J143" s="74">
        <f>5900*0.15/1.3889/1.03</f>
        <v>618.63582761240821</v>
      </c>
      <c r="K143" s="67">
        <f t="shared" si="215"/>
        <v>618.63582761240821</v>
      </c>
      <c r="L143" s="72">
        <f t="shared" si="216"/>
        <v>4124.2388507493879</v>
      </c>
      <c r="M143" s="67">
        <f>H143/$P$255*$P$263</f>
        <v>4802.9039042894692</v>
      </c>
      <c r="N143" s="67">
        <f>J143/$P$255*$P$263</f>
        <v>847.57127722755331</v>
      </c>
      <c r="O143" s="72">
        <f t="shared" si="217"/>
        <v>5650.4751815170221</v>
      </c>
      <c r="P143" s="203">
        <f t="shared" si="218"/>
        <v>5650.4751815170221</v>
      </c>
      <c r="Q143" s="272">
        <f t="shared" si="106"/>
        <v>5650.475181517023</v>
      </c>
      <c r="R143" s="439">
        <f t="shared" si="219"/>
        <v>0</v>
      </c>
      <c r="S143" s="273"/>
      <c r="T143" s="1"/>
      <c r="U143" s="226"/>
      <c r="V143" s="226"/>
      <c r="W143" s="899" t="s">
        <v>379</v>
      </c>
      <c r="X143" s="899"/>
      <c r="Y143" s="899"/>
      <c r="Z143" s="358">
        <v>1</v>
      </c>
      <c r="AA143" s="358">
        <v>1</v>
      </c>
      <c r="AB143" s="358" t="s">
        <v>301</v>
      </c>
      <c r="AC143" s="360">
        <v>2000</v>
      </c>
      <c r="AD143" s="360">
        <f>AC143*AA143</f>
        <v>2000</v>
      </c>
      <c r="AE143" s="362">
        <v>1000</v>
      </c>
      <c r="AF143" s="362">
        <f>AE143*AA143</f>
        <v>1000</v>
      </c>
    </row>
    <row r="144" spans="1:32" s="1" customFormat="1" x14ac:dyDescent="0.25">
      <c r="A144" s="238"/>
      <c r="B144" s="248"/>
      <c r="C144" s="298"/>
      <c r="D144" s="82"/>
      <c r="E144" s="242"/>
      <c r="F144" s="302"/>
      <c r="G144" s="75"/>
      <c r="H144" s="74"/>
      <c r="I144" s="74"/>
      <c r="J144" s="74"/>
      <c r="K144" s="74"/>
      <c r="L144" s="74"/>
      <c r="M144" s="72"/>
      <c r="N144" s="72"/>
      <c r="O144" s="72"/>
      <c r="P144" s="205"/>
      <c r="Q144" s="272">
        <f t="shared" si="106"/>
        <v>0</v>
      </c>
      <c r="R144" s="439"/>
      <c r="S144" s="18"/>
      <c r="U144" s="226"/>
      <c r="V144" s="226"/>
      <c r="W144" s="226"/>
      <c r="X144" s="226"/>
      <c r="Y144" s="226"/>
      <c r="Z144" s="226"/>
      <c r="AA144" s="226"/>
      <c r="AB144" s="226"/>
      <c r="AC144" s="226"/>
      <c r="AD144" s="365">
        <f>SUM(AD131:AD143)</f>
        <v>253291.54850498337</v>
      </c>
      <c r="AE144" s="60"/>
      <c r="AF144" s="366">
        <f>SUM(AF131:AF143)</f>
        <v>33761</v>
      </c>
    </row>
    <row r="145" spans="1:39" x14ac:dyDescent="0.25">
      <c r="A145" s="238"/>
      <c r="B145" s="290" t="s">
        <v>339</v>
      </c>
      <c r="C145" s="291" t="s">
        <v>340</v>
      </c>
      <c r="D145" s="83"/>
      <c r="E145" s="242"/>
      <c r="F145" s="302"/>
      <c r="G145" s="75"/>
      <c r="H145" s="74"/>
      <c r="I145" s="74"/>
      <c r="J145" s="74"/>
      <c r="K145" s="74"/>
      <c r="L145" s="74"/>
      <c r="M145" s="72"/>
      <c r="N145" s="72"/>
      <c r="O145" s="72"/>
      <c r="P145" s="205"/>
      <c r="Q145" s="272">
        <f t="shared" ref="Q145:Q208" si="220">L145/$P$255*$P$263</f>
        <v>0</v>
      </c>
      <c r="R145" s="439"/>
    </row>
    <row r="146" spans="1:39" x14ac:dyDescent="0.25">
      <c r="A146" s="238"/>
      <c r="B146" s="249"/>
      <c r="C146" s="293">
        <v>1</v>
      </c>
      <c r="D146" s="83" t="s">
        <v>341</v>
      </c>
      <c r="E146" s="242">
        <v>1</v>
      </c>
      <c r="F146" s="302">
        <v>1</v>
      </c>
      <c r="G146" s="77" t="s">
        <v>55</v>
      </c>
      <c r="H146" s="328">
        <f>79415.5*0.7/1.07</f>
        <v>51954.065420560742</v>
      </c>
      <c r="I146" s="67">
        <f>F146*H146</f>
        <v>51954.065420560742</v>
      </c>
      <c r="J146" s="328">
        <f>79415.5*0.3/1.07</f>
        <v>22266.028037383174</v>
      </c>
      <c r="K146" s="67">
        <f t="shared" ref="K146:K147" si="221">F146*J146</f>
        <v>22266.028037383174</v>
      </c>
      <c r="L146" s="72">
        <f t="shared" ref="L146:L147" si="222">I146+K146</f>
        <v>74220.09345794392</v>
      </c>
      <c r="M146" s="67">
        <f>H146/$P$255*$P$263</f>
        <v>71180.445134609137</v>
      </c>
      <c r="N146" s="67">
        <f>J146/$P$255*$P$263</f>
        <v>30505.905057689626</v>
      </c>
      <c r="O146" s="72">
        <f t="shared" ref="O146:O148" si="223">N146+M146</f>
        <v>101686.35019229876</v>
      </c>
      <c r="P146" s="203">
        <f t="shared" ref="P146:P148" si="224">O146*F146</f>
        <v>101686.35019229876</v>
      </c>
      <c r="Q146" s="272">
        <f t="shared" si="220"/>
        <v>101686.35019229876</v>
      </c>
      <c r="R146" s="439">
        <f t="shared" si="105"/>
        <v>0</v>
      </c>
    </row>
    <row r="147" spans="1:39" x14ac:dyDescent="0.25">
      <c r="A147" s="238"/>
      <c r="B147" s="249"/>
      <c r="C147" s="293">
        <v>2</v>
      </c>
      <c r="D147" s="83" t="s">
        <v>342</v>
      </c>
      <c r="E147" s="242">
        <v>1</v>
      </c>
      <c r="F147" s="302">
        <v>1</v>
      </c>
      <c r="G147" s="77" t="s">
        <v>55</v>
      </c>
      <c r="H147" s="328">
        <f>120317.5*0.7/1.07</f>
        <v>78712.383177570082</v>
      </c>
      <c r="I147" s="67">
        <f>F147*H147</f>
        <v>78712.383177570082</v>
      </c>
      <c r="J147" s="328">
        <f>120317.5*0.3/1.07</f>
        <v>33733.878504672895</v>
      </c>
      <c r="K147" s="67">
        <f t="shared" si="221"/>
        <v>33733.878504672895</v>
      </c>
      <c r="L147" s="72">
        <f t="shared" si="222"/>
        <v>112446.26168224297</v>
      </c>
      <c r="M147" s="67">
        <f>H147/$P$255*$P$263</f>
        <v>107841.07897681603</v>
      </c>
      <c r="N147" s="67">
        <f>J147/$P$255*$P$263</f>
        <v>46217.605275778304</v>
      </c>
      <c r="O147" s="72">
        <f t="shared" si="223"/>
        <v>154058.68425259434</v>
      </c>
      <c r="P147" s="203">
        <f t="shared" si="224"/>
        <v>154058.68425259434</v>
      </c>
      <c r="Q147" s="272">
        <f t="shared" si="220"/>
        <v>154058.68425259434</v>
      </c>
      <c r="R147" s="439">
        <f t="shared" si="105"/>
        <v>0</v>
      </c>
    </row>
    <row r="148" spans="1:39" x14ac:dyDescent="0.25">
      <c r="A148" s="238"/>
      <c r="B148" s="249"/>
      <c r="C148" s="293">
        <v>3</v>
      </c>
      <c r="D148" s="83" t="s">
        <v>359</v>
      </c>
      <c r="E148" s="242">
        <v>6.3</v>
      </c>
      <c r="F148" s="302">
        <v>6.5</v>
      </c>
      <c r="G148" s="77" t="s">
        <v>100</v>
      </c>
      <c r="H148" s="74">
        <f>(AE212*2+AE228*3)/F148/1.05</f>
        <v>3093.6263736263736</v>
      </c>
      <c r="I148" s="67">
        <f>F148*H148</f>
        <v>20108.571428571428</v>
      </c>
      <c r="J148" s="74">
        <f>(AE219*2+AE235*3)/F148/1.05</f>
        <v>2913.5531135531132</v>
      </c>
      <c r="K148" s="67">
        <f t="shared" ref="K148" si="225">F148*J148</f>
        <v>18938.095238095237</v>
      </c>
      <c r="L148" s="72">
        <f t="shared" ref="L148" si="226">I148+K148</f>
        <v>39046.666666666664</v>
      </c>
      <c r="M148" s="67">
        <f>H148/$P$255*$P$263</f>
        <v>4238.4691279182516</v>
      </c>
      <c r="N148" s="67">
        <f>J148/$P$255*$P$263</f>
        <v>3991.7570620751367</v>
      </c>
      <c r="O148" s="72">
        <f t="shared" si="223"/>
        <v>8230.2261899933874</v>
      </c>
      <c r="P148" s="203">
        <f t="shared" si="224"/>
        <v>53496.470234957014</v>
      </c>
      <c r="Q148" s="272">
        <f t="shared" si="220"/>
        <v>53496.470234957022</v>
      </c>
      <c r="R148" s="439">
        <f t="shared" si="105"/>
        <v>0</v>
      </c>
    </row>
    <row r="149" spans="1:39" ht="15.75" thickBot="1" x14ac:dyDescent="0.3">
      <c r="A149" s="238"/>
      <c r="B149" s="289"/>
      <c r="C149" s="300"/>
      <c r="D149" s="83"/>
      <c r="E149" s="242"/>
      <c r="F149" s="302"/>
      <c r="G149" s="75"/>
      <c r="H149" s="74"/>
      <c r="I149" s="74"/>
      <c r="J149" s="74"/>
      <c r="K149" s="74"/>
      <c r="L149" s="74"/>
      <c r="M149" s="72"/>
      <c r="N149" s="72"/>
      <c r="O149" s="72"/>
      <c r="P149" s="205"/>
      <c r="Q149" s="272">
        <f t="shared" si="220"/>
        <v>0</v>
      </c>
      <c r="R149" s="439"/>
    </row>
    <row r="150" spans="1:39" s="234" customFormat="1" ht="15.75" thickBot="1" x14ac:dyDescent="0.3">
      <c r="A150" s="308"/>
      <c r="B150" s="910" t="s">
        <v>343</v>
      </c>
      <c r="C150" s="911"/>
      <c r="D150" s="912"/>
      <c r="E150" s="309"/>
      <c r="F150" s="310"/>
      <c r="G150" s="311"/>
      <c r="H150" s="312"/>
      <c r="I150" s="313">
        <f>SUM(I36:I149)</f>
        <v>4139378.3307939433</v>
      </c>
      <c r="J150" s="312"/>
      <c r="K150" s="313">
        <f>SUM(K36:K149)</f>
        <v>1285296.0718094779</v>
      </c>
      <c r="L150" s="313">
        <f>SUM(L36:L149)</f>
        <v>5424674.4026034204</v>
      </c>
      <c r="M150" s="312"/>
      <c r="N150" s="312"/>
      <c r="O150" s="313"/>
      <c r="P150" s="315">
        <f>SUM(P36:P149)</f>
        <v>7432156.3781767283</v>
      </c>
      <c r="Q150" s="272">
        <f t="shared" si="220"/>
        <v>7432156.3781767245</v>
      </c>
      <c r="R150" s="439">
        <f t="shared" ref="R150" si="227">P150-Q150</f>
        <v>0</v>
      </c>
      <c r="T150" s="211"/>
      <c r="AG150" s="277"/>
      <c r="AH150" s="277"/>
      <c r="AI150" s="277"/>
      <c r="AJ150" s="277"/>
      <c r="AK150" s="278"/>
      <c r="AL150" s="225"/>
      <c r="AM150" s="282"/>
    </row>
    <row r="151" spans="1:39" s="226" customFormat="1" ht="15.75" x14ac:dyDescent="0.25">
      <c r="A151" s="323" t="s">
        <v>86</v>
      </c>
      <c r="B151" s="408" t="s">
        <v>344</v>
      </c>
      <c r="C151" s="409"/>
      <c r="D151" s="410"/>
      <c r="E151" s="254"/>
      <c r="F151" s="304"/>
      <c r="G151" s="255"/>
      <c r="H151" s="256"/>
      <c r="I151" s="256"/>
      <c r="J151" s="256"/>
      <c r="K151" s="256"/>
      <c r="L151" s="256"/>
      <c r="M151" s="256"/>
      <c r="N151" s="256"/>
      <c r="O151" s="256"/>
      <c r="P151" s="257"/>
      <c r="Q151" s="272">
        <f t="shared" si="220"/>
        <v>0</v>
      </c>
      <c r="R151" s="439"/>
      <c r="T151" s="1"/>
      <c r="AG151" s="286"/>
      <c r="AH151" s="286"/>
      <c r="AI151" s="286"/>
      <c r="AJ151" s="286"/>
      <c r="AK151" s="127"/>
      <c r="AL151" s="285"/>
      <c r="AM151" s="225"/>
    </row>
    <row r="152" spans="1:39" s="1" customFormat="1" x14ac:dyDescent="0.25">
      <c r="A152" s="238"/>
      <c r="B152" s="290" t="s">
        <v>319</v>
      </c>
      <c r="C152" s="291" t="s">
        <v>132</v>
      </c>
      <c r="D152" s="316"/>
      <c r="E152" s="244"/>
      <c r="F152" s="302"/>
      <c r="G152" s="75"/>
      <c r="H152" s="74"/>
      <c r="I152" s="74"/>
      <c r="J152" s="74"/>
      <c r="K152" s="74"/>
      <c r="L152" s="74"/>
      <c r="M152" s="72"/>
      <c r="N152" s="72"/>
      <c r="O152" s="72"/>
      <c r="P152" s="205"/>
      <c r="Q152" s="272">
        <f t="shared" si="220"/>
        <v>0</v>
      </c>
      <c r="R152" s="439"/>
      <c r="S152" s="18"/>
    </row>
    <row r="153" spans="1:39" s="1" customFormat="1" x14ac:dyDescent="0.25">
      <c r="A153" s="238"/>
      <c r="B153" s="317"/>
      <c r="C153" s="318">
        <v>1</v>
      </c>
      <c r="D153" s="83" t="s">
        <v>419</v>
      </c>
      <c r="E153" s="242">
        <f>61+1+5</f>
        <v>67</v>
      </c>
      <c r="F153" s="242">
        <f>61+1+5</f>
        <v>67</v>
      </c>
      <c r="G153" s="73" t="s">
        <v>283</v>
      </c>
      <c r="H153" s="67">
        <f>360/1.05</f>
        <v>342.85714285714283</v>
      </c>
      <c r="I153" s="67">
        <f>F153*H153</f>
        <v>22971.428571428569</v>
      </c>
      <c r="J153" s="67">
        <v>100</v>
      </c>
      <c r="K153" s="67">
        <f t="shared" ref="K153:K156" si="228">F153*J153</f>
        <v>6700</v>
      </c>
      <c r="L153" s="72">
        <f t="shared" ref="L153:L156" si="229">I153+K153</f>
        <v>29671.428571428569</v>
      </c>
      <c r="M153" s="67">
        <f>H153/$P$255*$P$263</f>
        <v>469.73656149136633</v>
      </c>
      <c r="N153" s="67">
        <f>J153/$P$255*$P$263</f>
        <v>137.00649710164853</v>
      </c>
      <c r="O153" s="72">
        <f t="shared" ref="O153:O156" si="230">N153+M153</f>
        <v>606.74305859301489</v>
      </c>
      <c r="P153" s="203">
        <f t="shared" ref="P153:P156" si="231">O153*F153</f>
        <v>40651.784925731998</v>
      </c>
      <c r="Q153" s="272">
        <f t="shared" si="220"/>
        <v>40651.784925731998</v>
      </c>
      <c r="R153" s="439">
        <f t="shared" ref="R153:R158" si="232">P153-Q153</f>
        <v>0</v>
      </c>
      <c r="S153" s="18"/>
      <c r="T153" s="67">
        <f>360/1.05</f>
        <v>342.85714285714283</v>
      </c>
    </row>
    <row r="154" spans="1:39" s="1" customFormat="1" x14ac:dyDescent="0.25">
      <c r="A154" s="238"/>
      <c r="B154" s="317"/>
      <c r="C154" s="318">
        <v>2</v>
      </c>
      <c r="D154" s="83" t="s">
        <v>134</v>
      </c>
      <c r="E154" s="242">
        <v>88</v>
      </c>
      <c r="F154" s="242">
        <v>88</v>
      </c>
      <c r="G154" s="73" t="s">
        <v>283</v>
      </c>
      <c r="H154" s="67">
        <f>837/1.05</f>
        <v>797.14285714285711</v>
      </c>
      <c r="I154" s="67">
        <f>F154*H154</f>
        <v>70148.57142857142</v>
      </c>
      <c r="J154" s="67">
        <f>J153</f>
        <v>100</v>
      </c>
      <c r="K154" s="67">
        <f t="shared" si="228"/>
        <v>8800</v>
      </c>
      <c r="L154" s="72">
        <f t="shared" si="229"/>
        <v>78948.57142857142</v>
      </c>
      <c r="M154" s="67">
        <f>H154/$P$255*$P$263</f>
        <v>1092.1375054674268</v>
      </c>
      <c r="N154" s="67">
        <f>J154/$P$255*$P$263</f>
        <v>137.00649710164853</v>
      </c>
      <c r="O154" s="72">
        <f t="shared" si="230"/>
        <v>1229.1440025690754</v>
      </c>
      <c r="P154" s="203">
        <f t="shared" si="231"/>
        <v>108164.67222607863</v>
      </c>
      <c r="Q154" s="272">
        <f t="shared" si="220"/>
        <v>108164.67222607862</v>
      </c>
      <c r="R154" s="439">
        <f t="shared" si="232"/>
        <v>0</v>
      </c>
      <c r="S154" s="18"/>
      <c r="T154" s="67">
        <f>837/1.05</f>
        <v>797.14285714285711</v>
      </c>
    </row>
    <row r="155" spans="1:39" s="1" customFormat="1" x14ac:dyDescent="0.25">
      <c r="A155" s="238"/>
      <c r="B155" s="317"/>
      <c r="C155" s="318">
        <v>3</v>
      </c>
      <c r="D155" s="83" t="s">
        <v>135</v>
      </c>
      <c r="E155" s="242">
        <f>3+1</f>
        <v>4</v>
      </c>
      <c r="F155" s="242">
        <f>3+1</f>
        <v>4</v>
      </c>
      <c r="G155" s="73" t="s">
        <v>283</v>
      </c>
      <c r="H155" s="67">
        <f>260/1.05</f>
        <v>247.61904761904762</v>
      </c>
      <c r="I155" s="67">
        <f>F155*H155</f>
        <v>990.47619047619048</v>
      </c>
      <c r="J155" s="67">
        <f>J153</f>
        <v>100</v>
      </c>
      <c r="K155" s="67">
        <f t="shared" si="228"/>
        <v>400</v>
      </c>
      <c r="L155" s="72">
        <f t="shared" si="229"/>
        <v>1390.4761904761904</v>
      </c>
      <c r="M155" s="67">
        <f>H155/$P$255*$P$263</f>
        <v>339.25418329932012</v>
      </c>
      <c r="N155" s="67">
        <f>J155/$P$255*$P$263</f>
        <v>137.00649710164853</v>
      </c>
      <c r="O155" s="72">
        <f t="shared" si="230"/>
        <v>476.26068040096868</v>
      </c>
      <c r="P155" s="203">
        <f t="shared" si="231"/>
        <v>1905.0427216038747</v>
      </c>
      <c r="Q155" s="272">
        <f t="shared" si="220"/>
        <v>1905.0427216038747</v>
      </c>
      <c r="R155" s="439">
        <f t="shared" si="232"/>
        <v>0</v>
      </c>
      <c r="S155" s="18"/>
      <c r="T155" s="67">
        <f>260/1.05</f>
        <v>247.61904761904762</v>
      </c>
      <c r="U155" s="18"/>
      <c r="V155" s="273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</row>
    <row r="156" spans="1:39" s="1" customFormat="1" x14ac:dyDescent="0.25">
      <c r="A156" s="238"/>
      <c r="B156" s="317"/>
      <c r="C156" s="318">
        <v>4</v>
      </c>
      <c r="D156" s="83" t="s">
        <v>136</v>
      </c>
      <c r="E156" s="242">
        <v>18</v>
      </c>
      <c r="F156" s="242">
        <v>18</v>
      </c>
      <c r="G156" s="73" t="s">
        <v>283</v>
      </c>
      <c r="H156" s="67">
        <f>1980/1.05</f>
        <v>1885.7142857142856</v>
      </c>
      <c r="I156" s="67">
        <f>F156*H156</f>
        <v>33942.857142857138</v>
      </c>
      <c r="J156" s="67">
        <v>200</v>
      </c>
      <c r="K156" s="67">
        <f t="shared" si="228"/>
        <v>3600</v>
      </c>
      <c r="L156" s="72">
        <f t="shared" si="229"/>
        <v>37542.857142857138</v>
      </c>
      <c r="M156" s="67">
        <f>H156/$P$255*$P$263</f>
        <v>2583.5510882025151</v>
      </c>
      <c r="N156" s="67">
        <f>J156/$P$255*$P$263</f>
        <v>274.01299420329707</v>
      </c>
      <c r="O156" s="72">
        <f t="shared" si="230"/>
        <v>2857.5640824058123</v>
      </c>
      <c r="P156" s="203">
        <f t="shared" si="231"/>
        <v>51436.153483304624</v>
      </c>
      <c r="Q156" s="272">
        <f t="shared" si="220"/>
        <v>51436.15348330461</v>
      </c>
      <c r="R156" s="439">
        <f t="shared" si="232"/>
        <v>0</v>
      </c>
      <c r="S156" s="18"/>
      <c r="T156" s="67">
        <f>1980/1.05</f>
        <v>1885.7142857142856</v>
      </c>
      <c r="U156" s="18"/>
      <c r="V156" s="273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</row>
    <row r="157" spans="1:39" s="1" customFormat="1" x14ac:dyDescent="0.25">
      <c r="A157" s="238"/>
      <c r="B157" s="319"/>
      <c r="C157" s="318"/>
      <c r="D157" s="83" t="s">
        <v>137</v>
      </c>
      <c r="E157" s="242"/>
      <c r="F157" s="24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>
        <f t="shared" si="220"/>
        <v>0</v>
      </c>
      <c r="R157" s="439"/>
      <c r="S157" s="18"/>
      <c r="T157" s="74"/>
      <c r="U157" s="18"/>
      <c r="V157" s="273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</row>
    <row r="158" spans="1:39" s="1" customFormat="1" x14ac:dyDescent="0.25">
      <c r="A158" s="238"/>
      <c r="B158" s="317"/>
      <c r="C158" s="318">
        <v>5</v>
      </c>
      <c r="D158" s="83" t="s">
        <v>138</v>
      </c>
      <c r="E158" s="242">
        <v>3</v>
      </c>
      <c r="F158" s="242">
        <v>3</v>
      </c>
      <c r="G158" s="73" t="s">
        <v>283</v>
      </c>
      <c r="H158" s="67">
        <f>1620/1.05</f>
        <v>1542.8571428571429</v>
      </c>
      <c r="I158" s="67">
        <f>F158*H158</f>
        <v>4628.5714285714284</v>
      </c>
      <c r="J158" s="67">
        <v>200</v>
      </c>
      <c r="K158" s="67">
        <f t="shared" ref="K158" si="233">F158*J158</f>
        <v>600</v>
      </c>
      <c r="L158" s="72">
        <f t="shared" ref="L158" si="234">I158+K158</f>
        <v>5228.5714285714284</v>
      </c>
      <c r="M158" s="67">
        <f>H158/$P$255*$P$263</f>
        <v>2113.8145267111486</v>
      </c>
      <c r="N158" s="67">
        <f>J158/$P$255*$P$263</f>
        <v>274.01299420329707</v>
      </c>
      <c r="O158" s="72">
        <f t="shared" ref="O158" si="235">N158+M158</f>
        <v>2387.8275209144458</v>
      </c>
      <c r="P158" s="203">
        <f t="shared" ref="P158" si="236">O158*F158</f>
        <v>7163.4825627433374</v>
      </c>
      <c r="Q158" s="272">
        <f t="shared" si="220"/>
        <v>7163.4825627433365</v>
      </c>
      <c r="R158" s="439">
        <f t="shared" si="232"/>
        <v>0</v>
      </c>
      <c r="S158" s="18"/>
      <c r="T158" s="67">
        <f>1620/1.05</f>
        <v>1542.8571428571429</v>
      </c>
      <c r="U158" s="18"/>
      <c r="V158" s="273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</row>
    <row r="159" spans="1:39" s="1" customFormat="1" x14ac:dyDescent="0.25">
      <c r="A159" s="238"/>
      <c r="B159" s="290"/>
      <c r="C159" s="318">
        <v>6</v>
      </c>
      <c r="D159" s="83" t="s">
        <v>139</v>
      </c>
      <c r="E159" s="242">
        <v>44</v>
      </c>
      <c r="F159" s="242">
        <v>44</v>
      </c>
      <c r="G159" s="73" t="s">
        <v>283</v>
      </c>
      <c r="H159" s="74">
        <f>3500/1.05</f>
        <v>3333.333333333333</v>
      </c>
      <c r="I159" s="67">
        <f>F159*H159</f>
        <v>146666.66666666666</v>
      </c>
      <c r="J159" s="67">
        <v>200</v>
      </c>
      <c r="K159" s="67">
        <f t="shared" ref="K159" si="237">F159*J159</f>
        <v>8800</v>
      </c>
      <c r="L159" s="72">
        <f t="shared" ref="L159" si="238">I159+K159</f>
        <v>155466.66666666666</v>
      </c>
      <c r="M159" s="67">
        <f>H159/$P$255*$P$263</f>
        <v>4566.8832367216173</v>
      </c>
      <c r="N159" s="67">
        <f>J159/$P$255*$P$263</f>
        <v>274.01299420329707</v>
      </c>
      <c r="O159" s="72">
        <f t="shared" ref="O159" si="239">N159+M159</f>
        <v>4840.8962309249146</v>
      </c>
      <c r="P159" s="203">
        <f t="shared" ref="P159" si="240">O159*F159</f>
        <v>212999.43416069623</v>
      </c>
      <c r="Q159" s="272">
        <f t="shared" si="220"/>
        <v>212999.43416069623</v>
      </c>
      <c r="R159" s="439">
        <f t="shared" ref="R159" si="241">P159-Q159</f>
        <v>0</v>
      </c>
      <c r="S159" s="18"/>
      <c r="T159" s="74">
        <f>3500/1.05</f>
        <v>3333.333333333333</v>
      </c>
    </row>
    <row r="160" spans="1:39" s="1" customFormat="1" x14ac:dyDescent="0.25">
      <c r="A160" s="238"/>
      <c r="B160" s="317"/>
      <c r="C160" s="318"/>
      <c r="D160" s="83" t="s">
        <v>140</v>
      </c>
      <c r="E160" s="242"/>
      <c r="F160" s="242"/>
      <c r="G160" s="68"/>
      <c r="H160" s="67"/>
      <c r="I160" s="67"/>
      <c r="J160" s="67"/>
      <c r="K160" s="67"/>
      <c r="L160" s="72"/>
      <c r="M160" s="67"/>
      <c r="N160" s="67"/>
      <c r="O160" s="72"/>
      <c r="P160" s="203"/>
      <c r="Q160" s="272">
        <f t="shared" si="220"/>
        <v>0</v>
      </c>
      <c r="R160" s="439"/>
      <c r="S160" s="18"/>
      <c r="T160" s="67"/>
    </row>
    <row r="161" spans="1:38" s="1" customFormat="1" x14ac:dyDescent="0.25">
      <c r="A161" s="238"/>
      <c r="B161" s="317"/>
      <c r="C161" s="318">
        <v>7</v>
      </c>
      <c r="D161" s="83" t="s">
        <v>412</v>
      </c>
      <c r="E161" s="242">
        <v>25</v>
      </c>
      <c r="F161" s="302">
        <v>25</v>
      </c>
      <c r="G161" s="73" t="s">
        <v>283</v>
      </c>
      <c r="H161" s="67">
        <f>3100/1.05</f>
        <v>2952.3809523809523</v>
      </c>
      <c r="I161" s="67">
        <f>F161*H161</f>
        <v>73809.523809523802</v>
      </c>
      <c r="J161" s="67">
        <v>200</v>
      </c>
      <c r="K161" s="67">
        <f t="shared" ref="K161:K165" si="242">F161*J161</f>
        <v>5000</v>
      </c>
      <c r="L161" s="72">
        <f t="shared" ref="L161:L165" si="243">I161+K161</f>
        <v>78809.523809523802</v>
      </c>
      <c r="M161" s="67">
        <f>H161/$P$255*$P$263</f>
        <v>4044.9537239534325</v>
      </c>
      <c r="N161" s="67">
        <f>J161/$P$255*$P$263</f>
        <v>274.01299420329707</v>
      </c>
      <c r="O161" s="72">
        <f t="shared" ref="O161:O165" si="244">N161+M161</f>
        <v>4318.9667181567293</v>
      </c>
      <c r="P161" s="203">
        <f t="shared" ref="P161:P165" si="245">O161*F161</f>
        <v>107974.16795391824</v>
      </c>
      <c r="Q161" s="272">
        <f t="shared" si="220"/>
        <v>107974.16795391822</v>
      </c>
      <c r="R161" s="439">
        <f t="shared" ref="R161:R165" si="246">P161-Q161</f>
        <v>0</v>
      </c>
      <c r="S161" s="18"/>
      <c r="T161" s="67">
        <f>3100/1.05</f>
        <v>2952.3809523809523</v>
      </c>
    </row>
    <row r="162" spans="1:38" s="1" customFormat="1" x14ac:dyDescent="0.25">
      <c r="A162" s="238"/>
      <c r="B162" s="317"/>
      <c r="C162" s="318">
        <v>8</v>
      </c>
      <c r="D162" s="83" t="s">
        <v>286</v>
      </c>
      <c r="E162" s="242">
        <v>4</v>
      </c>
      <c r="F162" s="302">
        <v>4</v>
      </c>
      <c r="G162" s="73" t="s">
        <v>283</v>
      </c>
      <c r="H162" s="67">
        <f>2400/1.05</f>
        <v>2285.7142857142858</v>
      </c>
      <c r="I162" s="67">
        <f>F162*H162</f>
        <v>9142.8571428571431</v>
      </c>
      <c r="J162" s="67">
        <v>200</v>
      </c>
      <c r="K162" s="67">
        <f t="shared" ref="K162" si="247">F162*J162</f>
        <v>800</v>
      </c>
      <c r="L162" s="72">
        <f t="shared" ref="L162" si="248">I162+K162</f>
        <v>9942.8571428571431</v>
      </c>
      <c r="M162" s="67">
        <f>H162/$P$255*$P$263</f>
        <v>3131.5770766091096</v>
      </c>
      <c r="N162" s="67">
        <f>J162/$P$255*$P$263</f>
        <v>274.01299420329707</v>
      </c>
      <c r="O162" s="72">
        <f t="shared" ref="O162" si="249">N162+M162</f>
        <v>3405.5900708124068</v>
      </c>
      <c r="P162" s="203">
        <f t="shared" ref="P162" si="250">O162*F162</f>
        <v>13622.360283249627</v>
      </c>
      <c r="Q162" s="272">
        <f t="shared" si="220"/>
        <v>13622.360283249625</v>
      </c>
      <c r="R162" s="439">
        <f t="shared" ref="R162" si="251">P162-Q162</f>
        <v>0</v>
      </c>
      <c r="S162" s="18"/>
      <c r="T162" s="67">
        <f>2400/1.05</f>
        <v>2285.7142857142858</v>
      </c>
    </row>
    <row r="163" spans="1:38" s="1" customFormat="1" x14ac:dyDescent="0.25">
      <c r="A163" s="238"/>
      <c r="B163" s="317"/>
      <c r="C163" s="318"/>
      <c r="D163" s="83"/>
      <c r="E163" s="242"/>
      <c r="F163" s="302"/>
      <c r="G163" s="73"/>
      <c r="H163" s="67"/>
      <c r="I163" s="67"/>
      <c r="J163" s="67"/>
      <c r="K163" s="67"/>
      <c r="L163" s="72"/>
      <c r="M163" s="67"/>
      <c r="N163" s="67"/>
      <c r="O163" s="72"/>
      <c r="P163" s="203"/>
      <c r="Q163" s="272">
        <f t="shared" si="220"/>
        <v>0</v>
      </c>
      <c r="R163" s="439"/>
      <c r="S163" s="18"/>
    </row>
    <row r="164" spans="1:38" s="1" customFormat="1" x14ac:dyDescent="0.25">
      <c r="A164" s="238"/>
      <c r="B164" s="290" t="s">
        <v>320</v>
      </c>
      <c r="C164" s="291" t="s">
        <v>420</v>
      </c>
      <c r="D164" s="316"/>
      <c r="E164" s="244"/>
      <c r="F164" s="302"/>
      <c r="G164" s="75"/>
      <c r="H164" s="440">
        <v>0.9</v>
      </c>
      <c r="I164" s="74"/>
      <c r="J164" s="74"/>
      <c r="K164" s="74"/>
      <c r="L164" s="74"/>
      <c r="M164" s="72"/>
      <c r="N164" s="72"/>
      <c r="O164" s="72"/>
      <c r="P164" s="205"/>
      <c r="Q164" s="272">
        <f t="shared" si="220"/>
        <v>0</v>
      </c>
      <c r="R164" s="439"/>
      <c r="S164" s="18"/>
    </row>
    <row r="165" spans="1:38" s="1" customFormat="1" x14ac:dyDescent="0.25">
      <c r="A165" s="238"/>
      <c r="B165" s="317"/>
      <c r="C165" s="318">
        <v>1</v>
      </c>
      <c r="D165" s="83" t="s">
        <v>421</v>
      </c>
      <c r="E165" s="242">
        <v>2284</v>
      </c>
      <c r="F165" s="242">
        <v>2300</v>
      </c>
      <c r="G165" s="73" t="s">
        <v>100</v>
      </c>
      <c r="H165" s="67">
        <f>T165/$H$164</f>
        <v>16.666666666666668</v>
      </c>
      <c r="I165" s="67">
        <f>F165*H165</f>
        <v>38333.333333333336</v>
      </c>
      <c r="J165" s="67">
        <v>5</v>
      </c>
      <c r="K165" s="67">
        <f t="shared" si="242"/>
        <v>11500</v>
      </c>
      <c r="L165" s="72">
        <f t="shared" si="243"/>
        <v>49833.333333333336</v>
      </c>
      <c r="M165" s="67">
        <f t="shared" ref="M165:M174" si="252">H165/$P$255*$P$263</f>
        <v>22.834416183608088</v>
      </c>
      <c r="N165" s="67">
        <f t="shared" ref="N165:N174" si="253">J165/$P$255*$P$263</f>
        <v>6.8503248550824258</v>
      </c>
      <c r="O165" s="72">
        <f t="shared" si="244"/>
        <v>29.684741038690515</v>
      </c>
      <c r="P165" s="203">
        <f t="shared" si="245"/>
        <v>68274.904388988187</v>
      </c>
      <c r="Q165" s="272">
        <f t="shared" si="220"/>
        <v>68274.904388988187</v>
      </c>
      <c r="R165" s="439">
        <f t="shared" si="246"/>
        <v>0</v>
      </c>
      <c r="S165" s="18"/>
      <c r="T165" s="67">
        <v>15</v>
      </c>
      <c r="U165" s="18"/>
      <c r="V165" s="273"/>
      <c r="W165" s="224"/>
      <c r="X165" s="224"/>
      <c r="Y165" s="224"/>
      <c r="Z165" s="224"/>
      <c r="AA165" s="224"/>
      <c r="AB165" s="224"/>
      <c r="AC165" s="224"/>
      <c r="AD165" s="224"/>
      <c r="AE165" s="224"/>
      <c r="AF165" s="224"/>
    </row>
    <row r="166" spans="1:38" s="1" customFormat="1" x14ac:dyDescent="0.25">
      <c r="A166" s="238"/>
      <c r="B166" s="317"/>
      <c r="C166" s="318">
        <v>2</v>
      </c>
      <c r="D166" s="83" t="s">
        <v>422</v>
      </c>
      <c r="E166" s="242">
        <v>6464</v>
      </c>
      <c r="F166" s="242">
        <v>6480</v>
      </c>
      <c r="G166" s="73" t="s">
        <v>100</v>
      </c>
      <c r="H166" s="67">
        <f>T166/$H$164</f>
        <v>24.444444444444443</v>
      </c>
      <c r="I166" s="67">
        <f t="shared" ref="I166:I174" si="254">F166*H166</f>
        <v>158400</v>
      </c>
      <c r="J166" s="67">
        <v>7</v>
      </c>
      <c r="K166" s="67">
        <f t="shared" ref="K166:K174" si="255">F166*J166</f>
        <v>45360</v>
      </c>
      <c r="L166" s="72">
        <f t="shared" ref="L166:L174" si="256">I166+K166</f>
        <v>203760</v>
      </c>
      <c r="M166" s="67">
        <f t="shared" si="252"/>
        <v>33.490477069291856</v>
      </c>
      <c r="N166" s="67">
        <f t="shared" si="253"/>
        <v>9.5904547971153971</v>
      </c>
      <c r="O166" s="72">
        <f t="shared" ref="O166:O174" si="257">N166+M166</f>
        <v>43.080931866407255</v>
      </c>
      <c r="P166" s="203">
        <f t="shared" ref="P166:P174" si="258">O166*F166</f>
        <v>279164.43849431904</v>
      </c>
      <c r="Q166" s="272">
        <f t="shared" si="220"/>
        <v>279164.43849431904</v>
      </c>
      <c r="R166" s="439">
        <f t="shared" ref="R166:R174" si="259">P166-Q166</f>
        <v>0</v>
      </c>
      <c r="S166" s="18"/>
      <c r="T166" s="67">
        <v>22</v>
      </c>
      <c r="U166" s="18"/>
      <c r="V166" s="273"/>
      <c r="W166" s="224"/>
      <c r="X166" s="224"/>
      <c r="Y166" s="224"/>
      <c r="Z166" s="224"/>
      <c r="AA166" s="224"/>
      <c r="AB166" s="224"/>
      <c r="AC166" s="224"/>
      <c r="AD166" s="224"/>
      <c r="AE166" s="224"/>
      <c r="AF166" s="224"/>
    </row>
    <row r="167" spans="1:38" s="1" customFormat="1" x14ac:dyDescent="0.25">
      <c r="A167" s="238"/>
      <c r="B167" s="317"/>
      <c r="C167" s="318">
        <v>3</v>
      </c>
      <c r="D167" s="83" t="s">
        <v>423</v>
      </c>
      <c r="E167" s="242">
        <v>1087</v>
      </c>
      <c r="F167" s="242">
        <v>1095</v>
      </c>
      <c r="G167" s="73" t="s">
        <v>100</v>
      </c>
      <c r="H167" s="67">
        <f t="shared" ref="H167:H174" si="260">T167/$H$164</f>
        <v>36.666666666666664</v>
      </c>
      <c r="I167" s="67">
        <f t="shared" si="254"/>
        <v>40150</v>
      </c>
      <c r="J167" s="67">
        <v>16</v>
      </c>
      <c r="K167" s="67">
        <f t="shared" si="255"/>
        <v>17520</v>
      </c>
      <c r="L167" s="72">
        <f t="shared" si="256"/>
        <v>57670</v>
      </c>
      <c r="M167" s="67">
        <f t="shared" si="252"/>
        <v>50.235715603937791</v>
      </c>
      <c r="N167" s="67">
        <f t="shared" si="253"/>
        <v>21.921039536263766</v>
      </c>
      <c r="O167" s="72">
        <f t="shared" si="257"/>
        <v>72.156755140201554</v>
      </c>
      <c r="P167" s="203">
        <f t="shared" si="258"/>
        <v>79011.646878520696</v>
      </c>
      <c r="Q167" s="272">
        <f t="shared" si="220"/>
        <v>79011.646878520711</v>
      </c>
      <c r="R167" s="439">
        <f t="shared" si="259"/>
        <v>0</v>
      </c>
      <c r="S167" s="18"/>
      <c r="T167" s="67">
        <v>33</v>
      </c>
      <c r="U167" s="18"/>
      <c r="V167" s="273"/>
      <c r="W167" s="224"/>
      <c r="X167" s="224"/>
      <c r="Y167" s="224"/>
      <c r="Z167" s="224"/>
      <c r="AA167" s="224"/>
      <c r="AB167" s="224"/>
      <c r="AC167" s="224"/>
      <c r="AD167" s="224"/>
      <c r="AE167" s="224"/>
      <c r="AF167" s="224"/>
    </row>
    <row r="168" spans="1:38" s="1" customFormat="1" x14ac:dyDescent="0.25">
      <c r="A168" s="238"/>
      <c r="B168" s="317"/>
      <c r="C168" s="318">
        <v>4</v>
      </c>
      <c r="D168" s="83" t="s">
        <v>430</v>
      </c>
      <c r="E168" s="242">
        <v>1771</v>
      </c>
      <c r="F168" s="242">
        <v>1780</v>
      </c>
      <c r="G168" s="73" t="s">
        <v>100</v>
      </c>
      <c r="H168" s="67">
        <f t="shared" si="260"/>
        <v>58.888888888888886</v>
      </c>
      <c r="I168" s="67">
        <f t="shared" ref="I168" si="261">F168*H168</f>
        <v>104822.22222222222</v>
      </c>
      <c r="J168" s="67">
        <v>16</v>
      </c>
      <c r="K168" s="67">
        <f t="shared" ref="K168" si="262">F168*J168</f>
        <v>28480</v>
      </c>
      <c r="L168" s="72">
        <f t="shared" ref="L168" si="263">I168+K168</f>
        <v>133302.22222222222</v>
      </c>
      <c r="M168" s="67">
        <f t="shared" si="252"/>
        <v>80.681603848748566</v>
      </c>
      <c r="N168" s="67">
        <f t="shared" si="253"/>
        <v>21.921039536263766</v>
      </c>
      <c r="O168" s="72">
        <f t="shared" ref="O168" si="264">N168+M168</f>
        <v>102.60264338501233</v>
      </c>
      <c r="P168" s="203">
        <f t="shared" ref="P168" si="265">O168*F168</f>
        <v>182632.70522532193</v>
      </c>
      <c r="Q168" s="272">
        <f t="shared" si="220"/>
        <v>182632.70522532196</v>
      </c>
      <c r="R168" s="439">
        <f t="shared" ref="R168" si="266">P168-Q168</f>
        <v>0</v>
      </c>
      <c r="S168" s="18"/>
      <c r="T168" s="67">
        <v>53</v>
      </c>
      <c r="U168" s="18"/>
      <c r="V168" s="273"/>
      <c r="W168" s="224"/>
      <c r="X168" s="224"/>
      <c r="Y168" s="224"/>
      <c r="Z168" s="224"/>
      <c r="AA168" s="224"/>
      <c r="AB168" s="224"/>
      <c r="AC168" s="224"/>
      <c r="AD168" s="224"/>
      <c r="AE168" s="224"/>
      <c r="AF168" s="224"/>
    </row>
    <row r="169" spans="1:38" s="1" customFormat="1" x14ac:dyDescent="0.25">
      <c r="A169" s="238"/>
      <c r="B169" s="317"/>
      <c r="C169" s="318">
        <v>5</v>
      </c>
      <c r="D169" s="83" t="s">
        <v>424</v>
      </c>
      <c r="E169" s="242">
        <v>21</v>
      </c>
      <c r="F169" s="242">
        <v>23</v>
      </c>
      <c r="G169" s="73" t="s">
        <v>100</v>
      </c>
      <c r="H169" s="67">
        <f t="shared" si="260"/>
        <v>92.222222222222214</v>
      </c>
      <c r="I169" s="67">
        <f t="shared" si="254"/>
        <v>2121.1111111111109</v>
      </c>
      <c r="J169" s="67">
        <v>25</v>
      </c>
      <c r="K169" s="67">
        <f t="shared" si="255"/>
        <v>575</v>
      </c>
      <c r="L169" s="72">
        <f t="shared" si="256"/>
        <v>2696.1111111111109</v>
      </c>
      <c r="M169" s="67">
        <f t="shared" si="252"/>
        <v>126.35043621596475</v>
      </c>
      <c r="N169" s="67">
        <f t="shared" si="253"/>
        <v>34.251624275412134</v>
      </c>
      <c r="O169" s="72">
        <f t="shared" si="257"/>
        <v>160.60206049137688</v>
      </c>
      <c r="P169" s="203">
        <f t="shared" si="258"/>
        <v>3693.8473913016683</v>
      </c>
      <c r="Q169" s="272">
        <f t="shared" si="220"/>
        <v>3693.8473913016678</v>
      </c>
      <c r="R169" s="439">
        <f t="shared" si="259"/>
        <v>0</v>
      </c>
      <c r="S169" s="18"/>
      <c r="T169" s="67">
        <v>83</v>
      </c>
      <c r="U169" s="18"/>
      <c r="V169" s="273"/>
    </row>
    <row r="170" spans="1:38" s="1" customFormat="1" x14ac:dyDescent="0.25">
      <c r="A170" s="238"/>
      <c r="B170" s="319"/>
      <c r="C170" s="318">
        <v>6</v>
      </c>
      <c r="D170" s="83" t="s">
        <v>425</v>
      </c>
      <c r="E170" s="242">
        <v>24</v>
      </c>
      <c r="F170" s="242">
        <v>27</v>
      </c>
      <c r="G170" s="73" t="s">
        <v>100</v>
      </c>
      <c r="H170" s="67">
        <f t="shared" si="260"/>
        <v>144.44444444444443</v>
      </c>
      <c r="I170" s="67">
        <f t="shared" si="254"/>
        <v>3899.9999999999995</v>
      </c>
      <c r="J170" s="67">
        <v>39</v>
      </c>
      <c r="K170" s="67">
        <f t="shared" si="255"/>
        <v>1053</v>
      </c>
      <c r="L170" s="72">
        <f t="shared" si="256"/>
        <v>4953</v>
      </c>
      <c r="M170" s="67">
        <f t="shared" si="252"/>
        <v>197.89827359127008</v>
      </c>
      <c r="N170" s="67">
        <f t="shared" si="253"/>
        <v>53.432533869642917</v>
      </c>
      <c r="O170" s="72">
        <f t="shared" si="257"/>
        <v>251.33080746091301</v>
      </c>
      <c r="P170" s="203">
        <f t="shared" si="258"/>
        <v>6785.9318014446508</v>
      </c>
      <c r="Q170" s="272">
        <f t="shared" si="220"/>
        <v>6785.9318014446517</v>
      </c>
      <c r="R170" s="439">
        <f t="shared" si="259"/>
        <v>0</v>
      </c>
      <c r="S170" s="18"/>
      <c r="T170" s="67">
        <v>130</v>
      </c>
      <c r="U170" s="18"/>
      <c r="V170" s="273"/>
      <c r="W170" s="224"/>
      <c r="X170" s="224"/>
      <c r="Y170" s="224"/>
      <c r="Z170" s="224"/>
      <c r="AA170" s="224"/>
      <c r="AB170" s="224"/>
      <c r="AC170" s="224"/>
      <c r="AD170" s="224"/>
      <c r="AE170" s="224"/>
      <c r="AF170" s="224"/>
    </row>
    <row r="171" spans="1:38" s="1" customFormat="1" x14ac:dyDescent="0.25">
      <c r="A171" s="238"/>
      <c r="B171" s="317"/>
      <c r="C171" s="318">
        <v>7</v>
      </c>
      <c r="D171" s="83" t="s">
        <v>426</v>
      </c>
      <c r="E171" s="242">
        <v>9</v>
      </c>
      <c r="F171" s="242">
        <v>11</v>
      </c>
      <c r="G171" s="73" t="s">
        <v>100</v>
      </c>
      <c r="H171" s="67">
        <f t="shared" si="260"/>
        <v>211.11111111111111</v>
      </c>
      <c r="I171" s="67">
        <f t="shared" si="254"/>
        <v>2322.2222222222222</v>
      </c>
      <c r="J171" s="67">
        <v>57</v>
      </c>
      <c r="K171" s="67">
        <f t="shared" si="255"/>
        <v>627</v>
      </c>
      <c r="L171" s="72">
        <f t="shared" si="256"/>
        <v>2949.2222222222222</v>
      </c>
      <c r="M171" s="67">
        <f t="shared" si="252"/>
        <v>289.23593832570248</v>
      </c>
      <c r="N171" s="67">
        <f t="shared" si="253"/>
        <v>78.093703347939652</v>
      </c>
      <c r="O171" s="72">
        <f t="shared" si="257"/>
        <v>367.32964167364213</v>
      </c>
      <c r="P171" s="203">
        <f t="shared" si="258"/>
        <v>4040.6260584100633</v>
      </c>
      <c r="Q171" s="272">
        <f t="shared" si="220"/>
        <v>4040.6260584100633</v>
      </c>
      <c r="R171" s="439">
        <f t="shared" si="259"/>
        <v>0</v>
      </c>
      <c r="S171" s="18"/>
      <c r="T171" s="67">
        <v>190</v>
      </c>
      <c r="U171" s="18"/>
      <c r="V171" s="273"/>
      <c r="W171" s="224"/>
      <c r="X171" s="224"/>
      <c r="Y171" s="224"/>
      <c r="Z171" s="224"/>
      <c r="AA171" s="224"/>
      <c r="AB171" s="224"/>
      <c r="AC171" s="224"/>
      <c r="AD171" s="224"/>
      <c r="AE171" s="224"/>
      <c r="AF171" s="224"/>
    </row>
    <row r="172" spans="1:38" s="1" customFormat="1" x14ac:dyDescent="0.25">
      <c r="A172" s="238"/>
      <c r="B172" s="317"/>
      <c r="C172" s="318">
        <v>8</v>
      </c>
      <c r="D172" s="83" t="s">
        <v>427</v>
      </c>
      <c r="E172" s="242">
        <v>34</v>
      </c>
      <c r="F172" s="242">
        <v>37</v>
      </c>
      <c r="G172" s="73" t="s">
        <v>100</v>
      </c>
      <c r="H172" s="67">
        <f t="shared" si="260"/>
        <v>344.44444444444446</v>
      </c>
      <c r="I172" s="67">
        <f t="shared" si="254"/>
        <v>12744.444444444445</v>
      </c>
      <c r="J172" s="67">
        <v>93</v>
      </c>
      <c r="K172" s="67">
        <f t="shared" si="255"/>
        <v>3441</v>
      </c>
      <c r="L172" s="72">
        <f t="shared" si="256"/>
        <v>16185.444444444445</v>
      </c>
      <c r="M172" s="67">
        <f t="shared" si="252"/>
        <v>471.9112677945671</v>
      </c>
      <c r="N172" s="67">
        <f t="shared" si="253"/>
        <v>127.41604230453312</v>
      </c>
      <c r="O172" s="72">
        <f t="shared" si="257"/>
        <v>599.32731009910026</v>
      </c>
      <c r="P172" s="203">
        <f t="shared" si="258"/>
        <v>22175.110473666711</v>
      </c>
      <c r="Q172" s="272">
        <f t="shared" si="220"/>
        <v>22175.110473666711</v>
      </c>
      <c r="R172" s="439">
        <f t="shared" si="259"/>
        <v>0</v>
      </c>
      <c r="S172" s="18"/>
      <c r="T172" s="67">
        <v>310</v>
      </c>
      <c r="U172" s="18"/>
      <c r="V172" s="273"/>
    </row>
    <row r="173" spans="1:38" s="1" customFormat="1" x14ac:dyDescent="0.25">
      <c r="A173" s="238"/>
      <c r="B173" s="317"/>
      <c r="C173" s="318">
        <v>9</v>
      </c>
      <c r="D173" s="83" t="s">
        <v>428</v>
      </c>
      <c r="E173" s="242">
        <v>27</v>
      </c>
      <c r="F173" s="242">
        <v>30</v>
      </c>
      <c r="G173" s="73" t="s">
        <v>100</v>
      </c>
      <c r="H173" s="67">
        <f t="shared" si="260"/>
        <v>984.44444444444446</v>
      </c>
      <c r="I173" s="67">
        <f t="shared" ref="I173" si="267">F173*H173</f>
        <v>29533.333333333332</v>
      </c>
      <c r="J173" s="67">
        <v>265</v>
      </c>
      <c r="K173" s="67">
        <f t="shared" ref="K173" si="268">F173*J173</f>
        <v>7950</v>
      </c>
      <c r="L173" s="72">
        <f t="shared" ref="L173" si="269">I173+K173</f>
        <v>37483.333333333328</v>
      </c>
      <c r="M173" s="67">
        <f t="shared" si="252"/>
        <v>1348.7528492451177</v>
      </c>
      <c r="N173" s="67">
        <f t="shared" si="253"/>
        <v>363.06721731936858</v>
      </c>
      <c r="O173" s="72">
        <f t="shared" ref="O173" si="270">N173+M173</f>
        <v>1711.8200665644863</v>
      </c>
      <c r="P173" s="203">
        <f t="shared" ref="P173" si="271">O173*F173</f>
        <v>51354.601996934587</v>
      </c>
      <c r="Q173" s="272">
        <f t="shared" si="220"/>
        <v>51354.60199693458</v>
      </c>
      <c r="R173" s="439">
        <f t="shared" ref="R173" si="272">P173-Q173</f>
        <v>0</v>
      </c>
      <c r="S173" s="18"/>
      <c r="T173" s="67">
        <v>886</v>
      </c>
      <c r="U173" s="18"/>
      <c r="V173" s="273"/>
    </row>
    <row r="174" spans="1:38" s="1" customFormat="1" x14ac:dyDescent="0.25">
      <c r="A174" s="238"/>
      <c r="B174" s="317"/>
      <c r="C174" s="318">
        <v>10</v>
      </c>
      <c r="D174" s="83" t="s">
        <v>429</v>
      </c>
      <c r="E174" s="242">
        <v>102</v>
      </c>
      <c r="F174" s="242">
        <v>105</v>
      </c>
      <c r="G174" s="73" t="s">
        <v>100</v>
      </c>
      <c r="H174" s="67">
        <f t="shared" si="260"/>
        <v>1595.5555555555554</v>
      </c>
      <c r="I174" s="67">
        <f t="shared" si="254"/>
        <v>167533.33333333331</v>
      </c>
      <c r="J174" s="67">
        <v>430</v>
      </c>
      <c r="K174" s="67">
        <f t="shared" si="255"/>
        <v>45150</v>
      </c>
      <c r="L174" s="72">
        <f t="shared" si="256"/>
        <v>212683.33333333331</v>
      </c>
      <c r="M174" s="67">
        <f t="shared" si="252"/>
        <v>2186.014775977414</v>
      </c>
      <c r="N174" s="67">
        <f t="shared" si="253"/>
        <v>589.12793753708866</v>
      </c>
      <c r="O174" s="72">
        <f t="shared" si="257"/>
        <v>2775.1427135145027</v>
      </c>
      <c r="P174" s="203">
        <f t="shared" si="258"/>
        <v>291389.98491902277</v>
      </c>
      <c r="Q174" s="272">
        <f t="shared" si="220"/>
        <v>291389.98491902277</v>
      </c>
      <c r="R174" s="439">
        <f t="shared" si="259"/>
        <v>0</v>
      </c>
      <c r="S174" s="18"/>
      <c r="T174" s="67">
        <v>1436</v>
      </c>
      <c r="U174" s="18"/>
      <c r="V174" s="273"/>
    </row>
    <row r="175" spans="1:38" s="1" customFormat="1" x14ac:dyDescent="0.25">
      <c r="A175" s="238"/>
      <c r="B175" s="317"/>
      <c r="C175" s="318"/>
      <c r="D175" s="83"/>
      <c r="E175" s="242"/>
      <c r="F175" s="242"/>
      <c r="G175" s="73"/>
      <c r="H175" s="67"/>
      <c r="I175" s="67"/>
      <c r="J175" s="67"/>
      <c r="K175" s="67"/>
      <c r="L175" s="72"/>
      <c r="M175" s="67"/>
      <c r="N175" s="67"/>
      <c r="O175" s="72"/>
      <c r="P175" s="203"/>
      <c r="Q175" s="272">
        <f t="shared" si="220"/>
        <v>0</v>
      </c>
      <c r="R175" s="439"/>
      <c r="S175" s="18"/>
      <c r="T175" s="67"/>
      <c r="U175" s="18"/>
      <c r="V175" s="273"/>
      <c r="W175" s="367"/>
      <c r="X175" s="367"/>
      <c r="Y175" s="367"/>
      <c r="Z175" s="367"/>
      <c r="AA175" s="367"/>
      <c r="AB175" s="367"/>
      <c r="AC175" s="367"/>
      <c r="AD175" s="367"/>
      <c r="AE175" s="367"/>
      <c r="AF175" s="384"/>
      <c r="AG175" s="385"/>
      <c r="AH175" s="385"/>
      <c r="AI175" s="385"/>
      <c r="AJ175" s="385"/>
      <c r="AK175" s="385"/>
      <c r="AL175" s="385"/>
    </row>
    <row r="176" spans="1:38" s="1" customFormat="1" x14ac:dyDescent="0.25">
      <c r="A176" s="238"/>
      <c r="B176" s="290" t="s">
        <v>321</v>
      </c>
      <c r="C176" s="291" t="s">
        <v>431</v>
      </c>
      <c r="D176" s="316"/>
      <c r="E176" s="244"/>
      <c r="F176" s="302"/>
      <c r="G176" s="75"/>
      <c r="H176" s="74"/>
      <c r="I176" s="74"/>
      <c r="J176" s="74"/>
      <c r="K176" s="74"/>
      <c r="L176" s="74"/>
      <c r="M176" s="72"/>
      <c r="N176" s="72"/>
      <c r="O176" s="72"/>
      <c r="P176" s="205"/>
      <c r="Q176" s="272">
        <f t="shared" si="220"/>
        <v>0</v>
      </c>
      <c r="R176" s="439"/>
      <c r="S176" s="18"/>
      <c r="T176" s="74"/>
    </row>
    <row r="177" spans="1:33" s="1" customFormat="1" x14ac:dyDescent="0.25">
      <c r="A177" s="238"/>
      <c r="B177" s="317"/>
      <c r="C177" s="318">
        <v>1</v>
      </c>
      <c r="D177" s="83" t="s">
        <v>432</v>
      </c>
      <c r="E177" s="242">
        <v>24</v>
      </c>
      <c r="F177" s="242">
        <v>24</v>
      </c>
      <c r="G177" s="73" t="s">
        <v>28</v>
      </c>
      <c r="H177" s="67">
        <f t="shared" ref="H177:H183" si="273">T177/$H$164</f>
        <v>104.44444444444444</v>
      </c>
      <c r="I177" s="67">
        <f>F177*H177</f>
        <v>2506.6666666666665</v>
      </c>
      <c r="J177" s="67">
        <v>38</v>
      </c>
      <c r="K177" s="67">
        <f t="shared" ref="K177:K183" si="274">F177*J177</f>
        <v>912</v>
      </c>
      <c r="L177" s="72">
        <f t="shared" ref="L177:L183" si="275">I177+K177</f>
        <v>3418.6666666666665</v>
      </c>
      <c r="M177" s="67">
        <f t="shared" ref="M177:M183" si="276">H177/$P$255*$P$263</f>
        <v>143.0956747506107</v>
      </c>
      <c r="N177" s="67">
        <f t="shared" ref="N177:N183" si="277">J177/$P$255*$P$263</f>
        <v>52.062468898626442</v>
      </c>
      <c r="O177" s="72">
        <f t="shared" ref="O177:O183" si="278">N177+M177</f>
        <v>195.15814364923713</v>
      </c>
      <c r="P177" s="203">
        <f t="shared" ref="P177:P183" si="279">O177*F177</f>
        <v>4683.7954475816914</v>
      </c>
      <c r="Q177" s="272">
        <f t="shared" si="220"/>
        <v>4683.7954475816905</v>
      </c>
      <c r="R177" s="439">
        <f t="shared" ref="R177:R183" si="280">P177-Q177</f>
        <v>0</v>
      </c>
      <c r="S177" s="18"/>
      <c r="T177" s="67">
        <v>94</v>
      </c>
      <c r="U177" s="18"/>
      <c r="V177" s="273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</row>
    <row r="178" spans="1:33" s="1" customFormat="1" x14ac:dyDescent="0.25">
      <c r="A178" s="238"/>
      <c r="B178" s="317"/>
      <c r="C178" s="318">
        <v>2</v>
      </c>
      <c r="D178" s="83" t="s">
        <v>433</v>
      </c>
      <c r="E178" s="242">
        <v>6</v>
      </c>
      <c r="F178" s="242">
        <v>6</v>
      </c>
      <c r="G178" s="73" t="s">
        <v>28</v>
      </c>
      <c r="H178" s="67">
        <f t="shared" si="273"/>
        <v>157.77777777777777</v>
      </c>
      <c r="I178" s="67">
        <f t="shared" ref="I178:I180" si="281">F178*H178</f>
        <v>946.66666666666663</v>
      </c>
      <c r="J178" s="67">
        <v>45</v>
      </c>
      <c r="K178" s="67">
        <f t="shared" si="274"/>
        <v>270</v>
      </c>
      <c r="L178" s="72">
        <f t="shared" si="275"/>
        <v>1216.6666666666665</v>
      </c>
      <c r="M178" s="67">
        <f t="shared" si="276"/>
        <v>216.16580653815655</v>
      </c>
      <c r="N178" s="67">
        <f t="shared" si="277"/>
        <v>61.652923695741833</v>
      </c>
      <c r="O178" s="72">
        <f t="shared" si="278"/>
        <v>277.81873023389835</v>
      </c>
      <c r="P178" s="203">
        <f t="shared" si="279"/>
        <v>1666.9123814033901</v>
      </c>
      <c r="Q178" s="272">
        <f t="shared" si="220"/>
        <v>1666.9123814033901</v>
      </c>
      <c r="R178" s="439">
        <f t="shared" si="280"/>
        <v>0</v>
      </c>
      <c r="S178" s="18"/>
      <c r="T178" s="67">
        <v>142</v>
      </c>
      <c r="U178" s="18"/>
      <c r="V178" s="273"/>
      <c r="W178" s="224"/>
      <c r="X178" s="224"/>
      <c r="Y178" s="224"/>
      <c r="Z178" s="224"/>
      <c r="AA178" s="224"/>
      <c r="AB178" s="224"/>
      <c r="AC178" s="224"/>
      <c r="AD178" s="224"/>
      <c r="AE178" s="224"/>
      <c r="AF178" s="224"/>
    </row>
    <row r="179" spans="1:33" s="1" customFormat="1" x14ac:dyDescent="0.25">
      <c r="A179" s="238"/>
      <c r="B179" s="317"/>
      <c r="C179" s="318">
        <v>3</v>
      </c>
      <c r="D179" s="83" t="s">
        <v>434</v>
      </c>
      <c r="E179" s="242">
        <v>3</v>
      </c>
      <c r="F179" s="242">
        <v>3</v>
      </c>
      <c r="G179" s="73" t="s">
        <v>28</v>
      </c>
      <c r="H179" s="67">
        <f t="shared" si="273"/>
        <v>227.77777777777777</v>
      </c>
      <c r="I179" s="67">
        <f t="shared" si="281"/>
        <v>683.33333333333326</v>
      </c>
      <c r="J179" s="67">
        <v>62</v>
      </c>
      <c r="K179" s="67">
        <f t="shared" si="274"/>
        <v>186</v>
      </c>
      <c r="L179" s="72">
        <f t="shared" si="275"/>
        <v>869.33333333333326</v>
      </c>
      <c r="M179" s="67">
        <f t="shared" si="276"/>
        <v>312.0703545093105</v>
      </c>
      <c r="N179" s="67">
        <f t="shared" si="277"/>
        <v>84.944028203022086</v>
      </c>
      <c r="O179" s="72">
        <f t="shared" si="278"/>
        <v>397.01438271233258</v>
      </c>
      <c r="P179" s="203">
        <f t="shared" si="279"/>
        <v>1191.0431481369978</v>
      </c>
      <c r="Q179" s="272">
        <f t="shared" si="220"/>
        <v>1191.0431481369978</v>
      </c>
      <c r="R179" s="439">
        <f t="shared" si="280"/>
        <v>0</v>
      </c>
      <c r="S179" s="18"/>
      <c r="T179" s="67">
        <v>205</v>
      </c>
      <c r="U179" s="18"/>
      <c r="V179" s="273"/>
      <c r="W179" s="273"/>
      <c r="X179" s="273"/>
      <c r="Y179" s="273"/>
      <c r="Z179" s="273"/>
      <c r="AA179" s="273"/>
      <c r="AB179" s="273"/>
      <c r="AC179" s="273"/>
      <c r="AD179" s="224"/>
      <c r="AE179" s="273"/>
      <c r="AF179" s="224"/>
      <c r="AG179" s="406"/>
    </row>
    <row r="180" spans="1:33" s="1" customFormat="1" x14ac:dyDescent="0.25">
      <c r="A180" s="238"/>
      <c r="B180" s="317"/>
      <c r="C180" s="318">
        <v>4</v>
      </c>
      <c r="D180" s="83" t="s">
        <v>435</v>
      </c>
      <c r="E180" s="242">
        <v>4</v>
      </c>
      <c r="F180" s="242">
        <v>4</v>
      </c>
      <c r="G180" s="73" t="s">
        <v>28</v>
      </c>
      <c r="H180" s="67">
        <f t="shared" si="273"/>
        <v>163.33333333333334</v>
      </c>
      <c r="I180" s="67">
        <f t="shared" si="281"/>
        <v>653.33333333333337</v>
      </c>
      <c r="J180" s="67">
        <v>44</v>
      </c>
      <c r="K180" s="67">
        <f t="shared" si="274"/>
        <v>176</v>
      </c>
      <c r="L180" s="72">
        <f t="shared" si="275"/>
        <v>829.33333333333337</v>
      </c>
      <c r="M180" s="67">
        <f t="shared" si="276"/>
        <v>223.77727859935928</v>
      </c>
      <c r="N180" s="67">
        <f t="shared" si="277"/>
        <v>60.282858724725344</v>
      </c>
      <c r="O180" s="72">
        <f t="shared" si="278"/>
        <v>284.06013732408462</v>
      </c>
      <c r="P180" s="203">
        <f t="shared" si="279"/>
        <v>1136.2405492963385</v>
      </c>
      <c r="Q180" s="272">
        <f t="shared" si="220"/>
        <v>1136.2405492963385</v>
      </c>
      <c r="R180" s="439">
        <f t="shared" si="280"/>
        <v>0</v>
      </c>
      <c r="S180" s="18"/>
      <c r="T180" s="67">
        <v>147</v>
      </c>
      <c r="U180" s="18"/>
      <c r="V180" s="273"/>
      <c r="W180" s="273"/>
      <c r="X180" s="273"/>
      <c r="Y180" s="273"/>
      <c r="Z180" s="273"/>
      <c r="AA180" s="273"/>
      <c r="AB180" s="273"/>
      <c r="AC180" s="273"/>
      <c r="AD180" s="224"/>
      <c r="AE180" s="273"/>
      <c r="AF180" s="224"/>
    </row>
    <row r="181" spans="1:33" s="1" customFormat="1" x14ac:dyDescent="0.25">
      <c r="A181" s="238"/>
      <c r="B181" s="317"/>
      <c r="C181" s="318">
        <v>5</v>
      </c>
      <c r="D181" s="83" t="s">
        <v>436</v>
      </c>
      <c r="E181" s="242">
        <v>104</v>
      </c>
      <c r="F181" s="242">
        <v>104</v>
      </c>
      <c r="G181" s="73" t="s">
        <v>28</v>
      </c>
      <c r="H181" s="67">
        <f t="shared" si="273"/>
        <v>266.66666666666669</v>
      </c>
      <c r="I181" s="67">
        <f>F181*H181</f>
        <v>27733.333333333336</v>
      </c>
      <c r="J181" s="67">
        <v>72</v>
      </c>
      <c r="K181" s="67">
        <f t="shared" si="274"/>
        <v>7488</v>
      </c>
      <c r="L181" s="72">
        <f t="shared" si="275"/>
        <v>35221.333333333336</v>
      </c>
      <c r="M181" s="67">
        <f t="shared" si="276"/>
        <v>365.35065893772941</v>
      </c>
      <c r="N181" s="67">
        <f t="shared" si="277"/>
        <v>98.644677913186939</v>
      </c>
      <c r="O181" s="72">
        <f t="shared" si="278"/>
        <v>463.99533685091637</v>
      </c>
      <c r="P181" s="203">
        <f t="shared" si="279"/>
        <v>48255.515032495299</v>
      </c>
      <c r="Q181" s="272">
        <f t="shared" si="220"/>
        <v>48255.515032495307</v>
      </c>
      <c r="R181" s="439">
        <f t="shared" si="280"/>
        <v>0</v>
      </c>
      <c r="S181" s="18"/>
      <c r="T181" s="67">
        <v>240</v>
      </c>
      <c r="U181" s="18"/>
      <c r="V181" s="273"/>
      <c r="W181" s="224"/>
      <c r="X181" s="224"/>
      <c r="Y181" s="224"/>
      <c r="Z181" s="224"/>
      <c r="AA181" s="224"/>
      <c r="AB181" s="224"/>
      <c r="AC181" s="224"/>
      <c r="AD181" s="224"/>
      <c r="AE181" s="224"/>
      <c r="AF181" s="224"/>
    </row>
    <row r="182" spans="1:33" s="1" customFormat="1" x14ac:dyDescent="0.25">
      <c r="A182" s="238"/>
      <c r="B182" s="317"/>
      <c r="C182" s="318">
        <v>6</v>
      </c>
      <c r="D182" s="83" t="s">
        <v>437</v>
      </c>
      <c r="E182" s="242">
        <v>5</v>
      </c>
      <c r="F182" s="242">
        <v>5</v>
      </c>
      <c r="G182" s="73" t="s">
        <v>28</v>
      </c>
      <c r="H182" s="67">
        <f t="shared" si="273"/>
        <v>174.44444444444443</v>
      </c>
      <c r="I182" s="67">
        <f t="shared" ref="I182:I183" si="282">F182*H182</f>
        <v>872.22222222222217</v>
      </c>
      <c r="J182" s="67">
        <v>47</v>
      </c>
      <c r="K182" s="67">
        <f t="shared" si="274"/>
        <v>235</v>
      </c>
      <c r="L182" s="72">
        <f t="shared" si="275"/>
        <v>1107.2222222222222</v>
      </c>
      <c r="M182" s="67">
        <f t="shared" si="276"/>
        <v>239.0002227217646</v>
      </c>
      <c r="N182" s="67">
        <f t="shared" si="277"/>
        <v>64.393053637774798</v>
      </c>
      <c r="O182" s="72">
        <f t="shared" si="278"/>
        <v>303.39327635953941</v>
      </c>
      <c r="P182" s="203">
        <f t="shared" si="279"/>
        <v>1516.9663817976971</v>
      </c>
      <c r="Q182" s="272">
        <f t="shared" si="220"/>
        <v>1516.9663817976971</v>
      </c>
      <c r="R182" s="439">
        <f t="shared" si="280"/>
        <v>0</v>
      </c>
      <c r="S182" s="18"/>
      <c r="T182" s="67">
        <v>157</v>
      </c>
      <c r="U182" s="18"/>
      <c r="V182" s="273"/>
      <c r="W182" s="224"/>
      <c r="X182" s="224"/>
      <c r="Y182" s="224"/>
      <c r="Z182" s="224"/>
      <c r="AA182" s="224"/>
      <c r="AB182" s="224"/>
      <c r="AC182" s="224"/>
      <c r="AD182" s="224"/>
      <c r="AE182" s="224"/>
      <c r="AF182" s="224"/>
    </row>
    <row r="183" spans="1:33" s="1" customFormat="1" x14ac:dyDescent="0.25">
      <c r="A183" s="238"/>
      <c r="B183" s="317"/>
      <c r="C183" s="318">
        <v>7</v>
      </c>
      <c r="D183" s="83" t="s">
        <v>438</v>
      </c>
      <c r="E183" s="242">
        <v>10</v>
      </c>
      <c r="F183" s="242">
        <v>10</v>
      </c>
      <c r="G183" s="73" t="s">
        <v>28</v>
      </c>
      <c r="H183" s="67">
        <f t="shared" si="273"/>
        <v>733.33333333333337</v>
      </c>
      <c r="I183" s="67">
        <f t="shared" si="282"/>
        <v>7333.3333333333339</v>
      </c>
      <c r="J183" s="67">
        <v>132</v>
      </c>
      <c r="K183" s="67">
        <f t="shared" si="274"/>
        <v>1320</v>
      </c>
      <c r="L183" s="72">
        <f t="shared" si="275"/>
        <v>8653.3333333333339</v>
      </c>
      <c r="M183" s="67">
        <f t="shared" si="276"/>
        <v>1004.7143120787559</v>
      </c>
      <c r="N183" s="67">
        <f t="shared" si="277"/>
        <v>180.84857617417606</v>
      </c>
      <c r="O183" s="72">
        <f t="shared" si="278"/>
        <v>1185.562888252932</v>
      </c>
      <c r="P183" s="203">
        <f t="shared" si="279"/>
        <v>11855.62888252932</v>
      </c>
      <c r="Q183" s="272">
        <f t="shared" si="220"/>
        <v>11855.62888252932</v>
      </c>
      <c r="R183" s="439">
        <f t="shared" si="280"/>
        <v>0</v>
      </c>
      <c r="S183" s="18"/>
      <c r="T183" s="67">
        <v>660</v>
      </c>
      <c r="U183" s="18"/>
      <c r="V183" s="273"/>
      <c r="W183" s="273"/>
      <c r="X183" s="273"/>
      <c r="Y183" s="273"/>
      <c r="Z183" s="273"/>
      <c r="AA183" s="273"/>
      <c r="AB183" s="273"/>
      <c r="AC183" s="273"/>
      <c r="AD183" s="224"/>
      <c r="AE183" s="273"/>
      <c r="AF183" s="224"/>
      <c r="AG183" s="406"/>
    </row>
    <row r="184" spans="1:33" s="1" customFormat="1" x14ac:dyDescent="0.25">
      <c r="A184" s="238"/>
      <c r="B184" s="317"/>
      <c r="C184" s="318"/>
      <c r="D184" s="83"/>
      <c r="E184" s="242"/>
      <c r="F184" s="242"/>
      <c r="G184" s="73"/>
      <c r="H184" s="67"/>
      <c r="I184" s="67"/>
      <c r="J184" s="67"/>
      <c r="K184" s="67"/>
      <c r="L184" s="72"/>
      <c r="M184" s="67"/>
      <c r="N184" s="67"/>
      <c r="O184" s="72"/>
      <c r="P184" s="203"/>
      <c r="Q184" s="272">
        <f t="shared" si="220"/>
        <v>0</v>
      </c>
      <c r="R184" s="439"/>
      <c r="S184" s="18"/>
      <c r="U184" s="18"/>
      <c r="V184" s="273"/>
      <c r="W184" s="273"/>
      <c r="X184" s="273"/>
      <c r="Y184" s="273"/>
      <c r="Z184" s="273"/>
      <c r="AA184" s="273"/>
      <c r="AB184" s="273"/>
      <c r="AC184" s="273"/>
      <c r="AD184" s="224"/>
      <c r="AE184" s="273"/>
      <c r="AF184" s="224"/>
      <c r="AG184" s="406"/>
    </row>
    <row r="185" spans="1:33" s="1" customFormat="1" x14ac:dyDescent="0.25">
      <c r="A185" s="238"/>
      <c r="B185" s="290" t="s">
        <v>439</v>
      </c>
      <c r="C185" s="291" t="s">
        <v>454</v>
      </c>
      <c r="D185" s="316"/>
      <c r="E185" s="244"/>
      <c r="F185" s="244"/>
      <c r="G185" s="75"/>
      <c r="H185" s="440">
        <v>0.9</v>
      </c>
      <c r="I185" s="74"/>
      <c r="J185" s="74"/>
      <c r="K185" s="74"/>
      <c r="L185" s="74"/>
      <c r="M185" s="72"/>
      <c r="N185" s="72"/>
      <c r="O185" s="72"/>
      <c r="P185" s="205"/>
      <c r="Q185" s="272">
        <f t="shared" si="220"/>
        <v>0</v>
      </c>
      <c r="R185" s="439"/>
      <c r="S185" s="18"/>
    </row>
    <row r="186" spans="1:33" s="1" customFormat="1" x14ac:dyDescent="0.25">
      <c r="A186" s="238"/>
      <c r="B186" s="317"/>
      <c r="C186" s="318">
        <v>1</v>
      </c>
      <c r="D186" s="83" t="s">
        <v>440</v>
      </c>
      <c r="E186" s="242">
        <v>1</v>
      </c>
      <c r="F186" s="242">
        <v>1</v>
      </c>
      <c r="G186" s="73" t="s">
        <v>55</v>
      </c>
      <c r="H186" s="67">
        <f>T186/$H$185</f>
        <v>19561.111111111109</v>
      </c>
      <c r="I186" s="67">
        <f>F186*H186</f>
        <v>19561.111111111109</v>
      </c>
      <c r="J186" s="67">
        <v>3500</v>
      </c>
      <c r="K186" s="67">
        <f t="shared" ref="K186:K193" si="283">F186*J186</f>
        <v>3500</v>
      </c>
      <c r="L186" s="72">
        <f t="shared" ref="L186:L193" si="284">I186+K186</f>
        <v>23061.111111111109</v>
      </c>
      <c r="M186" s="67">
        <f>H186/$P$255*$P$263</f>
        <v>26799.99312749469</v>
      </c>
      <c r="N186" s="67">
        <f>J186/$P$255*$P$263</f>
        <v>4795.2273985576985</v>
      </c>
      <c r="O186" s="72">
        <f t="shared" ref="O186:O193" si="285">N186+M186</f>
        <v>31595.220526052388</v>
      </c>
      <c r="P186" s="203">
        <f t="shared" ref="P186:P193" si="286">O186*F186</f>
        <v>31595.220526052388</v>
      </c>
      <c r="Q186" s="272">
        <f t="shared" si="220"/>
        <v>31595.220526052388</v>
      </c>
      <c r="R186" s="439">
        <f t="shared" ref="R186:R193" si="287">P186-Q186</f>
        <v>0</v>
      </c>
      <c r="S186" s="18"/>
      <c r="T186" s="67">
        <f>17605</f>
        <v>17605</v>
      </c>
      <c r="U186" s="18"/>
      <c r="V186" s="273"/>
      <c r="W186" s="224"/>
      <c r="X186" s="224"/>
      <c r="Y186" s="224"/>
      <c r="Z186" s="224"/>
      <c r="AA186" s="224"/>
      <c r="AB186" s="224"/>
      <c r="AC186" s="224"/>
      <c r="AD186" s="224"/>
      <c r="AE186" s="224"/>
      <c r="AF186" s="224"/>
    </row>
    <row r="187" spans="1:33" s="1" customFormat="1" x14ac:dyDescent="0.25">
      <c r="A187" s="238"/>
      <c r="B187" s="317"/>
      <c r="C187" s="318">
        <v>2</v>
      </c>
      <c r="D187" s="83" t="s">
        <v>441</v>
      </c>
      <c r="E187" s="242">
        <v>1</v>
      </c>
      <c r="F187" s="242">
        <v>1</v>
      </c>
      <c r="G187" s="73" t="s">
        <v>55</v>
      </c>
      <c r="H187" s="67">
        <f t="shared" ref="H187:H198" si="288">T187/$H$185</f>
        <v>24000</v>
      </c>
      <c r="I187" s="67">
        <f t="shared" ref="I187:I189" si="289">F187*H187</f>
        <v>24000</v>
      </c>
      <c r="J187" s="67">
        <v>5000</v>
      </c>
      <c r="K187" s="67">
        <f t="shared" si="283"/>
        <v>5000</v>
      </c>
      <c r="L187" s="72">
        <f t="shared" si="284"/>
        <v>29000</v>
      </c>
      <c r="M187" s="67">
        <f>H187/$P$255*$P$263</f>
        <v>32881.559304395647</v>
      </c>
      <c r="N187" s="67">
        <f>J187/$P$255*$P$263</f>
        <v>6850.3248550824264</v>
      </c>
      <c r="O187" s="72">
        <f t="shared" si="285"/>
        <v>39731.884159478075</v>
      </c>
      <c r="P187" s="203">
        <f t="shared" si="286"/>
        <v>39731.884159478075</v>
      </c>
      <c r="Q187" s="272">
        <f t="shared" si="220"/>
        <v>39731.884159478068</v>
      </c>
      <c r="R187" s="439">
        <f t="shared" si="287"/>
        <v>0</v>
      </c>
      <c r="S187" s="18"/>
      <c r="T187" s="67">
        <f>21600</f>
        <v>21600</v>
      </c>
      <c r="U187" s="18"/>
      <c r="V187" s="273"/>
      <c r="W187" s="224"/>
      <c r="X187" s="224"/>
      <c r="Y187" s="224"/>
      <c r="Z187" s="224"/>
      <c r="AA187" s="224"/>
      <c r="AB187" s="224"/>
      <c r="AC187" s="224"/>
      <c r="AD187" s="224"/>
      <c r="AE187" s="224"/>
      <c r="AF187" s="224"/>
    </row>
    <row r="188" spans="1:33" s="1" customFormat="1" x14ac:dyDescent="0.25">
      <c r="A188" s="238"/>
      <c r="B188" s="317"/>
      <c r="C188" s="318">
        <v>3</v>
      </c>
      <c r="D188" s="83" t="s">
        <v>442</v>
      </c>
      <c r="E188" s="242">
        <v>1</v>
      </c>
      <c r="F188" s="242">
        <v>1</v>
      </c>
      <c r="G188" s="73" t="s">
        <v>55</v>
      </c>
      <c r="H188" s="67">
        <f t="shared" si="288"/>
        <v>24000</v>
      </c>
      <c r="I188" s="67">
        <f t="shared" si="289"/>
        <v>24000</v>
      </c>
      <c r="J188" s="67">
        <v>5000</v>
      </c>
      <c r="K188" s="67">
        <f t="shared" si="283"/>
        <v>5000</v>
      </c>
      <c r="L188" s="72">
        <f t="shared" si="284"/>
        <v>29000</v>
      </c>
      <c r="M188" s="67">
        <f>H188/$P$255*$P$263</f>
        <v>32881.559304395647</v>
      </c>
      <c r="N188" s="67">
        <f>J188/$P$255*$P$263</f>
        <v>6850.3248550824264</v>
      </c>
      <c r="O188" s="72">
        <f t="shared" si="285"/>
        <v>39731.884159478075</v>
      </c>
      <c r="P188" s="203">
        <f t="shared" si="286"/>
        <v>39731.884159478075</v>
      </c>
      <c r="Q188" s="272">
        <f t="shared" si="220"/>
        <v>39731.884159478068</v>
      </c>
      <c r="R188" s="439">
        <f t="shared" si="287"/>
        <v>0</v>
      </c>
      <c r="S188" s="18"/>
      <c r="T188" s="67">
        <f>21600</f>
        <v>21600</v>
      </c>
      <c r="U188" s="18"/>
      <c r="V188" s="273"/>
      <c r="W188" s="273"/>
      <c r="X188" s="273"/>
      <c r="Y188" s="273"/>
      <c r="Z188" s="273"/>
      <c r="AA188" s="273"/>
      <c r="AB188" s="273"/>
      <c r="AC188" s="273"/>
      <c r="AD188" s="224"/>
      <c r="AE188" s="273"/>
      <c r="AF188" s="224"/>
      <c r="AG188" s="406"/>
    </row>
    <row r="189" spans="1:33" s="1" customFormat="1" x14ac:dyDescent="0.25">
      <c r="A189" s="238"/>
      <c r="B189" s="317"/>
      <c r="C189" s="318">
        <v>4</v>
      </c>
      <c r="D189" s="83" t="s">
        <v>443</v>
      </c>
      <c r="E189" s="242">
        <v>1</v>
      </c>
      <c r="F189" s="242">
        <v>1</v>
      </c>
      <c r="G189" s="73" t="s">
        <v>55</v>
      </c>
      <c r="H189" s="67">
        <f t="shared" si="288"/>
        <v>24437.777777777777</v>
      </c>
      <c r="I189" s="67">
        <f t="shared" si="289"/>
        <v>24437.777777777777</v>
      </c>
      <c r="J189" s="67">
        <v>3500</v>
      </c>
      <c r="K189" s="67">
        <f t="shared" si="283"/>
        <v>3500</v>
      </c>
      <c r="L189" s="72">
        <f t="shared" si="284"/>
        <v>27937.777777777777</v>
      </c>
      <c r="M189" s="67">
        <f>H189/$P$255*$P$263</f>
        <v>33481.343302818415</v>
      </c>
      <c r="N189" s="67">
        <f>J189/$P$255*$P$263</f>
        <v>4795.2273985576985</v>
      </c>
      <c r="O189" s="72">
        <f t="shared" si="285"/>
        <v>38276.570701376113</v>
      </c>
      <c r="P189" s="203">
        <f t="shared" si="286"/>
        <v>38276.570701376113</v>
      </c>
      <c r="Q189" s="272">
        <f t="shared" si="220"/>
        <v>38276.570701376113</v>
      </c>
      <c r="R189" s="439">
        <f t="shared" si="287"/>
        <v>0</v>
      </c>
      <c r="S189" s="18"/>
      <c r="T189" s="67">
        <f>21994</f>
        <v>21994</v>
      </c>
      <c r="U189" s="18"/>
      <c r="V189" s="273"/>
      <c r="W189" s="273"/>
      <c r="X189" s="273"/>
      <c r="Y189" s="273"/>
      <c r="Z189" s="273"/>
      <c r="AA189" s="273"/>
      <c r="AB189" s="273"/>
      <c r="AC189" s="273"/>
      <c r="AD189" s="224"/>
      <c r="AE189" s="273"/>
      <c r="AF189" s="224"/>
    </row>
    <row r="190" spans="1:33" s="1" customFormat="1" x14ac:dyDescent="0.25">
      <c r="A190" s="238"/>
      <c r="B190" s="317"/>
      <c r="C190" s="318">
        <v>5</v>
      </c>
      <c r="D190" s="83" t="s">
        <v>444</v>
      </c>
      <c r="E190" s="242">
        <v>1</v>
      </c>
      <c r="F190" s="242">
        <v>1</v>
      </c>
      <c r="G190" s="73" t="s">
        <v>55</v>
      </c>
      <c r="H190" s="67">
        <f t="shared" si="288"/>
        <v>48166.666666666664</v>
      </c>
      <c r="I190" s="67">
        <f>F190*H190</f>
        <v>48166.666666666664</v>
      </c>
      <c r="J190" s="67">
        <v>5000</v>
      </c>
      <c r="K190" s="67">
        <f t="shared" si="283"/>
        <v>5000</v>
      </c>
      <c r="L190" s="72">
        <f t="shared" si="284"/>
        <v>53166.666666666664</v>
      </c>
      <c r="M190" s="67">
        <f>H190/$P$255*$P$263</f>
        <v>65991.462770627375</v>
      </c>
      <c r="N190" s="67">
        <f>J190/$P$255*$P$263</f>
        <v>6850.3248550824264</v>
      </c>
      <c r="O190" s="72">
        <f t="shared" si="285"/>
        <v>72841.787625709796</v>
      </c>
      <c r="P190" s="203">
        <f t="shared" si="286"/>
        <v>72841.787625709796</v>
      </c>
      <c r="Q190" s="272">
        <f t="shared" si="220"/>
        <v>72841.787625709796</v>
      </c>
      <c r="R190" s="439">
        <f t="shared" si="287"/>
        <v>0</v>
      </c>
      <c r="S190" s="18"/>
      <c r="T190" s="67">
        <f>43350</f>
        <v>43350</v>
      </c>
      <c r="U190" s="18"/>
      <c r="V190" s="273"/>
      <c r="W190" s="224"/>
      <c r="X190" s="224"/>
      <c r="Y190" s="224"/>
      <c r="Z190" s="224"/>
      <c r="AA190" s="224"/>
      <c r="AB190" s="224"/>
      <c r="AC190" s="224"/>
      <c r="AD190" s="224"/>
      <c r="AE190" s="224"/>
      <c r="AF190" s="224"/>
    </row>
    <row r="191" spans="1:33" s="1" customFormat="1" x14ac:dyDescent="0.25">
      <c r="A191" s="238"/>
      <c r="B191" s="317"/>
      <c r="C191" s="318"/>
      <c r="D191" s="83" t="s">
        <v>445</v>
      </c>
      <c r="E191" s="242"/>
      <c r="F191" s="242"/>
      <c r="G191" s="73"/>
      <c r="H191" s="67"/>
      <c r="I191" s="67"/>
      <c r="J191" s="67"/>
      <c r="K191" s="67"/>
      <c r="L191" s="72"/>
      <c r="M191" s="67"/>
      <c r="N191" s="67"/>
      <c r="O191" s="72"/>
      <c r="P191" s="203"/>
      <c r="Q191" s="272">
        <f t="shared" si="220"/>
        <v>0</v>
      </c>
      <c r="R191" s="439"/>
      <c r="S191" s="18"/>
      <c r="T191" s="67"/>
      <c r="U191" s="18"/>
      <c r="V191" s="273"/>
      <c r="W191" s="224"/>
      <c r="X191" s="224"/>
      <c r="Y191" s="224"/>
      <c r="Z191" s="224"/>
      <c r="AA191" s="224"/>
      <c r="AB191" s="224"/>
      <c r="AC191" s="224"/>
      <c r="AD191" s="224"/>
      <c r="AE191" s="224"/>
      <c r="AF191" s="224"/>
    </row>
    <row r="192" spans="1:33" s="1" customFormat="1" x14ac:dyDescent="0.25">
      <c r="A192" s="238"/>
      <c r="B192" s="317"/>
      <c r="C192" s="318">
        <v>6</v>
      </c>
      <c r="D192" s="83" t="s">
        <v>446</v>
      </c>
      <c r="E192" s="242">
        <v>2</v>
      </c>
      <c r="F192" s="242">
        <v>2</v>
      </c>
      <c r="G192" s="73" t="s">
        <v>28</v>
      </c>
      <c r="H192" s="67">
        <f t="shared" si="288"/>
        <v>1166.6666666666667</v>
      </c>
      <c r="I192" s="67">
        <f t="shared" ref="I192:I193" si="290">F192*H192</f>
        <v>2333.3333333333335</v>
      </c>
      <c r="J192" s="67">
        <v>260</v>
      </c>
      <c r="K192" s="67">
        <f t="shared" si="283"/>
        <v>520</v>
      </c>
      <c r="L192" s="72">
        <f t="shared" si="284"/>
        <v>2853.3333333333335</v>
      </c>
      <c r="M192" s="67">
        <f t="shared" ref="M192:M198" si="291">H192/$P$255*$P$263</f>
        <v>1598.4091328525665</v>
      </c>
      <c r="N192" s="67">
        <f t="shared" ref="N192:N198" si="292">J192/$P$255*$P$263</f>
        <v>356.21689246428622</v>
      </c>
      <c r="O192" s="72">
        <f t="shared" si="285"/>
        <v>1954.6260253168527</v>
      </c>
      <c r="P192" s="203">
        <f t="shared" si="286"/>
        <v>3909.2520506337055</v>
      </c>
      <c r="Q192" s="272">
        <f t="shared" si="220"/>
        <v>3909.252050633705</v>
      </c>
      <c r="R192" s="439">
        <f t="shared" si="287"/>
        <v>0</v>
      </c>
      <c r="S192" s="18"/>
      <c r="T192" s="67">
        <v>1050</v>
      </c>
      <c r="U192" s="18"/>
      <c r="V192" s="273"/>
      <c r="W192" s="273"/>
      <c r="X192" s="273"/>
      <c r="Y192" s="273"/>
      <c r="Z192" s="273"/>
      <c r="AA192" s="273"/>
      <c r="AB192" s="273"/>
      <c r="AC192" s="273"/>
      <c r="AD192" s="224"/>
      <c r="AE192" s="273"/>
      <c r="AF192" s="224"/>
      <c r="AG192" s="406"/>
    </row>
    <row r="193" spans="1:33" s="1" customFormat="1" x14ac:dyDescent="0.25">
      <c r="A193" s="238"/>
      <c r="B193" s="317"/>
      <c r="C193" s="318">
        <v>7</v>
      </c>
      <c r="D193" s="83" t="s">
        <v>447</v>
      </c>
      <c r="E193" s="242">
        <v>2</v>
      </c>
      <c r="F193" s="242">
        <v>2</v>
      </c>
      <c r="G193" s="73" t="s">
        <v>28</v>
      </c>
      <c r="H193" s="67">
        <f t="shared" si="288"/>
        <v>1166.6666666666667</v>
      </c>
      <c r="I193" s="67">
        <f t="shared" si="290"/>
        <v>2333.3333333333335</v>
      </c>
      <c r="J193" s="67">
        <v>260</v>
      </c>
      <c r="K193" s="67">
        <f t="shared" si="283"/>
        <v>520</v>
      </c>
      <c r="L193" s="72">
        <f t="shared" si="284"/>
        <v>2853.3333333333335</v>
      </c>
      <c r="M193" s="67">
        <f t="shared" si="291"/>
        <v>1598.4091328525665</v>
      </c>
      <c r="N193" s="67">
        <f t="shared" si="292"/>
        <v>356.21689246428622</v>
      </c>
      <c r="O193" s="72">
        <f t="shared" si="285"/>
        <v>1954.6260253168527</v>
      </c>
      <c r="P193" s="203">
        <f t="shared" si="286"/>
        <v>3909.2520506337055</v>
      </c>
      <c r="Q193" s="272">
        <f t="shared" si="220"/>
        <v>3909.252050633705</v>
      </c>
      <c r="R193" s="439">
        <f t="shared" si="287"/>
        <v>0</v>
      </c>
      <c r="S193" s="18"/>
      <c r="T193" s="67">
        <v>1050</v>
      </c>
      <c r="U193" s="18"/>
      <c r="V193" s="273"/>
      <c r="W193" s="273"/>
      <c r="X193" s="273"/>
      <c r="Y193" s="273"/>
      <c r="Z193" s="273"/>
      <c r="AA193" s="273"/>
      <c r="AB193" s="273"/>
      <c r="AC193" s="273"/>
      <c r="AD193" s="224"/>
      <c r="AE193" s="273"/>
      <c r="AF193" s="224"/>
    </row>
    <row r="194" spans="1:33" s="1" customFormat="1" x14ac:dyDescent="0.25">
      <c r="A194" s="238"/>
      <c r="B194" s="317"/>
      <c r="C194" s="318">
        <v>8</v>
      </c>
      <c r="D194" s="83" t="s">
        <v>448</v>
      </c>
      <c r="E194" s="242">
        <v>9</v>
      </c>
      <c r="F194" s="242">
        <v>9</v>
      </c>
      <c r="G194" s="73" t="s">
        <v>28</v>
      </c>
      <c r="H194" s="67">
        <f t="shared" si="288"/>
        <v>1166.6666666666667</v>
      </c>
      <c r="I194" s="67">
        <f>F194*H194</f>
        <v>10500</v>
      </c>
      <c r="J194" s="67">
        <v>260</v>
      </c>
      <c r="K194" s="67">
        <f t="shared" ref="K194:K198" si="293">F194*J194</f>
        <v>2340</v>
      </c>
      <c r="L194" s="72">
        <f t="shared" ref="L194:L198" si="294">I194+K194</f>
        <v>12840</v>
      </c>
      <c r="M194" s="67">
        <f t="shared" si="291"/>
        <v>1598.4091328525665</v>
      </c>
      <c r="N194" s="67">
        <f t="shared" si="292"/>
        <v>356.21689246428622</v>
      </c>
      <c r="O194" s="72">
        <f t="shared" ref="O194:O198" si="295">N194+M194</f>
        <v>1954.6260253168527</v>
      </c>
      <c r="P194" s="203">
        <f t="shared" ref="P194:P198" si="296">O194*F194</f>
        <v>17591.634227851675</v>
      </c>
      <c r="Q194" s="272">
        <f t="shared" si="220"/>
        <v>17591.634227851671</v>
      </c>
      <c r="R194" s="439">
        <f t="shared" ref="R194:R198" si="297">P194-Q194</f>
        <v>0</v>
      </c>
      <c r="S194" s="18"/>
      <c r="T194" s="67">
        <v>1050</v>
      </c>
      <c r="U194" s="18"/>
      <c r="V194" s="273"/>
      <c r="W194" s="224"/>
      <c r="X194" s="224"/>
      <c r="Y194" s="224"/>
      <c r="Z194" s="224"/>
      <c r="AA194" s="224"/>
      <c r="AB194" s="224"/>
      <c r="AC194" s="224"/>
      <c r="AD194" s="224"/>
      <c r="AE194" s="224"/>
      <c r="AF194" s="224"/>
    </row>
    <row r="195" spans="1:33" s="1" customFormat="1" x14ac:dyDescent="0.25">
      <c r="A195" s="238"/>
      <c r="B195" s="317"/>
      <c r="C195" s="318">
        <v>9</v>
      </c>
      <c r="D195" s="83" t="s">
        <v>449</v>
      </c>
      <c r="E195" s="242">
        <v>5</v>
      </c>
      <c r="F195" s="242">
        <v>5</v>
      </c>
      <c r="G195" s="73" t="s">
        <v>28</v>
      </c>
      <c r="H195" s="67">
        <f t="shared" si="288"/>
        <v>3222.2222222222222</v>
      </c>
      <c r="I195" s="67">
        <f t="shared" ref="I195:I198" si="298">F195*H195</f>
        <v>16111.111111111111</v>
      </c>
      <c r="J195" s="67">
        <v>400</v>
      </c>
      <c r="K195" s="67">
        <f t="shared" si="293"/>
        <v>2000</v>
      </c>
      <c r="L195" s="72">
        <f t="shared" si="294"/>
        <v>18111.111111111109</v>
      </c>
      <c r="M195" s="67">
        <f t="shared" si="291"/>
        <v>4414.6537954975638</v>
      </c>
      <c r="N195" s="67">
        <f t="shared" si="292"/>
        <v>548.02598840659414</v>
      </c>
      <c r="O195" s="72">
        <f t="shared" si="295"/>
        <v>4962.6797839041583</v>
      </c>
      <c r="P195" s="203">
        <f t="shared" si="296"/>
        <v>24813.398919520791</v>
      </c>
      <c r="Q195" s="272">
        <f t="shared" si="220"/>
        <v>24813.398919520783</v>
      </c>
      <c r="R195" s="439">
        <f t="shared" si="297"/>
        <v>0</v>
      </c>
      <c r="S195" s="18"/>
      <c r="T195" s="67">
        <v>2900</v>
      </c>
      <c r="U195" s="18"/>
      <c r="V195" s="273"/>
      <c r="W195" s="224"/>
      <c r="X195" s="224"/>
      <c r="Y195" s="224"/>
      <c r="Z195" s="224"/>
      <c r="AA195" s="224"/>
      <c r="AB195" s="224"/>
      <c r="AC195" s="224"/>
      <c r="AD195" s="224"/>
      <c r="AE195" s="224"/>
      <c r="AF195" s="224"/>
    </row>
    <row r="196" spans="1:33" s="1" customFormat="1" x14ac:dyDescent="0.25">
      <c r="A196" s="238"/>
      <c r="B196" s="317"/>
      <c r="C196" s="318">
        <v>10</v>
      </c>
      <c r="D196" s="83" t="s">
        <v>451</v>
      </c>
      <c r="E196" s="242">
        <v>240</v>
      </c>
      <c r="F196" s="242">
        <v>247</v>
      </c>
      <c r="G196" s="73" t="s">
        <v>453</v>
      </c>
      <c r="H196" s="67">
        <f t="shared" si="288"/>
        <v>30.721966205837173</v>
      </c>
      <c r="I196" s="67">
        <f t="shared" si="298"/>
        <v>7588.3256528417814</v>
      </c>
      <c r="J196" s="67">
        <v>11</v>
      </c>
      <c r="K196" s="67">
        <f t="shared" si="293"/>
        <v>2717</v>
      </c>
      <c r="L196" s="72">
        <f t="shared" si="294"/>
        <v>10305.325652841781</v>
      </c>
      <c r="M196" s="67">
        <f t="shared" si="291"/>
        <v>42.091089739369743</v>
      </c>
      <c r="N196" s="67">
        <f t="shared" si="292"/>
        <v>15.070714681181336</v>
      </c>
      <c r="O196" s="72">
        <f t="shared" si="295"/>
        <v>57.161804420551078</v>
      </c>
      <c r="P196" s="203">
        <f t="shared" si="296"/>
        <v>14118.965691876116</v>
      </c>
      <c r="Q196" s="272">
        <f t="shared" si="220"/>
        <v>14118.965691876117</v>
      </c>
      <c r="R196" s="439">
        <f t="shared" si="297"/>
        <v>0</v>
      </c>
      <c r="S196" s="18"/>
      <c r="T196" s="67">
        <f>30/1.085</f>
        <v>27.649769585253456</v>
      </c>
      <c r="U196" s="18"/>
      <c r="V196" s="273"/>
    </row>
    <row r="197" spans="1:33" s="1" customFormat="1" x14ac:dyDescent="0.25">
      <c r="A197" s="238"/>
      <c r="B197" s="317"/>
      <c r="C197" s="318">
        <v>11</v>
      </c>
      <c r="D197" s="83" t="s">
        <v>450</v>
      </c>
      <c r="E197" s="242">
        <v>240</v>
      </c>
      <c r="F197" s="242">
        <v>247</v>
      </c>
      <c r="G197" s="73" t="s">
        <v>283</v>
      </c>
      <c r="H197" s="67">
        <f t="shared" si="288"/>
        <v>17.777777777777779</v>
      </c>
      <c r="I197" s="67">
        <f t="shared" si="298"/>
        <v>4391.1111111111113</v>
      </c>
      <c r="J197" s="67">
        <v>6</v>
      </c>
      <c r="K197" s="67">
        <f t="shared" si="293"/>
        <v>1482</v>
      </c>
      <c r="L197" s="72">
        <f t="shared" si="294"/>
        <v>5873.1111111111113</v>
      </c>
      <c r="M197" s="67">
        <f t="shared" si="291"/>
        <v>24.356710595848629</v>
      </c>
      <c r="N197" s="67">
        <f t="shared" si="292"/>
        <v>8.220389826098911</v>
      </c>
      <c r="O197" s="72">
        <f t="shared" si="295"/>
        <v>32.577100421947542</v>
      </c>
      <c r="P197" s="203">
        <f t="shared" si="296"/>
        <v>8046.5438042210426</v>
      </c>
      <c r="Q197" s="272">
        <f t="shared" si="220"/>
        <v>8046.5438042210417</v>
      </c>
      <c r="R197" s="439">
        <f t="shared" si="297"/>
        <v>0</v>
      </c>
      <c r="S197" s="18"/>
      <c r="T197" s="67">
        <v>16</v>
      </c>
      <c r="U197" s="18"/>
      <c r="V197" s="273"/>
    </row>
    <row r="198" spans="1:33" s="1" customFormat="1" x14ac:dyDescent="0.25">
      <c r="A198" s="238"/>
      <c r="B198" s="317"/>
      <c r="C198" s="318">
        <v>12</v>
      </c>
      <c r="D198" s="83" t="s">
        <v>452</v>
      </c>
      <c r="E198" s="242">
        <v>95</v>
      </c>
      <c r="F198" s="242">
        <v>100</v>
      </c>
      <c r="G198" s="73" t="s">
        <v>283</v>
      </c>
      <c r="H198" s="67">
        <f t="shared" si="288"/>
        <v>27.777777777777779</v>
      </c>
      <c r="I198" s="67">
        <f t="shared" si="298"/>
        <v>2777.7777777777778</v>
      </c>
      <c r="J198" s="67">
        <v>9</v>
      </c>
      <c r="K198" s="67">
        <f t="shared" si="293"/>
        <v>900</v>
      </c>
      <c r="L198" s="72">
        <f t="shared" si="294"/>
        <v>3677.7777777777778</v>
      </c>
      <c r="M198" s="67">
        <f t="shared" si="291"/>
        <v>38.057360306013479</v>
      </c>
      <c r="N198" s="67">
        <f t="shared" si="292"/>
        <v>12.330584739148367</v>
      </c>
      <c r="O198" s="72">
        <f t="shared" si="295"/>
        <v>50.387945045161842</v>
      </c>
      <c r="P198" s="203">
        <f t="shared" si="296"/>
        <v>5038.7945045161841</v>
      </c>
      <c r="Q198" s="272">
        <f t="shared" si="220"/>
        <v>5038.7945045161841</v>
      </c>
      <c r="R198" s="439">
        <f t="shared" si="297"/>
        <v>0</v>
      </c>
      <c r="S198" s="18"/>
      <c r="T198" s="67">
        <v>25</v>
      </c>
      <c r="U198" s="18"/>
      <c r="V198" s="273"/>
    </row>
    <row r="199" spans="1:33" s="1" customFormat="1" x14ac:dyDescent="0.25">
      <c r="A199" s="238"/>
      <c r="B199" s="317"/>
      <c r="C199" s="318"/>
      <c r="D199" s="83"/>
      <c r="E199" s="242"/>
      <c r="F199" s="242"/>
      <c r="G199" s="73"/>
      <c r="H199" s="67"/>
      <c r="I199" s="67"/>
      <c r="J199" s="67"/>
      <c r="K199" s="67"/>
      <c r="L199" s="72"/>
      <c r="M199" s="67"/>
      <c r="N199" s="67"/>
      <c r="O199" s="72"/>
      <c r="P199" s="203"/>
      <c r="Q199" s="272">
        <f t="shared" si="220"/>
        <v>0</v>
      </c>
      <c r="R199" s="439"/>
      <c r="S199" s="18"/>
      <c r="U199" s="18"/>
      <c r="V199" s="273"/>
      <c r="W199" s="273"/>
      <c r="X199" s="273"/>
      <c r="Y199" s="273"/>
      <c r="Z199" s="273"/>
      <c r="AA199" s="273"/>
      <c r="AB199" s="273"/>
      <c r="AC199" s="273"/>
      <c r="AD199" s="224"/>
      <c r="AE199" s="273"/>
      <c r="AF199" s="224"/>
      <c r="AG199" s="406"/>
    </row>
    <row r="200" spans="1:33" s="1" customFormat="1" x14ac:dyDescent="0.25">
      <c r="A200" s="238"/>
      <c r="B200" s="290" t="s">
        <v>329</v>
      </c>
      <c r="C200" s="291" t="s">
        <v>458</v>
      </c>
      <c r="D200" s="316"/>
      <c r="E200" s="244"/>
      <c r="F200" s="244"/>
      <c r="G200" s="75"/>
      <c r="H200" s="74"/>
      <c r="I200" s="74"/>
      <c r="J200" s="74"/>
      <c r="K200" s="74"/>
      <c r="L200" s="74"/>
      <c r="M200" s="72"/>
      <c r="N200" s="72"/>
      <c r="O200" s="72"/>
      <c r="P200" s="205"/>
      <c r="Q200" s="272">
        <f t="shared" si="220"/>
        <v>0</v>
      </c>
      <c r="R200" s="439"/>
      <c r="S200" s="18"/>
    </row>
    <row r="201" spans="1:33" s="1" customFormat="1" x14ac:dyDescent="0.25">
      <c r="A201" s="238"/>
      <c r="B201" s="317"/>
      <c r="C201" s="318">
        <v>1</v>
      </c>
      <c r="D201" s="83" t="s">
        <v>459</v>
      </c>
      <c r="E201" s="242">
        <v>1337</v>
      </c>
      <c r="F201" s="242">
        <v>1346</v>
      </c>
      <c r="G201" s="73" t="s">
        <v>100</v>
      </c>
      <c r="H201" s="67">
        <f>10</f>
        <v>10</v>
      </c>
      <c r="I201" s="67">
        <f>F201*H201</f>
        <v>13460</v>
      </c>
      <c r="J201" s="67">
        <v>4</v>
      </c>
      <c r="K201" s="67">
        <f t="shared" ref="K201:K204" si="299">F201*J201</f>
        <v>5384</v>
      </c>
      <c r="L201" s="72">
        <f t="shared" ref="L201:L204" si="300">I201+K201</f>
        <v>18844</v>
      </c>
      <c r="M201" s="67">
        <f t="shared" ref="M201:M209" si="301">H201/$P$255*$P$263</f>
        <v>13.700649710164852</v>
      </c>
      <c r="N201" s="67">
        <f t="shared" ref="N201:N209" si="302">J201/$P$255*$P$263</f>
        <v>5.4802598840659416</v>
      </c>
      <c r="O201" s="72">
        <f t="shared" ref="O201:O204" si="303">N201+M201</f>
        <v>19.180909594230794</v>
      </c>
      <c r="P201" s="203">
        <f t="shared" ref="P201:P204" si="304">O201*F201</f>
        <v>25817.504313834648</v>
      </c>
      <c r="Q201" s="272">
        <f t="shared" si="220"/>
        <v>25817.504313834648</v>
      </c>
      <c r="R201" s="439">
        <f t="shared" ref="R201:R204" si="305">P201-Q201</f>
        <v>0</v>
      </c>
      <c r="S201" s="18"/>
      <c r="U201" s="18"/>
      <c r="V201" s="273"/>
      <c r="W201" s="224"/>
      <c r="X201" s="224"/>
      <c r="Y201" s="224"/>
      <c r="Z201" s="224"/>
      <c r="AA201" s="224"/>
      <c r="AB201" s="224"/>
      <c r="AC201" s="224"/>
      <c r="AD201" s="224"/>
      <c r="AE201" s="224"/>
      <c r="AF201" s="224"/>
    </row>
    <row r="202" spans="1:33" s="1" customFormat="1" x14ac:dyDescent="0.25">
      <c r="A202" s="238"/>
      <c r="B202" s="317"/>
      <c r="C202" s="318">
        <v>2</v>
      </c>
      <c r="D202" s="83" t="s">
        <v>460</v>
      </c>
      <c r="E202" s="242">
        <v>1113</v>
      </c>
      <c r="F202" s="242">
        <v>1120</v>
      </c>
      <c r="G202" s="73" t="s">
        <v>100</v>
      </c>
      <c r="H202" s="67">
        <f>25</f>
        <v>25</v>
      </c>
      <c r="I202" s="67">
        <f t="shared" ref="I202:I204" si="306">F202*H202</f>
        <v>28000</v>
      </c>
      <c r="J202" s="67">
        <v>9</v>
      </c>
      <c r="K202" s="67">
        <f t="shared" si="299"/>
        <v>10080</v>
      </c>
      <c r="L202" s="72">
        <f t="shared" si="300"/>
        <v>38080</v>
      </c>
      <c r="M202" s="67">
        <f t="shared" si="301"/>
        <v>34.251624275412134</v>
      </c>
      <c r="N202" s="67">
        <f t="shared" si="302"/>
        <v>12.330584739148367</v>
      </c>
      <c r="O202" s="72">
        <f t="shared" si="303"/>
        <v>46.582209014560505</v>
      </c>
      <c r="P202" s="203">
        <f t="shared" si="304"/>
        <v>52172.074096307762</v>
      </c>
      <c r="Q202" s="272">
        <f t="shared" si="220"/>
        <v>52172.074096307755</v>
      </c>
      <c r="R202" s="439">
        <f t="shared" si="305"/>
        <v>0</v>
      </c>
      <c r="S202" s="18"/>
      <c r="U202" s="18"/>
      <c r="V202" s="273"/>
      <c r="W202" s="224"/>
      <c r="X202" s="224"/>
      <c r="Y202" s="224"/>
      <c r="Z202" s="224"/>
      <c r="AA202" s="224"/>
      <c r="AB202" s="224"/>
      <c r="AC202" s="224"/>
      <c r="AD202" s="224"/>
      <c r="AE202" s="224"/>
      <c r="AF202" s="224"/>
    </row>
    <row r="203" spans="1:33" s="1" customFormat="1" x14ac:dyDescent="0.25">
      <c r="A203" s="238"/>
      <c r="B203" s="317"/>
      <c r="C203" s="318">
        <v>3</v>
      </c>
      <c r="D203" s="83" t="s">
        <v>461</v>
      </c>
      <c r="E203" s="242">
        <v>33</v>
      </c>
      <c r="F203" s="242">
        <v>33</v>
      </c>
      <c r="G203" s="73" t="s">
        <v>28</v>
      </c>
      <c r="H203" s="67">
        <f>258</f>
        <v>258</v>
      </c>
      <c r="I203" s="67">
        <f t="shared" si="306"/>
        <v>8514</v>
      </c>
      <c r="J203" s="67">
        <v>100</v>
      </c>
      <c r="K203" s="67">
        <f t="shared" si="299"/>
        <v>3300</v>
      </c>
      <c r="L203" s="72">
        <f t="shared" si="300"/>
        <v>11814</v>
      </c>
      <c r="M203" s="67">
        <f t="shared" si="301"/>
        <v>353.47676252225318</v>
      </c>
      <c r="N203" s="67">
        <f t="shared" si="302"/>
        <v>137.00649710164853</v>
      </c>
      <c r="O203" s="72">
        <f t="shared" si="303"/>
        <v>490.48325962390174</v>
      </c>
      <c r="P203" s="203">
        <f t="shared" si="304"/>
        <v>16185.947567588757</v>
      </c>
      <c r="Q203" s="272">
        <f t="shared" si="220"/>
        <v>16185.947567588755</v>
      </c>
      <c r="R203" s="439">
        <f t="shared" si="305"/>
        <v>0</v>
      </c>
      <c r="S203" s="18"/>
      <c r="U203" s="18"/>
      <c r="V203" s="273"/>
      <c r="W203" s="273"/>
      <c r="X203" s="273"/>
      <c r="Y203" s="273"/>
      <c r="Z203" s="273"/>
      <c r="AA203" s="273"/>
      <c r="AB203" s="273"/>
      <c r="AC203" s="273"/>
      <c r="AD203" s="224"/>
      <c r="AE203" s="273"/>
      <c r="AF203" s="224"/>
      <c r="AG203" s="406"/>
    </row>
    <row r="204" spans="1:33" s="1" customFormat="1" x14ac:dyDescent="0.25">
      <c r="A204" s="238"/>
      <c r="B204" s="317"/>
      <c r="C204" s="318">
        <v>4</v>
      </c>
      <c r="D204" s="83" t="s">
        <v>462</v>
      </c>
      <c r="E204" s="242">
        <v>33</v>
      </c>
      <c r="F204" s="242">
        <v>33</v>
      </c>
      <c r="G204" s="73" t="s">
        <v>28</v>
      </c>
      <c r="H204" s="67">
        <f>456</f>
        <v>456</v>
      </c>
      <c r="I204" s="67">
        <f t="shared" si="306"/>
        <v>15048</v>
      </c>
      <c r="J204" s="67">
        <v>100</v>
      </c>
      <c r="K204" s="67">
        <f t="shared" si="299"/>
        <v>3300</v>
      </c>
      <c r="L204" s="72">
        <f t="shared" si="300"/>
        <v>18348</v>
      </c>
      <c r="M204" s="67">
        <f t="shared" si="301"/>
        <v>624.74962678351721</v>
      </c>
      <c r="N204" s="67">
        <f t="shared" si="302"/>
        <v>137.00649710164853</v>
      </c>
      <c r="O204" s="72">
        <f t="shared" si="303"/>
        <v>761.75612388516572</v>
      </c>
      <c r="P204" s="203">
        <f t="shared" si="304"/>
        <v>25137.95208821047</v>
      </c>
      <c r="Q204" s="272">
        <f t="shared" si="220"/>
        <v>25137.95208821047</v>
      </c>
      <c r="R204" s="439">
        <f t="shared" si="305"/>
        <v>0</v>
      </c>
      <c r="S204" s="18"/>
      <c r="U204" s="18"/>
      <c r="V204" s="273"/>
      <c r="W204" s="273"/>
      <c r="X204" s="273"/>
      <c r="Y204" s="273"/>
      <c r="Z204" s="273"/>
      <c r="AA204" s="273"/>
      <c r="AB204" s="273"/>
      <c r="AC204" s="273"/>
      <c r="AD204" s="224"/>
      <c r="AE204" s="273"/>
      <c r="AF204" s="224"/>
    </row>
    <row r="205" spans="1:33" s="1" customFormat="1" x14ac:dyDescent="0.25">
      <c r="A205" s="238"/>
      <c r="B205" s="317"/>
      <c r="C205" s="318">
        <v>1</v>
      </c>
      <c r="D205" s="83" t="s">
        <v>463</v>
      </c>
      <c r="E205" s="242">
        <v>1</v>
      </c>
      <c r="F205" s="242">
        <v>1</v>
      </c>
      <c r="G205" s="73" t="s">
        <v>251</v>
      </c>
      <c r="H205" s="67">
        <f>4500</f>
        <v>4500</v>
      </c>
      <c r="I205" s="67">
        <f>F205*H205</f>
        <v>4500</v>
      </c>
      <c r="J205" s="67">
        <v>900</v>
      </c>
      <c r="K205" s="67">
        <f t="shared" ref="K205:K209" si="307">F205*J205</f>
        <v>900</v>
      </c>
      <c r="L205" s="72">
        <f t="shared" ref="L205:L209" si="308">I205+K205</f>
        <v>5400</v>
      </c>
      <c r="M205" s="67">
        <f t="shared" si="301"/>
        <v>6165.2923695741829</v>
      </c>
      <c r="N205" s="67">
        <f t="shared" si="302"/>
        <v>1233.0584739148367</v>
      </c>
      <c r="O205" s="72">
        <f t="shared" ref="O205:O209" si="309">N205+M205</f>
        <v>7398.3508434890191</v>
      </c>
      <c r="P205" s="203">
        <f t="shared" ref="P205:P209" si="310">O205*F205</f>
        <v>7398.3508434890191</v>
      </c>
      <c r="Q205" s="272">
        <f t="shared" si="220"/>
        <v>7398.35084348902</v>
      </c>
      <c r="R205" s="439">
        <f t="shared" ref="R205:R209" si="311">P205-Q205</f>
        <v>0</v>
      </c>
      <c r="S205" s="18"/>
      <c r="U205" s="18"/>
      <c r="V205" s="273"/>
      <c r="W205" s="224"/>
      <c r="X205" s="224"/>
      <c r="Y205" s="224"/>
      <c r="Z205" s="224"/>
      <c r="AA205" s="224"/>
      <c r="AB205" s="224"/>
      <c r="AC205" s="224"/>
      <c r="AD205" s="224"/>
      <c r="AE205" s="224"/>
      <c r="AF205" s="224"/>
    </row>
    <row r="206" spans="1:33" s="1" customFormat="1" x14ac:dyDescent="0.25">
      <c r="A206" s="238"/>
      <c r="B206" s="317"/>
      <c r="C206" s="318">
        <v>2</v>
      </c>
      <c r="D206" s="83" t="s">
        <v>464</v>
      </c>
      <c r="E206" s="242">
        <v>1</v>
      </c>
      <c r="F206" s="242">
        <v>1</v>
      </c>
      <c r="G206" s="73" t="s">
        <v>251</v>
      </c>
      <c r="H206" s="67">
        <f>15000</f>
        <v>15000</v>
      </c>
      <c r="I206" s="67">
        <f t="shared" ref="I206:I208" si="312">F206*H206</f>
        <v>15000</v>
      </c>
      <c r="J206" s="67">
        <v>3000</v>
      </c>
      <c r="K206" s="67">
        <f t="shared" si="307"/>
        <v>3000</v>
      </c>
      <c r="L206" s="72">
        <f t="shared" si="308"/>
        <v>18000</v>
      </c>
      <c r="M206" s="67">
        <f t="shared" si="301"/>
        <v>20550.974565247281</v>
      </c>
      <c r="N206" s="67">
        <f t="shared" si="302"/>
        <v>4110.1949130494559</v>
      </c>
      <c r="O206" s="72">
        <f t="shared" si="309"/>
        <v>24661.169478296739</v>
      </c>
      <c r="P206" s="203">
        <f t="shared" si="310"/>
        <v>24661.169478296739</v>
      </c>
      <c r="Q206" s="272">
        <f t="shared" si="220"/>
        <v>24661.169478296732</v>
      </c>
      <c r="R206" s="439">
        <f t="shared" si="311"/>
        <v>0</v>
      </c>
      <c r="S206" s="18"/>
      <c r="U206" s="18"/>
      <c r="V206" s="273"/>
      <c r="W206" s="224"/>
      <c r="X206" s="224"/>
      <c r="Y206" s="224"/>
      <c r="Z206" s="224"/>
      <c r="AA206" s="224"/>
      <c r="AB206" s="224"/>
      <c r="AC206" s="224"/>
      <c r="AD206" s="224"/>
      <c r="AE206" s="224"/>
      <c r="AF206" s="224"/>
    </row>
    <row r="207" spans="1:33" s="1" customFormat="1" x14ac:dyDescent="0.25">
      <c r="A207" s="238"/>
      <c r="B207" s="317"/>
      <c r="C207" s="318">
        <v>3</v>
      </c>
      <c r="D207" s="83" t="s">
        <v>465</v>
      </c>
      <c r="E207" s="242">
        <v>1</v>
      </c>
      <c r="F207" s="242">
        <v>1</v>
      </c>
      <c r="G207" s="73" t="s">
        <v>243</v>
      </c>
      <c r="H207" s="67">
        <f>12000</f>
        <v>12000</v>
      </c>
      <c r="I207" s="67">
        <f t="shared" si="312"/>
        <v>12000</v>
      </c>
      <c r="J207" s="67">
        <v>450</v>
      </c>
      <c r="K207" s="67">
        <f t="shared" si="307"/>
        <v>450</v>
      </c>
      <c r="L207" s="72">
        <f t="shared" si="308"/>
        <v>12450</v>
      </c>
      <c r="M207" s="67">
        <f t="shared" si="301"/>
        <v>16440.779652197823</v>
      </c>
      <c r="N207" s="67">
        <f t="shared" si="302"/>
        <v>616.52923695741833</v>
      </c>
      <c r="O207" s="72">
        <f t="shared" si="309"/>
        <v>17057.308889155243</v>
      </c>
      <c r="P207" s="203">
        <f t="shared" si="310"/>
        <v>17057.308889155243</v>
      </c>
      <c r="Q207" s="272">
        <f t="shared" si="220"/>
        <v>17057.30888915524</v>
      </c>
      <c r="R207" s="439">
        <f t="shared" si="311"/>
        <v>0</v>
      </c>
      <c r="S207" s="18"/>
      <c r="U207" s="18"/>
      <c r="V207" s="273"/>
      <c r="W207" s="273"/>
      <c r="X207" s="273"/>
      <c r="Y207" s="273"/>
      <c r="Z207" s="273"/>
      <c r="AA207" s="273"/>
      <c r="AB207" s="273"/>
      <c r="AC207" s="273"/>
      <c r="AD207" s="224"/>
      <c r="AE207" s="273"/>
      <c r="AF207" s="224"/>
      <c r="AG207" s="406">
        <f>AE220*2+AE236*3</f>
        <v>40999</v>
      </c>
    </row>
    <row r="208" spans="1:33" s="1" customFormat="1" x14ac:dyDescent="0.25">
      <c r="A208" s="238"/>
      <c r="B208" s="317"/>
      <c r="C208" s="318">
        <v>4</v>
      </c>
      <c r="D208" s="83" t="s">
        <v>466</v>
      </c>
      <c r="E208" s="242">
        <v>2</v>
      </c>
      <c r="F208" s="242">
        <v>2</v>
      </c>
      <c r="G208" s="73" t="s">
        <v>283</v>
      </c>
      <c r="H208" s="67">
        <f>5612</f>
        <v>5612</v>
      </c>
      <c r="I208" s="67">
        <f t="shared" si="312"/>
        <v>11224</v>
      </c>
      <c r="J208" s="67">
        <v>2000</v>
      </c>
      <c r="K208" s="67">
        <f t="shared" si="307"/>
        <v>4000</v>
      </c>
      <c r="L208" s="72">
        <f t="shared" si="308"/>
        <v>15224</v>
      </c>
      <c r="M208" s="67">
        <f t="shared" si="301"/>
        <v>7688.8046173445146</v>
      </c>
      <c r="N208" s="67">
        <f t="shared" si="302"/>
        <v>2740.1299420329706</v>
      </c>
      <c r="O208" s="72">
        <f t="shared" si="309"/>
        <v>10428.934559377485</v>
      </c>
      <c r="P208" s="203">
        <f t="shared" si="310"/>
        <v>20857.86911875497</v>
      </c>
      <c r="Q208" s="272">
        <f t="shared" si="220"/>
        <v>20857.86911875497</v>
      </c>
      <c r="R208" s="439">
        <f t="shared" si="311"/>
        <v>0</v>
      </c>
      <c r="S208" s="18"/>
      <c r="U208" s="18"/>
      <c r="V208" s="273"/>
      <c r="W208" s="273"/>
      <c r="X208" s="273"/>
      <c r="Y208" s="273"/>
      <c r="Z208" s="273"/>
      <c r="AA208" s="273"/>
      <c r="AB208" s="273"/>
      <c r="AC208" s="273"/>
      <c r="AD208" s="224"/>
      <c r="AE208" s="273"/>
      <c r="AF208" s="224"/>
    </row>
    <row r="209" spans="1:39" s="1" customFormat="1" x14ac:dyDescent="0.25">
      <c r="A209" s="238"/>
      <c r="B209" s="317"/>
      <c r="C209" s="318">
        <v>5</v>
      </c>
      <c r="D209" s="83" t="s">
        <v>467</v>
      </c>
      <c r="E209" s="242">
        <v>1</v>
      </c>
      <c r="F209" s="242">
        <v>1</v>
      </c>
      <c r="G209" s="73" t="s">
        <v>301</v>
      </c>
      <c r="H209" s="67">
        <f>7500+3000</f>
        <v>10500</v>
      </c>
      <c r="I209" s="67">
        <f>F209*H209</f>
        <v>10500</v>
      </c>
      <c r="J209" s="67">
        <f>2500+3000</f>
        <v>5500</v>
      </c>
      <c r="K209" s="67">
        <f t="shared" si="307"/>
        <v>5500</v>
      </c>
      <c r="L209" s="72">
        <f t="shared" si="308"/>
        <v>16000</v>
      </c>
      <c r="M209" s="67">
        <f t="shared" si="301"/>
        <v>14385.682195673096</v>
      </c>
      <c r="N209" s="67">
        <f t="shared" si="302"/>
        <v>7535.3573405906691</v>
      </c>
      <c r="O209" s="72">
        <f t="shared" si="309"/>
        <v>21921.039536263765</v>
      </c>
      <c r="P209" s="203">
        <f t="shared" si="310"/>
        <v>21921.039536263765</v>
      </c>
      <c r="Q209" s="272">
        <f t="shared" ref="Q209:Q238" si="313">L209/$P$255*$P$263</f>
        <v>21921.039536263765</v>
      </c>
      <c r="R209" s="439">
        <f t="shared" si="311"/>
        <v>0</v>
      </c>
      <c r="S209" s="18"/>
      <c r="U209" s="18"/>
      <c r="V209" s="273"/>
      <c r="W209" s="367" t="s">
        <v>4</v>
      </c>
      <c r="X209" s="367" t="s">
        <v>7</v>
      </c>
      <c r="Y209" s="367" t="s">
        <v>6</v>
      </c>
      <c r="Z209" s="367" t="s">
        <v>5</v>
      </c>
      <c r="AA209" s="897" t="s">
        <v>380</v>
      </c>
      <c r="AB209" s="897"/>
      <c r="AC209" s="897"/>
      <c r="AD209" s="897" t="s">
        <v>381</v>
      </c>
      <c r="AE209" s="897"/>
      <c r="AF209" s="384"/>
      <c r="AG209" s="385"/>
      <c r="AH209" s="385"/>
      <c r="AI209" s="385"/>
      <c r="AJ209" s="385"/>
      <c r="AK209" s="385" t="s">
        <v>397</v>
      </c>
      <c r="AL209" s="385" t="s">
        <v>398</v>
      </c>
    </row>
    <row r="210" spans="1:39" ht="15.75" thickBot="1" x14ac:dyDescent="0.3">
      <c r="A210" s="238"/>
      <c r="B210" s="249"/>
      <c r="C210" s="293"/>
      <c r="D210" s="83"/>
      <c r="E210" s="242"/>
      <c r="F210" s="302"/>
      <c r="G210" s="68"/>
      <c r="H210" s="67"/>
      <c r="I210" s="67"/>
      <c r="J210" s="67"/>
      <c r="K210" s="67"/>
      <c r="L210" s="67"/>
      <c r="M210" s="72"/>
      <c r="N210" s="72"/>
      <c r="O210" s="72"/>
      <c r="P210" s="205"/>
      <c r="Q210" s="272">
        <f t="shared" si="313"/>
        <v>0</v>
      </c>
      <c r="R210" s="439"/>
      <c r="V210" s="273"/>
      <c r="W210" s="368" t="s">
        <v>400</v>
      </c>
      <c r="X210" s="367"/>
      <c r="Y210" s="367"/>
      <c r="Z210" s="367"/>
      <c r="AA210" s="367"/>
      <c r="AB210" s="367"/>
      <c r="AC210" s="367"/>
      <c r="AD210" s="367"/>
      <c r="AE210" s="367"/>
      <c r="AF210" s="386"/>
      <c r="AG210" s="386">
        <v>0.6</v>
      </c>
      <c r="AH210" s="387">
        <v>1.8</v>
      </c>
      <c r="AI210" s="385">
        <f>AG210*AH210</f>
        <v>1.08</v>
      </c>
      <c r="AJ210" s="387">
        <f>AG210+AH210</f>
        <v>2.4</v>
      </c>
      <c r="AK210" s="385">
        <v>0.6</v>
      </c>
      <c r="AL210" s="385">
        <v>0.15</v>
      </c>
    </row>
    <row r="211" spans="1:39" s="234" customFormat="1" ht="15.75" thickBot="1" x14ac:dyDescent="0.3">
      <c r="A211" s="308"/>
      <c r="B211" s="910" t="s">
        <v>345</v>
      </c>
      <c r="C211" s="911"/>
      <c r="D211" s="912"/>
      <c r="E211" s="309"/>
      <c r="F211" s="310"/>
      <c r="G211" s="311"/>
      <c r="H211" s="312"/>
      <c r="I211" s="313">
        <f>SUM(I151:I210)</f>
        <v>1267336.3891449051</v>
      </c>
      <c r="J211" s="312"/>
      <c r="K211" s="313">
        <f>SUM(K151:K210)</f>
        <v>275336</v>
      </c>
      <c r="L211" s="313">
        <f>SUM(L151:L210)</f>
        <v>1542672.3891449047</v>
      </c>
      <c r="M211" s="312"/>
      <c r="N211" s="312"/>
      <c r="O211" s="313"/>
      <c r="P211" s="315">
        <f>SUM(P151:P210)</f>
        <v>2113561.4021217474</v>
      </c>
      <c r="Q211" s="272">
        <f t="shared" si="313"/>
        <v>2113561.402121746</v>
      </c>
      <c r="R211" s="439">
        <f t="shared" ref="R211:R222" si="314">P211-Q211</f>
        <v>0</v>
      </c>
      <c r="T211" s="443"/>
      <c r="U211" s="275"/>
      <c r="V211" s="276"/>
      <c r="W211" s="367" t="s">
        <v>9</v>
      </c>
      <c r="X211" s="367" t="s">
        <v>382</v>
      </c>
      <c r="Y211" s="369">
        <f>+Y214*1.2</f>
        <v>2.2680000000000002</v>
      </c>
      <c r="Z211" s="370" t="s">
        <v>383</v>
      </c>
      <c r="AA211" s="371" t="s">
        <v>384</v>
      </c>
      <c r="AB211" s="372">
        <v>2300</v>
      </c>
      <c r="AC211" s="370" t="s">
        <v>385</v>
      </c>
      <c r="AD211" s="373" t="s">
        <v>384</v>
      </c>
      <c r="AE211" s="374">
        <f>Y211*AB211</f>
        <v>5216.4000000000005</v>
      </c>
      <c r="AF211" s="386"/>
      <c r="AG211" s="385">
        <v>0.15</v>
      </c>
      <c r="AH211" s="385">
        <v>1.8</v>
      </c>
      <c r="AI211" s="385">
        <f>AG211*AH211</f>
        <v>0.27</v>
      </c>
      <c r="AJ211" s="387">
        <f t="shared" ref="AJ211" si="315">AG211+AH211</f>
        <v>1.95</v>
      </c>
      <c r="AK211" s="385">
        <v>1.8</v>
      </c>
      <c r="AL211" s="385">
        <v>0.6</v>
      </c>
      <c r="AM211" s="282"/>
    </row>
    <row r="212" spans="1:39" ht="15.75" x14ac:dyDescent="0.25">
      <c r="A212" s="321" t="s">
        <v>346</v>
      </c>
      <c r="B212" s="320" t="s">
        <v>356</v>
      </c>
      <c r="C212" s="292"/>
      <c r="D212" s="83"/>
      <c r="E212" s="242"/>
      <c r="F212" s="302"/>
      <c r="G212" s="68"/>
      <c r="H212" s="67"/>
      <c r="I212" s="67"/>
      <c r="J212" s="67"/>
      <c r="K212" s="67"/>
      <c r="L212" s="67"/>
      <c r="M212" s="72"/>
      <c r="N212" s="72"/>
      <c r="O212" s="72"/>
      <c r="P212" s="205"/>
      <c r="Q212" s="272">
        <f t="shared" si="313"/>
        <v>0</v>
      </c>
      <c r="R212" s="439"/>
      <c r="V212" s="273"/>
      <c r="W212" s="375"/>
      <c r="X212" s="376"/>
      <c r="Y212" s="370"/>
      <c r="Z212" s="370"/>
      <c r="AA212" s="371"/>
      <c r="AB212" s="370"/>
      <c r="AC212" s="373" t="s">
        <v>386</v>
      </c>
      <c r="AD212" s="373" t="s">
        <v>384</v>
      </c>
      <c r="AE212" s="377">
        <f>SUM(AE211:AE211)</f>
        <v>5216.4000000000005</v>
      </c>
      <c r="AF212" s="386"/>
      <c r="AG212" s="385">
        <v>0.15</v>
      </c>
      <c r="AH212" s="385">
        <v>0.6</v>
      </c>
      <c r="AI212" s="385">
        <f>AG212*AH212</f>
        <v>0.09</v>
      </c>
      <c r="AJ212" s="387">
        <f>AG212+AH212</f>
        <v>0.75</v>
      </c>
      <c r="AK212" s="385">
        <v>0.15</v>
      </c>
      <c r="AL212" s="385">
        <v>1.8</v>
      </c>
    </row>
    <row r="213" spans="1:39" x14ac:dyDescent="0.25">
      <c r="A213" s="238"/>
      <c r="B213" s="290" t="s">
        <v>319</v>
      </c>
      <c r="C213" s="291" t="s">
        <v>403</v>
      </c>
      <c r="D213" s="83"/>
      <c r="E213" s="242"/>
      <c r="F213" s="242"/>
      <c r="G213" s="73"/>
      <c r="H213" s="67"/>
      <c r="I213" s="67"/>
      <c r="J213" s="67"/>
      <c r="K213" s="67"/>
      <c r="L213" s="72"/>
      <c r="M213" s="67"/>
      <c r="N213" s="67"/>
      <c r="O213" s="72"/>
      <c r="P213" s="203"/>
      <c r="Q213" s="272">
        <f t="shared" si="313"/>
        <v>0</v>
      </c>
      <c r="R213" s="439"/>
      <c r="V213" s="273"/>
      <c r="W213" s="375"/>
      <c r="X213" s="376"/>
      <c r="Y213" s="370"/>
      <c r="Z213" s="370"/>
      <c r="AA213" s="371"/>
      <c r="AB213" s="370"/>
      <c r="AC213" s="373"/>
      <c r="AD213" s="373"/>
      <c r="AE213" s="378"/>
      <c r="AF213" s="386"/>
      <c r="AG213" s="385">
        <v>0.15</v>
      </c>
      <c r="AH213" s="385">
        <v>0.6</v>
      </c>
      <c r="AI213" s="385">
        <f>AG213*AH213</f>
        <v>0.09</v>
      </c>
      <c r="AJ213" s="387">
        <f>AG213+AH213</f>
        <v>0.75</v>
      </c>
      <c r="AK213" s="385"/>
      <c r="AL213" s="385">
        <v>0.6</v>
      </c>
    </row>
    <row r="214" spans="1:39" x14ac:dyDescent="0.25">
      <c r="A214" s="238"/>
      <c r="B214" s="249"/>
      <c r="C214" s="293">
        <v>1</v>
      </c>
      <c r="D214" s="83" t="s">
        <v>404</v>
      </c>
      <c r="E214" s="242">
        <v>10</v>
      </c>
      <c r="F214" s="242">
        <v>10</v>
      </c>
      <c r="G214" s="73" t="s">
        <v>28</v>
      </c>
      <c r="H214" s="67"/>
      <c r="I214" s="67">
        <f t="shared" ref="I214:I221" si="316">F214*H214</f>
        <v>0</v>
      </c>
      <c r="J214" s="67">
        <f>750+100</f>
        <v>850</v>
      </c>
      <c r="K214" s="67">
        <f t="shared" ref="K214:K221" si="317">F214*J214</f>
        <v>8500</v>
      </c>
      <c r="L214" s="72">
        <f t="shared" ref="L214:L221" si="318">I214+K214</f>
        <v>8500</v>
      </c>
      <c r="M214" s="407" t="s">
        <v>469</v>
      </c>
      <c r="N214" s="67">
        <f t="shared" ref="N214:N224" si="319">J214/$P$255*$P$263</f>
        <v>1164.5552253640124</v>
      </c>
      <c r="O214" s="72">
        <f>N214</f>
        <v>1164.5552253640124</v>
      </c>
      <c r="P214" s="203">
        <f t="shared" ref="P214:P222" si="320">O214*F214</f>
        <v>11645.552253640124</v>
      </c>
      <c r="Q214" s="272">
        <f t="shared" si="313"/>
        <v>11645.552253640126</v>
      </c>
      <c r="R214" s="439">
        <f t="shared" si="314"/>
        <v>0</v>
      </c>
      <c r="V214" s="273"/>
      <c r="W214" s="367" t="s">
        <v>10</v>
      </c>
      <c r="X214" s="379" t="s">
        <v>387</v>
      </c>
      <c r="Y214" s="380">
        <f>AI218</f>
        <v>1.8900000000000003</v>
      </c>
      <c r="Z214" s="370" t="s">
        <v>383</v>
      </c>
      <c r="AA214" s="371" t="s">
        <v>384</v>
      </c>
      <c r="AB214" s="372">
        <v>400</v>
      </c>
      <c r="AC214" s="370" t="s">
        <v>385</v>
      </c>
      <c r="AD214" s="373" t="s">
        <v>384</v>
      </c>
      <c r="AE214" s="378">
        <f t="shared" ref="AE214:AE218" si="321">Y214*AB214</f>
        <v>756.00000000000011</v>
      </c>
      <c r="AF214" s="386"/>
      <c r="AG214" s="385">
        <v>0.2</v>
      </c>
      <c r="AH214" s="385">
        <v>1.8</v>
      </c>
      <c r="AI214" s="385">
        <f>AG214*AH214</f>
        <v>0.36000000000000004</v>
      </c>
      <c r="AJ214" s="387">
        <f>AG214+AH214</f>
        <v>2</v>
      </c>
      <c r="AK214" s="385"/>
      <c r="AL214" s="385">
        <v>0.2</v>
      </c>
    </row>
    <row r="215" spans="1:39" x14ac:dyDescent="0.25">
      <c r="A215" s="238"/>
      <c r="B215" s="249"/>
      <c r="C215" s="293">
        <v>2</v>
      </c>
      <c r="D215" s="83" t="s">
        <v>405</v>
      </c>
      <c r="E215" s="242">
        <v>3</v>
      </c>
      <c r="F215" s="242">
        <v>3</v>
      </c>
      <c r="G215" s="73" t="s">
        <v>28</v>
      </c>
      <c r="H215" s="67"/>
      <c r="I215" s="67">
        <f>F215*H215</f>
        <v>0</v>
      </c>
      <c r="J215" s="67">
        <f>750+100</f>
        <v>850</v>
      </c>
      <c r="K215" s="67">
        <f>F215*J215</f>
        <v>2550</v>
      </c>
      <c r="L215" s="72">
        <f>I215+K215</f>
        <v>2550</v>
      </c>
      <c r="M215" s="407" t="s">
        <v>469</v>
      </c>
      <c r="N215" s="67">
        <f t="shared" si="319"/>
        <v>1164.5552253640124</v>
      </c>
      <c r="O215" s="72">
        <f t="shared" ref="O215:O221" si="322">N215</f>
        <v>1164.5552253640124</v>
      </c>
      <c r="P215" s="203">
        <f>O215*F215</f>
        <v>3493.6656760920368</v>
      </c>
      <c r="Q215" s="272">
        <f t="shared" si="313"/>
        <v>3493.6656760920373</v>
      </c>
      <c r="R215" s="439">
        <f>P215-Q215</f>
        <v>0</v>
      </c>
      <c r="V215" s="273"/>
      <c r="W215" s="367"/>
      <c r="X215" s="379" t="s">
        <v>388</v>
      </c>
      <c r="Y215" s="380">
        <f>AJ218</f>
        <v>7.85</v>
      </c>
      <c r="Z215" s="370" t="s">
        <v>383</v>
      </c>
      <c r="AA215" s="371"/>
      <c r="AB215" s="372">
        <v>100</v>
      </c>
      <c r="AC215" s="370" t="s">
        <v>385</v>
      </c>
      <c r="AD215" s="373"/>
      <c r="AE215" s="378">
        <f t="shared" si="321"/>
        <v>785</v>
      </c>
      <c r="AF215" s="386"/>
      <c r="AG215" s="385"/>
      <c r="AH215" s="385"/>
      <c r="AI215" s="385"/>
      <c r="AJ215" s="387"/>
      <c r="AK215" s="385"/>
      <c r="AL215" s="385"/>
    </row>
    <row r="216" spans="1:39" x14ac:dyDescent="0.25">
      <c r="A216" s="238"/>
      <c r="B216" s="249"/>
      <c r="C216" s="293">
        <v>3</v>
      </c>
      <c r="D216" s="83" t="s">
        <v>406</v>
      </c>
      <c r="E216" s="242">
        <v>7</v>
      </c>
      <c r="F216" s="242">
        <v>7</v>
      </c>
      <c r="G216" s="73" t="s">
        <v>28</v>
      </c>
      <c r="H216" s="67"/>
      <c r="I216" s="67">
        <f t="shared" si="316"/>
        <v>0</v>
      </c>
      <c r="J216" s="67">
        <f>600+100</f>
        <v>700</v>
      </c>
      <c r="K216" s="67">
        <f t="shared" si="317"/>
        <v>4900</v>
      </c>
      <c r="L216" s="72">
        <f t="shared" si="318"/>
        <v>4900</v>
      </c>
      <c r="M216" s="407" t="s">
        <v>469</v>
      </c>
      <c r="N216" s="67">
        <f t="shared" si="319"/>
        <v>959.04547971153966</v>
      </c>
      <c r="O216" s="72">
        <f t="shared" si="322"/>
        <v>959.04547971153966</v>
      </c>
      <c r="P216" s="203">
        <f t="shared" si="320"/>
        <v>6713.3183579807774</v>
      </c>
      <c r="Q216" s="272">
        <f t="shared" si="313"/>
        <v>6713.3183579807774</v>
      </c>
      <c r="R216" s="439">
        <f t="shared" si="314"/>
        <v>0</v>
      </c>
      <c r="V216" s="273"/>
      <c r="W216" s="367"/>
      <c r="X216" s="379" t="s">
        <v>389</v>
      </c>
      <c r="Y216" s="380">
        <f>AK218</f>
        <v>2.5499999999999998</v>
      </c>
      <c r="Z216" s="370" t="s">
        <v>100</v>
      </c>
      <c r="AA216" s="371"/>
      <c r="AB216" s="372">
        <v>400</v>
      </c>
      <c r="AC216" s="381" t="s">
        <v>390</v>
      </c>
      <c r="AD216" s="373"/>
      <c r="AE216" s="378">
        <f t="shared" si="321"/>
        <v>1019.9999999999999</v>
      </c>
      <c r="AF216" s="386"/>
      <c r="AG216" s="385"/>
      <c r="AH216" s="385"/>
      <c r="AI216" s="385"/>
      <c r="AJ216" s="387"/>
      <c r="AK216" s="385"/>
      <c r="AL216" s="385"/>
    </row>
    <row r="217" spans="1:39" x14ac:dyDescent="0.25">
      <c r="A217" s="238"/>
      <c r="B217" s="249"/>
      <c r="C217" s="293">
        <v>4</v>
      </c>
      <c r="D217" s="83" t="s">
        <v>407</v>
      </c>
      <c r="E217" s="242">
        <v>7</v>
      </c>
      <c r="F217" s="242">
        <v>7</v>
      </c>
      <c r="G217" s="73" t="s">
        <v>28</v>
      </c>
      <c r="H217" s="67"/>
      <c r="I217" s="67">
        <f t="shared" ref="I217:I219" si="323">F217*H217</f>
        <v>0</v>
      </c>
      <c r="J217" s="67">
        <f>300+100</f>
        <v>400</v>
      </c>
      <c r="K217" s="67">
        <f t="shared" ref="K217:K219" si="324">F217*J217</f>
        <v>2800</v>
      </c>
      <c r="L217" s="72">
        <f t="shared" ref="L217:L219" si="325">I217+K217</f>
        <v>2800</v>
      </c>
      <c r="M217" s="407" t="s">
        <v>469</v>
      </c>
      <c r="N217" s="67">
        <f t="shared" si="319"/>
        <v>548.02598840659414</v>
      </c>
      <c r="O217" s="72">
        <f t="shared" si="322"/>
        <v>548.02598840659414</v>
      </c>
      <c r="P217" s="203">
        <f t="shared" si="320"/>
        <v>3836.1819188461591</v>
      </c>
      <c r="Q217" s="272">
        <f t="shared" si="313"/>
        <v>3836.1819188461586</v>
      </c>
      <c r="R217" s="439">
        <f t="shared" si="314"/>
        <v>0</v>
      </c>
      <c r="V217" s="273"/>
      <c r="W217" s="367"/>
      <c r="X217" s="379" t="s">
        <v>391</v>
      </c>
      <c r="Y217" s="380">
        <f>AL218</f>
        <v>3.35</v>
      </c>
      <c r="Z217" s="370" t="s">
        <v>100</v>
      </c>
      <c r="AA217" s="371"/>
      <c r="AB217" s="372">
        <v>400</v>
      </c>
      <c r="AC217" s="381" t="s">
        <v>390</v>
      </c>
      <c r="AD217" s="373"/>
      <c r="AE217" s="378">
        <f t="shared" si="321"/>
        <v>1340</v>
      </c>
      <c r="AF217" s="386"/>
      <c r="AG217" s="385"/>
      <c r="AH217" s="385"/>
      <c r="AI217" s="385"/>
      <c r="AJ217" s="387"/>
      <c r="AK217" s="385"/>
      <c r="AL217" s="385"/>
    </row>
    <row r="218" spans="1:39" x14ac:dyDescent="0.25">
      <c r="A218" s="238"/>
      <c r="B218" s="249"/>
      <c r="C218" s="293">
        <v>5</v>
      </c>
      <c r="D218" s="83" t="s">
        <v>408</v>
      </c>
      <c r="E218" s="242">
        <v>2</v>
      </c>
      <c r="F218" s="242">
        <v>2</v>
      </c>
      <c r="G218" s="73" t="s">
        <v>28</v>
      </c>
      <c r="H218" s="67"/>
      <c r="I218" s="67">
        <f t="shared" si="323"/>
        <v>0</v>
      </c>
      <c r="J218" s="67">
        <f>400+100</f>
        <v>500</v>
      </c>
      <c r="K218" s="67">
        <f t="shared" si="324"/>
        <v>1000</v>
      </c>
      <c r="L218" s="72">
        <f t="shared" si="325"/>
        <v>1000</v>
      </c>
      <c r="M218" s="407" t="s">
        <v>469</v>
      </c>
      <c r="N218" s="67">
        <f t="shared" si="319"/>
        <v>685.03248550824264</v>
      </c>
      <c r="O218" s="72">
        <f t="shared" si="322"/>
        <v>685.03248550824264</v>
      </c>
      <c r="P218" s="203">
        <f t="shared" ref="P218:P219" si="326">O218*F218</f>
        <v>1370.0649710164853</v>
      </c>
      <c r="Q218" s="272">
        <f t="shared" si="313"/>
        <v>1370.0649710164853</v>
      </c>
      <c r="R218" s="439">
        <f t="shared" ref="R218:R219" si="327">P218-Q218</f>
        <v>0</v>
      </c>
      <c r="V218" s="273"/>
      <c r="W218" s="367"/>
      <c r="X218" s="379" t="s">
        <v>392</v>
      </c>
      <c r="Y218" s="382">
        <v>2</v>
      </c>
      <c r="Z218" s="370" t="s">
        <v>393</v>
      </c>
      <c r="AA218" s="373"/>
      <c r="AB218" s="372">
        <v>500</v>
      </c>
      <c r="AC218" s="381" t="s">
        <v>394</v>
      </c>
      <c r="AD218" s="373"/>
      <c r="AE218" s="374">
        <f t="shared" si="321"/>
        <v>1000</v>
      </c>
      <c r="AF218" s="386"/>
      <c r="AG218" s="385"/>
      <c r="AH218" s="385"/>
      <c r="AI218" s="388">
        <f>SUM(AI210:AI214)</f>
        <v>1.8900000000000003</v>
      </c>
      <c r="AJ218" s="388">
        <f>SUM(AJ210:AJ214)</f>
        <v>7.85</v>
      </c>
      <c r="AK218" s="388">
        <f>SUM(AK210:AK213)</f>
        <v>2.5499999999999998</v>
      </c>
      <c r="AL218" s="388">
        <f>SUM(AL210:AL214)</f>
        <v>3.35</v>
      </c>
    </row>
    <row r="219" spans="1:39" x14ac:dyDescent="0.25">
      <c r="A219" s="238"/>
      <c r="B219" s="249"/>
      <c r="C219" s="293">
        <v>6</v>
      </c>
      <c r="D219" s="83" t="s">
        <v>409</v>
      </c>
      <c r="E219" s="242">
        <v>2</v>
      </c>
      <c r="F219" s="242">
        <v>2</v>
      </c>
      <c r="G219" s="73" t="s">
        <v>28</v>
      </c>
      <c r="H219" s="67"/>
      <c r="I219" s="67">
        <f t="shared" si="323"/>
        <v>0</v>
      </c>
      <c r="J219" s="67">
        <f>400+100</f>
        <v>500</v>
      </c>
      <c r="K219" s="67">
        <f t="shared" si="324"/>
        <v>1000</v>
      </c>
      <c r="L219" s="72">
        <f t="shared" si="325"/>
        <v>1000</v>
      </c>
      <c r="M219" s="407" t="s">
        <v>469</v>
      </c>
      <c r="N219" s="67">
        <f t="shared" si="319"/>
        <v>685.03248550824264</v>
      </c>
      <c r="O219" s="72">
        <f t="shared" si="322"/>
        <v>685.03248550824264</v>
      </c>
      <c r="P219" s="203">
        <f t="shared" si="326"/>
        <v>1370.0649710164853</v>
      </c>
      <c r="Q219" s="272">
        <f t="shared" si="313"/>
        <v>1370.0649710164853</v>
      </c>
      <c r="R219" s="439">
        <f t="shared" si="327"/>
        <v>0</v>
      </c>
      <c r="V219" s="273"/>
      <c r="W219" s="375"/>
      <c r="X219" s="376"/>
      <c r="Y219" s="370"/>
      <c r="Z219" s="370"/>
      <c r="AA219" s="373"/>
      <c r="AB219" s="370"/>
      <c r="AC219" s="373" t="s">
        <v>395</v>
      </c>
      <c r="AD219" s="373" t="s">
        <v>384</v>
      </c>
      <c r="AE219" s="377">
        <f>SUM(AE214:AE218)</f>
        <v>4901</v>
      </c>
      <c r="AF219" s="386"/>
      <c r="AG219" s="385"/>
      <c r="AH219" s="385"/>
      <c r="AI219" s="385"/>
      <c r="AJ219" s="387"/>
      <c r="AK219" s="385"/>
      <c r="AL219" s="385"/>
    </row>
    <row r="220" spans="1:39" ht="15.75" thickBot="1" x14ac:dyDescent="0.3">
      <c r="A220" s="238"/>
      <c r="B220" s="249"/>
      <c r="C220" s="293">
        <v>7</v>
      </c>
      <c r="D220" s="83" t="s">
        <v>410</v>
      </c>
      <c r="E220" s="242">
        <v>2</v>
      </c>
      <c r="F220" s="242">
        <v>2</v>
      </c>
      <c r="G220" s="73" t="s">
        <v>28</v>
      </c>
      <c r="H220" s="67"/>
      <c r="I220" s="67">
        <f t="shared" ref="I220" si="328">F220*H220</f>
        <v>0</v>
      </c>
      <c r="J220" s="67">
        <f>200+100</f>
        <v>300</v>
      </c>
      <c r="K220" s="67">
        <f t="shared" ref="K220" si="329">F220*J220</f>
        <v>600</v>
      </c>
      <c r="L220" s="72">
        <f t="shared" ref="L220" si="330">I220+K220</f>
        <v>600</v>
      </c>
      <c r="M220" s="407" t="s">
        <v>469</v>
      </c>
      <c r="N220" s="67">
        <f t="shared" si="319"/>
        <v>411.01949130494563</v>
      </c>
      <c r="O220" s="72">
        <f t="shared" si="322"/>
        <v>411.01949130494563</v>
      </c>
      <c r="P220" s="203">
        <f t="shared" ref="P220" si="331">O220*F220</f>
        <v>822.03898260989126</v>
      </c>
      <c r="Q220" s="272">
        <f t="shared" si="313"/>
        <v>822.03898260989126</v>
      </c>
      <c r="R220" s="439">
        <f t="shared" ref="R220" si="332">P220-Q220</f>
        <v>0</v>
      </c>
      <c r="V220" s="273"/>
      <c r="W220" s="375"/>
      <c r="X220" s="376"/>
      <c r="Y220" s="370"/>
      <c r="Z220" s="370"/>
      <c r="AA220" s="373"/>
      <c r="AB220" s="370"/>
      <c r="AC220" s="373" t="s">
        <v>396</v>
      </c>
      <c r="AD220" s="373" t="s">
        <v>384</v>
      </c>
      <c r="AE220" s="383">
        <f>AE212+AE219</f>
        <v>10117.400000000001</v>
      </c>
      <c r="AF220" s="386"/>
      <c r="AG220" s="385"/>
      <c r="AH220" s="385"/>
      <c r="AI220" s="385"/>
      <c r="AJ220" s="387"/>
      <c r="AK220" s="385"/>
      <c r="AL220" s="385"/>
    </row>
    <row r="221" spans="1:39" ht="15.75" thickTop="1" x14ac:dyDescent="0.25">
      <c r="A221" s="238"/>
      <c r="B221" s="249"/>
      <c r="C221" s="293">
        <v>8</v>
      </c>
      <c r="D221" s="83" t="s">
        <v>358</v>
      </c>
      <c r="E221" s="242">
        <v>10</v>
      </c>
      <c r="F221" s="242">
        <v>10</v>
      </c>
      <c r="G221" s="73" t="s">
        <v>28</v>
      </c>
      <c r="H221" s="67"/>
      <c r="I221" s="67">
        <f t="shared" si="316"/>
        <v>0</v>
      </c>
      <c r="J221" s="67">
        <f>250+100</f>
        <v>350</v>
      </c>
      <c r="K221" s="67">
        <f t="shared" si="317"/>
        <v>3500</v>
      </c>
      <c r="L221" s="72">
        <f t="shared" si="318"/>
        <v>3500</v>
      </c>
      <c r="M221" s="407" t="s">
        <v>469</v>
      </c>
      <c r="N221" s="67">
        <f t="shared" si="319"/>
        <v>479.52273985576983</v>
      </c>
      <c r="O221" s="72">
        <f t="shared" si="322"/>
        <v>479.52273985576983</v>
      </c>
      <c r="P221" s="203">
        <f t="shared" si="320"/>
        <v>4795.2273985576985</v>
      </c>
      <c r="Q221" s="272">
        <f t="shared" si="313"/>
        <v>4795.2273985576985</v>
      </c>
      <c r="R221" s="439">
        <f t="shared" si="314"/>
        <v>0</v>
      </c>
      <c r="V221" s="273"/>
      <c r="W221" s="389"/>
      <c r="X221" s="390"/>
      <c r="Y221" s="391"/>
      <c r="Z221" s="391"/>
      <c r="AA221" s="392"/>
      <c r="AB221" s="391"/>
      <c r="AC221" s="392"/>
      <c r="AD221" s="392"/>
      <c r="AE221" s="378"/>
      <c r="AF221" s="393"/>
      <c r="AG221" s="394"/>
      <c r="AH221" s="394"/>
      <c r="AI221" s="394"/>
      <c r="AJ221" s="395"/>
      <c r="AK221" s="394"/>
      <c r="AL221" s="394"/>
    </row>
    <row r="222" spans="1:39" x14ac:dyDescent="0.25">
      <c r="A222" s="238"/>
      <c r="B222" s="249"/>
      <c r="C222" s="293">
        <v>9</v>
      </c>
      <c r="D222" s="83" t="s">
        <v>468</v>
      </c>
      <c r="E222" s="242">
        <v>12</v>
      </c>
      <c r="F222" s="242">
        <v>12</v>
      </c>
      <c r="G222" s="73" t="s">
        <v>28</v>
      </c>
      <c r="H222" s="67">
        <f>550/1.05</f>
        <v>523.80952380952374</v>
      </c>
      <c r="I222" s="67">
        <f t="shared" ref="I222:I223" si="333">F222*H222</f>
        <v>6285.7142857142844</v>
      </c>
      <c r="J222" s="67">
        <f>150+100</f>
        <v>250</v>
      </c>
      <c r="K222" s="67">
        <f t="shared" ref="K222" si="334">F222*J222</f>
        <v>3000</v>
      </c>
      <c r="L222" s="72">
        <f t="shared" ref="L222" si="335">I222+K222</f>
        <v>9285.7142857142844</v>
      </c>
      <c r="M222" s="67">
        <f>H222/$P$255*$P$263</f>
        <v>717.65308005625411</v>
      </c>
      <c r="N222" s="67">
        <f t="shared" si="319"/>
        <v>342.51624275412132</v>
      </c>
      <c r="O222" s="72">
        <f t="shared" ref="O222" si="336">N222+M222</f>
        <v>1060.1693228103754</v>
      </c>
      <c r="P222" s="203">
        <f t="shared" si="320"/>
        <v>12722.031873724505</v>
      </c>
      <c r="Q222" s="272">
        <f t="shared" si="313"/>
        <v>12722.031873724503</v>
      </c>
      <c r="R222" s="439">
        <f t="shared" si="314"/>
        <v>0</v>
      </c>
      <c r="V222" s="273"/>
      <c r="W222" s="396"/>
      <c r="X222" s="397"/>
      <c r="Y222" s="397"/>
      <c r="Z222" s="397"/>
      <c r="AA222" s="397"/>
      <c r="AB222" s="397"/>
      <c r="AC222" s="397"/>
      <c r="AD222" s="397"/>
      <c r="AE222" s="397"/>
      <c r="AF222" s="393"/>
      <c r="AG222" s="393"/>
      <c r="AH222" s="395"/>
      <c r="AI222" s="394"/>
      <c r="AJ222" s="395"/>
      <c r="AK222" s="394"/>
      <c r="AL222" s="394"/>
    </row>
    <row r="223" spans="1:39" x14ac:dyDescent="0.25">
      <c r="A223" s="238"/>
      <c r="B223" s="249"/>
      <c r="C223" s="293">
        <v>10</v>
      </c>
      <c r="D223" s="83" t="s">
        <v>470</v>
      </c>
      <c r="E223" s="242">
        <v>2</v>
      </c>
      <c r="F223" s="242">
        <v>2</v>
      </c>
      <c r="G223" s="73" t="s">
        <v>28</v>
      </c>
      <c r="H223" s="67">
        <f>6000/1.05</f>
        <v>5714.2857142857138</v>
      </c>
      <c r="I223" s="67">
        <f t="shared" si="333"/>
        <v>11428.571428571428</v>
      </c>
      <c r="J223" s="67">
        <v>1500</v>
      </c>
      <c r="K223" s="67">
        <f t="shared" ref="K223" si="337">F223*J223</f>
        <v>3000</v>
      </c>
      <c r="L223" s="72">
        <f t="shared" ref="L223" si="338">I223+K223</f>
        <v>14428.571428571428</v>
      </c>
      <c r="M223" s="67">
        <f>H223/$P$255*$P$263</f>
        <v>7828.9426915227714</v>
      </c>
      <c r="N223" s="67">
        <f t="shared" si="319"/>
        <v>2055.0974565247279</v>
      </c>
      <c r="O223" s="72">
        <f t="shared" ref="O223" si="339">N223+M223</f>
        <v>9884.0401480474993</v>
      </c>
      <c r="P223" s="203">
        <f t="shared" ref="P223" si="340">O223*F223</f>
        <v>19768.080296094999</v>
      </c>
      <c r="Q223" s="272">
        <f t="shared" si="313"/>
        <v>19768.080296094999</v>
      </c>
      <c r="R223" s="439">
        <f t="shared" ref="R223" si="341">P223-Q223</f>
        <v>0</v>
      </c>
      <c r="V223" s="273"/>
      <c r="AD223" s="18"/>
      <c r="AF223" s="384"/>
      <c r="AG223" s="385"/>
      <c r="AH223" s="385"/>
      <c r="AI223" s="385"/>
      <c r="AJ223" s="385"/>
      <c r="AK223" s="385" t="s">
        <v>397</v>
      </c>
      <c r="AL223" s="385" t="s">
        <v>398</v>
      </c>
    </row>
    <row r="224" spans="1:39" x14ac:dyDescent="0.25">
      <c r="A224" s="238"/>
      <c r="B224" s="249"/>
      <c r="C224" s="293">
        <v>11</v>
      </c>
      <c r="D224" s="83" t="s">
        <v>467</v>
      </c>
      <c r="E224" s="242">
        <v>1</v>
      </c>
      <c r="F224" s="242">
        <v>1</v>
      </c>
      <c r="G224" s="73" t="s">
        <v>301</v>
      </c>
      <c r="H224" s="67">
        <v>10000</v>
      </c>
      <c r="I224" s="67">
        <f t="shared" ref="I224" si="342">F224*H224</f>
        <v>10000</v>
      </c>
      <c r="J224" s="67">
        <v>4000</v>
      </c>
      <c r="K224" s="67">
        <f t="shared" ref="K224" si="343">F224*J224</f>
        <v>4000</v>
      </c>
      <c r="L224" s="72">
        <f t="shared" ref="L224" si="344">I224+K224</f>
        <v>14000</v>
      </c>
      <c r="M224" s="67">
        <f>H224/$P$255*$P$263</f>
        <v>13700.649710164853</v>
      </c>
      <c r="N224" s="67">
        <f t="shared" si="319"/>
        <v>5480.2598840659412</v>
      </c>
      <c r="O224" s="72">
        <f t="shared" ref="O224" si="345">N224+M224</f>
        <v>19180.909594230794</v>
      </c>
      <c r="P224" s="203">
        <f t="shared" ref="P224" si="346">O224*F224</f>
        <v>19180.909594230794</v>
      </c>
      <c r="Q224" s="272">
        <f t="shared" si="313"/>
        <v>19180.909594230794</v>
      </c>
      <c r="R224" s="439">
        <f t="shared" ref="R224" si="347">P224-Q224</f>
        <v>0</v>
      </c>
      <c r="V224" s="273"/>
      <c r="W224" s="367" t="s">
        <v>4</v>
      </c>
      <c r="X224" s="367" t="s">
        <v>7</v>
      </c>
      <c r="Y224" s="367" t="s">
        <v>6</v>
      </c>
      <c r="Z224" s="367" t="s">
        <v>5</v>
      </c>
      <c r="AA224" s="897" t="s">
        <v>380</v>
      </c>
      <c r="AB224" s="897"/>
      <c r="AC224" s="897"/>
      <c r="AD224" s="897" t="s">
        <v>381</v>
      </c>
      <c r="AE224" s="897"/>
      <c r="AF224" s="384"/>
      <c r="AG224" s="385"/>
      <c r="AH224" s="385"/>
      <c r="AI224" s="385"/>
      <c r="AJ224" s="385"/>
      <c r="AK224" s="385"/>
      <c r="AL224" s="385"/>
    </row>
    <row r="225" spans="1:39" x14ac:dyDescent="0.25">
      <c r="A225" s="238"/>
      <c r="B225" s="249"/>
      <c r="C225" s="293"/>
      <c r="D225" s="83"/>
      <c r="E225" s="242"/>
      <c r="F225" s="302"/>
      <c r="G225" s="73"/>
      <c r="H225" s="67"/>
      <c r="I225" s="67"/>
      <c r="J225" s="67"/>
      <c r="K225" s="67"/>
      <c r="L225" s="67"/>
      <c r="M225" s="72"/>
      <c r="N225" s="72"/>
      <c r="O225" s="72"/>
      <c r="P225" s="205"/>
      <c r="Q225" s="272">
        <f t="shared" si="313"/>
        <v>0</v>
      </c>
      <c r="R225" s="439"/>
      <c r="W225" s="368" t="s">
        <v>399</v>
      </c>
      <c r="X225" s="367"/>
      <c r="Y225" s="367"/>
      <c r="Z225" s="367"/>
      <c r="AA225" s="367"/>
      <c r="AB225" s="367"/>
      <c r="AC225" s="367"/>
      <c r="AD225" s="367"/>
      <c r="AE225" s="367"/>
      <c r="AF225" s="386"/>
      <c r="AG225" s="386">
        <v>0.6</v>
      </c>
      <c r="AH225" s="387">
        <v>1</v>
      </c>
      <c r="AI225" s="385">
        <f>AG225*AH225</f>
        <v>0.6</v>
      </c>
      <c r="AJ225" s="387">
        <f>AG225+AH225</f>
        <v>1.6</v>
      </c>
      <c r="AK225" s="385">
        <v>0.6</v>
      </c>
      <c r="AL225" s="385">
        <v>0.15</v>
      </c>
    </row>
    <row r="226" spans="1:39" x14ac:dyDescent="0.25">
      <c r="A226" s="238"/>
      <c r="B226" s="290" t="s">
        <v>320</v>
      </c>
      <c r="C226" s="291" t="s">
        <v>355</v>
      </c>
      <c r="D226" s="83"/>
      <c r="E226" s="242"/>
      <c r="F226" s="242"/>
      <c r="G226" s="73"/>
      <c r="H226" s="67"/>
      <c r="I226" s="67"/>
      <c r="J226" s="67"/>
      <c r="K226" s="67"/>
      <c r="L226" s="72"/>
      <c r="M226" s="67"/>
      <c r="N226" s="67"/>
      <c r="O226" s="72"/>
      <c r="P226" s="203"/>
      <c r="Q226" s="272">
        <f t="shared" si="313"/>
        <v>0</v>
      </c>
      <c r="R226" s="439"/>
      <c r="V226" s="273"/>
      <c r="W226" s="367" t="s">
        <v>9</v>
      </c>
      <c r="X226" s="367" t="s">
        <v>382</v>
      </c>
      <c r="Y226" s="369">
        <f>+Y230*1.2</f>
        <v>1.548</v>
      </c>
      <c r="Z226" s="370" t="s">
        <v>383</v>
      </c>
      <c r="AA226" s="371" t="s">
        <v>384</v>
      </c>
      <c r="AB226" s="372">
        <v>2300</v>
      </c>
      <c r="AC226" s="370" t="s">
        <v>385</v>
      </c>
      <c r="AD226" s="373" t="s">
        <v>384</v>
      </c>
      <c r="AE226" s="374">
        <f>Y226*AB226</f>
        <v>3560.4</v>
      </c>
      <c r="AF226" s="386"/>
      <c r="AG226" s="385">
        <v>0.15</v>
      </c>
      <c r="AH226" s="385">
        <v>1</v>
      </c>
      <c r="AI226" s="385">
        <f>AG226*AH226</f>
        <v>0.15</v>
      </c>
      <c r="AJ226" s="387">
        <f t="shared" ref="AJ226" si="348">AG226+AH226</f>
        <v>1.1499999999999999</v>
      </c>
      <c r="AK226" s="385">
        <v>1</v>
      </c>
      <c r="AL226" s="385">
        <v>0.6</v>
      </c>
    </row>
    <row r="227" spans="1:39" x14ac:dyDescent="0.25">
      <c r="A227" s="238"/>
      <c r="B227" s="290"/>
      <c r="C227" s="293">
        <v>1</v>
      </c>
      <c r="D227" s="83" t="s">
        <v>493</v>
      </c>
      <c r="E227" s="242">
        <v>5</v>
      </c>
      <c r="F227" s="242">
        <v>5</v>
      </c>
      <c r="G227" s="73" t="s">
        <v>283</v>
      </c>
      <c r="H227" s="67"/>
      <c r="I227" s="67">
        <f t="shared" ref="I227:I233" si="349">F227*H227</f>
        <v>0</v>
      </c>
      <c r="J227" s="67">
        <f>300+100</f>
        <v>400</v>
      </c>
      <c r="K227" s="67">
        <f t="shared" ref="K227" si="350">F227*J227</f>
        <v>2000</v>
      </c>
      <c r="L227" s="72">
        <f t="shared" ref="L227" si="351">I227+K227</f>
        <v>2000</v>
      </c>
      <c r="M227" s="407" t="s">
        <v>469</v>
      </c>
      <c r="N227" s="67">
        <f t="shared" ref="N227:N234" si="352">J227/$P$255*$P$263</f>
        <v>548.02598840659414</v>
      </c>
      <c r="O227" s="72">
        <f>N227</f>
        <v>548.02598840659414</v>
      </c>
      <c r="P227" s="203">
        <f t="shared" ref="P227" si="353">O227*F227</f>
        <v>2740.1299420329706</v>
      </c>
      <c r="Q227" s="272">
        <f t="shared" si="313"/>
        <v>2740.1299420329706</v>
      </c>
      <c r="R227" s="439">
        <f t="shared" ref="R227" si="354">P227-Q227</f>
        <v>0</v>
      </c>
      <c r="V227" s="273"/>
      <c r="W227" s="444"/>
      <c r="X227" s="444"/>
      <c r="Y227" s="369"/>
      <c r="Z227" s="370"/>
      <c r="AA227" s="371"/>
      <c r="AB227" s="372"/>
      <c r="AC227" s="370"/>
      <c r="AD227" s="373"/>
      <c r="AE227" s="378"/>
      <c r="AF227" s="386"/>
      <c r="AG227" s="385"/>
      <c r="AH227" s="385"/>
      <c r="AI227" s="385"/>
      <c r="AJ227" s="387"/>
      <c r="AK227" s="385"/>
      <c r="AL227" s="385"/>
    </row>
    <row r="228" spans="1:39" x14ac:dyDescent="0.25">
      <c r="A228" s="238"/>
      <c r="B228" s="249"/>
      <c r="C228" s="293">
        <v>2</v>
      </c>
      <c r="D228" s="83" t="s">
        <v>361</v>
      </c>
      <c r="E228" s="242">
        <v>10</v>
      </c>
      <c r="F228" s="242">
        <v>10</v>
      </c>
      <c r="G228" s="73" t="s">
        <v>283</v>
      </c>
      <c r="H228" s="67"/>
      <c r="I228" s="67">
        <f t="shared" si="349"/>
        <v>0</v>
      </c>
      <c r="J228" s="67">
        <f>150+100</f>
        <v>250</v>
      </c>
      <c r="K228" s="67">
        <f t="shared" ref="K228:K233" si="355">F228*J228</f>
        <v>2500</v>
      </c>
      <c r="L228" s="72">
        <f t="shared" ref="L228:L233" si="356">I228+K228</f>
        <v>2500</v>
      </c>
      <c r="M228" s="407" t="s">
        <v>469</v>
      </c>
      <c r="N228" s="67">
        <f t="shared" si="352"/>
        <v>342.51624275412132</v>
      </c>
      <c r="O228" s="72">
        <f>N228</f>
        <v>342.51624275412132</v>
      </c>
      <c r="P228" s="203">
        <f t="shared" ref="P228:P233" si="357">O228*F228</f>
        <v>3425.1624275412132</v>
      </c>
      <c r="Q228" s="272">
        <f t="shared" si="313"/>
        <v>3425.1624275412132</v>
      </c>
      <c r="R228" s="439">
        <f t="shared" ref="R228:R233" si="358">P228-Q228</f>
        <v>0</v>
      </c>
      <c r="V228" s="287"/>
      <c r="W228" s="375"/>
      <c r="X228" s="376"/>
      <c r="Y228" s="370"/>
      <c r="Z228" s="370"/>
      <c r="AA228" s="371"/>
      <c r="AB228" s="370"/>
      <c r="AC228" s="373" t="s">
        <v>386</v>
      </c>
      <c r="AD228" s="373" t="s">
        <v>384</v>
      </c>
      <c r="AE228" s="377">
        <f>SUM(AE226:AE226)</f>
        <v>3560.4</v>
      </c>
      <c r="AF228" s="386"/>
      <c r="AG228" s="385">
        <v>0.15</v>
      </c>
      <c r="AH228" s="385">
        <v>0.6</v>
      </c>
      <c r="AI228" s="385">
        <f>AG228*AH228</f>
        <v>0.09</v>
      </c>
      <c r="AJ228" s="387">
        <f>AG228+AH228</f>
        <v>0.75</v>
      </c>
      <c r="AK228" s="385">
        <v>0.15</v>
      </c>
      <c r="AL228" s="385">
        <v>1</v>
      </c>
    </row>
    <row r="229" spans="1:39" x14ac:dyDescent="0.25">
      <c r="A229" s="238"/>
      <c r="B229" s="249"/>
      <c r="C229" s="293">
        <v>3</v>
      </c>
      <c r="D229" s="83" t="s">
        <v>362</v>
      </c>
      <c r="E229" s="242">
        <v>1</v>
      </c>
      <c r="F229" s="242">
        <v>1</v>
      </c>
      <c r="G229" s="73" t="s">
        <v>55</v>
      </c>
      <c r="H229" s="67"/>
      <c r="I229" s="67">
        <f t="shared" si="349"/>
        <v>0</v>
      </c>
      <c r="J229" s="67">
        <f>600+100</f>
        <v>700</v>
      </c>
      <c r="K229" s="67">
        <f t="shared" si="355"/>
        <v>700</v>
      </c>
      <c r="L229" s="72">
        <f t="shared" si="356"/>
        <v>700</v>
      </c>
      <c r="M229" s="407" t="s">
        <v>469</v>
      </c>
      <c r="N229" s="67">
        <f t="shared" si="352"/>
        <v>959.04547971153966</v>
      </c>
      <c r="O229" s="72">
        <f t="shared" ref="O229:O232" si="359">N229</f>
        <v>959.04547971153966</v>
      </c>
      <c r="P229" s="203">
        <f t="shared" si="357"/>
        <v>959.04547971153966</v>
      </c>
      <c r="Q229" s="272">
        <f t="shared" si="313"/>
        <v>959.04547971153966</v>
      </c>
      <c r="R229" s="439">
        <f t="shared" si="358"/>
        <v>0</v>
      </c>
      <c r="V229" s="287"/>
      <c r="W229" s="375"/>
      <c r="X229" s="376"/>
      <c r="Y229" s="370"/>
      <c r="Z229" s="370"/>
      <c r="AA229" s="371"/>
      <c r="AB229" s="370"/>
      <c r="AC229" s="373"/>
      <c r="AD229" s="373"/>
      <c r="AE229" s="378"/>
      <c r="AF229" s="386"/>
      <c r="AG229" s="385">
        <v>0.15</v>
      </c>
      <c r="AH229" s="385">
        <v>0.6</v>
      </c>
      <c r="AI229" s="385">
        <f>AG229*AH229</f>
        <v>0.09</v>
      </c>
      <c r="AJ229" s="387">
        <f>AG229+AH229</f>
        <v>0.75</v>
      </c>
      <c r="AK229" s="385"/>
      <c r="AL229" s="385">
        <v>0.6</v>
      </c>
    </row>
    <row r="230" spans="1:39" x14ac:dyDescent="0.25">
      <c r="A230" s="238"/>
      <c r="B230" s="249"/>
      <c r="C230" s="293">
        <v>4</v>
      </c>
      <c r="D230" s="83" t="s">
        <v>363</v>
      </c>
      <c r="E230" s="242">
        <v>7</v>
      </c>
      <c r="F230" s="242">
        <v>7</v>
      </c>
      <c r="G230" s="73" t="s">
        <v>28</v>
      </c>
      <c r="H230" s="67"/>
      <c r="I230" s="67">
        <f t="shared" ref="I230:I232" si="360">F230*H230</f>
        <v>0</v>
      </c>
      <c r="J230" s="67">
        <v>1200</v>
      </c>
      <c r="K230" s="67">
        <f t="shared" ref="K230:K232" si="361">F230*J230</f>
        <v>8400</v>
      </c>
      <c r="L230" s="72">
        <f t="shared" ref="L230:L232" si="362">I230+K230</f>
        <v>8400</v>
      </c>
      <c r="M230" s="407" t="s">
        <v>469</v>
      </c>
      <c r="N230" s="67">
        <f t="shared" si="352"/>
        <v>1644.0779652197825</v>
      </c>
      <c r="O230" s="72">
        <f t="shared" si="359"/>
        <v>1644.0779652197825</v>
      </c>
      <c r="P230" s="203">
        <f t="shared" si="357"/>
        <v>11508.545756538479</v>
      </c>
      <c r="Q230" s="272">
        <f t="shared" si="313"/>
        <v>11508.545756538477</v>
      </c>
      <c r="R230" s="439">
        <f t="shared" si="358"/>
        <v>0</v>
      </c>
      <c r="V230" s="287"/>
      <c r="W230" s="367" t="s">
        <v>10</v>
      </c>
      <c r="X230" s="379" t="s">
        <v>387</v>
      </c>
      <c r="Y230" s="380">
        <f>AI234</f>
        <v>1.29</v>
      </c>
      <c r="Z230" s="370" t="s">
        <v>383</v>
      </c>
      <c r="AA230" s="371" t="s">
        <v>384</v>
      </c>
      <c r="AB230" s="372">
        <v>400</v>
      </c>
      <c r="AC230" s="370" t="s">
        <v>385</v>
      </c>
      <c r="AD230" s="373" t="s">
        <v>384</v>
      </c>
      <c r="AE230" s="378">
        <f t="shared" ref="AE230:AE234" si="363">Y230*AB230</f>
        <v>516</v>
      </c>
      <c r="AF230" s="386"/>
      <c r="AG230" s="385">
        <v>0.2</v>
      </c>
      <c r="AH230" s="385">
        <v>1.8</v>
      </c>
      <c r="AI230" s="385">
        <f>AG230*AH230</f>
        <v>0.36000000000000004</v>
      </c>
      <c r="AJ230" s="387">
        <f>AG230+AH230</f>
        <v>2</v>
      </c>
      <c r="AK230" s="385"/>
      <c r="AL230" s="385">
        <v>0.2</v>
      </c>
    </row>
    <row r="231" spans="1:39" x14ac:dyDescent="0.25">
      <c r="A231" s="238"/>
      <c r="B231" s="249"/>
      <c r="C231" s="293">
        <v>5</v>
      </c>
      <c r="D231" s="83" t="s">
        <v>364</v>
      </c>
      <c r="E231" s="242">
        <v>2</v>
      </c>
      <c r="F231" s="242">
        <v>2</v>
      </c>
      <c r="G231" s="73" t="s">
        <v>283</v>
      </c>
      <c r="H231" s="67"/>
      <c r="I231" s="67">
        <f t="shared" si="360"/>
        <v>0</v>
      </c>
      <c r="J231" s="67">
        <f>350+100</f>
        <v>450</v>
      </c>
      <c r="K231" s="67">
        <f t="shared" si="361"/>
        <v>900</v>
      </c>
      <c r="L231" s="72">
        <f t="shared" si="362"/>
        <v>900</v>
      </c>
      <c r="M231" s="407" t="s">
        <v>469</v>
      </c>
      <c r="N231" s="67">
        <f t="shared" si="352"/>
        <v>616.52923695741833</v>
      </c>
      <c r="O231" s="72">
        <f t="shared" si="359"/>
        <v>616.52923695741833</v>
      </c>
      <c r="P231" s="203">
        <f t="shared" si="357"/>
        <v>1233.0584739148367</v>
      </c>
      <c r="Q231" s="272">
        <f t="shared" si="313"/>
        <v>1233.0584739148367</v>
      </c>
      <c r="R231" s="439">
        <f t="shared" si="358"/>
        <v>0</v>
      </c>
      <c r="V231" s="287"/>
      <c r="W231" s="367"/>
      <c r="X231" s="379" t="s">
        <v>388</v>
      </c>
      <c r="Y231" s="380">
        <f>AJ234</f>
        <v>6.25</v>
      </c>
      <c r="Z231" s="370" t="s">
        <v>383</v>
      </c>
      <c r="AA231" s="371"/>
      <c r="AB231" s="372">
        <v>100</v>
      </c>
      <c r="AC231" s="370" t="s">
        <v>385</v>
      </c>
      <c r="AD231" s="373"/>
      <c r="AE231" s="378">
        <f t="shared" si="363"/>
        <v>625</v>
      </c>
      <c r="AF231" s="386"/>
      <c r="AG231" s="385"/>
      <c r="AH231" s="385"/>
      <c r="AI231" s="385"/>
      <c r="AJ231" s="387"/>
      <c r="AK231" s="385"/>
      <c r="AL231" s="385"/>
    </row>
    <row r="232" spans="1:39" x14ac:dyDescent="0.25">
      <c r="A232" s="238"/>
      <c r="B232" s="249"/>
      <c r="C232" s="293">
        <v>6</v>
      </c>
      <c r="D232" s="83" t="s">
        <v>365</v>
      </c>
      <c r="E232" s="242">
        <v>2</v>
      </c>
      <c r="F232" s="242">
        <v>2</v>
      </c>
      <c r="G232" s="73" t="s">
        <v>283</v>
      </c>
      <c r="H232" s="67"/>
      <c r="I232" s="67">
        <f t="shared" si="360"/>
        <v>0</v>
      </c>
      <c r="J232" s="67">
        <f>350+100</f>
        <v>450</v>
      </c>
      <c r="K232" s="67">
        <f t="shared" si="361"/>
        <v>900</v>
      </c>
      <c r="L232" s="72">
        <f t="shared" si="362"/>
        <v>900</v>
      </c>
      <c r="M232" s="407" t="s">
        <v>469</v>
      </c>
      <c r="N232" s="67">
        <f t="shared" si="352"/>
        <v>616.52923695741833</v>
      </c>
      <c r="O232" s="72">
        <f t="shared" si="359"/>
        <v>616.52923695741833</v>
      </c>
      <c r="P232" s="203">
        <f t="shared" si="357"/>
        <v>1233.0584739148367</v>
      </c>
      <c r="Q232" s="272">
        <f t="shared" si="313"/>
        <v>1233.0584739148367</v>
      </c>
      <c r="R232" s="439">
        <f t="shared" si="358"/>
        <v>0</v>
      </c>
      <c r="V232" s="287"/>
      <c r="W232" s="367"/>
      <c r="X232" s="379" t="s">
        <v>389</v>
      </c>
      <c r="Y232" s="380">
        <f>AK234</f>
        <v>1.75</v>
      </c>
      <c r="Z232" s="370" t="s">
        <v>100</v>
      </c>
      <c r="AA232" s="371"/>
      <c r="AB232" s="372">
        <v>400</v>
      </c>
      <c r="AC232" s="381" t="s">
        <v>390</v>
      </c>
      <c r="AD232" s="373"/>
      <c r="AE232" s="378">
        <f t="shared" si="363"/>
        <v>700</v>
      </c>
      <c r="AF232" s="386"/>
      <c r="AG232" s="385"/>
      <c r="AH232" s="385"/>
      <c r="AI232" s="385"/>
      <c r="AJ232" s="387"/>
      <c r="AK232" s="385"/>
      <c r="AL232" s="385"/>
    </row>
    <row r="233" spans="1:39" x14ac:dyDescent="0.25">
      <c r="A233" s="238"/>
      <c r="B233" s="249"/>
      <c r="C233" s="293">
        <v>7</v>
      </c>
      <c r="D233" s="83" t="s">
        <v>360</v>
      </c>
      <c r="E233" s="242">
        <f>35.04+6</f>
        <v>41.04</v>
      </c>
      <c r="F233" s="242">
        <v>42</v>
      </c>
      <c r="G233" s="73" t="s">
        <v>100</v>
      </c>
      <c r="H233" s="67">
        <f>(480/2.4)/1.075</f>
        <v>186.04651162790699</v>
      </c>
      <c r="I233" s="67">
        <f t="shared" si="349"/>
        <v>7813.9534883720935</v>
      </c>
      <c r="J233" s="67">
        <f>65+100</f>
        <v>165</v>
      </c>
      <c r="K233" s="67">
        <f t="shared" si="355"/>
        <v>6930</v>
      </c>
      <c r="L233" s="72">
        <f t="shared" si="356"/>
        <v>14743.953488372093</v>
      </c>
      <c r="M233" s="67">
        <f>H233/$P$255*$P$263</f>
        <v>254.89580856120659</v>
      </c>
      <c r="N233" s="67">
        <f t="shared" si="352"/>
        <v>226.06072021772005</v>
      </c>
      <c r="O233" s="72">
        <f t="shared" ref="O233" si="364">N233+M233</f>
        <v>480.95652877892667</v>
      </c>
      <c r="P233" s="203">
        <f t="shared" si="357"/>
        <v>20200.174208714921</v>
      </c>
      <c r="Q233" s="272">
        <f t="shared" si="313"/>
        <v>20200.174208714918</v>
      </c>
      <c r="R233" s="439">
        <f t="shared" si="358"/>
        <v>0</v>
      </c>
      <c r="V233" s="287"/>
      <c r="W233" s="367"/>
      <c r="X233" s="379" t="s">
        <v>391</v>
      </c>
      <c r="Y233" s="380">
        <f>AL234</f>
        <v>2.5500000000000003</v>
      </c>
      <c r="Z233" s="370" t="s">
        <v>100</v>
      </c>
      <c r="AA233" s="371"/>
      <c r="AB233" s="372">
        <v>400</v>
      </c>
      <c r="AC233" s="381" t="s">
        <v>390</v>
      </c>
      <c r="AD233" s="373"/>
      <c r="AE233" s="378">
        <f t="shared" si="363"/>
        <v>1020.0000000000001</v>
      </c>
      <c r="AF233" s="386"/>
      <c r="AG233" s="385"/>
      <c r="AH233" s="385"/>
      <c r="AI233" s="385"/>
      <c r="AJ233" s="387"/>
      <c r="AK233" s="385"/>
      <c r="AL233" s="385"/>
    </row>
    <row r="234" spans="1:39" x14ac:dyDescent="0.25">
      <c r="A234" s="238"/>
      <c r="B234" s="249"/>
      <c r="C234" s="293">
        <v>8</v>
      </c>
      <c r="D234" s="83" t="s">
        <v>411</v>
      </c>
      <c r="E234" s="242">
        <f>0.6*2</f>
        <v>1.2</v>
      </c>
      <c r="F234" s="242">
        <v>2.4</v>
      </c>
      <c r="G234" s="73" t="s">
        <v>100</v>
      </c>
      <c r="H234" s="67">
        <f>1850/1.075</f>
        <v>1720.9302325581396</v>
      </c>
      <c r="I234" s="67">
        <f t="shared" ref="I234" si="365">F234*H234</f>
        <v>4130.2325581395344</v>
      </c>
      <c r="J234" s="67">
        <f>160+100</f>
        <v>260</v>
      </c>
      <c r="K234" s="67">
        <f t="shared" ref="K234" si="366">F234*J234</f>
        <v>624</v>
      </c>
      <c r="L234" s="72">
        <f t="shared" ref="L234" si="367">I234+K234</f>
        <v>4754.2325581395344</v>
      </c>
      <c r="M234" s="67">
        <f>H234/$P$255*$P$263</f>
        <v>2357.7862291911606</v>
      </c>
      <c r="N234" s="67">
        <f t="shared" si="352"/>
        <v>356.21689246428622</v>
      </c>
      <c r="O234" s="72">
        <f t="shared" ref="O234" si="368">N234+M234</f>
        <v>2714.0031216554466</v>
      </c>
      <c r="P234" s="203">
        <f t="shared" ref="P234" si="369">O234*F234</f>
        <v>6513.6074919730718</v>
      </c>
      <c r="Q234" s="272">
        <f t="shared" si="313"/>
        <v>6513.6074919730709</v>
      </c>
      <c r="R234" s="439">
        <f t="shared" ref="R234" si="370">P234-Q234</f>
        <v>0</v>
      </c>
      <c r="V234" s="287"/>
      <c r="W234" s="367"/>
      <c r="X234" s="379" t="s">
        <v>392</v>
      </c>
      <c r="Y234" s="382">
        <v>1</v>
      </c>
      <c r="Z234" s="370" t="s">
        <v>393</v>
      </c>
      <c r="AA234" s="373"/>
      <c r="AB234" s="372">
        <v>500</v>
      </c>
      <c r="AC234" s="381" t="s">
        <v>394</v>
      </c>
      <c r="AD234" s="373"/>
      <c r="AE234" s="374">
        <f t="shared" si="363"/>
        <v>500</v>
      </c>
      <c r="AF234" s="386"/>
      <c r="AG234" s="385"/>
      <c r="AH234" s="385"/>
      <c r="AI234" s="388">
        <f>SUM(AI225:AI230)</f>
        <v>1.29</v>
      </c>
      <c r="AJ234" s="388">
        <f>SUM(AJ225:AJ230)</f>
        <v>6.25</v>
      </c>
      <c r="AK234" s="388">
        <f>SUM(AK225:AK229)</f>
        <v>1.75</v>
      </c>
      <c r="AL234" s="388">
        <f>SUM(AL225:AL230)</f>
        <v>2.5500000000000003</v>
      </c>
    </row>
    <row r="235" spans="1:39" ht="15.75" thickBot="1" x14ac:dyDescent="0.3">
      <c r="A235" s="238"/>
      <c r="B235" s="249"/>
      <c r="C235" s="293"/>
      <c r="D235" s="83"/>
      <c r="E235" s="242"/>
      <c r="F235" s="242"/>
      <c r="G235" s="73"/>
      <c r="H235" s="67"/>
      <c r="I235" s="67"/>
      <c r="J235" s="67"/>
      <c r="K235" s="67"/>
      <c r="L235" s="72"/>
      <c r="M235" s="67"/>
      <c r="N235" s="67"/>
      <c r="O235" s="72"/>
      <c r="P235" s="203"/>
      <c r="Q235" s="272">
        <f t="shared" si="313"/>
        <v>0</v>
      </c>
      <c r="R235" s="439"/>
      <c r="V235" s="27"/>
      <c r="W235" s="375"/>
      <c r="X235" s="376"/>
      <c r="Y235" s="370"/>
      <c r="Z235" s="370"/>
      <c r="AA235" s="373"/>
      <c r="AB235" s="370"/>
      <c r="AC235" s="373" t="s">
        <v>395</v>
      </c>
      <c r="AD235" s="373" t="s">
        <v>384</v>
      </c>
      <c r="AE235" s="377">
        <f>SUM(AE230:AE234)</f>
        <v>3361</v>
      </c>
      <c r="AF235" s="386"/>
      <c r="AG235" s="385"/>
      <c r="AH235" s="385"/>
      <c r="AI235" s="385"/>
      <c r="AJ235" s="387"/>
      <c r="AK235" s="385"/>
      <c r="AL235" s="385"/>
    </row>
    <row r="236" spans="1:39" s="234" customFormat="1" ht="15.75" thickBot="1" x14ac:dyDescent="0.3">
      <c r="A236" s="308"/>
      <c r="B236" s="910" t="s">
        <v>348</v>
      </c>
      <c r="C236" s="911"/>
      <c r="D236" s="912"/>
      <c r="E236" s="309"/>
      <c r="F236" s="310"/>
      <c r="G236" s="311"/>
      <c r="H236" s="312"/>
      <c r="I236" s="313">
        <f>SUM(I212:I235)</f>
        <v>39658.471760797336</v>
      </c>
      <c r="J236" s="312"/>
      <c r="K236" s="313">
        <f>SUM(K212:K235)</f>
        <v>57804</v>
      </c>
      <c r="L236" s="313">
        <f>SUM(L212:L235)</f>
        <v>97462.471760797343</v>
      </c>
      <c r="M236" s="312"/>
      <c r="N236" s="312"/>
      <c r="O236" s="313"/>
      <c r="P236" s="315">
        <f>SUM(P212:P235)</f>
        <v>133529.91854815179</v>
      </c>
      <c r="Q236" s="272">
        <f t="shared" si="313"/>
        <v>133529.91854815182</v>
      </c>
      <c r="R236" s="439">
        <f t="shared" ref="R236" si="371">P236-Q236</f>
        <v>0</v>
      </c>
      <c r="T236" s="443"/>
      <c r="U236" s="275"/>
      <c r="V236" s="402"/>
      <c r="W236" s="375"/>
      <c r="X236" s="376"/>
      <c r="Y236" s="370"/>
      <c r="Z236" s="370"/>
      <c r="AA236" s="373"/>
      <c r="AB236" s="370"/>
      <c r="AC236" s="373" t="s">
        <v>396</v>
      </c>
      <c r="AD236" s="373" t="s">
        <v>384</v>
      </c>
      <c r="AE236" s="383">
        <f>AE228+AE235</f>
        <v>6921.4</v>
      </c>
      <c r="AF236" s="386"/>
      <c r="AG236" s="385"/>
      <c r="AH236" s="385"/>
      <c r="AI236" s="385"/>
      <c r="AJ236" s="387"/>
      <c r="AK236" s="385"/>
      <c r="AL236" s="385"/>
      <c r="AM236" s="282"/>
    </row>
    <row r="237" spans="1:39" s="1" customFormat="1" x14ac:dyDescent="0.25">
      <c r="A237" s="500"/>
      <c r="B237" s="501"/>
      <c r="C237" s="293"/>
      <c r="D237" s="502"/>
      <c r="E237" s="503"/>
      <c r="F237" s="504"/>
      <c r="G237" s="504"/>
      <c r="H237" s="504"/>
      <c r="I237" s="504"/>
      <c r="J237" s="504"/>
      <c r="K237" s="504"/>
      <c r="L237" s="504">
        <f>SUM(L236,L211,L150,L35)</f>
        <v>8455803.3707005884</v>
      </c>
      <c r="M237" s="504"/>
      <c r="N237" s="504"/>
      <c r="O237" s="504"/>
      <c r="P237" s="505"/>
      <c r="Q237" s="272">
        <f t="shared" si="313"/>
        <v>11585000</v>
      </c>
      <c r="R237" s="439"/>
      <c r="V237" s="211"/>
      <c r="W237" s="506"/>
      <c r="X237" s="507"/>
      <c r="Y237" s="508"/>
      <c r="Z237" s="508"/>
      <c r="AA237" s="509"/>
      <c r="AB237" s="508"/>
      <c r="AC237" s="510"/>
      <c r="AD237" s="510"/>
      <c r="AE237" s="511"/>
      <c r="AF237" s="508"/>
      <c r="AG237" s="512"/>
      <c r="AH237" s="512"/>
      <c r="AI237" s="512"/>
      <c r="AJ237" s="512"/>
      <c r="AK237" s="512"/>
      <c r="AL237" s="512"/>
    </row>
    <row r="238" spans="1:39" s="287" customFormat="1" ht="15.75" thickBot="1" x14ac:dyDescent="0.3">
      <c r="A238" s="329"/>
      <c r="B238" s="901" t="s">
        <v>347</v>
      </c>
      <c r="C238" s="902"/>
      <c r="D238" s="903"/>
      <c r="E238" s="330"/>
      <c r="F238" s="331"/>
      <c r="G238" s="332"/>
      <c r="H238" s="416"/>
      <c r="I238" s="333">
        <f>I236+I211+I150+I35</f>
        <v>6426578.043227681</v>
      </c>
      <c r="J238" s="333"/>
      <c r="K238" s="414">
        <f>K236+K211+K150+K35</f>
        <v>2029225.3274729082</v>
      </c>
      <c r="L238" s="333">
        <f>L236+L211+L150+L35</f>
        <v>8455803.3707005884</v>
      </c>
      <c r="M238" s="913">
        <f>P236+P211+P150+P35</f>
        <v>11585000.000000004</v>
      </c>
      <c r="N238" s="913"/>
      <c r="O238" s="913"/>
      <c r="P238" s="914"/>
      <c r="Q238" s="272">
        <f t="shared" si="313"/>
        <v>11585000</v>
      </c>
      <c r="R238" s="439">
        <f>M238-Q238</f>
        <v>0</v>
      </c>
      <c r="T238" s="443"/>
      <c r="V238" s="446"/>
      <c r="W238" s="447"/>
      <c r="X238" s="448"/>
      <c r="Y238" s="448"/>
      <c r="Z238" s="448"/>
      <c r="AA238" s="448"/>
      <c r="AB238" s="448"/>
      <c r="AC238" s="448"/>
      <c r="AD238" s="448"/>
      <c r="AE238" s="448"/>
      <c r="AF238" s="449"/>
      <c r="AG238" s="449"/>
      <c r="AH238" s="450"/>
      <c r="AI238" s="451"/>
      <c r="AJ238" s="450"/>
      <c r="AK238" s="451"/>
      <c r="AL238" s="451"/>
    </row>
    <row r="239" spans="1:39" x14ac:dyDescent="0.25">
      <c r="V239" s="446"/>
      <c r="W239" s="452" t="s">
        <v>4</v>
      </c>
      <c r="X239" s="452" t="s">
        <v>7</v>
      </c>
      <c r="Y239" s="452" t="s">
        <v>6</v>
      </c>
      <c r="Z239" s="452" t="s">
        <v>5</v>
      </c>
      <c r="AA239" s="896" t="s">
        <v>380</v>
      </c>
      <c r="AB239" s="896"/>
      <c r="AC239" s="896"/>
      <c r="AD239" s="896" t="s">
        <v>381</v>
      </c>
      <c r="AE239" s="896"/>
      <c r="AF239" s="453"/>
      <c r="AG239" s="454"/>
      <c r="AH239" s="454"/>
      <c r="AI239" s="454"/>
      <c r="AJ239" s="454"/>
      <c r="AK239" s="454" t="s">
        <v>397</v>
      </c>
      <c r="AL239" s="454" t="s">
        <v>398</v>
      </c>
    </row>
    <row r="240" spans="1:39" x14ac:dyDescent="0.25">
      <c r="V240" s="446"/>
      <c r="W240" s="455" t="s">
        <v>401</v>
      </c>
      <c r="X240" s="452"/>
      <c r="Y240" s="452"/>
      <c r="Z240" s="452"/>
      <c r="AA240" s="452"/>
      <c r="AB240" s="452"/>
      <c r="AC240" s="452"/>
      <c r="AD240" s="452"/>
      <c r="AE240" s="452"/>
      <c r="AF240" s="456"/>
      <c r="AG240" s="456">
        <v>0.6</v>
      </c>
      <c r="AH240" s="457">
        <v>2.25</v>
      </c>
      <c r="AI240" s="454">
        <f>AG240*AH240</f>
        <v>1.3499999999999999</v>
      </c>
      <c r="AJ240" s="457">
        <f>AG240+AH240</f>
        <v>2.85</v>
      </c>
      <c r="AK240" s="454">
        <v>0.6</v>
      </c>
      <c r="AL240" s="454">
        <v>0.1</v>
      </c>
    </row>
    <row r="241" spans="1:38" x14ac:dyDescent="0.25">
      <c r="V241" s="446"/>
      <c r="W241" s="452" t="s">
        <v>9</v>
      </c>
      <c r="X241" s="452" t="s">
        <v>382</v>
      </c>
      <c r="Y241" s="458">
        <f>+Y244*1.2</f>
        <v>2.2094999999999998</v>
      </c>
      <c r="Z241" s="459" t="s">
        <v>383</v>
      </c>
      <c r="AA241" s="460" t="s">
        <v>384</v>
      </c>
      <c r="AB241" s="461">
        <v>2300</v>
      </c>
      <c r="AC241" s="459" t="s">
        <v>385</v>
      </c>
      <c r="AD241" s="462" t="s">
        <v>384</v>
      </c>
      <c r="AE241" s="463">
        <f>Y241*AB241</f>
        <v>5081.8499999999995</v>
      </c>
      <c r="AF241" s="456"/>
      <c r="AG241" s="454">
        <v>0.1</v>
      </c>
      <c r="AH241" s="454">
        <v>2.25</v>
      </c>
      <c r="AI241" s="454">
        <f>AG241*AH241</f>
        <v>0.22500000000000001</v>
      </c>
      <c r="AJ241" s="457">
        <f t="shared" ref="AJ241" si="372">AG241+AH241</f>
        <v>2.35</v>
      </c>
      <c r="AK241" s="454">
        <v>2.25</v>
      </c>
      <c r="AL241" s="454">
        <v>0.6</v>
      </c>
    </row>
    <row r="242" spans="1:38" x14ac:dyDescent="0.25">
      <c r="V242" s="446"/>
      <c r="W242" s="464"/>
      <c r="X242" s="465"/>
      <c r="Y242" s="459"/>
      <c r="Z242" s="459"/>
      <c r="AA242" s="460"/>
      <c r="AB242" s="459"/>
      <c r="AC242" s="462" t="s">
        <v>386</v>
      </c>
      <c r="AD242" s="462" t="s">
        <v>384</v>
      </c>
      <c r="AE242" s="466">
        <f>SUM(AE241:AE241)</f>
        <v>5081.8499999999995</v>
      </c>
      <c r="AF242" s="456"/>
      <c r="AG242" s="454">
        <v>0.1</v>
      </c>
      <c r="AH242" s="454">
        <v>0.6</v>
      </c>
      <c r="AI242" s="454">
        <f>AG242*AH242</f>
        <v>0.06</v>
      </c>
      <c r="AJ242" s="457">
        <f>AG242+AH242</f>
        <v>0.7</v>
      </c>
      <c r="AK242" s="454">
        <v>0.1</v>
      </c>
      <c r="AL242" s="454">
        <v>2.25</v>
      </c>
    </row>
    <row r="243" spans="1:38" ht="15.75" x14ac:dyDescent="0.25">
      <c r="A243" s="334" t="s">
        <v>18</v>
      </c>
      <c r="B243" s="165"/>
      <c r="C243" s="299"/>
      <c r="D243" s="28"/>
      <c r="V243" s="446"/>
      <c r="W243" s="464"/>
      <c r="X243" s="465"/>
      <c r="Y243" s="459"/>
      <c r="Z243" s="459"/>
      <c r="AA243" s="460"/>
      <c r="AB243" s="459"/>
      <c r="AC243" s="462"/>
      <c r="AD243" s="462"/>
      <c r="AE243" s="467"/>
      <c r="AF243" s="456"/>
      <c r="AG243" s="454">
        <v>0.1</v>
      </c>
      <c r="AH243" s="454">
        <v>0.6</v>
      </c>
      <c r="AI243" s="454">
        <f>AG243*AH243</f>
        <v>0.06</v>
      </c>
      <c r="AJ243" s="457">
        <f>AG243+AH243</f>
        <v>0.7</v>
      </c>
      <c r="AK243" s="454"/>
      <c r="AL243" s="454">
        <v>0.6</v>
      </c>
    </row>
    <row r="244" spans="1:38" s="2" customFormat="1" ht="15.75" x14ac:dyDescent="0.25">
      <c r="A244" s="236"/>
      <c r="B244" s="165"/>
      <c r="C244" s="299"/>
      <c r="D244" s="46"/>
      <c r="V244" s="468"/>
      <c r="W244" s="452" t="s">
        <v>10</v>
      </c>
      <c r="X244" s="469" t="s">
        <v>387</v>
      </c>
      <c r="Y244" s="470">
        <f>AI248</f>
        <v>1.8412500000000001</v>
      </c>
      <c r="Z244" s="459" t="s">
        <v>383</v>
      </c>
      <c r="AA244" s="460" t="s">
        <v>384</v>
      </c>
      <c r="AB244" s="461">
        <v>400</v>
      </c>
      <c r="AC244" s="459" t="s">
        <v>385</v>
      </c>
      <c r="AD244" s="462" t="s">
        <v>384</v>
      </c>
      <c r="AE244" s="467">
        <f t="shared" ref="AE244:AE248" si="373">Y244*AB244</f>
        <v>736.5</v>
      </c>
      <c r="AF244" s="456"/>
      <c r="AG244" s="454">
        <v>6.5000000000000002E-2</v>
      </c>
      <c r="AH244" s="454">
        <v>2.25</v>
      </c>
      <c r="AI244" s="454">
        <f>AG244*AH244</f>
        <v>0.14624999999999999</v>
      </c>
      <c r="AJ244" s="457">
        <f>AG244+AH244</f>
        <v>2.3149999999999999</v>
      </c>
      <c r="AK244" s="454"/>
      <c r="AL244" s="454">
        <v>0.1</v>
      </c>
    </row>
    <row r="245" spans="1:38" s="2" customFormat="1" ht="15.75" x14ac:dyDescent="0.25">
      <c r="A245" s="334" t="s">
        <v>19</v>
      </c>
      <c r="B245" s="165"/>
      <c r="C245" s="299"/>
      <c r="D245" s="28"/>
      <c r="V245" s="468"/>
      <c r="W245" s="452"/>
      <c r="X245" s="469" t="s">
        <v>388</v>
      </c>
      <c r="Y245" s="470">
        <f>AJ248</f>
        <v>8.9150000000000009</v>
      </c>
      <c r="Z245" s="459" t="s">
        <v>383</v>
      </c>
      <c r="AA245" s="460"/>
      <c r="AB245" s="461">
        <v>100</v>
      </c>
      <c r="AC245" s="459" t="s">
        <v>385</v>
      </c>
      <c r="AD245" s="462"/>
      <c r="AE245" s="467">
        <f t="shared" si="373"/>
        <v>891.50000000000011</v>
      </c>
      <c r="AF245" s="456"/>
      <c r="AG245" s="454"/>
      <c r="AH245" s="454"/>
      <c r="AI245" s="454"/>
      <c r="AJ245" s="457"/>
      <c r="AK245" s="454"/>
      <c r="AL245" s="454"/>
    </row>
    <row r="246" spans="1:38" s="2" customFormat="1" ht="15.75" x14ac:dyDescent="0.25">
      <c r="A246" s="236"/>
      <c r="B246" s="165"/>
      <c r="C246" s="299"/>
      <c r="D246" s="28"/>
      <c r="V246" s="468"/>
      <c r="W246" s="452"/>
      <c r="X246" s="469" t="s">
        <v>389</v>
      </c>
      <c r="Y246" s="470">
        <f>AK248</f>
        <v>2.95</v>
      </c>
      <c r="Z246" s="459" t="s">
        <v>100</v>
      </c>
      <c r="AA246" s="460"/>
      <c r="AB246" s="461">
        <v>400</v>
      </c>
      <c r="AC246" s="471" t="s">
        <v>390</v>
      </c>
      <c r="AD246" s="462"/>
      <c r="AE246" s="467">
        <f t="shared" si="373"/>
        <v>1180</v>
      </c>
      <c r="AF246" s="456"/>
      <c r="AG246" s="454"/>
      <c r="AH246" s="454"/>
      <c r="AI246" s="454"/>
      <c r="AJ246" s="457"/>
      <c r="AK246" s="454"/>
      <c r="AL246" s="454"/>
    </row>
    <row r="247" spans="1:38" s="2" customFormat="1" ht="15.75" x14ac:dyDescent="0.25">
      <c r="A247" s="236"/>
      <c r="B247" s="165"/>
      <c r="C247" s="299"/>
      <c r="D247" s="28"/>
      <c r="V247" s="468"/>
      <c r="W247" s="452"/>
      <c r="X247" s="469" t="s">
        <v>391</v>
      </c>
      <c r="Y247" s="470">
        <f>AL248</f>
        <v>3.6500000000000004</v>
      </c>
      <c r="Z247" s="459" t="s">
        <v>100</v>
      </c>
      <c r="AA247" s="460"/>
      <c r="AB247" s="461">
        <v>400</v>
      </c>
      <c r="AC247" s="471" t="s">
        <v>390</v>
      </c>
      <c r="AD247" s="462"/>
      <c r="AE247" s="467">
        <f t="shared" si="373"/>
        <v>1460.0000000000002</v>
      </c>
      <c r="AF247" s="456"/>
      <c r="AG247" s="454"/>
      <c r="AH247" s="454"/>
      <c r="AI247" s="454"/>
      <c r="AJ247" s="457"/>
      <c r="AK247" s="454"/>
      <c r="AL247" s="454"/>
    </row>
    <row r="248" spans="1:38" s="2" customFormat="1" ht="15.75" x14ac:dyDescent="0.25">
      <c r="A248" s="334" t="s">
        <v>20</v>
      </c>
      <c r="B248" s="165"/>
      <c r="C248" s="299"/>
      <c r="D248" s="28"/>
      <c r="V248" s="468"/>
      <c r="W248" s="452"/>
      <c r="X248" s="469" t="s">
        <v>392</v>
      </c>
      <c r="Y248" s="472">
        <v>1</v>
      </c>
      <c r="Z248" s="459" t="s">
        <v>393</v>
      </c>
      <c r="AA248" s="462"/>
      <c r="AB248" s="461">
        <v>500</v>
      </c>
      <c r="AC248" s="471" t="s">
        <v>394</v>
      </c>
      <c r="AD248" s="462"/>
      <c r="AE248" s="463">
        <f t="shared" si="373"/>
        <v>500</v>
      </c>
      <c r="AF248" s="456"/>
      <c r="AG248" s="454"/>
      <c r="AH248" s="454"/>
      <c r="AI248" s="473">
        <f>SUM(AI240:AI244)</f>
        <v>1.8412500000000001</v>
      </c>
      <c r="AJ248" s="473">
        <f>SUM(AJ240:AJ244)</f>
        <v>8.9150000000000009</v>
      </c>
      <c r="AK248" s="473">
        <f>SUM(AK240:AK243)</f>
        <v>2.95</v>
      </c>
      <c r="AL248" s="473">
        <f>SUM(AL240:AL244)</f>
        <v>3.6500000000000004</v>
      </c>
    </row>
    <row r="249" spans="1:38" s="2" customFormat="1" ht="15.75" x14ac:dyDescent="0.25">
      <c r="A249" s="334" t="s">
        <v>349</v>
      </c>
      <c r="B249" s="165"/>
      <c r="C249" s="299"/>
      <c r="D249" s="28"/>
      <c r="V249" s="468"/>
      <c r="W249" s="464"/>
      <c r="X249" s="465"/>
      <c r="Y249" s="459"/>
      <c r="Z249" s="459"/>
      <c r="AA249" s="462"/>
      <c r="AB249" s="459"/>
      <c r="AC249" s="462" t="s">
        <v>395</v>
      </c>
      <c r="AD249" s="462" t="s">
        <v>384</v>
      </c>
      <c r="AE249" s="466">
        <f>SUM(AE244:AE248)</f>
        <v>4768</v>
      </c>
      <c r="AF249" s="456"/>
      <c r="AG249" s="454"/>
      <c r="AH249" s="454"/>
      <c r="AI249" s="454"/>
      <c r="AJ249" s="457"/>
      <c r="AK249" s="454"/>
      <c r="AL249" s="454"/>
    </row>
    <row r="250" spans="1:38" ht="15.75" thickBot="1" x14ac:dyDescent="0.3">
      <c r="V250" s="446"/>
      <c r="W250" s="464"/>
      <c r="X250" s="465"/>
      <c r="Y250" s="459"/>
      <c r="Z250" s="459"/>
      <c r="AA250" s="462"/>
      <c r="AB250" s="459"/>
      <c r="AC250" s="462" t="s">
        <v>396</v>
      </c>
      <c r="AD250" s="462" t="s">
        <v>384</v>
      </c>
      <c r="AE250" s="474">
        <f>AE242+AE249</f>
        <v>9849.8499999999985</v>
      </c>
      <c r="AF250" s="456"/>
      <c r="AG250" s="454"/>
      <c r="AH250" s="454"/>
      <c r="AI250" s="454"/>
      <c r="AJ250" s="457"/>
      <c r="AK250" s="454"/>
      <c r="AL250" s="454"/>
    </row>
    <row r="251" spans="1:38" ht="15.75" thickTop="1" x14ac:dyDescent="0.25">
      <c r="I251" s="18"/>
      <c r="J251" s="18"/>
      <c r="K251" s="18"/>
      <c r="L251" s="18"/>
      <c r="M251" s="18"/>
      <c r="N251" s="18"/>
      <c r="O251" s="18"/>
      <c r="P251" s="18"/>
      <c r="V251" s="446"/>
      <c r="W251" s="448"/>
      <c r="X251" s="475"/>
      <c r="Y251" s="476"/>
      <c r="Z251" s="477"/>
      <c r="AA251" s="478"/>
      <c r="AB251" s="479"/>
      <c r="AC251" s="477"/>
      <c r="AD251" s="480"/>
      <c r="AE251" s="467"/>
      <c r="AF251" s="449"/>
      <c r="AG251" s="451"/>
      <c r="AH251" s="451"/>
      <c r="AI251" s="451"/>
      <c r="AJ251" s="450"/>
      <c r="AK251" s="451"/>
      <c r="AL251" s="451"/>
    </row>
    <row r="252" spans="1:38" ht="15.75" x14ac:dyDescent="0.25">
      <c r="J252" s="540"/>
      <c r="K252" s="540"/>
      <c r="L252" s="423"/>
      <c r="M252" s="428"/>
      <c r="N252" s="426"/>
      <c r="O252" s="427"/>
      <c r="P252" s="428"/>
      <c r="V252" s="446"/>
      <c r="W252" s="452" t="s">
        <v>4</v>
      </c>
      <c r="X252" s="452" t="s">
        <v>7</v>
      </c>
      <c r="Y252" s="452" t="s">
        <v>6</v>
      </c>
      <c r="Z252" s="452" t="s">
        <v>5</v>
      </c>
      <c r="AA252" s="896" t="s">
        <v>380</v>
      </c>
      <c r="AB252" s="896"/>
      <c r="AC252" s="896"/>
      <c r="AD252" s="896" t="s">
        <v>381</v>
      </c>
      <c r="AE252" s="896"/>
      <c r="AF252" s="453"/>
      <c r="AG252" s="454"/>
      <c r="AH252" s="454"/>
      <c r="AI252" s="454"/>
      <c r="AJ252" s="454"/>
      <c r="AK252" s="454" t="s">
        <v>397</v>
      </c>
      <c r="AL252" s="454" t="s">
        <v>398</v>
      </c>
    </row>
    <row r="253" spans="1:38" ht="15.75" x14ac:dyDescent="0.25">
      <c r="J253" s="540"/>
      <c r="K253" s="540"/>
      <c r="L253" s="423"/>
      <c r="M253" s="428"/>
      <c r="N253" s="426"/>
      <c r="O253" s="427"/>
      <c r="P253" s="428"/>
      <c r="V253" s="446"/>
      <c r="W253" s="455" t="s">
        <v>402</v>
      </c>
      <c r="X253" s="452"/>
      <c r="Y253" s="452"/>
      <c r="Z253" s="452"/>
      <c r="AA253" s="452"/>
      <c r="AB253" s="452"/>
      <c r="AC253" s="452"/>
      <c r="AD253" s="452"/>
      <c r="AE253" s="452"/>
      <c r="AF253" s="456"/>
      <c r="AG253" s="456">
        <v>0.6</v>
      </c>
      <c r="AH253" s="457">
        <v>3.2</v>
      </c>
      <c r="AI253" s="454">
        <f>AG253*AH253</f>
        <v>1.92</v>
      </c>
      <c r="AJ253" s="457">
        <f>AG253+AH253</f>
        <v>3.8000000000000003</v>
      </c>
      <c r="AK253" s="454">
        <v>0.6</v>
      </c>
      <c r="AL253" s="454">
        <v>0.1</v>
      </c>
    </row>
    <row r="254" spans="1:38" x14ac:dyDescent="0.25">
      <c r="V254" s="446"/>
      <c r="W254" s="452" t="s">
        <v>9</v>
      </c>
      <c r="X254" s="452" t="s">
        <v>382</v>
      </c>
      <c r="Y254" s="458">
        <f>+Y257*1.2</f>
        <v>3.0816000000000003</v>
      </c>
      <c r="Z254" s="459" t="s">
        <v>383</v>
      </c>
      <c r="AA254" s="460" t="s">
        <v>384</v>
      </c>
      <c r="AB254" s="461">
        <v>2300</v>
      </c>
      <c r="AC254" s="459" t="s">
        <v>385</v>
      </c>
      <c r="AD254" s="462" t="s">
        <v>384</v>
      </c>
      <c r="AE254" s="463">
        <f>Y254*AB254</f>
        <v>7087.6800000000012</v>
      </c>
      <c r="AF254" s="456"/>
      <c r="AG254" s="454">
        <v>0.1</v>
      </c>
      <c r="AH254" s="454">
        <v>3.2</v>
      </c>
      <c r="AI254" s="454">
        <f>AG254*AH254</f>
        <v>0.32000000000000006</v>
      </c>
      <c r="AJ254" s="457">
        <f t="shared" ref="AJ254" si="374">AG254+AH254</f>
        <v>3.3000000000000003</v>
      </c>
      <c r="AK254" s="454">
        <v>3.2</v>
      </c>
      <c r="AL254" s="454">
        <v>0.6</v>
      </c>
    </row>
    <row r="255" spans="1:38" ht="15.75" x14ac:dyDescent="0.25">
      <c r="J255" s="417"/>
      <c r="K255" s="417"/>
      <c r="L255" s="418"/>
      <c r="M255" s="419"/>
      <c r="N255" s="420" t="s">
        <v>178</v>
      </c>
      <c r="O255" s="420"/>
      <c r="P255" s="420">
        <f>L238</f>
        <v>8455803.3707005884</v>
      </c>
      <c r="V255" s="446"/>
      <c r="W255" s="464"/>
      <c r="X255" s="465"/>
      <c r="Y255" s="459"/>
      <c r="Z255" s="459"/>
      <c r="AA255" s="460"/>
      <c r="AB255" s="459"/>
      <c r="AC255" s="462" t="s">
        <v>386</v>
      </c>
      <c r="AD255" s="462" t="s">
        <v>384</v>
      </c>
      <c r="AE255" s="466">
        <f>SUM(AE254:AE254)</f>
        <v>7087.6800000000012</v>
      </c>
      <c r="AF255" s="456"/>
      <c r="AG255" s="454">
        <v>0.1</v>
      </c>
      <c r="AH255" s="454">
        <v>0.6</v>
      </c>
      <c r="AI255" s="454">
        <f>AG255*AH255</f>
        <v>0.06</v>
      </c>
      <c r="AJ255" s="457">
        <f>AG255+AH255</f>
        <v>0.7</v>
      </c>
      <c r="AK255" s="454">
        <v>0.1</v>
      </c>
      <c r="AL255" s="454">
        <v>3.2</v>
      </c>
    </row>
    <row r="256" spans="1:38" ht="15.75" x14ac:dyDescent="0.25">
      <c r="J256" s="421"/>
      <c r="K256" s="421"/>
      <c r="L256" s="418"/>
      <c r="M256" s="420"/>
      <c r="N256" s="422"/>
      <c r="O256" s="422"/>
      <c r="P256" s="422"/>
      <c r="V256" s="446"/>
      <c r="W256" s="464"/>
      <c r="X256" s="465"/>
      <c r="Y256" s="459"/>
      <c r="Z256" s="459"/>
      <c r="AA256" s="460"/>
      <c r="AB256" s="459"/>
      <c r="AC256" s="462"/>
      <c r="AD256" s="462"/>
      <c r="AE256" s="467"/>
      <c r="AF256" s="456"/>
      <c r="AG256" s="454">
        <v>0.1</v>
      </c>
      <c r="AH256" s="454">
        <v>0.6</v>
      </c>
      <c r="AI256" s="454">
        <f>AG256*AH256</f>
        <v>0.06</v>
      </c>
      <c r="AJ256" s="457">
        <f>AG256+AH256</f>
        <v>0.7</v>
      </c>
      <c r="AK256" s="454"/>
      <c r="AL256" s="454">
        <v>0.6</v>
      </c>
    </row>
    <row r="257" spans="9:38" ht="15.75" x14ac:dyDescent="0.25">
      <c r="J257" s="894" t="s">
        <v>179</v>
      </c>
      <c r="K257" s="894"/>
      <c r="L257" s="423" t="s">
        <v>180</v>
      </c>
      <c r="M257" s="420" t="s">
        <v>181</v>
      </c>
      <c r="N257" s="424">
        <f>P255*0.03</f>
        <v>253674.10112101765</v>
      </c>
      <c r="O257" s="422"/>
      <c r="P257" s="422">
        <f>N257+P255</f>
        <v>8709477.4718216062</v>
      </c>
      <c r="V257" s="446"/>
      <c r="W257" s="452" t="s">
        <v>10</v>
      </c>
      <c r="X257" s="469" t="s">
        <v>387</v>
      </c>
      <c r="Y257" s="470">
        <f>AI261</f>
        <v>2.5680000000000005</v>
      </c>
      <c r="Z257" s="459" t="s">
        <v>383</v>
      </c>
      <c r="AA257" s="460" t="s">
        <v>384</v>
      </c>
      <c r="AB257" s="461">
        <v>400</v>
      </c>
      <c r="AC257" s="459" t="s">
        <v>385</v>
      </c>
      <c r="AD257" s="462" t="s">
        <v>384</v>
      </c>
      <c r="AE257" s="467">
        <f t="shared" ref="AE257:AE261" si="375">Y257*AB257</f>
        <v>1027.2000000000003</v>
      </c>
      <c r="AF257" s="456"/>
      <c r="AG257" s="454">
        <v>6.5000000000000002E-2</v>
      </c>
      <c r="AH257" s="454">
        <v>3.2</v>
      </c>
      <c r="AI257" s="454">
        <f>AG257*AH257</f>
        <v>0.20800000000000002</v>
      </c>
      <c r="AJ257" s="457">
        <f>AG257+AH257</f>
        <v>3.2650000000000001</v>
      </c>
      <c r="AK257" s="454"/>
      <c r="AL257" s="454">
        <v>0.1</v>
      </c>
    </row>
    <row r="258" spans="9:38" ht="15.75" x14ac:dyDescent="0.25">
      <c r="J258" s="894" t="s">
        <v>182</v>
      </c>
      <c r="K258" s="894"/>
      <c r="L258" s="423" t="s">
        <v>180</v>
      </c>
      <c r="M258" s="420" t="s">
        <v>183</v>
      </c>
      <c r="N258" s="424">
        <f>SUM(L257:L305)</f>
        <v>328828.34994462901</v>
      </c>
      <c r="O258" s="422"/>
      <c r="P258" s="422">
        <f>P257+N258</f>
        <v>9038305.8217662349</v>
      </c>
      <c r="V258" s="446"/>
      <c r="W258" s="452"/>
      <c r="X258" s="469" t="s">
        <v>388</v>
      </c>
      <c r="Y258" s="470">
        <f>AJ261</f>
        <v>11.765000000000001</v>
      </c>
      <c r="Z258" s="459" t="s">
        <v>383</v>
      </c>
      <c r="AA258" s="460"/>
      <c r="AB258" s="461">
        <v>100</v>
      </c>
      <c r="AC258" s="459" t="s">
        <v>385</v>
      </c>
      <c r="AD258" s="462"/>
      <c r="AE258" s="467">
        <f t="shared" si="375"/>
        <v>1176.5</v>
      </c>
      <c r="AF258" s="456"/>
      <c r="AG258" s="454"/>
      <c r="AH258" s="454"/>
      <c r="AI258" s="454"/>
      <c r="AJ258" s="457"/>
      <c r="AK258" s="454"/>
      <c r="AL258" s="454"/>
    </row>
    <row r="259" spans="9:38" ht="15.75" x14ac:dyDescent="0.25">
      <c r="J259" s="894" t="s">
        <v>184</v>
      </c>
      <c r="K259" s="894"/>
      <c r="L259" s="423" t="s">
        <v>161</v>
      </c>
      <c r="M259" s="420" t="s">
        <v>185</v>
      </c>
      <c r="N259" s="424"/>
      <c r="O259" s="422"/>
      <c r="P259" s="422">
        <f>P258+N259</f>
        <v>9038305.8217662349</v>
      </c>
      <c r="V259" s="446"/>
      <c r="W259" s="452"/>
      <c r="X259" s="469" t="s">
        <v>389</v>
      </c>
      <c r="Y259" s="470">
        <f>AK261</f>
        <v>3.9000000000000004</v>
      </c>
      <c r="Z259" s="459" t="s">
        <v>100</v>
      </c>
      <c r="AA259" s="460"/>
      <c r="AB259" s="461">
        <v>400</v>
      </c>
      <c r="AC259" s="471" t="s">
        <v>390</v>
      </c>
      <c r="AD259" s="462"/>
      <c r="AE259" s="467">
        <f t="shared" si="375"/>
        <v>1560.0000000000002</v>
      </c>
      <c r="AF259" s="456"/>
      <c r="AG259" s="454"/>
      <c r="AH259" s="454"/>
      <c r="AI259" s="454"/>
      <c r="AJ259" s="457"/>
      <c r="AK259" s="454"/>
      <c r="AL259" s="454"/>
    </row>
    <row r="260" spans="9:38" ht="15.75" x14ac:dyDescent="0.25">
      <c r="J260" s="894" t="s">
        <v>186</v>
      </c>
      <c r="K260" s="894"/>
      <c r="L260" s="423" t="s">
        <v>161</v>
      </c>
      <c r="M260" s="420" t="s">
        <v>187</v>
      </c>
      <c r="N260" s="424">
        <f>P259*0.15</f>
        <v>1355745.8732649351</v>
      </c>
      <c r="O260" s="422"/>
      <c r="P260" s="422">
        <f>P259+N260</f>
        <v>10394051.69503117</v>
      </c>
      <c r="V260" s="446"/>
      <c r="W260" s="452"/>
      <c r="X260" s="469" t="s">
        <v>391</v>
      </c>
      <c r="Y260" s="470">
        <f>AL261</f>
        <v>4.5999999999999996</v>
      </c>
      <c r="Z260" s="459" t="s">
        <v>100</v>
      </c>
      <c r="AA260" s="460"/>
      <c r="AB260" s="461">
        <v>400</v>
      </c>
      <c r="AC260" s="471" t="s">
        <v>390</v>
      </c>
      <c r="AD260" s="462"/>
      <c r="AE260" s="467">
        <f t="shared" si="375"/>
        <v>1839.9999999999998</v>
      </c>
      <c r="AF260" s="456"/>
      <c r="AG260" s="454"/>
      <c r="AH260" s="454"/>
      <c r="AI260" s="454"/>
      <c r="AJ260" s="457"/>
      <c r="AK260" s="454"/>
      <c r="AL260" s="454"/>
    </row>
    <row r="261" spans="9:38" ht="15.75" x14ac:dyDescent="0.25">
      <c r="I261" s="2" t="s">
        <v>495</v>
      </c>
      <c r="J261" s="894" t="s">
        <v>188</v>
      </c>
      <c r="K261" s="894"/>
      <c r="L261" s="425"/>
      <c r="M261" s="420" t="s">
        <v>190</v>
      </c>
      <c r="N261" s="424">
        <f>P260*0.1</f>
        <v>1039405.169503117</v>
      </c>
      <c r="O261" s="422"/>
      <c r="P261" s="422">
        <f>P260+N261</f>
        <v>11433456.864534287</v>
      </c>
      <c r="V261" s="446"/>
      <c r="W261" s="452"/>
      <c r="X261" s="469" t="s">
        <v>392</v>
      </c>
      <c r="Y261" s="472">
        <v>1</v>
      </c>
      <c r="Z261" s="459" t="s">
        <v>393</v>
      </c>
      <c r="AA261" s="462"/>
      <c r="AB261" s="461">
        <v>500</v>
      </c>
      <c r="AC261" s="471" t="s">
        <v>394</v>
      </c>
      <c r="AD261" s="462"/>
      <c r="AE261" s="463">
        <f t="shared" si="375"/>
        <v>500</v>
      </c>
      <c r="AF261" s="456"/>
      <c r="AG261" s="454"/>
      <c r="AH261" s="454"/>
      <c r="AI261" s="473">
        <f>SUM(AI253:AI257)</f>
        <v>2.5680000000000005</v>
      </c>
      <c r="AJ261" s="473">
        <f>SUM(AJ253:AJ257)</f>
        <v>11.765000000000001</v>
      </c>
      <c r="AK261" s="473">
        <f>SUM(AK253:AK256)</f>
        <v>3.9000000000000004</v>
      </c>
      <c r="AL261" s="473">
        <f>SUM(AL253:AL257)</f>
        <v>4.5999999999999996</v>
      </c>
    </row>
    <row r="262" spans="9:38" ht="15.75" x14ac:dyDescent="0.25">
      <c r="J262" s="894" t="s">
        <v>191</v>
      </c>
      <c r="K262" s="894"/>
      <c r="L262" s="423" t="s">
        <v>180</v>
      </c>
      <c r="M262" s="420"/>
      <c r="N262" s="424"/>
      <c r="O262" s="422"/>
      <c r="P262" s="422"/>
      <c r="V262" s="446"/>
      <c r="W262" s="464"/>
      <c r="X262" s="465"/>
      <c r="Y262" s="459"/>
      <c r="Z262" s="459"/>
      <c r="AA262" s="462"/>
      <c r="AB262" s="459"/>
      <c r="AC262" s="462" t="s">
        <v>395</v>
      </c>
      <c r="AD262" s="462" t="s">
        <v>384</v>
      </c>
      <c r="AE262" s="466">
        <f>SUM(AE257:AE261)</f>
        <v>6103.7000000000007</v>
      </c>
      <c r="AF262" s="456"/>
      <c r="AG262" s="454"/>
      <c r="AH262" s="454"/>
      <c r="AI262" s="454"/>
      <c r="AJ262" s="457"/>
      <c r="AK262" s="454"/>
      <c r="AL262" s="454"/>
    </row>
    <row r="263" spans="9:38" ht="16.5" thickBot="1" x14ac:dyDescent="0.3">
      <c r="J263" s="894" t="s">
        <v>472</v>
      </c>
      <c r="K263" s="894"/>
      <c r="L263" s="423">
        <f>4*17000/1.05</f>
        <v>64761.904761904756</v>
      </c>
      <c r="M263" s="428" t="s">
        <v>193</v>
      </c>
      <c r="N263" s="426">
        <f>SUM(N257:N261)</f>
        <v>2977653.4938336988</v>
      </c>
      <c r="O263" s="427"/>
      <c r="P263" s="428">
        <v>11585000</v>
      </c>
      <c r="V263" s="446"/>
      <c r="W263" s="464"/>
      <c r="X263" s="465"/>
      <c r="Y263" s="459"/>
      <c r="Z263" s="459"/>
      <c r="AA263" s="462"/>
      <c r="AB263" s="459"/>
      <c r="AC263" s="462" t="s">
        <v>396</v>
      </c>
      <c r="AD263" s="462" t="s">
        <v>384</v>
      </c>
      <c r="AE263" s="474">
        <f>AE255+AE262</f>
        <v>13191.380000000001</v>
      </c>
      <c r="AF263" s="456"/>
      <c r="AG263" s="454"/>
      <c r="AH263" s="454"/>
      <c r="AI263" s="454"/>
      <c r="AJ263" s="457"/>
      <c r="AK263" s="454"/>
      <c r="AL263" s="454"/>
    </row>
    <row r="264" spans="9:38" ht="16.5" thickTop="1" x14ac:dyDescent="0.25">
      <c r="J264" s="894" t="s">
        <v>194</v>
      </c>
      <c r="K264" s="894"/>
      <c r="L264" s="423">
        <v>30000</v>
      </c>
      <c r="M264" s="428" t="s">
        <v>195</v>
      </c>
      <c r="N264" s="426">
        <f>SUM(N257:N262)</f>
        <v>2977653.4938336988</v>
      </c>
      <c r="O264" s="427"/>
      <c r="P264" s="428">
        <f>P263-P261</f>
        <v>151543.13546571322</v>
      </c>
      <c r="V264" s="446"/>
      <c r="W264" s="448"/>
      <c r="X264" s="475"/>
      <c r="Y264" s="476"/>
      <c r="Z264" s="477"/>
      <c r="AA264" s="478"/>
      <c r="AB264" s="479"/>
      <c r="AC264" s="477"/>
      <c r="AD264" s="480"/>
      <c r="AE264" s="467"/>
      <c r="AF264" s="449"/>
      <c r="AG264" s="451"/>
      <c r="AH264" s="451"/>
      <c r="AI264" s="451"/>
      <c r="AJ264" s="450"/>
      <c r="AK264" s="451"/>
      <c r="AL264" s="451"/>
    </row>
    <row r="265" spans="9:38" ht="15.75" x14ac:dyDescent="0.25">
      <c r="J265" s="894" t="s">
        <v>196</v>
      </c>
      <c r="K265" s="894"/>
      <c r="L265" s="423">
        <v>15000</v>
      </c>
      <c r="M265" s="428"/>
      <c r="N265" s="422"/>
      <c r="O265" s="422"/>
      <c r="P265" s="420"/>
      <c r="U265" s="273"/>
      <c r="V265" s="287"/>
      <c r="W265" s="273"/>
      <c r="AD265" s="18"/>
      <c r="AF265" s="18"/>
    </row>
    <row r="266" spans="9:38" ht="15.75" x14ac:dyDescent="0.25">
      <c r="J266" s="894" t="s">
        <v>197</v>
      </c>
      <c r="K266" s="894"/>
      <c r="L266" s="423">
        <v>18000</v>
      </c>
      <c r="M266" s="428"/>
      <c r="N266" s="422"/>
      <c r="O266" s="422"/>
      <c r="P266" s="422"/>
      <c r="U266" s="273"/>
      <c r="V266" s="287"/>
      <c r="W266" s="273"/>
      <c r="AD266" s="18"/>
      <c r="AF266" s="18"/>
    </row>
    <row r="267" spans="9:38" ht="15.75" x14ac:dyDescent="0.25">
      <c r="J267" s="894" t="s">
        <v>198</v>
      </c>
      <c r="K267" s="894"/>
      <c r="L267" s="423">
        <f>3*6000</f>
        <v>18000</v>
      </c>
      <c r="M267" s="422"/>
      <c r="N267" s="422"/>
      <c r="O267" s="422"/>
      <c r="P267" s="422"/>
      <c r="U267" s="273"/>
      <c r="V267" s="287"/>
      <c r="W267" s="273"/>
      <c r="AD267" s="18"/>
      <c r="AF267" s="18"/>
    </row>
    <row r="268" spans="9:38" ht="15.75" x14ac:dyDescent="0.25">
      <c r="I268" s="2" t="s">
        <v>494</v>
      </c>
      <c r="J268" s="894" t="s">
        <v>199</v>
      </c>
      <c r="K268" s="894"/>
      <c r="L268" s="482"/>
      <c r="M268" s="422"/>
      <c r="N268" s="422"/>
      <c r="O268" s="422"/>
      <c r="P268" s="422"/>
      <c r="U268" s="273"/>
      <c r="V268" s="287"/>
      <c r="W268" s="273"/>
      <c r="AD268" s="18"/>
      <c r="AF268" s="18"/>
    </row>
    <row r="269" spans="9:38" ht="15.75" x14ac:dyDescent="0.25">
      <c r="J269" s="894" t="s">
        <v>200</v>
      </c>
      <c r="K269" s="894"/>
      <c r="L269" s="425">
        <f>4*10000/1.075</f>
        <v>37209.302325581397</v>
      </c>
      <c r="M269" s="422"/>
      <c r="N269" s="422"/>
      <c r="O269" s="422"/>
      <c r="P269" s="422"/>
      <c r="U269" s="273"/>
      <c r="V269" s="287"/>
      <c r="W269" s="273"/>
      <c r="AD269" s="18"/>
      <c r="AF269" s="18"/>
    </row>
    <row r="270" spans="9:38" ht="15.75" x14ac:dyDescent="0.25">
      <c r="J270" s="894" t="s">
        <v>201</v>
      </c>
      <c r="K270" s="894"/>
      <c r="L270" s="423" t="s">
        <v>180</v>
      </c>
      <c r="M270" s="422"/>
      <c r="N270" s="422"/>
      <c r="O270" s="422"/>
      <c r="P270" s="422"/>
      <c r="U270" s="273"/>
      <c r="V270" s="287"/>
      <c r="W270" s="273"/>
      <c r="AD270" s="18"/>
      <c r="AF270" s="18"/>
    </row>
    <row r="271" spans="9:38" ht="15.75" x14ac:dyDescent="0.25">
      <c r="I271" s="2" t="s">
        <v>494</v>
      </c>
      <c r="J271" s="894" t="s">
        <v>202</v>
      </c>
      <c r="K271" s="894"/>
      <c r="L271" s="482"/>
      <c r="M271" s="422"/>
      <c r="N271" s="422"/>
      <c r="O271" s="422"/>
      <c r="P271" s="422"/>
      <c r="U271" s="273"/>
      <c r="V271" s="287"/>
      <c r="W271" s="273"/>
      <c r="AD271" s="18"/>
      <c r="AF271" s="18"/>
    </row>
    <row r="272" spans="9:38" ht="15.75" x14ac:dyDescent="0.25">
      <c r="J272" s="894" t="s">
        <v>203</v>
      </c>
      <c r="K272" s="894"/>
      <c r="L272" s="423">
        <v>16000</v>
      </c>
      <c r="M272" s="422"/>
      <c r="N272" s="422"/>
      <c r="O272" s="422"/>
      <c r="P272" s="422"/>
      <c r="U272" s="273"/>
      <c r="V272" s="287"/>
      <c r="W272" s="273"/>
      <c r="AD272" s="18"/>
      <c r="AF272" s="18"/>
    </row>
    <row r="273" spans="9:38" ht="15.75" x14ac:dyDescent="0.25">
      <c r="J273" s="894" t="s">
        <v>204</v>
      </c>
      <c r="K273" s="894"/>
      <c r="L273" s="423" t="s">
        <v>180</v>
      </c>
      <c r="M273" s="422"/>
      <c r="N273" s="422"/>
      <c r="O273" s="422"/>
      <c r="P273" s="422"/>
      <c r="U273" s="273"/>
      <c r="V273" s="287"/>
      <c r="W273" s="273"/>
      <c r="AD273" s="18"/>
      <c r="AF273" s="18"/>
    </row>
    <row r="274" spans="9:38" ht="15.75" x14ac:dyDescent="0.25">
      <c r="I274" s="2" t="s">
        <v>494</v>
      </c>
      <c r="J274" s="894" t="s">
        <v>205</v>
      </c>
      <c r="K274" s="894"/>
      <c r="L274" s="482"/>
      <c r="M274" s="422"/>
      <c r="N274" s="422"/>
      <c r="O274" s="422"/>
      <c r="P274" s="422"/>
      <c r="U274" s="273"/>
      <c r="V274" s="287"/>
      <c r="W274" s="273"/>
      <c r="AD274" s="18"/>
      <c r="AF274" s="18"/>
    </row>
    <row r="275" spans="9:38" ht="15.75" x14ac:dyDescent="0.25">
      <c r="I275" s="2" t="s">
        <v>494</v>
      </c>
      <c r="J275" s="894" t="s">
        <v>206</v>
      </c>
      <c r="K275" s="894"/>
      <c r="L275" s="482"/>
      <c r="M275" s="422"/>
      <c r="N275" s="422"/>
      <c r="O275" s="422"/>
      <c r="P275" s="422"/>
      <c r="U275" s="273"/>
      <c r="V275" s="287"/>
      <c r="W275" s="273"/>
      <c r="AD275" s="18"/>
      <c r="AF275" s="18"/>
    </row>
    <row r="276" spans="9:38" ht="15.75" x14ac:dyDescent="0.25">
      <c r="I276" s="2" t="s">
        <v>494</v>
      </c>
      <c r="J276" s="894" t="s">
        <v>473</v>
      </c>
      <c r="K276" s="894"/>
      <c r="L276" s="482"/>
      <c r="M276" s="422"/>
      <c r="N276" s="422"/>
      <c r="O276" s="422"/>
      <c r="P276" s="422"/>
      <c r="U276" s="273"/>
      <c r="V276" s="287"/>
      <c r="W276" s="273"/>
      <c r="AD276" s="18"/>
      <c r="AF276" s="18"/>
    </row>
    <row r="277" spans="9:38" ht="15.75" x14ac:dyDescent="0.25">
      <c r="I277" s="2" t="s">
        <v>494</v>
      </c>
      <c r="J277" s="894" t="s">
        <v>208</v>
      </c>
      <c r="K277" s="894"/>
      <c r="L277" s="482"/>
      <c r="M277" s="422"/>
      <c r="N277" s="422"/>
      <c r="O277" s="422"/>
      <c r="P277" s="422"/>
      <c r="V277" s="27"/>
    </row>
    <row r="278" spans="9:38" ht="15.75" x14ac:dyDescent="0.25">
      <c r="I278" s="2" t="s">
        <v>496</v>
      </c>
      <c r="J278" s="894" t="s">
        <v>209</v>
      </c>
      <c r="K278" s="894"/>
      <c r="L278" s="482"/>
      <c r="M278" s="422"/>
      <c r="N278" s="422"/>
      <c r="O278" s="422"/>
      <c r="P278" s="422"/>
      <c r="V278" s="27"/>
    </row>
    <row r="279" spans="9:38" ht="15.75" x14ac:dyDescent="0.25">
      <c r="J279" s="894" t="s">
        <v>474</v>
      </c>
      <c r="K279" s="894"/>
      <c r="L279" s="423">
        <v>15000</v>
      </c>
      <c r="M279" s="422"/>
      <c r="N279" s="422"/>
      <c r="O279" s="422"/>
      <c r="P279" s="422"/>
      <c r="V279" s="27"/>
    </row>
    <row r="280" spans="9:38" ht="15.75" x14ac:dyDescent="0.25">
      <c r="I280" s="2" t="s">
        <v>494</v>
      </c>
      <c r="J280" s="894" t="s">
        <v>211</v>
      </c>
      <c r="K280" s="894"/>
      <c r="L280" s="482"/>
      <c r="M280" s="422"/>
      <c r="N280" s="422"/>
      <c r="O280" s="422"/>
      <c r="P280" s="422"/>
      <c r="V280" s="27"/>
    </row>
    <row r="281" spans="9:38" ht="15.75" x14ac:dyDescent="0.25">
      <c r="J281" s="894" t="s">
        <v>212</v>
      </c>
      <c r="K281" s="894"/>
      <c r="L281" s="423">
        <v>15000</v>
      </c>
      <c r="M281" s="422"/>
      <c r="N281" s="422"/>
      <c r="O281" s="422"/>
      <c r="P281" s="422"/>
      <c r="V281" s="27"/>
    </row>
    <row r="282" spans="9:38" ht="15.75" x14ac:dyDescent="0.25">
      <c r="J282" s="894" t="s">
        <v>475</v>
      </c>
      <c r="K282" s="894"/>
      <c r="L282" s="423">
        <f>4*12000/1.12</f>
        <v>42857.142857142855</v>
      </c>
      <c r="M282" s="422"/>
      <c r="N282" s="422"/>
      <c r="O282" s="422"/>
      <c r="P282" s="422"/>
      <c r="V282" s="27"/>
    </row>
    <row r="283" spans="9:38" ht="15.75" x14ac:dyDescent="0.25">
      <c r="J283" s="894" t="s">
        <v>214</v>
      </c>
      <c r="K283" s="894"/>
      <c r="L283" s="423" t="s">
        <v>189</v>
      </c>
      <c r="M283" s="422"/>
      <c r="N283" s="422"/>
      <c r="O283" s="422"/>
      <c r="P283" s="422"/>
      <c r="V283" s="27"/>
      <c r="W283" s="397"/>
      <c r="X283" s="400"/>
      <c r="Y283" s="401"/>
      <c r="Z283" s="391"/>
      <c r="AA283" s="398"/>
      <c r="AB283" s="399"/>
      <c r="AC283" s="403"/>
      <c r="AD283" s="392"/>
      <c r="AE283" s="378"/>
      <c r="AF283" s="393"/>
      <c r="AG283" s="394"/>
      <c r="AH283" s="394"/>
      <c r="AI283" s="394"/>
      <c r="AJ283" s="395"/>
      <c r="AK283" s="394"/>
      <c r="AL283" s="394"/>
    </row>
    <row r="284" spans="9:38" ht="15.75" x14ac:dyDescent="0.25">
      <c r="J284" s="894" t="s">
        <v>476</v>
      </c>
      <c r="K284" s="894"/>
      <c r="L284" s="423">
        <v>10000</v>
      </c>
      <c r="M284" s="422"/>
      <c r="N284" s="422"/>
      <c r="O284" s="422"/>
      <c r="P284" s="422"/>
      <c r="V284" s="27"/>
      <c r="W284" s="397"/>
      <c r="X284" s="400"/>
      <c r="Y284" s="401"/>
      <c r="Z284" s="391"/>
      <c r="AA284" s="398"/>
      <c r="AB284" s="399"/>
      <c r="AC284" s="403"/>
      <c r="AD284" s="392"/>
      <c r="AE284" s="378"/>
      <c r="AF284" s="393"/>
      <c r="AG284" s="394"/>
      <c r="AH284" s="394"/>
      <c r="AI284" s="394"/>
      <c r="AJ284" s="395"/>
      <c r="AK284" s="394"/>
      <c r="AL284" s="394"/>
    </row>
    <row r="285" spans="9:38" ht="15.75" x14ac:dyDescent="0.25">
      <c r="J285" s="894" t="s">
        <v>477</v>
      </c>
      <c r="K285" s="894"/>
      <c r="L285" s="429"/>
      <c r="M285" s="422"/>
      <c r="N285" s="422"/>
      <c r="O285" s="422"/>
      <c r="P285" s="422"/>
      <c r="V285" s="27"/>
      <c r="W285" s="397"/>
      <c r="X285" s="400"/>
      <c r="Y285" s="404"/>
      <c r="Z285" s="391"/>
      <c r="AA285" s="392"/>
      <c r="AB285" s="399"/>
      <c r="AC285" s="403"/>
      <c r="AD285" s="392"/>
      <c r="AE285" s="378"/>
      <c r="AF285" s="393"/>
      <c r="AG285" s="394"/>
      <c r="AH285" s="394"/>
      <c r="AI285" s="405"/>
      <c r="AJ285" s="405"/>
      <c r="AK285" s="405"/>
      <c r="AL285" s="405"/>
    </row>
    <row r="286" spans="9:38" ht="15.75" x14ac:dyDescent="0.25">
      <c r="J286" s="894" t="s">
        <v>217</v>
      </c>
      <c r="K286" s="894"/>
      <c r="L286" s="429" t="s">
        <v>180</v>
      </c>
      <c r="M286" s="422"/>
      <c r="N286" s="422"/>
      <c r="O286" s="422"/>
      <c r="P286" s="422"/>
      <c r="V286" s="27"/>
      <c r="W286" s="389"/>
      <c r="X286" s="390"/>
      <c r="Y286" s="391"/>
      <c r="Z286" s="391"/>
      <c r="AA286" s="392"/>
      <c r="AB286" s="391"/>
      <c r="AC286" s="392"/>
      <c r="AD286" s="392"/>
      <c r="AE286" s="378"/>
      <c r="AF286" s="393"/>
      <c r="AG286" s="394"/>
      <c r="AH286" s="394"/>
      <c r="AI286" s="394"/>
      <c r="AJ286" s="395"/>
      <c r="AK286" s="394"/>
      <c r="AL286" s="394"/>
    </row>
    <row r="287" spans="9:38" ht="15.75" x14ac:dyDescent="0.25">
      <c r="J287" s="894" t="s">
        <v>478</v>
      </c>
      <c r="K287" s="894"/>
      <c r="L287" s="429">
        <v>3500</v>
      </c>
      <c r="M287" s="422"/>
      <c r="N287" s="422"/>
      <c r="O287" s="422"/>
      <c r="P287" s="422"/>
      <c r="V287" s="27"/>
      <c r="W287" s="389"/>
      <c r="X287" s="390"/>
      <c r="Y287" s="391"/>
      <c r="Z287" s="391"/>
      <c r="AA287" s="392"/>
      <c r="AB287" s="391"/>
      <c r="AC287" s="392"/>
      <c r="AD287" s="392"/>
      <c r="AE287" s="378"/>
      <c r="AF287" s="393"/>
      <c r="AG287" s="394"/>
      <c r="AH287" s="394"/>
      <c r="AI287" s="394"/>
      <c r="AJ287" s="395"/>
      <c r="AK287" s="394"/>
      <c r="AL287" s="394"/>
    </row>
    <row r="288" spans="9:38" ht="15.75" x14ac:dyDescent="0.25">
      <c r="J288" s="894" t="s">
        <v>219</v>
      </c>
      <c r="K288" s="894"/>
      <c r="L288" s="429" t="s">
        <v>180</v>
      </c>
      <c r="M288" s="422"/>
      <c r="N288" s="422"/>
      <c r="O288" s="422"/>
      <c r="P288" s="422"/>
      <c r="V288" s="27"/>
      <c r="W288" s="273"/>
      <c r="X288" s="273"/>
      <c r="Y288" s="273"/>
      <c r="Z288" s="273"/>
      <c r="AA288" s="273"/>
      <c r="AB288" s="273"/>
      <c r="AC288" s="273"/>
      <c r="AD288" s="224"/>
      <c r="AE288" s="273"/>
      <c r="AF288" s="224"/>
      <c r="AG288" s="1"/>
      <c r="AH288" s="1"/>
      <c r="AI288" s="1"/>
      <c r="AJ288" s="1"/>
      <c r="AK288" s="1"/>
      <c r="AL288" s="1"/>
    </row>
    <row r="289" spans="9:16" ht="15.75" x14ac:dyDescent="0.25">
      <c r="J289" s="894" t="s">
        <v>220</v>
      </c>
      <c r="K289" s="894"/>
      <c r="L289" s="429">
        <v>3500</v>
      </c>
      <c r="M289" s="422"/>
      <c r="N289" s="422"/>
      <c r="O289" s="422"/>
      <c r="P289" s="422"/>
    </row>
    <row r="290" spans="9:16" ht="15.75" x14ac:dyDescent="0.25">
      <c r="J290" s="894" t="s">
        <v>221</v>
      </c>
      <c r="K290" s="894"/>
      <c r="L290" s="429">
        <v>3500</v>
      </c>
      <c r="M290" s="422"/>
      <c r="N290" s="422"/>
      <c r="O290" s="422"/>
      <c r="P290" s="422"/>
    </row>
    <row r="291" spans="9:16" ht="15.75" x14ac:dyDescent="0.25">
      <c r="J291" s="894" t="s">
        <v>479</v>
      </c>
      <c r="K291" s="894"/>
      <c r="L291" s="423">
        <v>0</v>
      </c>
      <c r="M291" s="422"/>
      <c r="N291" s="422"/>
      <c r="O291" s="422"/>
      <c r="P291" s="422"/>
    </row>
    <row r="292" spans="9:16" ht="15.75" x14ac:dyDescent="0.25">
      <c r="J292" s="894" t="s">
        <v>223</v>
      </c>
      <c r="K292" s="894"/>
      <c r="L292" s="423">
        <v>12000</v>
      </c>
      <c r="M292" s="430"/>
      <c r="N292" s="422"/>
      <c r="O292" s="422"/>
      <c r="P292" s="422"/>
    </row>
    <row r="293" spans="9:16" ht="15.75" x14ac:dyDescent="0.25">
      <c r="J293" s="894" t="s">
        <v>480</v>
      </c>
      <c r="K293" s="894"/>
      <c r="L293" s="423" t="s">
        <v>189</v>
      </c>
      <c r="M293" s="431"/>
      <c r="N293" s="431"/>
      <c r="O293" s="431"/>
      <c r="P293" s="431"/>
    </row>
    <row r="294" spans="9:16" ht="15.75" x14ac:dyDescent="0.25">
      <c r="J294" s="893" t="s">
        <v>481</v>
      </c>
      <c r="K294" s="893"/>
      <c r="L294" s="432">
        <v>8500</v>
      </c>
      <c r="M294" s="431"/>
      <c r="N294" s="431"/>
      <c r="O294" s="431"/>
      <c r="P294" s="431"/>
    </row>
    <row r="295" spans="9:16" ht="15.75" x14ac:dyDescent="0.25">
      <c r="J295" s="894" t="s">
        <v>482</v>
      </c>
      <c r="K295" s="894"/>
      <c r="L295" s="423">
        <v>8500</v>
      </c>
      <c r="M295" s="431"/>
      <c r="N295" s="431"/>
      <c r="O295" s="431"/>
      <c r="P295" s="431"/>
    </row>
    <row r="296" spans="9:16" ht="15.75" x14ac:dyDescent="0.25">
      <c r="J296" s="895" t="s">
        <v>483</v>
      </c>
      <c r="K296" s="895"/>
      <c r="L296" s="433" t="s">
        <v>189</v>
      </c>
      <c r="M296" s="434"/>
      <c r="N296" s="434"/>
      <c r="O296" s="434"/>
      <c r="P296" s="434"/>
    </row>
    <row r="297" spans="9:16" ht="15.75" x14ac:dyDescent="0.25">
      <c r="I297" s="2" t="s">
        <v>494</v>
      </c>
      <c r="J297" s="895" t="s">
        <v>484</v>
      </c>
      <c r="K297" s="895"/>
      <c r="L297" s="485"/>
      <c r="M297" s="434"/>
      <c r="N297" s="434"/>
      <c r="O297" s="434"/>
      <c r="P297" s="434"/>
    </row>
    <row r="298" spans="9:16" ht="15.75" x14ac:dyDescent="0.25">
      <c r="J298" s="895" t="s">
        <v>485</v>
      </c>
      <c r="K298" s="895"/>
      <c r="L298" s="433" t="s">
        <v>189</v>
      </c>
      <c r="M298" s="434"/>
      <c r="N298" s="434"/>
      <c r="O298" s="434"/>
      <c r="P298" s="434"/>
    </row>
    <row r="299" spans="9:16" ht="15.75" x14ac:dyDescent="0.25">
      <c r="J299" s="895" t="s">
        <v>486</v>
      </c>
      <c r="K299" s="895"/>
      <c r="L299" s="433" t="s">
        <v>189</v>
      </c>
      <c r="M299" s="434"/>
      <c r="N299" s="434"/>
      <c r="O299" s="434"/>
      <c r="P299" s="434"/>
    </row>
    <row r="300" spans="9:16" ht="15.75" x14ac:dyDescent="0.25">
      <c r="J300" s="892" t="s">
        <v>222</v>
      </c>
      <c r="K300" s="892"/>
      <c r="L300" s="433">
        <v>7500</v>
      </c>
      <c r="M300" s="434"/>
      <c r="N300" s="434"/>
      <c r="O300" s="434"/>
      <c r="P300" s="434"/>
    </row>
    <row r="301" spans="9:16" ht="15.75" x14ac:dyDescent="0.25">
      <c r="J301" s="892" t="s">
        <v>487</v>
      </c>
      <c r="K301" s="892"/>
      <c r="L301" s="433"/>
      <c r="M301" s="434"/>
      <c r="N301" s="434"/>
      <c r="O301" s="434"/>
      <c r="P301" s="434"/>
    </row>
    <row r="302" spans="9:16" ht="15.75" x14ac:dyDescent="0.25">
      <c r="J302" s="892" t="s">
        <v>213</v>
      </c>
      <c r="K302" s="892"/>
      <c r="L302" s="433" t="s">
        <v>161</v>
      </c>
      <c r="M302" s="434"/>
      <c r="N302" s="434"/>
      <c r="O302" s="434"/>
      <c r="P302" s="434"/>
    </row>
    <row r="303" spans="9:16" ht="15.75" x14ac:dyDescent="0.25">
      <c r="I303" s="2" t="s">
        <v>494</v>
      </c>
      <c r="J303" s="892" t="s">
        <v>488</v>
      </c>
      <c r="K303" s="892"/>
      <c r="L303" s="485"/>
      <c r="M303" s="434"/>
      <c r="N303" s="434"/>
      <c r="O303" s="434"/>
      <c r="P303" s="434"/>
    </row>
    <row r="304" spans="9:16" ht="15.75" x14ac:dyDescent="0.25">
      <c r="J304" s="892" t="s">
        <v>489</v>
      </c>
      <c r="K304" s="892"/>
      <c r="L304" s="433"/>
      <c r="M304" s="434"/>
      <c r="N304" s="434"/>
      <c r="O304" s="434"/>
      <c r="P304" s="434"/>
    </row>
  </sheetData>
  <mergeCells count="142">
    <mergeCell ref="W50:Y50"/>
    <mergeCell ref="E14:E15"/>
    <mergeCell ref="F14:F15"/>
    <mergeCell ref="G14:G15"/>
    <mergeCell ref="H14:H15"/>
    <mergeCell ref="W42:Y42"/>
    <mergeCell ref="W43:Y43"/>
    <mergeCell ref="W69:Y69"/>
    <mergeCell ref="W70:Y70"/>
    <mergeCell ref="I14:I15"/>
    <mergeCell ref="J14:J15"/>
    <mergeCell ref="K14:K15"/>
    <mergeCell ref="L14:L15"/>
    <mergeCell ref="M14:O14"/>
    <mergeCell ref="P14:P15"/>
    <mergeCell ref="W44:Y44"/>
    <mergeCell ref="W45:Y45"/>
    <mergeCell ref="W46:Y46"/>
    <mergeCell ref="M238:P238"/>
    <mergeCell ref="J257:K257"/>
    <mergeCell ref="J258:K258"/>
    <mergeCell ref="J259:K259"/>
    <mergeCell ref="J260:K260"/>
    <mergeCell ref="W77:Y77"/>
    <mergeCell ref="W78:Y78"/>
    <mergeCell ref="W79:Y79"/>
    <mergeCell ref="W51:Y51"/>
    <mergeCell ref="W52:Y52"/>
    <mergeCell ref="W53:Y53"/>
    <mergeCell ref="W54:Y54"/>
    <mergeCell ref="W91:Y91"/>
    <mergeCell ref="W60:Y60"/>
    <mergeCell ref="W61:Y61"/>
    <mergeCell ref="W62:Y62"/>
    <mergeCell ref="W80:Y80"/>
    <mergeCell ref="W72:Y72"/>
    <mergeCell ref="W73:Y73"/>
    <mergeCell ref="W76:Y76"/>
    <mergeCell ref="W57:Y57"/>
    <mergeCell ref="W58:Y58"/>
    <mergeCell ref="W59:Y59"/>
    <mergeCell ref="W71:Y71"/>
    <mergeCell ref="W117:X117"/>
    <mergeCell ref="W118:X118"/>
    <mergeCell ref="W119:X119"/>
    <mergeCell ref="W120:X120"/>
    <mergeCell ref="W121:X121"/>
    <mergeCell ref="W122:X122"/>
    <mergeCell ref="W142:Y142"/>
    <mergeCell ref="W143:Y143"/>
    <mergeCell ref="W125:X125"/>
    <mergeCell ref="J276:K276"/>
    <mergeCell ref="J277:K277"/>
    <mergeCell ref="J278:K278"/>
    <mergeCell ref="J279:K279"/>
    <mergeCell ref="J280:K280"/>
    <mergeCell ref="J281:K281"/>
    <mergeCell ref="J282:K282"/>
    <mergeCell ref="J283:K283"/>
    <mergeCell ref="J284:K284"/>
    <mergeCell ref="A14:A15"/>
    <mergeCell ref="B14:D15"/>
    <mergeCell ref="B35:D35"/>
    <mergeCell ref="B150:D150"/>
    <mergeCell ref="B211:D211"/>
    <mergeCell ref="B236:D236"/>
    <mergeCell ref="J273:K273"/>
    <mergeCell ref="J274:K274"/>
    <mergeCell ref="J275:K275"/>
    <mergeCell ref="J261:K261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0:K270"/>
    <mergeCell ref="J271:K271"/>
    <mergeCell ref="J272:K272"/>
    <mergeCell ref="W99:Y99"/>
    <mergeCell ref="W100:Y100"/>
    <mergeCell ref="W101:Y101"/>
    <mergeCell ref="W102:Y102"/>
    <mergeCell ref="W103:Y103"/>
    <mergeCell ref="B238:D238"/>
    <mergeCell ref="W83:Y83"/>
    <mergeCell ref="W84:Y84"/>
    <mergeCell ref="W85:Y85"/>
    <mergeCell ref="W86:Y86"/>
    <mergeCell ref="W87:Y87"/>
    <mergeCell ref="W123:X123"/>
    <mergeCell ref="W124:X124"/>
    <mergeCell ref="W106:X106"/>
    <mergeCell ref="W107:X107"/>
    <mergeCell ref="W110:X110"/>
    <mergeCell ref="W116:X116"/>
    <mergeCell ref="W92:Y92"/>
    <mergeCell ref="W93:Y93"/>
    <mergeCell ref="W94:Y94"/>
    <mergeCell ref="W95:Y95"/>
    <mergeCell ref="W139:Y139"/>
    <mergeCell ref="W140:Y140"/>
    <mergeCell ref="W141:Y141"/>
    <mergeCell ref="AA252:AC252"/>
    <mergeCell ref="AD252:AE252"/>
    <mergeCell ref="AA209:AC209"/>
    <mergeCell ref="AD209:AE209"/>
    <mergeCell ref="AA224:AC224"/>
    <mergeCell ref="AD224:AE224"/>
    <mergeCell ref="AA239:AC239"/>
    <mergeCell ref="AD239:AE239"/>
    <mergeCell ref="W129:Y129"/>
    <mergeCell ref="W131:Y131"/>
    <mergeCell ref="W132:Y132"/>
    <mergeCell ref="W133:Y133"/>
    <mergeCell ref="W134:Y134"/>
    <mergeCell ref="W135:Y135"/>
    <mergeCell ref="T136:Y136"/>
    <mergeCell ref="W137:Y137"/>
    <mergeCell ref="W138:Y138"/>
    <mergeCell ref="J285:K285"/>
    <mergeCell ref="J286:K286"/>
    <mergeCell ref="J287:K287"/>
    <mergeCell ref="J288:K288"/>
    <mergeCell ref="J289:K289"/>
    <mergeCell ref="J290:K290"/>
    <mergeCell ref="J291:K291"/>
    <mergeCell ref="J292:K292"/>
    <mergeCell ref="J293:K293"/>
    <mergeCell ref="J303:K303"/>
    <mergeCell ref="J304:K304"/>
    <mergeCell ref="J294:K294"/>
    <mergeCell ref="J295:K295"/>
    <mergeCell ref="J296:K296"/>
    <mergeCell ref="J297:K297"/>
    <mergeCell ref="J298:K298"/>
    <mergeCell ref="J299:K299"/>
    <mergeCell ref="J300:K300"/>
    <mergeCell ref="J301:K301"/>
    <mergeCell ref="J302:K302"/>
  </mergeCells>
  <printOptions horizontalCentered="1"/>
  <pageMargins left="0.25" right="0.25" top="0.75" bottom="0.75" header="0.3" footer="0.3"/>
  <pageSetup paperSize="197" scale="3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7:K76"/>
  <sheetViews>
    <sheetView showGridLines="0" topLeftCell="A61" zoomScale="85" zoomScaleNormal="85" workbookViewId="0">
      <selection activeCell="K83" sqref="K83"/>
    </sheetView>
  </sheetViews>
  <sheetFormatPr defaultRowHeight="15" outlineLevelCol="1" x14ac:dyDescent="0.25"/>
  <cols>
    <col min="1" max="1" width="8.85546875" style="19" customWidth="1"/>
    <col min="2" max="2" width="3.42578125" style="153" customWidth="1"/>
    <col min="3" max="3" width="5.42578125" style="294" customWidth="1"/>
    <col min="4" max="4" width="81.140625" style="18" bestFit="1" customWidth="1"/>
    <col min="5" max="5" width="9.7109375" style="91" customWidth="1"/>
    <col min="6" max="6" width="9.28515625" style="19" customWidth="1" outlineLevel="1"/>
    <col min="7" max="10" width="11.7109375" style="2" customWidth="1" outlineLevel="1"/>
    <col min="11" max="11" width="14.140625" style="2" customWidth="1" outlineLevel="1"/>
    <col min="12" max="16384" width="9.140625" style="18"/>
  </cols>
  <sheetData>
    <row r="7" spans="1:11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324"/>
      <c r="F7" s="445"/>
      <c r="G7" s="327"/>
      <c r="H7" s="327"/>
      <c r="I7" s="327"/>
      <c r="J7" s="327"/>
      <c r="K7" s="327"/>
    </row>
    <row r="8" spans="1:11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324"/>
      <c r="F8" s="236"/>
      <c r="G8" s="327"/>
      <c r="H8" s="327"/>
      <c r="I8" s="327"/>
      <c r="J8" s="327"/>
      <c r="K8" s="327"/>
    </row>
    <row r="9" spans="1:11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324"/>
      <c r="F9" s="236"/>
      <c r="G9" s="327"/>
      <c r="H9" s="327"/>
      <c r="I9" s="327"/>
      <c r="J9" s="327"/>
      <c r="K9" s="327"/>
    </row>
    <row r="10" spans="1:11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4"/>
      <c r="F10" s="236"/>
      <c r="G10" s="327"/>
      <c r="H10" s="327"/>
      <c r="I10" s="327"/>
      <c r="J10" s="327"/>
      <c r="K10" s="327"/>
    </row>
    <row r="11" spans="1:11" x14ac:dyDescent="0.25">
      <c r="A11" s="235"/>
      <c r="D11" s="21"/>
    </row>
    <row r="12" spans="1:11" x14ac:dyDescent="0.25">
      <c r="A12" s="235"/>
      <c r="D12" s="21"/>
    </row>
    <row r="13" spans="1:11" ht="15.75" thickBot="1" x14ac:dyDescent="0.3"/>
    <row r="14" spans="1:11" s="19" customFormat="1" x14ac:dyDescent="0.25">
      <c r="A14" s="906" t="s">
        <v>4</v>
      </c>
      <c r="B14" s="864" t="s">
        <v>7</v>
      </c>
      <c r="C14" s="908"/>
      <c r="D14" s="865"/>
      <c r="E14" s="917" t="s">
        <v>6</v>
      </c>
      <c r="F14" s="868" t="s">
        <v>5</v>
      </c>
      <c r="G14" s="870" t="s">
        <v>174</v>
      </c>
      <c r="H14" s="870" t="s">
        <v>175</v>
      </c>
      <c r="I14" s="870" t="s">
        <v>176</v>
      </c>
      <c r="J14" s="870" t="s">
        <v>177</v>
      </c>
      <c r="K14" s="870" t="s">
        <v>503</v>
      </c>
    </row>
    <row r="15" spans="1:11" s="19" customFormat="1" ht="15.75" thickBot="1" x14ac:dyDescent="0.3">
      <c r="A15" s="907"/>
      <c r="B15" s="866"/>
      <c r="C15" s="909"/>
      <c r="D15" s="867"/>
      <c r="E15" s="918"/>
      <c r="F15" s="869"/>
      <c r="G15" s="871"/>
      <c r="H15" s="871"/>
      <c r="I15" s="871"/>
      <c r="J15" s="871"/>
      <c r="K15" s="871"/>
    </row>
    <row r="16" spans="1:11" s="226" customFormat="1" ht="15.75" x14ac:dyDescent="0.25">
      <c r="A16" s="323" t="s">
        <v>86</v>
      </c>
      <c r="B16" s="408" t="s">
        <v>344</v>
      </c>
      <c r="C16" s="409"/>
      <c r="D16" s="410"/>
      <c r="E16" s="304"/>
      <c r="F16" s="255"/>
      <c r="G16" s="256"/>
      <c r="H16" s="256"/>
      <c r="I16" s="256"/>
      <c r="J16" s="256"/>
      <c r="K16" s="256"/>
    </row>
    <row r="17" spans="1:11" s="1" customFormat="1" x14ac:dyDescent="0.25">
      <c r="A17" s="238"/>
      <c r="B17" s="290" t="s">
        <v>319</v>
      </c>
      <c r="C17" s="291" t="s">
        <v>132</v>
      </c>
      <c r="D17" s="316"/>
      <c r="E17" s="302"/>
      <c r="F17" s="75"/>
      <c r="G17" s="74"/>
      <c r="H17" s="74"/>
      <c r="I17" s="74"/>
      <c r="J17" s="74"/>
      <c r="K17" s="74"/>
    </row>
    <row r="18" spans="1:11" s="1" customFormat="1" x14ac:dyDescent="0.25">
      <c r="A18" s="238"/>
      <c r="B18" s="317"/>
      <c r="C18" s="318">
        <v>1</v>
      </c>
      <c r="D18" s="83" t="s">
        <v>419</v>
      </c>
      <c r="E18" s="242">
        <f>61+1+5</f>
        <v>67</v>
      </c>
      <c r="F18" s="73" t="s">
        <v>283</v>
      </c>
      <c r="G18" s="67"/>
      <c r="H18" s="67">
        <f>E18*G18</f>
        <v>0</v>
      </c>
      <c r="I18" s="67">
        <v>100</v>
      </c>
      <c r="J18" s="67">
        <f t="shared" ref="J18:J21" si="0">E18*I18</f>
        <v>6700</v>
      </c>
      <c r="K18" s="72">
        <f t="shared" ref="K18:K21" si="1">H18+J18</f>
        <v>6700</v>
      </c>
    </row>
    <row r="19" spans="1:11" s="1" customFormat="1" x14ac:dyDescent="0.25">
      <c r="A19" s="238"/>
      <c r="B19" s="317"/>
      <c r="C19" s="318">
        <v>2</v>
      </c>
      <c r="D19" s="83" t="s">
        <v>134</v>
      </c>
      <c r="E19" s="242">
        <v>88</v>
      </c>
      <c r="F19" s="73" t="s">
        <v>283</v>
      </c>
      <c r="G19" s="67"/>
      <c r="H19" s="67">
        <f>E19*G19</f>
        <v>0</v>
      </c>
      <c r="I19" s="67">
        <f>I18</f>
        <v>100</v>
      </c>
      <c r="J19" s="67">
        <f t="shared" si="0"/>
        <v>8800</v>
      </c>
      <c r="K19" s="72">
        <f t="shared" si="1"/>
        <v>8800</v>
      </c>
    </row>
    <row r="20" spans="1:11" s="1" customFormat="1" x14ac:dyDescent="0.25">
      <c r="A20" s="238"/>
      <c r="B20" s="317"/>
      <c r="C20" s="318">
        <v>3</v>
      </c>
      <c r="D20" s="83" t="s">
        <v>135</v>
      </c>
      <c r="E20" s="242">
        <f>3+1</f>
        <v>4</v>
      </c>
      <c r="F20" s="73" t="s">
        <v>283</v>
      </c>
      <c r="G20" s="67"/>
      <c r="H20" s="67">
        <f>E20*G20</f>
        <v>0</v>
      </c>
      <c r="I20" s="67">
        <f>I18</f>
        <v>100</v>
      </c>
      <c r="J20" s="67">
        <f t="shared" si="0"/>
        <v>400</v>
      </c>
      <c r="K20" s="72">
        <f t="shared" si="1"/>
        <v>400</v>
      </c>
    </row>
    <row r="21" spans="1:11" s="1" customFormat="1" x14ac:dyDescent="0.25">
      <c r="A21" s="238"/>
      <c r="B21" s="317"/>
      <c r="C21" s="318">
        <v>4</v>
      </c>
      <c r="D21" s="83" t="s">
        <v>136</v>
      </c>
      <c r="E21" s="242">
        <v>18</v>
      </c>
      <c r="F21" s="73" t="s">
        <v>283</v>
      </c>
      <c r="G21" s="67"/>
      <c r="H21" s="67">
        <f>E21*G21</f>
        <v>0</v>
      </c>
      <c r="I21" s="67">
        <v>200</v>
      </c>
      <c r="J21" s="67">
        <f t="shared" si="0"/>
        <v>3600</v>
      </c>
      <c r="K21" s="72">
        <f t="shared" si="1"/>
        <v>3600</v>
      </c>
    </row>
    <row r="22" spans="1:11" s="1" customFormat="1" x14ac:dyDescent="0.25">
      <c r="A22" s="238"/>
      <c r="B22" s="319"/>
      <c r="C22" s="318"/>
      <c r="D22" s="83" t="s">
        <v>137</v>
      </c>
      <c r="E22" s="242"/>
      <c r="F22" s="75"/>
      <c r="G22" s="74"/>
      <c r="H22" s="74"/>
      <c r="I22" s="74"/>
      <c r="J22" s="74"/>
      <c r="K22" s="74"/>
    </row>
    <row r="23" spans="1:11" s="1" customFormat="1" x14ac:dyDescent="0.25">
      <c r="A23" s="238"/>
      <c r="B23" s="317"/>
      <c r="C23" s="318">
        <v>5</v>
      </c>
      <c r="D23" s="83" t="s">
        <v>138</v>
      </c>
      <c r="E23" s="242">
        <v>3</v>
      </c>
      <c r="F23" s="73" t="s">
        <v>283</v>
      </c>
      <c r="G23" s="67"/>
      <c r="H23" s="67">
        <f>E23*G23</f>
        <v>0</v>
      </c>
      <c r="I23" s="67">
        <v>200</v>
      </c>
      <c r="J23" s="67">
        <f t="shared" ref="J23:J24" si="2">E23*I23</f>
        <v>600</v>
      </c>
      <c r="K23" s="72">
        <f t="shared" ref="K23:K24" si="3">H23+J23</f>
        <v>600</v>
      </c>
    </row>
    <row r="24" spans="1:11" s="1" customFormat="1" x14ac:dyDescent="0.25">
      <c r="A24" s="238"/>
      <c r="B24" s="290"/>
      <c r="C24" s="318">
        <v>6</v>
      </c>
      <c r="D24" s="83" t="s">
        <v>139</v>
      </c>
      <c r="E24" s="242">
        <v>44</v>
      </c>
      <c r="F24" s="73" t="s">
        <v>283</v>
      </c>
      <c r="G24" s="74"/>
      <c r="H24" s="67">
        <f>E24*G24</f>
        <v>0</v>
      </c>
      <c r="I24" s="67">
        <v>200</v>
      </c>
      <c r="J24" s="67">
        <f t="shared" si="2"/>
        <v>8800</v>
      </c>
      <c r="K24" s="72">
        <f t="shared" si="3"/>
        <v>8800</v>
      </c>
    </row>
    <row r="25" spans="1:11" s="1" customFormat="1" x14ac:dyDescent="0.25">
      <c r="A25" s="238"/>
      <c r="B25" s="317"/>
      <c r="C25" s="318"/>
      <c r="D25" s="83" t="s">
        <v>140</v>
      </c>
      <c r="E25" s="242"/>
      <c r="F25" s="68"/>
      <c r="G25" s="67"/>
      <c r="H25" s="67"/>
      <c r="I25" s="67"/>
      <c r="J25" s="67"/>
      <c r="K25" s="72"/>
    </row>
    <row r="26" spans="1:11" s="1" customFormat="1" x14ac:dyDescent="0.25">
      <c r="A26" s="238"/>
      <c r="B26" s="317"/>
      <c r="C26" s="318">
        <v>7</v>
      </c>
      <c r="D26" s="83" t="s">
        <v>412</v>
      </c>
      <c r="E26" s="302">
        <v>25</v>
      </c>
      <c r="F26" s="73" t="s">
        <v>283</v>
      </c>
      <c r="G26" s="67"/>
      <c r="H26" s="67">
        <f>E26*G26</f>
        <v>0</v>
      </c>
      <c r="I26" s="67">
        <v>200</v>
      </c>
      <c r="J26" s="67">
        <f t="shared" ref="J26:J39" si="4">E26*I26</f>
        <v>5000</v>
      </c>
      <c r="K26" s="72">
        <f t="shared" ref="K26:K39" si="5">H26+J26</f>
        <v>5000</v>
      </c>
    </row>
    <row r="27" spans="1:11" s="1" customFormat="1" x14ac:dyDescent="0.25">
      <c r="A27" s="238"/>
      <c r="B27" s="317"/>
      <c r="C27" s="318">
        <v>8</v>
      </c>
      <c r="D27" s="83" t="s">
        <v>286</v>
      </c>
      <c r="E27" s="302">
        <v>4</v>
      </c>
      <c r="F27" s="73" t="s">
        <v>283</v>
      </c>
      <c r="G27" s="67"/>
      <c r="H27" s="67">
        <f>E27*G27</f>
        <v>0</v>
      </c>
      <c r="I27" s="67">
        <v>200</v>
      </c>
      <c r="J27" s="67">
        <f t="shared" si="4"/>
        <v>800</v>
      </c>
      <c r="K27" s="72">
        <f t="shared" si="5"/>
        <v>800</v>
      </c>
    </row>
    <row r="28" spans="1:11" s="1" customFormat="1" x14ac:dyDescent="0.25">
      <c r="A28" s="238"/>
      <c r="B28" s="317"/>
      <c r="C28" s="318"/>
      <c r="D28" s="83"/>
      <c r="E28" s="302"/>
      <c r="F28" s="73"/>
      <c r="G28" s="67"/>
      <c r="H28" s="67"/>
      <c r="I28" s="67"/>
      <c r="J28" s="67"/>
      <c r="K28" s="72"/>
    </row>
    <row r="29" spans="1:11" s="1" customFormat="1" x14ac:dyDescent="0.25">
      <c r="A29" s="238"/>
      <c r="B29" s="290" t="s">
        <v>320</v>
      </c>
      <c r="C29" s="291" t="s">
        <v>420</v>
      </c>
      <c r="D29" s="316"/>
      <c r="E29" s="302"/>
      <c r="F29" s="75"/>
      <c r="G29" s="440"/>
      <c r="H29" s="74"/>
      <c r="I29" s="74"/>
      <c r="J29" s="74"/>
      <c r="K29" s="74"/>
    </row>
    <row r="30" spans="1:11" s="1" customFormat="1" x14ac:dyDescent="0.25">
      <c r="A30" s="238"/>
      <c r="B30" s="317"/>
      <c r="C30" s="318">
        <v>1</v>
      </c>
      <c r="D30" s="83" t="s">
        <v>421</v>
      </c>
      <c r="E30" s="242">
        <v>2284</v>
      </c>
      <c r="F30" s="73" t="s">
        <v>100</v>
      </c>
      <c r="G30" s="67">
        <f>14</f>
        <v>14</v>
      </c>
      <c r="H30" s="67">
        <f>E30*G30</f>
        <v>31976</v>
      </c>
      <c r="I30" s="67">
        <v>5</v>
      </c>
      <c r="J30" s="67">
        <f t="shared" si="4"/>
        <v>11420</v>
      </c>
      <c r="K30" s="72">
        <f t="shared" si="5"/>
        <v>43396</v>
      </c>
    </row>
    <row r="31" spans="1:11" s="1" customFormat="1" x14ac:dyDescent="0.25">
      <c r="A31" s="238"/>
      <c r="B31" s="317"/>
      <c r="C31" s="318">
        <v>2</v>
      </c>
      <c r="D31" s="83" t="s">
        <v>422</v>
      </c>
      <c r="E31" s="242">
        <v>6464</v>
      </c>
      <c r="F31" s="73" t="s">
        <v>100</v>
      </c>
      <c r="G31" s="67">
        <f>21</f>
        <v>21</v>
      </c>
      <c r="H31" s="67">
        <f t="shared" ref="H31:H39" si="6">E31*G31</f>
        <v>135744</v>
      </c>
      <c r="I31" s="67">
        <v>8</v>
      </c>
      <c r="J31" s="67">
        <f t="shared" si="4"/>
        <v>51712</v>
      </c>
      <c r="K31" s="72">
        <f t="shared" si="5"/>
        <v>187456</v>
      </c>
    </row>
    <row r="32" spans="1:11" s="1" customFormat="1" x14ac:dyDescent="0.25">
      <c r="A32" s="238"/>
      <c r="B32" s="317"/>
      <c r="C32" s="318">
        <v>3</v>
      </c>
      <c r="D32" s="83" t="s">
        <v>423</v>
      </c>
      <c r="E32" s="242">
        <v>1087</v>
      </c>
      <c r="F32" s="73" t="s">
        <v>100</v>
      </c>
      <c r="G32" s="67">
        <f>32</f>
        <v>32</v>
      </c>
      <c r="H32" s="67">
        <f t="shared" si="6"/>
        <v>34784</v>
      </c>
      <c r="I32" s="67">
        <v>12</v>
      </c>
      <c r="J32" s="67">
        <f t="shared" si="4"/>
        <v>13044</v>
      </c>
      <c r="K32" s="72">
        <f t="shared" si="5"/>
        <v>47828</v>
      </c>
    </row>
    <row r="33" spans="1:11" s="1" customFormat="1" x14ac:dyDescent="0.25">
      <c r="A33" s="238"/>
      <c r="B33" s="317"/>
      <c r="C33" s="318">
        <v>4</v>
      </c>
      <c r="D33" s="83" t="s">
        <v>430</v>
      </c>
      <c r="E33" s="242">
        <v>1771</v>
      </c>
      <c r="F33" s="73" t="s">
        <v>100</v>
      </c>
      <c r="G33" s="67">
        <f>49</f>
        <v>49</v>
      </c>
      <c r="H33" s="67">
        <f t="shared" si="6"/>
        <v>86779</v>
      </c>
      <c r="I33" s="67">
        <v>18</v>
      </c>
      <c r="J33" s="67">
        <f t="shared" si="4"/>
        <v>31878</v>
      </c>
      <c r="K33" s="72">
        <f t="shared" si="5"/>
        <v>118657</v>
      </c>
    </row>
    <row r="34" spans="1:11" s="1" customFormat="1" x14ac:dyDescent="0.25">
      <c r="A34" s="238"/>
      <c r="B34" s="317"/>
      <c r="C34" s="318">
        <v>5</v>
      </c>
      <c r="D34" s="83" t="s">
        <v>424</v>
      </c>
      <c r="E34" s="242">
        <v>21</v>
      </c>
      <c r="F34" s="73" t="s">
        <v>100</v>
      </c>
      <c r="G34" s="67">
        <f>78</f>
        <v>78</v>
      </c>
      <c r="H34" s="67">
        <f t="shared" si="6"/>
        <v>1638</v>
      </c>
      <c r="I34" s="67">
        <v>28</v>
      </c>
      <c r="J34" s="67">
        <f t="shared" si="4"/>
        <v>588</v>
      </c>
      <c r="K34" s="72">
        <f t="shared" si="5"/>
        <v>2226</v>
      </c>
    </row>
    <row r="35" spans="1:11" s="1" customFormat="1" x14ac:dyDescent="0.25">
      <c r="A35" s="238"/>
      <c r="B35" s="319"/>
      <c r="C35" s="318">
        <v>6</v>
      </c>
      <c r="D35" s="83" t="s">
        <v>425</v>
      </c>
      <c r="E35" s="242">
        <v>24</v>
      </c>
      <c r="F35" s="73" t="s">
        <v>100</v>
      </c>
      <c r="G35" s="67">
        <f>123</f>
        <v>123</v>
      </c>
      <c r="H35" s="67">
        <f t="shared" si="6"/>
        <v>2952</v>
      </c>
      <c r="I35" s="67">
        <v>44</v>
      </c>
      <c r="J35" s="67">
        <f t="shared" si="4"/>
        <v>1056</v>
      </c>
      <c r="K35" s="72">
        <f t="shared" si="5"/>
        <v>4008</v>
      </c>
    </row>
    <row r="36" spans="1:11" s="1" customFormat="1" x14ac:dyDescent="0.25">
      <c r="A36" s="238"/>
      <c r="B36" s="317"/>
      <c r="C36" s="318">
        <v>7</v>
      </c>
      <c r="D36" s="83" t="s">
        <v>426</v>
      </c>
      <c r="E36" s="242">
        <v>9</v>
      </c>
      <c r="F36" s="73" t="s">
        <v>100</v>
      </c>
      <c r="G36" s="67">
        <f>179</f>
        <v>179</v>
      </c>
      <c r="H36" s="67">
        <f t="shared" si="6"/>
        <v>1611</v>
      </c>
      <c r="I36" s="67">
        <v>63</v>
      </c>
      <c r="J36" s="67">
        <f t="shared" si="4"/>
        <v>567</v>
      </c>
      <c r="K36" s="72">
        <f t="shared" si="5"/>
        <v>2178</v>
      </c>
    </row>
    <row r="37" spans="1:11" s="1" customFormat="1" x14ac:dyDescent="0.25">
      <c r="A37" s="238"/>
      <c r="B37" s="317"/>
      <c r="C37" s="318">
        <v>8</v>
      </c>
      <c r="D37" s="83" t="s">
        <v>427</v>
      </c>
      <c r="E37" s="242">
        <v>34</v>
      </c>
      <c r="F37" s="73" t="s">
        <v>100</v>
      </c>
      <c r="G37" s="67">
        <f>291</f>
        <v>291</v>
      </c>
      <c r="H37" s="67">
        <f t="shared" si="6"/>
        <v>9894</v>
      </c>
      <c r="I37" s="67">
        <v>102</v>
      </c>
      <c r="J37" s="67">
        <f t="shared" si="4"/>
        <v>3468</v>
      </c>
      <c r="K37" s="72">
        <f t="shared" si="5"/>
        <v>13362</v>
      </c>
    </row>
    <row r="38" spans="1:11" s="1" customFormat="1" x14ac:dyDescent="0.25">
      <c r="A38" s="238"/>
      <c r="B38" s="317"/>
      <c r="C38" s="318">
        <v>9</v>
      </c>
      <c r="D38" s="83" t="s">
        <v>428</v>
      </c>
      <c r="E38" s="242">
        <v>27</v>
      </c>
      <c r="F38" s="73" t="s">
        <v>100</v>
      </c>
      <c r="G38" s="67">
        <f>833</f>
        <v>833</v>
      </c>
      <c r="H38" s="67">
        <f t="shared" si="6"/>
        <v>22491</v>
      </c>
      <c r="I38" s="67">
        <v>292</v>
      </c>
      <c r="J38" s="67">
        <f t="shared" si="4"/>
        <v>7884</v>
      </c>
      <c r="K38" s="72">
        <f t="shared" si="5"/>
        <v>30375</v>
      </c>
    </row>
    <row r="39" spans="1:11" s="1" customFormat="1" x14ac:dyDescent="0.25">
      <c r="A39" s="238"/>
      <c r="B39" s="317"/>
      <c r="C39" s="318">
        <v>10</v>
      </c>
      <c r="D39" s="83" t="s">
        <v>429</v>
      </c>
      <c r="E39" s="242">
        <v>102</v>
      </c>
      <c r="F39" s="73" t="s">
        <v>100</v>
      </c>
      <c r="G39" s="67">
        <f>1349</f>
        <v>1349</v>
      </c>
      <c r="H39" s="67">
        <f t="shared" si="6"/>
        <v>137598</v>
      </c>
      <c r="I39" s="67">
        <v>473</v>
      </c>
      <c r="J39" s="67">
        <f t="shared" si="4"/>
        <v>48246</v>
      </c>
      <c r="K39" s="72">
        <f t="shared" si="5"/>
        <v>185844</v>
      </c>
    </row>
    <row r="40" spans="1:11" s="1" customFormat="1" x14ac:dyDescent="0.25">
      <c r="A40" s="238"/>
      <c r="B40" s="317"/>
      <c r="C40" s="318"/>
      <c r="D40" s="83"/>
      <c r="E40" s="242"/>
      <c r="F40" s="73"/>
      <c r="G40" s="67"/>
      <c r="H40" s="67"/>
      <c r="I40" s="67"/>
      <c r="J40" s="67"/>
      <c r="K40" s="72"/>
    </row>
    <row r="41" spans="1:11" s="1" customFormat="1" x14ac:dyDescent="0.25">
      <c r="A41" s="238"/>
      <c r="B41" s="290" t="s">
        <v>321</v>
      </c>
      <c r="C41" s="291" t="s">
        <v>431</v>
      </c>
      <c r="D41" s="316"/>
      <c r="E41" s="302"/>
      <c r="F41" s="75"/>
      <c r="G41" s="74"/>
      <c r="H41" s="74"/>
      <c r="I41" s="74"/>
      <c r="J41" s="74"/>
      <c r="K41" s="74"/>
    </row>
    <row r="42" spans="1:11" s="1" customFormat="1" x14ac:dyDescent="0.25">
      <c r="A42" s="238"/>
      <c r="B42" s="317"/>
      <c r="C42" s="318">
        <v>1</v>
      </c>
      <c r="D42" s="83" t="s">
        <v>432</v>
      </c>
      <c r="E42" s="242">
        <v>24</v>
      </c>
      <c r="F42" s="73" t="s">
        <v>28</v>
      </c>
      <c r="G42" s="67">
        <f>78</f>
        <v>78</v>
      </c>
      <c r="H42" s="67">
        <f>E42*G42</f>
        <v>1872</v>
      </c>
      <c r="I42" s="67">
        <v>70</v>
      </c>
      <c r="J42" s="67">
        <f t="shared" ref="J42:J48" si="7">E42*I42</f>
        <v>1680</v>
      </c>
      <c r="K42" s="72">
        <f t="shared" ref="K42:K48" si="8">H42+J42</f>
        <v>3552</v>
      </c>
    </row>
    <row r="43" spans="1:11" s="1" customFormat="1" x14ac:dyDescent="0.25">
      <c r="A43" s="238"/>
      <c r="B43" s="317"/>
      <c r="C43" s="318">
        <v>2</v>
      </c>
      <c r="D43" s="83" t="s">
        <v>433</v>
      </c>
      <c r="E43" s="242">
        <v>6</v>
      </c>
      <c r="F43" s="73" t="s">
        <v>28</v>
      </c>
      <c r="G43" s="67">
        <v>125</v>
      </c>
      <c r="H43" s="67">
        <f t="shared" ref="H43:H45" si="9">E43*G43</f>
        <v>750</v>
      </c>
      <c r="I43" s="67">
        <v>70</v>
      </c>
      <c r="J43" s="67">
        <f t="shared" si="7"/>
        <v>420</v>
      </c>
      <c r="K43" s="72">
        <f t="shared" si="8"/>
        <v>1170</v>
      </c>
    </row>
    <row r="44" spans="1:11" s="1" customFormat="1" x14ac:dyDescent="0.25">
      <c r="A44" s="238"/>
      <c r="B44" s="317"/>
      <c r="C44" s="318">
        <v>3</v>
      </c>
      <c r="D44" s="83" t="s">
        <v>434</v>
      </c>
      <c r="E44" s="242">
        <v>3</v>
      </c>
      <c r="F44" s="73" t="s">
        <v>28</v>
      </c>
      <c r="G44" s="67">
        <v>171</v>
      </c>
      <c r="H44" s="67">
        <f t="shared" si="9"/>
        <v>513</v>
      </c>
      <c r="I44" s="67">
        <v>70</v>
      </c>
      <c r="J44" s="67">
        <f t="shared" si="7"/>
        <v>210</v>
      </c>
      <c r="K44" s="72">
        <f t="shared" si="8"/>
        <v>723</v>
      </c>
    </row>
    <row r="45" spans="1:11" s="1" customFormat="1" x14ac:dyDescent="0.25">
      <c r="A45" s="238"/>
      <c r="B45" s="317"/>
      <c r="C45" s="318">
        <v>4</v>
      </c>
      <c r="D45" s="83" t="s">
        <v>435</v>
      </c>
      <c r="E45" s="242">
        <v>4</v>
      </c>
      <c r="F45" s="73" t="s">
        <v>28</v>
      </c>
      <c r="G45" s="67">
        <v>124</v>
      </c>
      <c r="H45" s="67">
        <f t="shared" si="9"/>
        <v>496</v>
      </c>
      <c r="I45" s="67">
        <v>70</v>
      </c>
      <c r="J45" s="67">
        <f t="shared" si="7"/>
        <v>280</v>
      </c>
      <c r="K45" s="72">
        <f t="shared" si="8"/>
        <v>776</v>
      </c>
    </row>
    <row r="46" spans="1:11" s="1" customFormat="1" x14ac:dyDescent="0.25">
      <c r="A46" s="238"/>
      <c r="B46" s="317"/>
      <c r="C46" s="318">
        <v>5</v>
      </c>
      <c r="D46" s="83" t="s">
        <v>436</v>
      </c>
      <c r="E46" s="242">
        <v>104</v>
      </c>
      <c r="F46" s="73" t="s">
        <v>28</v>
      </c>
      <c r="G46" s="67">
        <f>217</f>
        <v>217</v>
      </c>
      <c r="H46" s="67">
        <f>E46*G46</f>
        <v>22568</v>
      </c>
      <c r="I46" s="67">
        <v>70</v>
      </c>
      <c r="J46" s="67">
        <f t="shared" si="7"/>
        <v>7280</v>
      </c>
      <c r="K46" s="72">
        <f t="shared" si="8"/>
        <v>29848</v>
      </c>
    </row>
    <row r="47" spans="1:11" s="1" customFormat="1" x14ac:dyDescent="0.25">
      <c r="A47" s="238"/>
      <c r="B47" s="317"/>
      <c r="C47" s="318">
        <v>6</v>
      </c>
      <c r="D47" s="83" t="s">
        <v>437</v>
      </c>
      <c r="E47" s="242">
        <v>5</v>
      </c>
      <c r="F47" s="73" t="s">
        <v>28</v>
      </c>
      <c r="G47" s="67">
        <v>145</v>
      </c>
      <c r="H47" s="67">
        <f t="shared" ref="H47:H48" si="10">E47*G47</f>
        <v>725</v>
      </c>
      <c r="I47" s="67">
        <v>70</v>
      </c>
      <c r="J47" s="67">
        <f t="shared" si="7"/>
        <v>350</v>
      </c>
      <c r="K47" s="72">
        <f t="shared" si="8"/>
        <v>1075</v>
      </c>
    </row>
    <row r="48" spans="1:11" s="1" customFormat="1" x14ac:dyDescent="0.25">
      <c r="A48" s="238"/>
      <c r="B48" s="317"/>
      <c r="C48" s="318">
        <v>7</v>
      </c>
      <c r="D48" s="83" t="s">
        <v>438</v>
      </c>
      <c r="E48" s="242">
        <v>10</v>
      </c>
      <c r="F48" s="73" t="s">
        <v>28</v>
      </c>
      <c r="G48" s="67">
        <f>514</f>
        <v>514</v>
      </c>
      <c r="H48" s="67">
        <f t="shared" si="10"/>
        <v>5140</v>
      </c>
      <c r="I48" s="67">
        <v>70</v>
      </c>
      <c r="J48" s="67">
        <f t="shared" si="7"/>
        <v>700</v>
      </c>
      <c r="K48" s="72">
        <f t="shared" si="8"/>
        <v>5840</v>
      </c>
    </row>
    <row r="49" spans="1:11" s="1" customFormat="1" x14ac:dyDescent="0.25">
      <c r="A49" s="238"/>
      <c r="B49" s="317"/>
      <c r="C49" s="318"/>
      <c r="D49" s="83"/>
      <c r="E49" s="242"/>
      <c r="F49" s="73"/>
      <c r="G49" s="67"/>
      <c r="H49" s="67"/>
      <c r="I49" s="67"/>
      <c r="J49" s="67"/>
      <c r="K49" s="72"/>
    </row>
    <row r="50" spans="1:11" s="1" customFormat="1" x14ac:dyDescent="0.25">
      <c r="A50" s="238"/>
      <c r="B50" s="290" t="s">
        <v>439</v>
      </c>
      <c r="C50" s="291" t="s">
        <v>454</v>
      </c>
      <c r="D50" s="316"/>
      <c r="E50" s="244"/>
      <c r="F50" s="75"/>
      <c r="G50" s="74"/>
      <c r="H50" s="74"/>
      <c r="I50" s="74"/>
      <c r="J50" s="74"/>
      <c r="K50" s="74"/>
    </row>
    <row r="51" spans="1:11" s="1" customFormat="1" x14ac:dyDescent="0.25">
      <c r="A51" s="238"/>
      <c r="B51" s="317"/>
      <c r="C51" s="318">
        <v>1</v>
      </c>
      <c r="D51" s="83" t="s">
        <v>440</v>
      </c>
      <c r="E51" s="242">
        <v>1</v>
      </c>
      <c r="F51" s="73" t="s">
        <v>55</v>
      </c>
      <c r="G51" s="67">
        <f>25156</f>
        <v>25156</v>
      </c>
      <c r="H51" s="67">
        <f>E51*G51</f>
        <v>25156</v>
      </c>
      <c r="I51" s="67">
        <v>4000</v>
      </c>
      <c r="J51" s="67">
        <f t="shared" ref="J51:J63" si="11">E51*I51</f>
        <v>4000</v>
      </c>
      <c r="K51" s="72">
        <f t="shared" ref="K51:K63" si="12">H51+J51</f>
        <v>29156</v>
      </c>
    </row>
    <row r="52" spans="1:11" s="1" customFormat="1" x14ac:dyDescent="0.25">
      <c r="A52" s="238"/>
      <c r="B52" s="317"/>
      <c r="C52" s="318">
        <v>2</v>
      </c>
      <c r="D52" s="83" t="s">
        <v>441</v>
      </c>
      <c r="E52" s="242">
        <v>1</v>
      </c>
      <c r="F52" s="73" t="s">
        <v>55</v>
      </c>
      <c r="G52" s="67">
        <f>14517</f>
        <v>14517</v>
      </c>
      <c r="H52" s="67">
        <f t="shared" ref="H52:H54" si="13">E52*G52</f>
        <v>14517</v>
      </c>
      <c r="I52" s="67">
        <v>3000</v>
      </c>
      <c r="J52" s="67">
        <f t="shared" si="11"/>
        <v>3000</v>
      </c>
      <c r="K52" s="72">
        <f t="shared" si="12"/>
        <v>17517</v>
      </c>
    </row>
    <row r="53" spans="1:11" s="1" customFormat="1" x14ac:dyDescent="0.25">
      <c r="A53" s="238"/>
      <c r="B53" s="317"/>
      <c r="C53" s="318">
        <v>3</v>
      </c>
      <c r="D53" s="83" t="s">
        <v>442</v>
      </c>
      <c r="E53" s="242">
        <v>1</v>
      </c>
      <c r="F53" s="73" t="s">
        <v>55</v>
      </c>
      <c r="G53" s="67">
        <f>14517</f>
        <v>14517</v>
      </c>
      <c r="H53" s="67">
        <f t="shared" si="13"/>
        <v>14517</v>
      </c>
      <c r="I53" s="67">
        <v>3000</v>
      </c>
      <c r="J53" s="67">
        <f t="shared" si="11"/>
        <v>3000</v>
      </c>
      <c r="K53" s="72">
        <f t="shared" si="12"/>
        <v>17517</v>
      </c>
    </row>
    <row r="54" spans="1:11" s="1" customFormat="1" x14ac:dyDescent="0.25">
      <c r="A54" s="238"/>
      <c r="B54" s="317"/>
      <c r="C54" s="318">
        <v>4</v>
      </c>
      <c r="D54" s="83" t="s">
        <v>443</v>
      </c>
      <c r="E54" s="242">
        <v>1</v>
      </c>
      <c r="F54" s="73" t="s">
        <v>55</v>
      </c>
      <c r="G54" s="67">
        <f>21994</f>
        <v>21994</v>
      </c>
      <c r="H54" s="67">
        <f t="shared" si="13"/>
        <v>21994</v>
      </c>
      <c r="I54" s="67">
        <v>3500</v>
      </c>
      <c r="J54" s="67">
        <f t="shared" si="11"/>
        <v>3500</v>
      </c>
      <c r="K54" s="72">
        <f t="shared" si="12"/>
        <v>25494</v>
      </c>
    </row>
    <row r="55" spans="1:11" s="1" customFormat="1" x14ac:dyDescent="0.25">
      <c r="A55" s="238"/>
      <c r="B55" s="317"/>
      <c r="C55" s="318">
        <v>5</v>
      </c>
      <c r="D55" s="83" t="s">
        <v>444</v>
      </c>
      <c r="E55" s="242">
        <v>1</v>
      </c>
      <c r="F55" s="73" t="s">
        <v>55</v>
      </c>
      <c r="G55" s="67">
        <f>43350</f>
        <v>43350</v>
      </c>
      <c r="H55" s="67">
        <f>E55*G55</f>
        <v>43350</v>
      </c>
      <c r="I55" s="67">
        <v>5000</v>
      </c>
      <c r="J55" s="67">
        <f t="shared" si="11"/>
        <v>5000</v>
      </c>
      <c r="K55" s="72">
        <f t="shared" si="12"/>
        <v>48350</v>
      </c>
    </row>
    <row r="56" spans="1:11" s="1" customFormat="1" x14ac:dyDescent="0.25">
      <c r="A56" s="238"/>
      <c r="B56" s="317"/>
      <c r="C56" s="318"/>
      <c r="D56" s="83" t="s">
        <v>445</v>
      </c>
      <c r="E56" s="242"/>
      <c r="F56" s="73"/>
      <c r="G56" s="67"/>
      <c r="H56" s="67"/>
      <c r="I56" s="67"/>
      <c r="J56" s="67"/>
      <c r="K56" s="72"/>
    </row>
    <row r="57" spans="1:11" s="1" customFormat="1" x14ac:dyDescent="0.25">
      <c r="A57" s="238"/>
      <c r="B57" s="317"/>
      <c r="C57" s="318">
        <v>7</v>
      </c>
      <c r="D57" s="83" t="s">
        <v>446</v>
      </c>
      <c r="E57" s="242">
        <v>2</v>
      </c>
      <c r="F57" s="73" t="s">
        <v>28</v>
      </c>
      <c r="G57" s="67">
        <f>992</f>
        <v>992</v>
      </c>
      <c r="H57" s="67">
        <f t="shared" ref="H57:H58" si="14">E57*G57</f>
        <v>1984</v>
      </c>
      <c r="I57" s="67">
        <v>200</v>
      </c>
      <c r="J57" s="67">
        <f t="shared" si="11"/>
        <v>400</v>
      </c>
      <c r="K57" s="72">
        <f t="shared" si="12"/>
        <v>2384</v>
      </c>
    </row>
    <row r="58" spans="1:11" s="1" customFormat="1" x14ac:dyDescent="0.25">
      <c r="A58" s="238"/>
      <c r="B58" s="317"/>
      <c r="C58" s="318">
        <v>8</v>
      </c>
      <c r="D58" s="83" t="s">
        <v>447</v>
      </c>
      <c r="E58" s="242">
        <v>2</v>
      </c>
      <c r="F58" s="73" t="s">
        <v>28</v>
      </c>
      <c r="G58" s="67">
        <f>992</f>
        <v>992</v>
      </c>
      <c r="H58" s="67">
        <f t="shared" si="14"/>
        <v>1984</v>
      </c>
      <c r="I58" s="67">
        <v>200</v>
      </c>
      <c r="J58" s="67">
        <f t="shared" si="11"/>
        <v>400</v>
      </c>
      <c r="K58" s="72">
        <f t="shared" si="12"/>
        <v>2384</v>
      </c>
    </row>
    <row r="59" spans="1:11" s="1" customFormat="1" x14ac:dyDescent="0.25">
      <c r="A59" s="238"/>
      <c r="B59" s="317"/>
      <c r="C59" s="318">
        <v>5</v>
      </c>
      <c r="D59" s="83" t="s">
        <v>448</v>
      </c>
      <c r="E59" s="242">
        <v>9</v>
      </c>
      <c r="F59" s="73" t="s">
        <v>28</v>
      </c>
      <c r="G59" s="67">
        <f>1053</f>
        <v>1053</v>
      </c>
      <c r="H59" s="67">
        <f>E59*G59</f>
        <v>9477</v>
      </c>
      <c r="I59" s="67">
        <v>200</v>
      </c>
      <c r="J59" s="67">
        <f t="shared" si="11"/>
        <v>1800</v>
      </c>
      <c r="K59" s="72">
        <f t="shared" si="12"/>
        <v>11277</v>
      </c>
    </row>
    <row r="60" spans="1:11" s="1" customFormat="1" x14ac:dyDescent="0.25">
      <c r="A60" s="238"/>
      <c r="B60" s="317"/>
      <c r="C60" s="318">
        <v>6</v>
      </c>
      <c r="D60" s="83" t="s">
        <v>449</v>
      </c>
      <c r="E60" s="242">
        <v>5</v>
      </c>
      <c r="F60" s="73" t="s">
        <v>28</v>
      </c>
      <c r="G60" s="67">
        <f>1840</f>
        <v>1840</v>
      </c>
      <c r="H60" s="67">
        <f t="shared" ref="H60:H63" si="15">E60*G60</f>
        <v>9200</v>
      </c>
      <c r="I60" s="67">
        <v>200</v>
      </c>
      <c r="J60" s="67">
        <f t="shared" si="11"/>
        <v>1000</v>
      </c>
      <c r="K60" s="72">
        <f t="shared" si="12"/>
        <v>10200</v>
      </c>
    </row>
    <row r="61" spans="1:11" s="1" customFormat="1" x14ac:dyDescent="0.25">
      <c r="A61" s="238"/>
      <c r="B61" s="317"/>
      <c r="C61" s="318">
        <v>7</v>
      </c>
      <c r="D61" s="83" t="s">
        <v>451</v>
      </c>
      <c r="E61" s="242">
        <v>240</v>
      </c>
      <c r="F61" s="73" t="s">
        <v>453</v>
      </c>
      <c r="G61" s="67">
        <f>30</f>
        <v>30</v>
      </c>
      <c r="H61" s="67">
        <f t="shared" si="15"/>
        <v>7200</v>
      </c>
      <c r="I61" s="67">
        <v>11</v>
      </c>
      <c r="J61" s="67">
        <f t="shared" si="11"/>
        <v>2640</v>
      </c>
      <c r="K61" s="72">
        <f t="shared" si="12"/>
        <v>9840</v>
      </c>
    </row>
    <row r="62" spans="1:11" s="1" customFormat="1" x14ac:dyDescent="0.25">
      <c r="A62" s="238"/>
      <c r="B62" s="317"/>
      <c r="C62" s="318">
        <v>8</v>
      </c>
      <c r="D62" s="83" t="s">
        <v>450</v>
      </c>
      <c r="E62" s="242">
        <v>240</v>
      </c>
      <c r="F62" s="73" t="s">
        <v>283</v>
      </c>
      <c r="G62" s="67">
        <v>16</v>
      </c>
      <c r="H62" s="67">
        <f t="shared" si="15"/>
        <v>3840</v>
      </c>
      <c r="I62" s="67">
        <v>6</v>
      </c>
      <c r="J62" s="67">
        <f t="shared" si="11"/>
        <v>1440</v>
      </c>
      <c r="K62" s="72">
        <f t="shared" si="12"/>
        <v>5280</v>
      </c>
    </row>
    <row r="63" spans="1:11" s="1" customFormat="1" x14ac:dyDescent="0.25">
      <c r="A63" s="238"/>
      <c r="B63" s="317"/>
      <c r="C63" s="318">
        <v>9</v>
      </c>
      <c r="D63" s="83" t="s">
        <v>452</v>
      </c>
      <c r="E63" s="242">
        <v>95</v>
      </c>
      <c r="F63" s="73" t="s">
        <v>283</v>
      </c>
      <c r="G63" s="67">
        <v>25</v>
      </c>
      <c r="H63" s="67">
        <f t="shared" si="15"/>
        <v>2375</v>
      </c>
      <c r="I63" s="67">
        <v>9</v>
      </c>
      <c r="J63" s="67">
        <f t="shared" si="11"/>
        <v>855</v>
      </c>
      <c r="K63" s="72">
        <f t="shared" si="12"/>
        <v>3230</v>
      </c>
    </row>
    <row r="64" spans="1:11" s="1" customFormat="1" x14ac:dyDescent="0.25">
      <c r="A64" s="238"/>
      <c r="B64" s="317"/>
      <c r="C64" s="318"/>
      <c r="D64" s="83"/>
      <c r="E64" s="242"/>
      <c r="F64" s="73"/>
      <c r="G64" s="67"/>
      <c r="H64" s="67"/>
      <c r="I64" s="67"/>
      <c r="J64" s="67"/>
      <c r="K64" s="72"/>
    </row>
    <row r="65" spans="1:11" s="1" customFormat="1" x14ac:dyDescent="0.25">
      <c r="A65" s="238"/>
      <c r="B65" s="290" t="s">
        <v>329</v>
      </c>
      <c r="C65" s="291" t="s">
        <v>458</v>
      </c>
      <c r="D65" s="316"/>
      <c r="E65" s="244"/>
      <c r="F65" s="75"/>
      <c r="G65" s="74"/>
      <c r="H65" s="74"/>
      <c r="I65" s="74"/>
      <c r="J65" s="74"/>
      <c r="K65" s="74"/>
    </row>
    <row r="66" spans="1:11" s="1" customFormat="1" x14ac:dyDescent="0.25">
      <c r="A66" s="238"/>
      <c r="B66" s="317"/>
      <c r="C66" s="318">
        <v>1</v>
      </c>
      <c r="D66" s="83" t="s">
        <v>459</v>
      </c>
      <c r="E66" s="242">
        <v>1337</v>
      </c>
      <c r="F66" s="73" t="s">
        <v>100</v>
      </c>
      <c r="G66" s="67">
        <f>10</f>
        <v>10</v>
      </c>
      <c r="H66" s="67">
        <f>E66*G66</f>
        <v>13370</v>
      </c>
      <c r="I66" s="67">
        <v>4</v>
      </c>
      <c r="J66" s="67">
        <f t="shared" ref="J66:J74" si="16">E66*I66</f>
        <v>5348</v>
      </c>
      <c r="K66" s="72">
        <f t="shared" ref="K66:K74" si="17">H66+J66</f>
        <v>18718</v>
      </c>
    </row>
    <row r="67" spans="1:11" s="1" customFormat="1" x14ac:dyDescent="0.25">
      <c r="A67" s="238"/>
      <c r="B67" s="317"/>
      <c r="C67" s="318">
        <v>2</v>
      </c>
      <c r="D67" s="83" t="s">
        <v>460</v>
      </c>
      <c r="E67" s="242">
        <v>1113</v>
      </c>
      <c r="F67" s="73" t="s">
        <v>100</v>
      </c>
      <c r="G67" s="67">
        <f>25</f>
        <v>25</v>
      </c>
      <c r="H67" s="67">
        <f t="shared" ref="H67:H69" si="18">E67*G67</f>
        <v>27825</v>
      </c>
      <c r="I67" s="67">
        <v>9</v>
      </c>
      <c r="J67" s="67">
        <f t="shared" si="16"/>
        <v>10017</v>
      </c>
      <c r="K67" s="72">
        <f t="shared" si="17"/>
        <v>37842</v>
      </c>
    </row>
    <row r="68" spans="1:11" s="1" customFormat="1" x14ac:dyDescent="0.25">
      <c r="A68" s="238"/>
      <c r="B68" s="317"/>
      <c r="C68" s="318">
        <v>3</v>
      </c>
      <c r="D68" s="83" t="s">
        <v>461</v>
      </c>
      <c r="E68" s="242">
        <v>33</v>
      </c>
      <c r="F68" s="73" t="s">
        <v>28</v>
      </c>
      <c r="G68" s="67">
        <f>258</f>
        <v>258</v>
      </c>
      <c r="H68" s="67">
        <f t="shared" si="18"/>
        <v>8514</v>
      </c>
      <c r="I68" s="67">
        <v>100</v>
      </c>
      <c r="J68" s="67">
        <f t="shared" si="16"/>
        <v>3300</v>
      </c>
      <c r="K68" s="72">
        <f t="shared" si="17"/>
        <v>11814</v>
      </c>
    </row>
    <row r="69" spans="1:11" s="1" customFormat="1" x14ac:dyDescent="0.25">
      <c r="A69" s="238"/>
      <c r="B69" s="317"/>
      <c r="C69" s="318">
        <v>4</v>
      </c>
      <c r="D69" s="83" t="s">
        <v>462</v>
      </c>
      <c r="E69" s="242">
        <v>33</v>
      </c>
      <c r="F69" s="73" t="s">
        <v>28</v>
      </c>
      <c r="G69" s="67">
        <f>456</f>
        <v>456</v>
      </c>
      <c r="H69" s="67">
        <f t="shared" si="18"/>
        <v>15048</v>
      </c>
      <c r="I69" s="67">
        <v>100</v>
      </c>
      <c r="J69" s="67">
        <f t="shared" si="16"/>
        <v>3300</v>
      </c>
      <c r="K69" s="72">
        <f t="shared" si="17"/>
        <v>18348</v>
      </c>
    </row>
    <row r="70" spans="1:11" s="1" customFormat="1" x14ac:dyDescent="0.25">
      <c r="A70" s="238"/>
      <c r="B70" s="317"/>
      <c r="C70" s="318">
        <v>1</v>
      </c>
      <c r="D70" s="83" t="s">
        <v>463</v>
      </c>
      <c r="E70" s="242">
        <v>1</v>
      </c>
      <c r="F70" s="73" t="s">
        <v>251</v>
      </c>
      <c r="G70" s="67">
        <f>4500</f>
        <v>4500</v>
      </c>
      <c r="H70" s="67">
        <f>E70*G70</f>
        <v>4500</v>
      </c>
      <c r="I70" s="67">
        <v>900</v>
      </c>
      <c r="J70" s="67">
        <f t="shared" si="16"/>
        <v>900</v>
      </c>
      <c r="K70" s="72">
        <f t="shared" si="17"/>
        <v>5400</v>
      </c>
    </row>
    <row r="71" spans="1:11" s="1" customFormat="1" x14ac:dyDescent="0.25">
      <c r="A71" s="238"/>
      <c r="B71" s="317"/>
      <c r="C71" s="318">
        <v>2</v>
      </c>
      <c r="D71" s="83" t="s">
        <v>464</v>
      </c>
      <c r="E71" s="242">
        <v>1</v>
      </c>
      <c r="F71" s="73" t="s">
        <v>251</v>
      </c>
      <c r="G71" s="67">
        <f>15000</f>
        <v>15000</v>
      </c>
      <c r="H71" s="67">
        <f t="shared" ref="H71:H73" si="19">E71*G71</f>
        <v>15000</v>
      </c>
      <c r="I71" s="67">
        <v>3000</v>
      </c>
      <c r="J71" s="67">
        <f t="shared" si="16"/>
        <v>3000</v>
      </c>
      <c r="K71" s="72">
        <f t="shared" si="17"/>
        <v>18000</v>
      </c>
    </row>
    <row r="72" spans="1:11" s="1" customFormat="1" x14ac:dyDescent="0.25">
      <c r="A72" s="238"/>
      <c r="B72" s="317"/>
      <c r="C72" s="318">
        <v>3</v>
      </c>
      <c r="D72" s="83" t="s">
        <v>465</v>
      </c>
      <c r="E72" s="242">
        <v>1</v>
      </c>
      <c r="F72" s="73" t="s">
        <v>243</v>
      </c>
      <c r="G72" s="67">
        <f>1200</f>
        <v>1200</v>
      </c>
      <c r="H72" s="67">
        <f t="shared" si="19"/>
        <v>1200</v>
      </c>
      <c r="I72" s="67">
        <v>450</v>
      </c>
      <c r="J72" s="67">
        <f t="shared" si="16"/>
        <v>450</v>
      </c>
      <c r="K72" s="72">
        <f t="shared" si="17"/>
        <v>1650</v>
      </c>
    </row>
    <row r="73" spans="1:11" s="1" customFormat="1" x14ac:dyDescent="0.25">
      <c r="A73" s="238"/>
      <c r="B73" s="317"/>
      <c r="C73" s="318">
        <v>4</v>
      </c>
      <c r="D73" s="83" t="s">
        <v>466</v>
      </c>
      <c r="E73" s="242">
        <v>2</v>
      </c>
      <c r="F73" s="73" t="s">
        <v>283</v>
      </c>
      <c r="G73" s="67">
        <f>5612</f>
        <v>5612</v>
      </c>
      <c r="H73" s="67">
        <f t="shared" si="19"/>
        <v>11224</v>
      </c>
      <c r="I73" s="67">
        <v>2000</v>
      </c>
      <c r="J73" s="67">
        <f t="shared" si="16"/>
        <v>4000</v>
      </c>
      <c r="K73" s="72">
        <f t="shared" si="17"/>
        <v>15224</v>
      </c>
    </row>
    <row r="74" spans="1:11" s="1" customFormat="1" x14ac:dyDescent="0.25">
      <c r="A74" s="238"/>
      <c r="B74" s="317"/>
      <c r="C74" s="318">
        <v>5</v>
      </c>
      <c r="D74" s="83" t="s">
        <v>467</v>
      </c>
      <c r="E74" s="242">
        <v>1</v>
      </c>
      <c r="F74" s="73" t="s">
        <v>301</v>
      </c>
      <c r="G74" s="67">
        <f>7500</f>
        <v>7500</v>
      </c>
      <c r="H74" s="67">
        <f>E74*G74</f>
        <v>7500</v>
      </c>
      <c r="I74" s="67">
        <v>2500</v>
      </c>
      <c r="J74" s="67">
        <f t="shared" si="16"/>
        <v>2500</v>
      </c>
      <c r="K74" s="72">
        <f t="shared" si="17"/>
        <v>10000</v>
      </c>
    </row>
    <row r="75" spans="1:11" ht="15.75" thickBot="1" x14ac:dyDescent="0.3">
      <c r="A75" s="238"/>
      <c r="B75" s="249"/>
      <c r="C75" s="293"/>
      <c r="D75" s="83"/>
      <c r="E75" s="302"/>
      <c r="F75" s="68"/>
      <c r="G75" s="67"/>
      <c r="H75" s="67"/>
      <c r="I75" s="67"/>
      <c r="J75" s="67"/>
      <c r="K75" s="67"/>
    </row>
    <row r="76" spans="1:11" s="234" customFormat="1" ht="15.75" thickBot="1" x14ac:dyDescent="0.3">
      <c r="A76" s="308"/>
      <c r="B76" s="910" t="s">
        <v>345</v>
      </c>
      <c r="C76" s="911"/>
      <c r="D76" s="912"/>
      <c r="E76" s="310"/>
      <c r="F76" s="311"/>
      <c r="G76" s="312"/>
      <c r="H76" s="313">
        <f>SUM(H16:H75)</f>
        <v>757306</v>
      </c>
      <c r="I76" s="312"/>
      <c r="J76" s="313">
        <f>SUM(J16:J75)</f>
        <v>275333</v>
      </c>
      <c r="K76" s="315">
        <f>SUM(K16:K75)</f>
        <v>1032639</v>
      </c>
    </row>
  </sheetData>
  <mergeCells count="10">
    <mergeCell ref="B76:D76"/>
    <mergeCell ref="H14:H15"/>
    <mergeCell ref="I14:I15"/>
    <mergeCell ref="J14:J15"/>
    <mergeCell ref="K14:K15"/>
    <mergeCell ref="A14:A15"/>
    <mergeCell ref="B14:D15"/>
    <mergeCell ref="E14:E15"/>
    <mergeCell ref="F14:F15"/>
    <mergeCell ref="G14:G15"/>
  </mergeCells>
  <printOptions horizontalCentered="1"/>
  <pageMargins left="0.25" right="0.25" top="0.75" bottom="0.75" header="0.3" footer="0.3"/>
  <pageSetup paperSize="197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7:AR304"/>
  <sheetViews>
    <sheetView showGridLines="0" view="pageBreakPreview" topLeftCell="B27" zoomScale="80" zoomScaleNormal="85" zoomScaleSheetLayoutView="80" workbookViewId="0">
      <selection activeCell="I60" sqref="I60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0.7109375" style="1" customWidth="1"/>
    <col min="33" max="33" width="10.7109375" style="18" customWidth="1"/>
    <col min="34" max="41" width="9.140625" style="18"/>
    <col min="42" max="42" width="12" style="18" customWidth="1"/>
    <col min="43" max="43" width="9.140625" style="18"/>
    <col min="44" max="44" width="14.28515625" style="18" customWidth="1"/>
    <col min="45" max="16384" width="9.140625" style="18"/>
  </cols>
  <sheetData>
    <row r="7" spans="1:39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39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39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39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39" x14ac:dyDescent="0.25">
      <c r="A11" s="235"/>
      <c r="D11" s="21"/>
      <c r="E11" s="181"/>
    </row>
    <row r="12" spans="1:39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73"/>
      <c r="AM12" s="273"/>
    </row>
    <row r="13" spans="1:39" ht="15.75" thickBot="1" x14ac:dyDescent="0.3">
      <c r="T13" s="224"/>
      <c r="U13" s="273"/>
      <c r="V13" s="273"/>
      <c r="AK13" s="273"/>
      <c r="AL13" s="273"/>
      <c r="AM13" s="273"/>
    </row>
    <row r="14" spans="1:39" s="19" customFormat="1" x14ac:dyDescent="0.25">
      <c r="A14" s="906" t="s">
        <v>4</v>
      </c>
      <c r="B14" s="864" t="s">
        <v>7</v>
      </c>
      <c r="C14" s="908"/>
      <c r="D14" s="865"/>
      <c r="E14" s="915" t="s">
        <v>81</v>
      </c>
      <c r="F14" s="917" t="s">
        <v>6</v>
      </c>
      <c r="G14" s="868" t="s">
        <v>5</v>
      </c>
      <c r="H14" s="870" t="s">
        <v>174</v>
      </c>
      <c r="I14" s="870" t="s">
        <v>175</v>
      </c>
      <c r="J14" s="870" t="s">
        <v>176</v>
      </c>
      <c r="K14" s="870" t="s">
        <v>177</v>
      </c>
      <c r="L14" s="870" t="s">
        <v>178</v>
      </c>
      <c r="M14" s="872" t="s">
        <v>8</v>
      </c>
      <c r="N14" s="873"/>
      <c r="O14" s="874"/>
      <c r="P14" s="919" t="s">
        <v>11</v>
      </c>
      <c r="Q14" s="2"/>
      <c r="R14" s="2"/>
      <c r="T14" s="441"/>
      <c r="U14" s="274"/>
      <c r="V14" s="274"/>
      <c r="AK14" s="274"/>
      <c r="AL14" s="274"/>
      <c r="AM14" s="274"/>
    </row>
    <row r="15" spans="1:39" s="19" customFormat="1" ht="15.75" thickBot="1" x14ac:dyDescent="0.3">
      <c r="A15" s="907"/>
      <c r="B15" s="866"/>
      <c r="C15" s="909"/>
      <c r="D15" s="867"/>
      <c r="E15" s="916"/>
      <c r="F15" s="918"/>
      <c r="G15" s="869"/>
      <c r="H15" s="871"/>
      <c r="I15" s="871"/>
      <c r="J15" s="871"/>
      <c r="K15" s="871"/>
      <c r="L15" s="871"/>
      <c r="M15" s="54" t="s">
        <v>9</v>
      </c>
      <c r="N15" s="54" t="s">
        <v>10</v>
      </c>
      <c r="O15" s="54" t="s">
        <v>230</v>
      </c>
      <c r="P15" s="920"/>
      <c r="Q15" s="2"/>
      <c r="R15" s="2"/>
      <c r="T15" s="441"/>
      <c r="U15" s="274"/>
      <c r="V15" s="274"/>
      <c r="AK15" s="274"/>
      <c r="AL15" s="274"/>
      <c r="AM15" s="274"/>
    </row>
    <row r="16" spans="1:39" s="226" customFormat="1" ht="15.75" x14ac:dyDescent="0.25">
      <c r="A16" s="322" t="s">
        <v>80</v>
      </c>
      <c r="B16" s="251" t="s">
        <v>315</v>
      </c>
      <c r="C16" s="295"/>
      <c r="D16" s="259"/>
      <c r="E16" s="70"/>
      <c r="F16" s="301"/>
      <c r="G16" s="260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25"/>
      <c r="AM16" s="225"/>
    </row>
    <row r="17" spans="1:39" s="226" customFormat="1" x14ac:dyDescent="0.25">
      <c r="A17" s="263"/>
      <c r="B17" s="261"/>
      <c r="C17" s="293">
        <v>1</v>
      </c>
      <c r="D17" s="259" t="s">
        <v>300</v>
      </c>
      <c r="E17" s="71">
        <v>1</v>
      </c>
      <c r="F17" s="302">
        <v>1</v>
      </c>
      <c r="G17" s="262" t="s">
        <v>301</v>
      </c>
      <c r="H17" s="72">
        <v>10000</v>
      </c>
      <c r="I17" s="72">
        <f>H17*F17</f>
        <v>10000</v>
      </c>
      <c r="J17" s="72">
        <v>10000</v>
      </c>
      <c r="K17" s="72">
        <f>J17*F17</f>
        <v>10000</v>
      </c>
      <c r="L17" s="72">
        <f>I17+K17</f>
        <v>20000</v>
      </c>
      <c r="M17" s="67">
        <f t="shared" ref="M17:M33" si="0">H17/$P$255*$P$263</f>
        <v>13733.625053200478</v>
      </c>
      <c r="N17" s="67">
        <f t="shared" ref="N17:N33" si="1">J17/$P$255*$P$263</f>
        <v>13733.625053200478</v>
      </c>
      <c r="O17" s="72">
        <f>N17+M17</f>
        <v>27467.250106400956</v>
      </c>
      <c r="P17" s="203">
        <f>O17*F17</f>
        <v>27467.250106400956</v>
      </c>
      <c r="Q17" s="272">
        <f t="shared" ref="Q17:Q80" si="2">L17/$P$255*$P$263</f>
        <v>27467.250106400956</v>
      </c>
      <c r="R17" s="439">
        <f>P17-Q17</f>
        <v>0</v>
      </c>
      <c r="S17" s="230"/>
      <c r="T17" s="439"/>
      <c r="U17" s="275"/>
      <c r="V17" s="276"/>
      <c r="AK17" s="278"/>
      <c r="AL17" s="225"/>
      <c r="AM17" s="225"/>
    </row>
    <row r="18" spans="1:39" s="226" customFormat="1" x14ac:dyDescent="0.25">
      <c r="A18" s="263"/>
      <c r="B18" s="261"/>
      <c r="C18" s="293">
        <v>2</v>
      </c>
      <c r="D18" s="259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33" si="3">H18*F18</f>
        <v>10000</v>
      </c>
      <c r="J18" s="72">
        <v>8000</v>
      </c>
      <c r="K18" s="72">
        <f t="shared" ref="K18:K33" si="4">J18*F18</f>
        <v>8000</v>
      </c>
      <c r="L18" s="72">
        <f t="shared" ref="L18:L33" si="5">I18+K18</f>
        <v>18000</v>
      </c>
      <c r="M18" s="67">
        <f t="shared" si="0"/>
        <v>13733.625053200478</v>
      </c>
      <c r="N18" s="67">
        <f t="shared" si="1"/>
        <v>10986.900042560383</v>
      </c>
      <c r="O18" s="72">
        <f t="shared" ref="O18:O33" si="6">N18+M18</f>
        <v>24720.525095760859</v>
      </c>
      <c r="P18" s="203">
        <f t="shared" ref="P18:P33" si="7">O18*F18</f>
        <v>24720.525095760859</v>
      </c>
      <c r="Q18" s="272">
        <f t="shared" si="2"/>
        <v>24720.525095760859</v>
      </c>
      <c r="R18" s="439">
        <f t="shared" ref="R18:R81" si="8">P18-Q18</f>
        <v>0</v>
      </c>
      <c r="S18" s="230"/>
      <c r="T18" s="439"/>
      <c r="U18" s="275"/>
      <c r="V18" s="276"/>
      <c r="AK18" s="279"/>
      <c r="AL18" s="225"/>
      <c r="AM18" s="225"/>
    </row>
    <row r="19" spans="1:39" s="226" customFormat="1" x14ac:dyDescent="0.25">
      <c r="A19" s="263"/>
      <c r="B19" s="261"/>
      <c r="C19" s="293">
        <v>3</v>
      </c>
      <c r="D19" s="259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3"/>
        <v>5000</v>
      </c>
      <c r="J19" s="72">
        <v>10000</v>
      </c>
      <c r="K19" s="72">
        <f t="shared" si="4"/>
        <v>10000</v>
      </c>
      <c r="L19" s="72">
        <f t="shared" si="5"/>
        <v>15000</v>
      </c>
      <c r="M19" s="67">
        <f t="shared" si="0"/>
        <v>6866.8125266002389</v>
      </c>
      <c r="N19" s="67">
        <f t="shared" si="1"/>
        <v>13733.625053200478</v>
      </c>
      <c r="O19" s="72">
        <f t="shared" si="6"/>
        <v>20600.437579800717</v>
      </c>
      <c r="P19" s="203">
        <f t="shared" si="7"/>
        <v>20600.437579800717</v>
      </c>
      <c r="Q19" s="272">
        <f t="shared" si="2"/>
        <v>20600.437579800717</v>
      </c>
      <c r="R19" s="439">
        <f t="shared" si="8"/>
        <v>0</v>
      </c>
      <c r="S19" s="230"/>
      <c r="T19" s="439"/>
      <c r="U19" s="275"/>
      <c r="V19" s="264"/>
      <c r="AK19" s="278"/>
      <c r="AL19" s="225"/>
      <c r="AM19" s="225"/>
    </row>
    <row r="20" spans="1:39" s="226" customFormat="1" x14ac:dyDescent="0.25">
      <c r="A20" s="263"/>
      <c r="B20" s="261"/>
      <c r="C20" s="293">
        <v>4</v>
      </c>
      <c r="D20" s="481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3"/>
        <v>0</v>
      </c>
      <c r="J20" s="74">
        <f>4*(24000+16000+16000)/1.05</f>
        <v>213333.33333333331</v>
      </c>
      <c r="K20" s="72">
        <f t="shared" si="4"/>
        <v>213333.33333333331</v>
      </c>
      <c r="L20" s="72">
        <f t="shared" si="5"/>
        <v>213333.33333333331</v>
      </c>
      <c r="M20" s="67">
        <f t="shared" si="0"/>
        <v>0</v>
      </c>
      <c r="N20" s="67">
        <f t="shared" si="1"/>
        <v>292984.00113494351</v>
      </c>
      <c r="O20" s="72">
        <f t="shared" si="6"/>
        <v>292984.00113494351</v>
      </c>
      <c r="P20" s="203">
        <f t="shared" si="7"/>
        <v>292984.00113494351</v>
      </c>
      <c r="Q20" s="272">
        <f t="shared" si="2"/>
        <v>292984.00113494351</v>
      </c>
      <c r="R20" s="439">
        <f t="shared" si="8"/>
        <v>0</v>
      </c>
      <c r="S20" s="230"/>
      <c r="T20" s="439"/>
      <c r="U20" s="275"/>
      <c r="V20" s="280"/>
      <c r="AK20" s="278"/>
      <c r="AL20" s="225"/>
      <c r="AM20" s="225"/>
    </row>
    <row r="21" spans="1:39" s="226" customFormat="1" x14ac:dyDescent="0.25">
      <c r="A21" s="263"/>
      <c r="B21" s="261"/>
      <c r="C21" s="293">
        <v>5</v>
      </c>
      <c r="D21" s="259" t="s">
        <v>307</v>
      </c>
      <c r="E21" s="71">
        <v>1</v>
      </c>
      <c r="F21" s="302">
        <v>1</v>
      </c>
      <c r="G21" s="262" t="s">
        <v>301</v>
      </c>
      <c r="H21" s="72">
        <f>(AR42+AR51+AR58)/1.07</f>
        <v>66771.471962616823</v>
      </c>
      <c r="I21" s="72">
        <f t="shared" si="3"/>
        <v>66771.471962616823</v>
      </c>
      <c r="J21" s="72">
        <v>2500</v>
      </c>
      <c r="K21" s="72">
        <f t="shared" si="4"/>
        <v>2500</v>
      </c>
      <c r="L21" s="72">
        <f t="shared" si="5"/>
        <v>69271.471962616823</v>
      </c>
      <c r="M21" s="67">
        <f t="shared" si="0"/>
        <v>91701.436018486769</v>
      </c>
      <c r="N21" s="67">
        <f t="shared" si="1"/>
        <v>3433.4062633001195</v>
      </c>
      <c r="O21" s="72">
        <f t="shared" si="6"/>
        <v>95134.842281786885</v>
      </c>
      <c r="P21" s="203">
        <f t="shared" si="7"/>
        <v>95134.842281786885</v>
      </c>
      <c r="Q21" s="272">
        <f t="shared" si="2"/>
        <v>95134.842281786885</v>
      </c>
      <c r="R21" s="439">
        <f t="shared" si="8"/>
        <v>0</v>
      </c>
      <c r="S21" s="230"/>
      <c r="T21" s="439"/>
      <c r="U21" s="275"/>
      <c r="V21" s="281"/>
      <c r="AK21" s="278"/>
      <c r="AL21" s="225"/>
      <c r="AM21" s="225"/>
    </row>
    <row r="22" spans="1:39" s="226" customFormat="1" x14ac:dyDescent="0.25">
      <c r="A22" s="263"/>
      <c r="B22" s="261"/>
      <c r="C22" s="293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3"/>
        <v>35000</v>
      </c>
      <c r="J22" s="72">
        <v>5000</v>
      </c>
      <c r="K22" s="72">
        <f t="shared" si="4"/>
        <v>5000</v>
      </c>
      <c r="L22" s="72">
        <f t="shared" si="5"/>
        <v>40000</v>
      </c>
      <c r="M22" s="67">
        <f t="shared" si="0"/>
        <v>48067.687686201672</v>
      </c>
      <c r="N22" s="67">
        <f t="shared" si="1"/>
        <v>6866.8125266002389</v>
      </c>
      <c r="O22" s="72">
        <f t="shared" si="6"/>
        <v>54934.500212801911</v>
      </c>
      <c r="P22" s="203">
        <f t="shared" si="7"/>
        <v>54934.500212801911</v>
      </c>
      <c r="Q22" s="272">
        <f t="shared" si="2"/>
        <v>54934.500212801911</v>
      </c>
      <c r="R22" s="439">
        <f t="shared" si="8"/>
        <v>0</v>
      </c>
      <c r="S22" s="230"/>
      <c r="T22" s="442"/>
      <c r="U22" s="275"/>
      <c r="V22" s="276"/>
      <c r="AK22" s="278"/>
      <c r="AL22" s="225"/>
      <c r="AM22" s="225"/>
    </row>
    <row r="23" spans="1:39" s="226" customFormat="1" x14ac:dyDescent="0.25">
      <c r="A23" s="263"/>
      <c r="B23" s="261"/>
      <c r="C23" s="293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3"/>
        <v>108000</v>
      </c>
      <c r="J23" s="72"/>
      <c r="K23" s="72">
        <f t="shared" si="4"/>
        <v>0</v>
      </c>
      <c r="L23" s="72">
        <f t="shared" si="5"/>
        <v>108000</v>
      </c>
      <c r="M23" s="67">
        <f t="shared" si="0"/>
        <v>148323.15057456514</v>
      </c>
      <c r="N23" s="67">
        <f t="shared" si="1"/>
        <v>0</v>
      </c>
      <c r="O23" s="72">
        <f t="shared" si="6"/>
        <v>148323.15057456514</v>
      </c>
      <c r="P23" s="203">
        <f t="shared" si="7"/>
        <v>148323.15057456514</v>
      </c>
      <c r="Q23" s="272">
        <f t="shared" si="2"/>
        <v>148323.15057456514</v>
      </c>
      <c r="R23" s="439">
        <f t="shared" si="8"/>
        <v>0</v>
      </c>
      <c r="S23" s="230"/>
      <c r="T23" s="442"/>
      <c r="U23" s="275"/>
      <c r="V23" s="276"/>
      <c r="AK23" s="278"/>
      <c r="AL23" s="225"/>
      <c r="AM23" s="225"/>
    </row>
    <row r="24" spans="1:39" s="226" customFormat="1" x14ac:dyDescent="0.25">
      <c r="A24" s="263"/>
      <c r="B24" s="261"/>
      <c r="C24" s="293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3"/>
        <v>0</v>
      </c>
      <c r="J24" s="72"/>
      <c r="K24" s="72">
        <f t="shared" si="4"/>
        <v>0</v>
      </c>
      <c r="L24" s="72">
        <f t="shared" si="5"/>
        <v>0</v>
      </c>
      <c r="M24" s="67">
        <f t="shared" si="0"/>
        <v>0</v>
      </c>
      <c r="N24" s="67">
        <f t="shared" si="1"/>
        <v>0</v>
      </c>
      <c r="O24" s="72">
        <f t="shared" si="6"/>
        <v>0</v>
      </c>
      <c r="P24" s="221" t="s">
        <v>333</v>
      </c>
      <c r="Q24" s="272">
        <f t="shared" si="2"/>
        <v>0</v>
      </c>
      <c r="R24" s="439" t="e">
        <f t="shared" si="8"/>
        <v>#VALUE!</v>
      </c>
      <c r="S24" s="230"/>
      <c r="T24" s="442"/>
      <c r="U24" s="275"/>
      <c r="V24" s="276"/>
      <c r="AK24" s="278"/>
      <c r="AL24" s="225"/>
      <c r="AM24" s="225"/>
    </row>
    <row r="25" spans="1:39" s="226" customFormat="1" x14ac:dyDescent="0.25">
      <c r="A25" s="263"/>
      <c r="B25" s="261"/>
      <c r="C25" s="293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486">
        <f>155+47*5</f>
        <v>390</v>
      </c>
      <c r="I25" s="72">
        <f t="shared" si="3"/>
        <v>514800</v>
      </c>
      <c r="J25" s="72">
        <v>76</v>
      </c>
      <c r="K25" s="72">
        <f t="shared" si="4"/>
        <v>100320</v>
      </c>
      <c r="L25" s="72">
        <f t="shared" si="5"/>
        <v>615120</v>
      </c>
      <c r="M25" s="67">
        <f t="shared" si="0"/>
        <v>535.61137707481862</v>
      </c>
      <c r="N25" s="67">
        <f t="shared" si="1"/>
        <v>104.37555040432363</v>
      </c>
      <c r="O25" s="72">
        <f t="shared" si="6"/>
        <v>639.9869274791422</v>
      </c>
      <c r="P25" s="203">
        <f t="shared" si="7"/>
        <v>844782.74427246768</v>
      </c>
      <c r="Q25" s="272">
        <f t="shared" si="2"/>
        <v>844782.7442724678</v>
      </c>
      <c r="R25" s="439">
        <f t="shared" si="8"/>
        <v>0</v>
      </c>
      <c r="S25" s="230"/>
      <c r="T25" s="442"/>
      <c r="U25" s="275"/>
      <c r="V25" s="276"/>
      <c r="AK25" s="278"/>
      <c r="AL25" s="225"/>
      <c r="AM25" s="225"/>
    </row>
    <row r="26" spans="1:39" s="226" customFormat="1" x14ac:dyDescent="0.25">
      <c r="A26" s="263"/>
      <c r="B26" s="261"/>
      <c r="C26" s="293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3"/>
        <v>46601.941747572811</v>
      </c>
      <c r="J26" s="72">
        <v>4000</v>
      </c>
      <c r="K26" s="72">
        <f t="shared" si="4"/>
        <v>4000</v>
      </c>
      <c r="L26" s="72">
        <f t="shared" si="5"/>
        <v>50601.941747572811</v>
      </c>
      <c r="M26" s="67">
        <f t="shared" si="0"/>
        <v>64001.359471225522</v>
      </c>
      <c r="N26" s="67">
        <f t="shared" si="1"/>
        <v>5493.4500212801913</v>
      </c>
      <c r="O26" s="72">
        <f t="shared" si="6"/>
        <v>69494.809492505708</v>
      </c>
      <c r="P26" s="203">
        <f t="shared" si="7"/>
        <v>69494.809492505708</v>
      </c>
      <c r="Q26" s="272">
        <f t="shared" si="2"/>
        <v>69494.809492505708</v>
      </c>
      <c r="R26" s="439">
        <f t="shared" si="8"/>
        <v>0</v>
      </c>
      <c r="S26" s="230"/>
      <c r="T26" s="442"/>
      <c r="U26" s="275"/>
      <c r="V26" s="276"/>
      <c r="AK26" s="278"/>
      <c r="AL26" s="225"/>
      <c r="AM26" s="225"/>
    </row>
    <row r="27" spans="1:39" s="226" customFormat="1" x14ac:dyDescent="0.25">
      <c r="A27" s="265"/>
      <c r="B27" s="258"/>
      <c r="C27" s="293">
        <v>11</v>
      </c>
      <c r="D27" s="516" t="s">
        <v>311</v>
      </c>
      <c r="E27" s="71">
        <v>1</v>
      </c>
      <c r="F27" s="302">
        <v>1</v>
      </c>
      <c r="G27" s="262" t="s">
        <v>301</v>
      </c>
      <c r="H27" s="72">
        <v>20000</v>
      </c>
      <c r="I27" s="72">
        <f t="shared" si="3"/>
        <v>20000</v>
      </c>
      <c r="J27" s="72">
        <v>5000</v>
      </c>
      <c r="K27" s="72">
        <f t="shared" si="4"/>
        <v>5000</v>
      </c>
      <c r="L27" s="72">
        <f t="shared" si="5"/>
        <v>25000</v>
      </c>
      <c r="M27" s="67">
        <f t="shared" si="0"/>
        <v>27467.250106400956</v>
      </c>
      <c r="N27" s="67">
        <f t="shared" si="1"/>
        <v>6866.8125266002389</v>
      </c>
      <c r="O27" s="72">
        <f t="shared" si="6"/>
        <v>34334.062633001195</v>
      </c>
      <c r="P27" s="203">
        <f t="shared" si="7"/>
        <v>34334.062633001195</v>
      </c>
      <c r="Q27" s="272">
        <f t="shared" si="2"/>
        <v>34334.062633001195</v>
      </c>
      <c r="R27" s="439">
        <f t="shared" si="8"/>
        <v>0</v>
      </c>
      <c r="T27" s="224"/>
      <c r="U27" s="275"/>
      <c r="V27" s="276"/>
      <c r="AK27" s="278"/>
      <c r="AL27" s="225"/>
      <c r="AM27" s="225"/>
    </row>
    <row r="28" spans="1:39" s="226" customFormat="1" x14ac:dyDescent="0.25">
      <c r="A28" s="265"/>
      <c r="B28" s="258"/>
      <c r="C28" s="293">
        <v>12</v>
      </c>
      <c r="D28" s="259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3"/>
        <v>10000</v>
      </c>
      <c r="J28" s="72">
        <v>15000</v>
      </c>
      <c r="K28" s="72">
        <f t="shared" si="4"/>
        <v>15000</v>
      </c>
      <c r="L28" s="72">
        <f t="shared" si="5"/>
        <v>25000</v>
      </c>
      <c r="M28" s="67">
        <f t="shared" si="0"/>
        <v>13733.625053200478</v>
      </c>
      <c r="N28" s="67">
        <f t="shared" si="1"/>
        <v>20600.437579800717</v>
      </c>
      <c r="O28" s="72">
        <f t="shared" si="6"/>
        <v>34334.062633001195</v>
      </c>
      <c r="P28" s="203">
        <f t="shared" si="7"/>
        <v>34334.062633001195</v>
      </c>
      <c r="Q28" s="272">
        <f t="shared" si="2"/>
        <v>34334.062633001195</v>
      </c>
      <c r="R28" s="439">
        <f t="shared" si="8"/>
        <v>0</v>
      </c>
      <c r="T28" s="224"/>
      <c r="U28" s="275"/>
      <c r="V28" s="276"/>
      <c r="AK28" s="278"/>
      <c r="AL28" s="225"/>
      <c r="AM28" s="225"/>
    </row>
    <row r="29" spans="1:39" s="226" customFormat="1" x14ac:dyDescent="0.25">
      <c r="A29" s="263"/>
      <c r="B29" s="261"/>
      <c r="C29" s="293">
        <v>13</v>
      </c>
      <c r="D29" s="481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3"/>
        <v>45000</v>
      </c>
      <c r="J29" s="72"/>
      <c r="K29" s="72">
        <f t="shared" si="4"/>
        <v>0</v>
      </c>
      <c r="L29" s="72">
        <f t="shared" si="5"/>
        <v>45000</v>
      </c>
      <c r="M29" s="67">
        <f t="shared" si="0"/>
        <v>61801.31273940215</v>
      </c>
      <c r="N29" s="67">
        <f t="shared" si="1"/>
        <v>0</v>
      </c>
      <c r="O29" s="72">
        <f t="shared" si="6"/>
        <v>61801.31273940215</v>
      </c>
      <c r="P29" s="203">
        <f t="shared" si="7"/>
        <v>61801.31273940215</v>
      </c>
      <c r="Q29" s="272">
        <f t="shared" si="2"/>
        <v>61801.31273940215</v>
      </c>
      <c r="R29" s="439">
        <f t="shared" si="8"/>
        <v>0</v>
      </c>
      <c r="S29" s="230"/>
      <c r="T29" s="439"/>
      <c r="U29" s="275"/>
      <c r="V29" s="281"/>
      <c r="AK29" s="278"/>
      <c r="AL29" s="225"/>
      <c r="AM29" s="225"/>
    </row>
    <row r="30" spans="1:39" s="226" customFormat="1" x14ac:dyDescent="0.25">
      <c r="A30" s="263"/>
      <c r="B30" s="261"/>
      <c r="C30" s="293">
        <v>14</v>
      </c>
      <c r="D30" s="481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3"/>
        <v>32380.952380952378</v>
      </c>
      <c r="J30" s="72">
        <v>2000</v>
      </c>
      <c r="K30" s="72">
        <f t="shared" si="4"/>
        <v>2000</v>
      </c>
      <c r="L30" s="72">
        <f t="shared" si="5"/>
        <v>34380.952380952382</v>
      </c>
      <c r="M30" s="67">
        <f t="shared" si="0"/>
        <v>44470.785886553924</v>
      </c>
      <c r="N30" s="67">
        <f t="shared" si="1"/>
        <v>2746.7250106400957</v>
      </c>
      <c r="O30" s="72">
        <f t="shared" si="6"/>
        <v>47217.510897194021</v>
      </c>
      <c r="P30" s="203">
        <f t="shared" si="7"/>
        <v>47217.510897194021</v>
      </c>
      <c r="Q30" s="272">
        <f t="shared" si="2"/>
        <v>47217.510897194021</v>
      </c>
      <c r="R30" s="439">
        <f t="shared" si="8"/>
        <v>0</v>
      </c>
      <c r="S30" s="230"/>
      <c r="T30" s="442"/>
      <c r="U30" s="275"/>
      <c r="V30" s="276"/>
      <c r="AK30" s="278"/>
      <c r="AL30" s="225"/>
      <c r="AM30" s="225"/>
    </row>
    <row r="31" spans="1:39" s="226" customFormat="1" x14ac:dyDescent="0.25">
      <c r="A31" s="265"/>
      <c r="B31" s="258"/>
      <c r="C31" s="293">
        <v>15</v>
      </c>
      <c r="D31" s="481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3"/>
        <v>51650.485436893199</v>
      </c>
      <c r="J31" s="483">
        <f>(4*14000/1.03+20000/1.03)*0.3</f>
        <v>22135.922330097088</v>
      </c>
      <c r="K31" s="72">
        <f t="shared" si="4"/>
        <v>22135.922330097088</v>
      </c>
      <c r="L31" s="72">
        <f t="shared" si="5"/>
        <v>73786.407766990291</v>
      </c>
      <c r="M31" s="67">
        <f t="shared" si="0"/>
        <v>70934.840080608294</v>
      </c>
      <c r="N31" s="67">
        <f t="shared" si="1"/>
        <v>30400.645748832125</v>
      </c>
      <c r="O31" s="72">
        <f t="shared" si="6"/>
        <v>101335.48582944041</v>
      </c>
      <c r="P31" s="203">
        <f t="shared" si="7"/>
        <v>101335.48582944041</v>
      </c>
      <c r="Q31" s="272">
        <f t="shared" si="2"/>
        <v>101335.48582944043</v>
      </c>
      <c r="R31" s="439">
        <f t="shared" si="8"/>
        <v>0</v>
      </c>
      <c r="T31" s="224"/>
      <c r="U31" s="275"/>
      <c r="V31" s="276"/>
      <c r="AK31" s="278"/>
      <c r="AL31" s="225"/>
      <c r="AM31" s="225"/>
    </row>
    <row r="32" spans="1:39" s="226" customFormat="1" x14ac:dyDescent="0.25">
      <c r="A32" s="265"/>
      <c r="B32" s="258"/>
      <c r="C32" s="293">
        <v>16</v>
      </c>
      <c r="D32" s="481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3"/>
        <v>15000</v>
      </c>
      <c r="J32" s="72">
        <f>1700*5</f>
        <v>8500</v>
      </c>
      <c r="K32" s="72">
        <f t="shared" si="4"/>
        <v>8500</v>
      </c>
      <c r="L32" s="72">
        <f t="shared" si="5"/>
        <v>23500</v>
      </c>
      <c r="M32" s="67">
        <f t="shared" si="0"/>
        <v>20600.437579800717</v>
      </c>
      <c r="N32" s="67">
        <f t="shared" si="1"/>
        <v>11673.581295220407</v>
      </c>
      <c r="O32" s="72">
        <f t="shared" si="6"/>
        <v>32274.018875021124</v>
      </c>
      <c r="P32" s="203">
        <f t="shared" si="7"/>
        <v>32274.018875021124</v>
      </c>
      <c r="Q32" s="272">
        <f t="shared" si="2"/>
        <v>32274.01887502112</v>
      </c>
      <c r="R32" s="439">
        <f t="shared" si="8"/>
        <v>0</v>
      </c>
      <c r="T32" s="224"/>
      <c r="U32" s="275"/>
      <c r="V32" s="276"/>
      <c r="AK32" s="278"/>
      <c r="AL32" s="225"/>
      <c r="AM32" s="225"/>
    </row>
    <row r="33" spans="1:44" s="226" customFormat="1" x14ac:dyDescent="0.25">
      <c r="A33" s="265"/>
      <c r="B33" s="258"/>
      <c r="C33" s="293">
        <v>17</v>
      </c>
      <c r="D33" s="481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3"/>
        <v>10000</v>
      </c>
      <c r="J33" s="72">
        <v>5000</v>
      </c>
      <c r="K33" s="72">
        <f t="shared" si="4"/>
        <v>5000</v>
      </c>
      <c r="L33" s="72">
        <f t="shared" si="5"/>
        <v>15000</v>
      </c>
      <c r="M33" s="67">
        <f t="shared" si="0"/>
        <v>13733.625053200478</v>
      </c>
      <c r="N33" s="67">
        <f t="shared" si="1"/>
        <v>6866.8125266002389</v>
      </c>
      <c r="O33" s="72">
        <f t="shared" si="6"/>
        <v>20600.437579800717</v>
      </c>
      <c r="P33" s="203">
        <f t="shared" si="7"/>
        <v>20600.437579800717</v>
      </c>
      <c r="Q33" s="272">
        <f t="shared" si="2"/>
        <v>20600.437579800717</v>
      </c>
      <c r="R33" s="439">
        <f t="shared" si="8"/>
        <v>0</v>
      </c>
      <c r="T33" s="224"/>
      <c r="U33" s="275"/>
      <c r="V33" s="276"/>
      <c r="AK33" s="278"/>
      <c r="AL33" s="225"/>
      <c r="AM33" s="225"/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2"/>
        <v>0</v>
      </c>
      <c r="R34" s="439">
        <f t="shared" si="8"/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980204.85152803524</v>
      </c>
      <c r="J35" s="312"/>
      <c r="K35" s="313">
        <f>SUM(K16:K34)</f>
        <v>410789.25566343038</v>
      </c>
      <c r="L35" s="313">
        <f>SUM(L16:L34)</f>
        <v>1390994.1071914658</v>
      </c>
      <c r="M35" s="312"/>
      <c r="N35" s="312"/>
      <c r="O35" s="313"/>
      <c r="P35" s="314">
        <f>SUM(P16:P34)</f>
        <v>1910339.1519378938</v>
      </c>
      <c r="Q35" s="272">
        <f t="shared" si="2"/>
        <v>1910339.1519378945</v>
      </c>
      <c r="R35" s="439">
        <f t="shared" si="8"/>
        <v>0</v>
      </c>
      <c r="T35" s="443"/>
      <c r="U35" s="275"/>
      <c r="V35" s="276"/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2"/>
        <v>0</v>
      </c>
      <c r="R36" s="439">
        <f t="shared" si="8"/>
        <v>0</v>
      </c>
      <c r="T36" s="224"/>
      <c r="U36" s="283"/>
      <c r="V36" s="284"/>
      <c r="AK36" s="127"/>
      <c r="AL36" s="288" t="s">
        <v>317</v>
      </c>
      <c r="AM36" s="227"/>
      <c r="AN36" s="228"/>
      <c r="AO36" s="228"/>
      <c r="AP36" s="232">
        <f>11500000*0.3</f>
        <v>3450000</v>
      </c>
      <c r="AQ36" s="228"/>
      <c r="AR36" s="227"/>
    </row>
    <row r="37" spans="1:44" x14ac:dyDescent="0.25">
      <c r="A37" s="237"/>
      <c r="B37" s="290" t="s">
        <v>319</v>
      </c>
      <c r="C37" s="291" t="s">
        <v>25</v>
      </c>
      <c r="D37" s="166"/>
      <c r="E37" s="239"/>
      <c r="F37" s="301"/>
      <c r="G37" s="68"/>
      <c r="H37" s="67"/>
      <c r="I37" s="67"/>
      <c r="J37" s="67"/>
      <c r="K37" s="67"/>
      <c r="L37" s="67"/>
      <c r="M37" s="69"/>
      <c r="N37" s="69"/>
      <c r="O37" s="69"/>
      <c r="P37" s="203"/>
      <c r="Q37" s="272">
        <f t="shared" si="2"/>
        <v>0</v>
      </c>
      <c r="R37" s="439"/>
      <c r="AL37" s="227" t="s">
        <v>310</v>
      </c>
      <c r="AM37" s="227"/>
      <c r="AN37" s="228"/>
      <c r="AO37" s="228"/>
      <c r="AP37" s="228"/>
      <c r="AQ37" s="228"/>
      <c r="AR37" s="229">
        <f>AP36*0.006</f>
        <v>20700</v>
      </c>
    </row>
    <row r="38" spans="1:44" x14ac:dyDescent="0.25">
      <c r="A38" s="237"/>
      <c r="B38" s="246"/>
      <c r="C38" s="293">
        <v>1</v>
      </c>
      <c r="D38" s="81" t="s">
        <v>289</v>
      </c>
      <c r="E38" s="239">
        <f>491+3.8</f>
        <v>494.8</v>
      </c>
      <c r="F38" s="301">
        <v>498</v>
      </c>
      <c r="G38" s="68" t="s">
        <v>16</v>
      </c>
      <c r="H38" s="67">
        <f>AD47</f>
        <v>845.47169811320759</v>
      </c>
      <c r="I38" s="67">
        <f>F38*H38</f>
        <v>421044.90566037741</v>
      </c>
      <c r="J38" s="74">
        <f>AF47</f>
        <v>214.6</v>
      </c>
      <c r="K38" s="67">
        <f>F38*J38</f>
        <v>106870.8</v>
      </c>
      <c r="L38" s="67">
        <f>K38+I38</f>
        <v>527915.7056603774</v>
      </c>
      <c r="M38" s="67">
        <f>H38/$P$255*$P$263</f>
        <v>1161.1391294979499</v>
      </c>
      <c r="N38" s="67">
        <f>J38/$P$255*$P$263</f>
        <v>294.72359364168227</v>
      </c>
      <c r="O38" s="72">
        <f t="shared" ref="O38:O42" si="9">N38+M38</f>
        <v>1455.8627231396322</v>
      </c>
      <c r="P38" s="203">
        <f t="shared" ref="P38:P42" si="10">O38*F38</f>
        <v>725019.63612353685</v>
      </c>
      <c r="Q38" s="272">
        <f t="shared" si="2"/>
        <v>725019.63612353685</v>
      </c>
      <c r="R38" s="439">
        <f t="shared" ref="R38:R42" si="11">P38-Q38</f>
        <v>0</v>
      </c>
      <c r="AL38" s="227" t="s">
        <v>312</v>
      </c>
      <c r="AM38" s="227"/>
      <c r="AN38" s="228"/>
      <c r="AO38" s="228"/>
      <c r="AP38" s="228"/>
      <c r="AQ38" s="228"/>
      <c r="AR38" s="229">
        <f>(AR37*0.125)+30</f>
        <v>2617.5</v>
      </c>
    </row>
    <row r="39" spans="1:44" x14ac:dyDescent="0.25">
      <c r="A39" s="238"/>
      <c r="B39" s="246"/>
      <c r="C39" s="293">
        <v>2</v>
      </c>
      <c r="D39" s="81" t="s">
        <v>270</v>
      </c>
      <c r="E39" s="239">
        <f>262</f>
        <v>262</v>
      </c>
      <c r="F39" s="301">
        <v>265</v>
      </c>
      <c r="G39" s="68" t="s">
        <v>16</v>
      </c>
      <c r="H39" s="67">
        <f>AD54</f>
        <v>775.82659478885887</v>
      </c>
      <c r="I39" s="67">
        <f>F39*H39</f>
        <v>205594.0476190476</v>
      </c>
      <c r="J39" s="74">
        <v>75</v>
      </c>
      <c r="K39" s="67">
        <f t="shared" ref="K39:K45" si="12">F39*J39</f>
        <v>19875</v>
      </c>
      <c r="L39" s="67">
        <f t="shared" ref="L39:L45" si="13">K39+I39</f>
        <v>225469.0476190476</v>
      </c>
      <c r="M39" s="67">
        <f>H39/$P$255*$P$263</f>
        <v>1065.4911559131488</v>
      </c>
      <c r="N39" s="67">
        <f>J39/$P$255*$P$263</f>
        <v>103.00218789900357</v>
      </c>
      <c r="O39" s="72">
        <f t="shared" si="9"/>
        <v>1168.4933438121523</v>
      </c>
      <c r="P39" s="203">
        <f t="shared" si="10"/>
        <v>309650.73611022037</v>
      </c>
      <c r="Q39" s="272">
        <f t="shared" si="2"/>
        <v>309650.73611022037</v>
      </c>
      <c r="R39" s="439">
        <f t="shared" si="11"/>
        <v>0</v>
      </c>
      <c r="AB39" s="18">
        <f>1/3</f>
        <v>0.33333333333333331</v>
      </c>
      <c r="AL39" s="227" t="s">
        <v>314</v>
      </c>
      <c r="AM39" s="227"/>
      <c r="AN39" s="228"/>
      <c r="AO39" s="228"/>
      <c r="AP39" s="228"/>
      <c r="AQ39" s="228"/>
      <c r="AR39" s="229">
        <f>AR37*0.12</f>
        <v>2484</v>
      </c>
    </row>
    <row r="40" spans="1:44" x14ac:dyDescent="0.25">
      <c r="A40" s="238"/>
      <c r="B40" s="246"/>
      <c r="C40" s="293">
        <v>3</v>
      </c>
      <c r="D40" s="81" t="s">
        <v>290</v>
      </c>
      <c r="E40" s="239">
        <f>23.6</f>
        <v>23.6</v>
      </c>
      <c r="F40" s="301">
        <v>26</v>
      </c>
      <c r="G40" s="68" t="s">
        <v>16</v>
      </c>
      <c r="H40" s="67">
        <f>AD63</f>
        <v>799.43396226415098</v>
      </c>
      <c r="I40" s="67">
        <f t="shared" ref="I40:I45" si="14">F40*H40</f>
        <v>20785.283018867925</v>
      </c>
      <c r="J40" s="74">
        <f>AF63</f>
        <v>216</v>
      </c>
      <c r="K40" s="67">
        <f t="shared" si="12"/>
        <v>5616</v>
      </c>
      <c r="L40" s="67">
        <f t="shared" si="13"/>
        <v>26401.283018867925</v>
      </c>
      <c r="M40" s="67">
        <f>H40/$P$255*$P$263</f>
        <v>1097.9126292530268</v>
      </c>
      <c r="N40" s="67">
        <f>J40/$P$255*$P$263</f>
        <v>296.64630114913035</v>
      </c>
      <c r="O40" s="72">
        <f t="shared" si="9"/>
        <v>1394.5589304021571</v>
      </c>
      <c r="P40" s="203">
        <f t="shared" si="10"/>
        <v>36258.532190456084</v>
      </c>
      <c r="Q40" s="272">
        <f t="shared" si="2"/>
        <v>36258.532190456084</v>
      </c>
      <c r="R40" s="439">
        <f t="shared" si="11"/>
        <v>0</v>
      </c>
      <c r="AL40" s="227" t="s">
        <v>299</v>
      </c>
      <c r="AM40" s="227"/>
      <c r="AN40" s="228"/>
      <c r="AO40" s="228"/>
      <c r="AP40" s="228"/>
      <c r="AQ40" s="228"/>
      <c r="AR40" s="229">
        <f>AR37*0.002</f>
        <v>41.4</v>
      </c>
    </row>
    <row r="41" spans="1:44" x14ac:dyDescent="0.25">
      <c r="A41" s="238"/>
      <c r="B41" s="246"/>
      <c r="C41" s="293">
        <v>4</v>
      </c>
      <c r="D41" s="81" t="s">
        <v>241</v>
      </c>
      <c r="E41" s="239">
        <v>12</v>
      </c>
      <c r="F41" s="301">
        <v>14</v>
      </c>
      <c r="G41" s="68" t="s">
        <v>16</v>
      </c>
      <c r="H41" s="67">
        <f>AD74</f>
        <v>1281.3207547169811</v>
      </c>
      <c r="I41" s="67">
        <f>F41*H41</f>
        <v>17938.490566037737</v>
      </c>
      <c r="J41" s="74">
        <f>AF74</f>
        <v>214.5</v>
      </c>
      <c r="K41" s="67">
        <f t="shared" si="12"/>
        <v>3003</v>
      </c>
      <c r="L41" s="67">
        <f t="shared" si="13"/>
        <v>20941.490566037737</v>
      </c>
      <c r="M41" s="67">
        <f>H41/$P$255*$P$263</f>
        <v>1759.7178818166876</v>
      </c>
      <c r="N41" s="67">
        <f>J41/$P$255*$P$263</f>
        <v>294.58625739115024</v>
      </c>
      <c r="O41" s="72">
        <f t="shared" si="9"/>
        <v>2054.304139207838</v>
      </c>
      <c r="P41" s="203">
        <f t="shared" si="10"/>
        <v>28760.257948909733</v>
      </c>
      <c r="Q41" s="272">
        <f t="shared" si="2"/>
        <v>28760.257948909733</v>
      </c>
      <c r="R41" s="439">
        <f t="shared" si="11"/>
        <v>0</v>
      </c>
      <c r="AL41" s="227" t="s">
        <v>302</v>
      </c>
      <c r="AM41" s="227"/>
      <c r="AN41" s="228"/>
      <c r="AO41" s="228"/>
      <c r="AP41" s="228"/>
      <c r="AQ41" s="228"/>
      <c r="AR41" s="229">
        <v>200</v>
      </c>
    </row>
    <row r="42" spans="1:44" x14ac:dyDescent="0.25">
      <c r="A42" s="238"/>
      <c r="B42" s="246"/>
      <c r="C42" s="293">
        <v>5</v>
      </c>
      <c r="D42" s="81" t="s">
        <v>242</v>
      </c>
      <c r="E42" s="239">
        <v>28.5</v>
      </c>
      <c r="F42" s="301">
        <v>31</v>
      </c>
      <c r="G42" s="68" t="s">
        <v>16</v>
      </c>
      <c r="H42" s="67">
        <f>AD81</f>
        <v>1293.5849056603774</v>
      </c>
      <c r="I42" s="67">
        <f t="shared" si="14"/>
        <v>40101.132075471702</v>
      </c>
      <c r="J42" s="74">
        <f>AF81</f>
        <v>215.1</v>
      </c>
      <c r="K42" s="67">
        <f t="shared" si="12"/>
        <v>6668.0999999999995</v>
      </c>
      <c r="L42" s="67">
        <f t="shared" si="13"/>
        <v>46769.2320754717</v>
      </c>
      <c r="M42" s="67">
        <f>H42/$P$255*$P$263</f>
        <v>1776.5610068819337</v>
      </c>
      <c r="N42" s="67">
        <f>J42/$P$255*$P$263</f>
        <v>295.41027489434231</v>
      </c>
      <c r="O42" s="72">
        <f t="shared" si="9"/>
        <v>2071.9712817762761</v>
      </c>
      <c r="P42" s="203">
        <f t="shared" si="10"/>
        <v>64231.109735064558</v>
      </c>
      <c r="Q42" s="272">
        <f t="shared" si="2"/>
        <v>64231.109735064558</v>
      </c>
      <c r="R42" s="439">
        <f t="shared" si="11"/>
        <v>0</v>
      </c>
      <c r="W42" s="904" t="s">
        <v>291</v>
      </c>
      <c r="X42" s="904"/>
      <c r="Y42" s="904"/>
      <c r="Z42" s="491" t="s">
        <v>243</v>
      </c>
      <c r="AA42" s="491" t="s">
        <v>244</v>
      </c>
      <c r="AB42" s="491" t="s">
        <v>245</v>
      </c>
      <c r="AC42" s="123" t="s">
        <v>246</v>
      </c>
      <c r="AD42" s="196" t="s">
        <v>247</v>
      </c>
      <c r="AE42" s="491" t="s">
        <v>248</v>
      </c>
      <c r="AF42" s="212" t="s">
        <v>249</v>
      </c>
      <c r="AL42" s="227" t="s">
        <v>304</v>
      </c>
      <c r="AM42" s="227"/>
      <c r="AN42" s="228"/>
      <c r="AO42" s="228"/>
      <c r="AP42" s="228"/>
      <c r="AQ42" s="228"/>
      <c r="AR42" s="231">
        <f>SUM(AR37:AR41)</f>
        <v>26042.9</v>
      </c>
    </row>
    <row r="43" spans="1:44" x14ac:dyDescent="0.25">
      <c r="A43" s="238"/>
      <c r="B43" s="246"/>
      <c r="C43" s="293">
        <v>6</v>
      </c>
      <c r="D43" s="81" t="s">
        <v>44</v>
      </c>
      <c r="E43" s="239">
        <v>45.86</v>
      </c>
      <c r="F43" s="301">
        <v>48</v>
      </c>
      <c r="G43" s="68" t="s">
        <v>16</v>
      </c>
      <c r="H43" s="67"/>
      <c r="I43" s="67">
        <f t="shared" si="14"/>
        <v>0</v>
      </c>
      <c r="J43" s="74"/>
      <c r="K43" s="67">
        <f t="shared" si="12"/>
        <v>0</v>
      </c>
      <c r="L43" s="67">
        <f t="shared" si="13"/>
        <v>0</v>
      </c>
      <c r="M43" s="67">
        <f>H43/$P$255*$P$264</f>
        <v>0</v>
      </c>
      <c r="N43" s="67">
        <f>J43/$P$255*$P$264</f>
        <v>0</v>
      </c>
      <c r="O43" s="72">
        <f>N43*F43</f>
        <v>0</v>
      </c>
      <c r="P43" s="221" t="s">
        <v>296</v>
      </c>
      <c r="Q43" s="272">
        <f t="shared" si="2"/>
        <v>0</v>
      </c>
      <c r="R43" s="439" t="e">
        <f t="shared" si="8"/>
        <v>#VALUE!</v>
      </c>
      <c r="W43" s="878" t="s">
        <v>250</v>
      </c>
      <c r="X43" s="878"/>
      <c r="Y43" s="878"/>
      <c r="Z43" s="124" t="s">
        <v>251</v>
      </c>
      <c r="AA43" s="490">
        <v>2.77</v>
      </c>
      <c r="AB43" s="490">
        <v>2.9</v>
      </c>
      <c r="AC43" s="123">
        <f>280/1.06</f>
        <v>264.15094339622641</v>
      </c>
      <c r="AD43" s="196">
        <f>AC43*AB43</f>
        <v>766.03773584905662</v>
      </c>
      <c r="AE43" s="490">
        <v>74</v>
      </c>
      <c r="AF43" s="219">
        <f>AE43*AB43</f>
        <v>214.6</v>
      </c>
      <c r="AL43" s="227" t="s">
        <v>306</v>
      </c>
      <c r="AM43" s="227"/>
      <c r="AN43" s="228"/>
      <c r="AO43" s="228"/>
      <c r="AP43" s="228"/>
      <c r="AQ43" s="228"/>
      <c r="AR43" s="229"/>
    </row>
    <row r="44" spans="1:44" x14ac:dyDescent="0.25">
      <c r="A44" s="238"/>
      <c r="B44" s="246"/>
      <c r="C44" s="293">
        <v>7</v>
      </c>
      <c r="D44" s="83" t="s">
        <v>162</v>
      </c>
      <c r="E44" s="239">
        <v>238.71</v>
      </c>
      <c r="F44" s="301">
        <v>242</v>
      </c>
      <c r="G44" s="68" t="s">
        <v>16</v>
      </c>
      <c r="H44" s="67">
        <f>AD88</f>
        <v>1060.7423734791041</v>
      </c>
      <c r="I44" s="67">
        <f t="shared" si="14"/>
        <v>256699.6543819432</v>
      </c>
      <c r="J44" s="74">
        <f>AF88</f>
        <v>215.10000000000002</v>
      </c>
      <c r="K44" s="67">
        <f t="shared" si="12"/>
        <v>52054.200000000004</v>
      </c>
      <c r="L44" s="67">
        <f t="shared" si="13"/>
        <v>308753.85438194318</v>
      </c>
      <c r="M44" s="67">
        <f>H44/$P$255*$P$263</f>
        <v>1456.7838035403961</v>
      </c>
      <c r="N44" s="67">
        <f>J44/$P$255*$P$263</f>
        <v>295.41027489434231</v>
      </c>
      <c r="O44" s="72">
        <f t="shared" ref="O44" si="15">N44+M44</f>
        <v>1752.1940784347385</v>
      </c>
      <c r="P44" s="203">
        <f t="shared" ref="P44" si="16">O44*F44</f>
        <v>424030.96698120673</v>
      </c>
      <c r="Q44" s="272">
        <f t="shared" si="2"/>
        <v>424030.96698120667</v>
      </c>
      <c r="R44" s="439">
        <f t="shared" si="8"/>
        <v>0</v>
      </c>
      <c r="W44" s="878" t="s">
        <v>252</v>
      </c>
      <c r="X44" s="878"/>
      <c r="Y44" s="878"/>
      <c r="Z44" s="124" t="s">
        <v>253</v>
      </c>
      <c r="AA44" s="490">
        <v>0.25</v>
      </c>
      <c r="AB44" s="490">
        <v>0.25</v>
      </c>
      <c r="AC44" s="123">
        <f>AC78</f>
        <v>268.8679245283019</v>
      </c>
      <c r="AD44" s="196">
        <f>AC44*AB44</f>
        <v>67.216981132075475</v>
      </c>
      <c r="AE44" s="490"/>
      <c r="AF44" s="219">
        <f>AE44*AB44</f>
        <v>0</v>
      </c>
      <c r="AL44" s="227"/>
      <c r="AM44" s="227"/>
      <c r="AN44" s="228"/>
      <c r="AO44" s="228"/>
      <c r="AP44" s="228"/>
      <c r="AQ44" s="228"/>
      <c r="AR44" s="229"/>
    </row>
    <row r="45" spans="1:44" ht="15.75" x14ac:dyDescent="0.25">
      <c r="A45" s="238"/>
      <c r="B45" s="247"/>
      <c r="C45" s="293">
        <v>8</v>
      </c>
      <c r="D45" s="175" t="s">
        <v>287</v>
      </c>
      <c r="E45" s="240">
        <f>96.84+64.56+11.89</f>
        <v>173.29000000000002</v>
      </c>
      <c r="F45" s="177">
        <v>0</v>
      </c>
      <c r="G45" s="178" t="s">
        <v>16</v>
      </c>
      <c r="H45" s="191"/>
      <c r="I45" s="191">
        <f t="shared" si="14"/>
        <v>0</v>
      </c>
      <c r="J45" s="192"/>
      <c r="K45" s="191">
        <f t="shared" si="12"/>
        <v>0</v>
      </c>
      <c r="L45" s="191">
        <f t="shared" si="13"/>
        <v>0</v>
      </c>
      <c r="M45" s="67">
        <f>H45/$P$255*$P$263</f>
        <v>0</v>
      </c>
      <c r="N45" s="67">
        <f>J45/$P$255*$P$263</f>
        <v>0</v>
      </c>
      <c r="O45" s="192">
        <f>N45*F45</f>
        <v>0</v>
      </c>
      <c r="P45" s="204" t="s">
        <v>288</v>
      </c>
      <c r="Q45" s="272">
        <f t="shared" si="2"/>
        <v>0</v>
      </c>
      <c r="R45" s="439" t="e">
        <f t="shared" si="8"/>
        <v>#VALUE!</v>
      </c>
      <c r="W45" s="878" t="s">
        <v>254</v>
      </c>
      <c r="X45" s="878"/>
      <c r="Y45" s="878"/>
      <c r="Z45" s="124" t="s">
        <v>255</v>
      </c>
      <c r="AA45" s="490">
        <v>0.25</v>
      </c>
      <c r="AB45" s="490">
        <v>0.35</v>
      </c>
      <c r="AC45" s="123">
        <f>37/1.06</f>
        <v>34.905660377358487</v>
      </c>
      <c r="AD45" s="196">
        <f>AC45*AB45</f>
        <v>12.216981132075469</v>
      </c>
      <c r="AE45" s="490"/>
      <c r="AF45" s="219">
        <f>AE45*AB45</f>
        <v>0</v>
      </c>
      <c r="AL45" s="233" t="s">
        <v>308</v>
      </c>
      <c r="AM45" s="227"/>
      <c r="AN45" s="228"/>
      <c r="AO45" s="228"/>
      <c r="AP45" s="232">
        <f>11500000*0.3</f>
        <v>3450000</v>
      </c>
      <c r="AQ45" s="228"/>
      <c r="AR45" s="229"/>
    </row>
    <row r="46" spans="1:44" x14ac:dyDescent="0.25">
      <c r="A46" s="238"/>
      <c r="B46" s="246"/>
      <c r="C46" s="293"/>
      <c r="D46" s="81"/>
      <c r="E46" s="239"/>
      <c r="F46" s="301"/>
      <c r="G46" s="67"/>
      <c r="H46" s="67"/>
      <c r="I46" s="67"/>
      <c r="J46" s="74"/>
      <c r="K46" s="67"/>
      <c r="L46" s="67"/>
      <c r="M46" s="72"/>
      <c r="N46" s="72"/>
      <c r="O46" s="74"/>
      <c r="P46" s="100"/>
      <c r="Q46" s="272">
        <f t="shared" si="2"/>
        <v>0</v>
      </c>
      <c r="R46" s="439">
        <f t="shared" si="8"/>
        <v>0</v>
      </c>
      <c r="V46" s="273"/>
      <c r="W46" s="878" t="s">
        <v>256</v>
      </c>
      <c r="X46" s="878"/>
      <c r="Y46" s="878"/>
      <c r="Z46" s="124" t="s">
        <v>257</v>
      </c>
      <c r="AA46" s="490">
        <v>1</v>
      </c>
      <c r="AB46" s="490">
        <v>1</v>
      </c>
      <c r="AC46" s="123">
        <v>0</v>
      </c>
      <c r="AD46" s="196">
        <f>AC46*AB46</f>
        <v>0</v>
      </c>
      <c r="AE46" s="490">
        <v>0</v>
      </c>
      <c r="AF46" s="219">
        <f>AE46*AB46</f>
        <v>0</v>
      </c>
      <c r="AL46" s="227" t="s">
        <v>310</v>
      </c>
      <c r="AM46" s="227"/>
      <c r="AN46" s="228"/>
      <c r="AO46" s="228"/>
      <c r="AP46" s="228"/>
      <c r="AQ46" s="228"/>
      <c r="AR46" s="229">
        <f>AP45*0.0055</f>
        <v>18975</v>
      </c>
    </row>
    <row r="47" spans="1:44" x14ac:dyDescent="0.25">
      <c r="A47" s="237"/>
      <c r="B47" s="290" t="s">
        <v>320</v>
      </c>
      <c r="C47" s="291" t="s">
        <v>83</v>
      </c>
      <c r="D47" s="166"/>
      <c r="E47" s="239"/>
      <c r="F47" s="301"/>
      <c r="G47" s="68"/>
      <c r="H47" s="67"/>
      <c r="I47" s="67"/>
      <c r="J47" s="74"/>
      <c r="K47" s="67"/>
      <c r="L47" s="67"/>
      <c r="M47" s="69"/>
      <c r="N47" s="69"/>
      <c r="O47" s="69"/>
      <c r="P47" s="203"/>
      <c r="Q47" s="272">
        <f t="shared" si="2"/>
        <v>0</v>
      </c>
      <c r="R47" s="439"/>
      <c r="V47" s="273"/>
      <c r="W47" s="126"/>
      <c r="X47" s="126"/>
      <c r="Y47" s="126"/>
      <c r="Z47" s="126"/>
      <c r="AA47" s="490"/>
      <c r="AB47" s="490"/>
      <c r="AC47" s="123"/>
      <c r="AD47" s="212">
        <f>SUM(AD43:AD46)</f>
        <v>845.47169811320759</v>
      </c>
      <c r="AE47" s="491"/>
      <c r="AF47" s="212">
        <f>SUM(AF43:AF46)</f>
        <v>214.6</v>
      </c>
      <c r="AL47" s="227" t="s">
        <v>312</v>
      </c>
      <c r="AM47" s="227"/>
      <c r="AN47" s="228"/>
      <c r="AO47" s="228"/>
      <c r="AP47" s="228"/>
      <c r="AQ47" s="228"/>
      <c r="AR47" s="229">
        <f>(AR46*0.125)+30</f>
        <v>2401.875</v>
      </c>
    </row>
    <row r="48" spans="1:44" x14ac:dyDescent="0.25">
      <c r="A48" s="237"/>
      <c r="B48" s="246"/>
      <c r="C48" s="293">
        <v>1</v>
      </c>
      <c r="D48" s="81" t="s">
        <v>84</v>
      </c>
      <c r="E48" s="239">
        <v>16.22</v>
      </c>
      <c r="F48" s="301">
        <v>18</v>
      </c>
      <c r="G48" s="73" t="s">
        <v>101</v>
      </c>
      <c r="H48" s="67">
        <f>AD96</f>
        <v>1177.3113207547169</v>
      </c>
      <c r="I48" s="67">
        <f>F48*H48</f>
        <v>21191.603773584906</v>
      </c>
      <c r="J48" s="74">
        <f>AF96</f>
        <v>215.1</v>
      </c>
      <c r="K48" s="67">
        <f>F48*J48</f>
        <v>3871.7999999999997</v>
      </c>
      <c r="L48" s="67">
        <f>K48+I48</f>
        <v>25063.403773584905</v>
      </c>
      <c r="M48" s="67">
        <f>H48/$P$255*$P$263</f>
        <v>1616.8752250133525</v>
      </c>
      <c r="N48" s="67">
        <f>J48/$P$255*$P$263</f>
        <v>295.41027489434231</v>
      </c>
      <c r="O48" s="72">
        <f t="shared" ref="O48:O51" si="17">N48+M48</f>
        <v>1912.2854999076949</v>
      </c>
      <c r="P48" s="203">
        <f t="shared" ref="P48:P51" si="18">O48*F48</f>
        <v>34421.138998338509</v>
      </c>
      <c r="Q48" s="272">
        <f t="shared" si="2"/>
        <v>34421.138998338502</v>
      </c>
      <c r="R48" s="439">
        <f t="shared" ref="R48:R51" si="19">P48-Q48</f>
        <v>0</v>
      </c>
      <c r="V48" s="273"/>
      <c r="AL48" s="227" t="s">
        <v>314</v>
      </c>
      <c r="AM48" s="227"/>
      <c r="AN48" s="228"/>
      <c r="AO48" s="228"/>
      <c r="AP48" s="228"/>
      <c r="AQ48" s="228"/>
      <c r="AR48" s="229">
        <f>AR46*0.12</f>
        <v>2277</v>
      </c>
    </row>
    <row r="49" spans="1:44" x14ac:dyDescent="0.25">
      <c r="A49" s="237"/>
      <c r="B49" s="246"/>
      <c r="C49" s="293">
        <v>2</v>
      </c>
      <c r="D49" s="81" t="s">
        <v>85</v>
      </c>
      <c r="E49" s="239">
        <v>44.33</v>
      </c>
      <c r="F49" s="301">
        <v>46</v>
      </c>
      <c r="G49" s="73" t="s">
        <v>101</v>
      </c>
      <c r="H49" s="67">
        <f>AD104</f>
        <v>1287.6886792452831</v>
      </c>
      <c r="I49" s="67">
        <f t="shared" ref="I49:I51" si="20">F49*H49</f>
        <v>59233.67924528302</v>
      </c>
      <c r="J49" s="74">
        <f>AF104</f>
        <v>215.1</v>
      </c>
      <c r="K49" s="67">
        <f t="shared" ref="K49:K51" si="21">F49*J49</f>
        <v>9894.6</v>
      </c>
      <c r="L49" s="67">
        <f t="shared" ref="L49:L51" si="22">K49+I49</f>
        <v>69128.279245283018</v>
      </c>
      <c r="M49" s="67">
        <f>H49/$P$255*$P$263</f>
        <v>1768.4633506005655</v>
      </c>
      <c r="N49" s="67">
        <f>J49/$P$255*$P$263</f>
        <v>295.41027489434231</v>
      </c>
      <c r="O49" s="72">
        <f t="shared" si="17"/>
        <v>2063.8736254949076</v>
      </c>
      <c r="P49" s="203">
        <f t="shared" si="18"/>
        <v>94938.186772765752</v>
      </c>
      <c r="Q49" s="272">
        <f t="shared" si="2"/>
        <v>94938.186772765752</v>
      </c>
      <c r="R49" s="439">
        <f t="shared" si="19"/>
        <v>0</v>
      </c>
      <c r="AL49" s="227" t="s">
        <v>299</v>
      </c>
      <c r="AM49" s="227"/>
      <c r="AN49" s="228"/>
      <c r="AO49" s="228"/>
      <c r="AP49" s="228"/>
      <c r="AQ49" s="228"/>
      <c r="AR49" s="229">
        <f>AR46*0.002</f>
        <v>37.950000000000003</v>
      </c>
    </row>
    <row r="50" spans="1:44" x14ac:dyDescent="0.25">
      <c r="A50" s="237"/>
      <c r="B50" s="246"/>
      <c r="C50" s="293">
        <v>3</v>
      </c>
      <c r="D50" s="81" t="s">
        <v>490</v>
      </c>
      <c r="E50" s="241">
        <f>1350+85</f>
        <v>1435</v>
      </c>
      <c r="F50" s="301">
        <v>1450</v>
      </c>
      <c r="G50" s="73" t="s">
        <v>101</v>
      </c>
      <c r="H50" s="407">
        <v>165</v>
      </c>
      <c r="I50" s="67">
        <f t="shared" si="20"/>
        <v>239250</v>
      </c>
      <c r="J50" s="407">
        <v>165</v>
      </c>
      <c r="K50" s="67">
        <f t="shared" si="21"/>
        <v>239250</v>
      </c>
      <c r="L50" s="67">
        <f t="shared" si="22"/>
        <v>478500</v>
      </c>
      <c r="M50" s="67">
        <f>H50/$P$255*$P$263</f>
        <v>226.60481337780789</v>
      </c>
      <c r="N50" s="67">
        <f>J50/$P$255*$P$263</f>
        <v>226.60481337780789</v>
      </c>
      <c r="O50" s="72">
        <f t="shared" si="17"/>
        <v>453.20962675561577</v>
      </c>
      <c r="P50" s="203">
        <f t="shared" si="18"/>
        <v>657153.95879564283</v>
      </c>
      <c r="Q50" s="272">
        <f t="shared" si="2"/>
        <v>657153.95879564283</v>
      </c>
      <c r="R50" s="439">
        <f t="shared" si="19"/>
        <v>0</v>
      </c>
      <c r="W50" s="904" t="s">
        <v>292</v>
      </c>
      <c r="X50" s="904"/>
      <c r="Y50" s="904"/>
      <c r="Z50" s="491" t="s">
        <v>243</v>
      </c>
      <c r="AA50" s="491" t="s">
        <v>244</v>
      </c>
      <c r="AB50" s="491" t="s">
        <v>245</v>
      </c>
      <c r="AC50" s="123" t="s">
        <v>246</v>
      </c>
      <c r="AD50" s="196" t="s">
        <v>247</v>
      </c>
      <c r="AE50" s="491" t="s">
        <v>248</v>
      </c>
      <c r="AF50" s="212" t="s">
        <v>249</v>
      </c>
      <c r="AL50" s="227" t="s">
        <v>302</v>
      </c>
      <c r="AM50" s="227"/>
      <c r="AN50" s="228"/>
      <c r="AO50" s="228"/>
      <c r="AP50" s="228"/>
      <c r="AQ50" s="228"/>
      <c r="AR50" s="229">
        <v>200</v>
      </c>
    </row>
    <row r="51" spans="1:44" x14ac:dyDescent="0.25">
      <c r="A51" s="237"/>
      <c r="B51" s="246"/>
      <c r="C51" s="293">
        <v>4</v>
      </c>
      <c r="D51" s="81" t="s">
        <v>491</v>
      </c>
      <c r="E51" s="241">
        <f>685+46</f>
        <v>731</v>
      </c>
      <c r="F51" s="301">
        <v>744</v>
      </c>
      <c r="G51" s="73" t="s">
        <v>101</v>
      </c>
      <c r="H51" s="407">
        <v>180</v>
      </c>
      <c r="I51" s="67">
        <f t="shared" si="20"/>
        <v>133920</v>
      </c>
      <c r="J51" s="407">
        <v>190</v>
      </c>
      <c r="K51" s="67">
        <f t="shared" si="21"/>
        <v>141360</v>
      </c>
      <c r="L51" s="67">
        <f t="shared" si="22"/>
        <v>275280</v>
      </c>
      <c r="M51" s="67">
        <f>H51/$P$255*$P$263</f>
        <v>247.20525095760857</v>
      </c>
      <c r="N51" s="67">
        <f>J51/$P$255*$P$263</f>
        <v>260.93887601080905</v>
      </c>
      <c r="O51" s="72">
        <f t="shared" si="17"/>
        <v>508.14412696841759</v>
      </c>
      <c r="P51" s="203">
        <f t="shared" si="18"/>
        <v>378059.2304645027</v>
      </c>
      <c r="Q51" s="272">
        <f t="shared" si="2"/>
        <v>378059.23046450276</v>
      </c>
      <c r="R51" s="439">
        <f t="shared" si="19"/>
        <v>0</v>
      </c>
      <c r="W51" s="878" t="s">
        <v>260</v>
      </c>
      <c r="X51" s="878"/>
      <c r="Y51" s="878"/>
      <c r="Z51" s="124" t="s">
        <v>251</v>
      </c>
      <c r="AA51" s="490">
        <v>4.93</v>
      </c>
      <c r="AB51" s="490">
        <v>5.15</v>
      </c>
      <c r="AC51" s="210">
        <f>154/1.06</f>
        <v>145.28301886792451</v>
      </c>
      <c r="AD51" s="196">
        <f>AC51*AB51</f>
        <v>748.20754716981128</v>
      </c>
      <c r="AE51" s="490">
        <v>18</v>
      </c>
      <c r="AF51" s="219">
        <f>AE51*AB51</f>
        <v>92.7</v>
      </c>
      <c r="AL51" s="227" t="s">
        <v>304</v>
      </c>
      <c r="AM51" s="227"/>
      <c r="AN51" s="228"/>
      <c r="AO51" s="228"/>
      <c r="AP51" s="228"/>
      <c r="AQ51" s="228"/>
      <c r="AR51" s="231">
        <f>SUM(AR45:AR50)</f>
        <v>23891.825000000001</v>
      </c>
    </row>
    <row r="52" spans="1:44" x14ac:dyDescent="0.25">
      <c r="A52" s="237"/>
      <c r="B52" s="246"/>
      <c r="C52" s="293">
        <v>5</v>
      </c>
      <c r="D52" s="81" t="s">
        <v>334</v>
      </c>
      <c r="E52" s="307" t="s">
        <v>39</v>
      </c>
      <c r="F52" s="301">
        <v>0</v>
      </c>
      <c r="G52" s="73"/>
      <c r="H52" s="67"/>
      <c r="I52" s="67"/>
      <c r="J52" s="67"/>
      <c r="K52" s="67"/>
      <c r="L52" s="67"/>
      <c r="M52" s="69"/>
      <c r="N52" s="69"/>
      <c r="O52" s="69"/>
      <c r="P52" s="438" t="s">
        <v>288</v>
      </c>
      <c r="Q52" s="272">
        <f t="shared" si="2"/>
        <v>0</v>
      </c>
      <c r="R52" s="439" t="e">
        <f t="shared" si="8"/>
        <v>#VALUE!</v>
      </c>
      <c r="W52" s="878" t="s">
        <v>261</v>
      </c>
      <c r="X52" s="878"/>
      <c r="Y52" s="878"/>
      <c r="Z52" s="124" t="s">
        <v>262</v>
      </c>
      <c r="AA52" s="490">
        <v>4.9299999999999997E-2</v>
      </c>
      <c r="AB52" s="490">
        <v>0.05</v>
      </c>
      <c r="AC52" s="123">
        <f>580/1.05</f>
        <v>552.38095238095241</v>
      </c>
      <c r="AD52" s="196">
        <f>AC52*AB52</f>
        <v>27.61904761904762</v>
      </c>
      <c r="AE52" s="490"/>
      <c r="AF52" s="219">
        <f>AE52*AB52</f>
        <v>0</v>
      </c>
      <c r="AL52" s="227"/>
      <c r="AM52" s="227"/>
      <c r="AN52" s="228"/>
      <c r="AO52" s="228"/>
      <c r="AP52" s="228"/>
      <c r="AQ52" s="228"/>
      <c r="AR52" s="229"/>
    </row>
    <row r="53" spans="1:44" ht="15.75" x14ac:dyDescent="0.25">
      <c r="A53" s="237"/>
      <c r="B53" s="246"/>
      <c r="C53" s="293"/>
      <c r="D53" s="79"/>
      <c r="E53" s="239"/>
      <c r="F53" s="301"/>
      <c r="G53" s="68"/>
      <c r="H53" s="67"/>
      <c r="I53" s="67"/>
      <c r="J53" s="67"/>
      <c r="K53" s="67"/>
      <c r="L53" s="67"/>
      <c r="M53" s="69"/>
      <c r="N53" s="69"/>
      <c r="O53" s="69"/>
      <c r="P53" s="203"/>
      <c r="Q53" s="272">
        <f t="shared" si="2"/>
        <v>0</v>
      </c>
      <c r="R53" s="439">
        <f t="shared" si="8"/>
        <v>0</v>
      </c>
      <c r="W53" s="878" t="str">
        <f>W61</f>
        <v>mortar (topping) included @ other item</v>
      </c>
      <c r="X53" s="878"/>
      <c r="Y53" s="878"/>
      <c r="Z53" s="124" t="s">
        <v>257</v>
      </c>
      <c r="AA53" s="490">
        <v>1</v>
      </c>
      <c r="AB53" s="490">
        <v>1</v>
      </c>
      <c r="AC53" s="123">
        <f>AC62</f>
        <v>0</v>
      </c>
      <c r="AD53" s="196">
        <f>AC53*AB53</f>
        <v>0</v>
      </c>
      <c r="AE53" s="490">
        <f>AE46</f>
        <v>0</v>
      </c>
      <c r="AF53" s="219">
        <f>AE53*AB53</f>
        <v>0</v>
      </c>
      <c r="AL53" s="288" t="s">
        <v>318</v>
      </c>
      <c r="AM53" s="227"/>
      <c r="AN53" s="228"/>
      <c r="AO53" s="228"/>
      <c r="AP53" s="232">
        <f>11500000</f>
        <v>11500000</v>
      </c>
      <c r="AQ53" s="228"/>
      <c r="AR53" s="229"/>
    </row>
    <row r="54" spans="1:44" x14ac:dyDescent="0.25">
      <c r="A54" s="237"/>
      <c r="B54" s="290" t="s">
        <v>321</v>
      </c>
      <c r="C54" s="291" t="s">
        <v>87</v>
      </c>
      <c r="D54" s="79"/>
      <c r="E54" s="239"/>
      <c r="F54" s="301"/>
      <c r="G54" s="68"/>
      <c r="H54" s="74"/>
      <c r="I54" s="67"/>
      <c r="J54" s="67"/>
      <c r="K54" s="67"/>
      <c r="L54" s="67"/>
      <c r="M54" s="69"/>
      <c r="N54" s="69"/>
      <c r="O54" s="69"/>
      <c r="P54" s="203"/>
      <c r="Q54" s="272">
        <f t="shared" si="2"/>
        <v>0</v>
      </c>
      <c r="R54" s="439">
        <f t="shared" si="8"/>
        <v>0</v>
      </c>
      <c r="W54" s="878"/>
      <c r="X54" s="878"/>
      <c r="Y54" s="878"/>
      <c r="Z54" s="124"/>
      <c r="AA54" s="490"/>
      <c r="AB54" s="490"/>
      <c r="AC54" s="123"/>
      <c r="AD54" s="212">
        <f>SUM(AD51:AD53)</f>
        <v>775.82659478885887</v>
      </c>
      <c r="AE54" s="490"/>
      <c r="AF54" s="212">
        <f>SUM(AF51:AF53)</f>
        <v>92.7</v>
      </c>
      <c r="AL54" s="227" t="s">
        <v>310</v>
      </c>
      <c r="AM54" s="227"/>
      <c r="AN54" s="228"/>
      <c r="AO54" s="228"/>
      <c r="AP54" s="228"/>
      <c r="AQ54" s="228"/>
      <c r="AR54" s="229">
        <f>AP53*0.0015</f>
        <v>17250</v>
      </c>
    </row>
    <row r="55" spans="1:44" x14ac:dyDescent="0.25">
      <c r="A55" s="237"/>
      <c r="B55" s="246"/>
      <c r="C55" s="293">
        <v>1</v>
      </c>
      <c r="D55" s="81" t="s">
        <v>322</v>
      </c>
      <c r="E55" s="239">
        <v>269</v>
      </c>
      <c r="F55" s="301">
        <v>273</v>
      </c>
      <c r="G55" s="73" t="s">
        <v>101</v>
      </c>
      <c r="H55" s="347">
        <f>(105+175)+150</f>
        <v>430</v>
      </c>
      <c r="I55" s="67">
        <f>F55*H55</f>
        <v>117390</v>
      </c>
      <c r="J55" s="67">
        <f>225+150</f>
        <v>375</v>
      </c>
      <c r="K55" s="67">
        <f t="shared" ref="K55:K56" si="23">F55*J55</f>
        <v>102375</v>
      </c>
      <c r="L55" s="72">
        <f t="shared" ref="L55:L56" si="24">I55+K55</f>
        <v>219765</v>
      </c>
      <c r="M55" s="67">
        <f>H55/$P$255*$P$263</f>
        <v>590.54587728762056</v>
      </c>
      <c r="N55" s="67">
        <f>J55/$P$255*$P$263</f>
        <v>515.01093949501785</v>
      </c>
      <c r="O55" s="72">
        <f t="shared" ref="O55:O56" si="25">N55+M55</f>
        <v>1105.5568167826384</v>
      </c>
      <c r="P55" s="203">
        <f t="shared" ref="P55:P56" si="26">O55*F55</f>
        <v>301817.01098166028</v>
      </c>
      <c r="Q55" s="272">
        <f t="shared" si="2"/>
        <v>301817.01098166028</v>
      </c>
      <c r="R55" s="439">
        <f t="shared" si="8"/>
        <v>0</v>
      </c>
      <c r="AL55" s="227" t="s">
        <v>312</v>
      </c>
      <c r="AM55" s="227"/>
      <c r="AN55" s="228"/>
      <c r="AO55" s="228"/>
      <c r="AP55" s="228"/>
      <c r="AQ55" s="228"/>
      <c r="AR55" s="229">
        <f>AR54*0.125</f>
        <v>2156.25</v>
      </c>
    </row>
    <row r="56" spans="1:44" ht="15" customHeight="1" x14ac:dyDescent="0.25">
      <c r="A56" s="237"/>
      <c r="B56" s="246"/>
      <c r="C56" s="293">
        <v>2</v>
      </c>
      <c r="D56" s="81" t="s">
        <v>90</v>
      </c>
      <c r="E56" s="239">
        <v>36.700000000000003</v>
      </c>
      <c r="F56" s="301">
        <v>39</v>
      </c>
      <c r="G56" s="73" t="s">
        <v>101</v>
      </c>
      <c r="H56" s="347">
        <f>(167+175)+150</f>
        <v>492</v>
      </c>
      <c r="I56" s="67">
        <f>F56*H56</f>
        <v>19188</v>
      </c>
      <c r="J56" s="67">
        <f>225+150</f>
        <v>375</v>
      </c>
      <c r="K56" s="67">
        <f t="shared" si="23"/>
        <v>14625</v>
      </c>
      <c r="L56" s="72">
        <f t="shared" si="24"/>
        <v>33813</v>
      </c>
      <c r="M56" s="67">
        <f>H56/$P$255*$P$263</f>
        <v>675.69435261746355</v>
      </c>
      <c r="N56" s="67">
        <f>J56/$P$255*$P$263</f>
        <v>515.01093949501785</v>
      </c>
      <c r="O56" s="72">
        <f t="shared" si="25"/>
        <v>1190.7052921124814</v>
      </c>
      <c r="P56" s="203">
        <f t="shared" si="26"/>
        <v>46437.506392386771</v>
      </c>
      <c r="Q56" s="272">
        <f t="shared" si="2"/>
        <v>46437.506392386771</v>
      </c>
      <c r="R56" s="439">
        <f t="shared" si="8"/>
        <v>0</v>
      </c>
      <c r="AL56" s="227" t="s">
        <v>314</v>
      </c>
      <c r="AM56" s="227"/>
      <c r="AN56" s="228"/>
      <c r="AO56" s="228"/>
      <c r="AP56" s="228"/>
      <c r="AQ56" s="228"/>
      <c r="AR56" s="229">
        <f>AR54*0.12</f>
        <v>2070</v>
      </c>
    </row>
    <row r="57" spans="1:44" ht="15" customHeight="1" x14ac:dyDescent="0.25">
      <c r="A57" s="237"/>
      <c r="B57" s="246"/>
      <c r="C57" s="293"/>
      <c r="D57" s="81" t="s">
        <v>155</v>
      </c>
      <c r="E57" s="239"/>
      <c r="F57" s="301"/>
      <c r="G57" s="68"/>
      <c r="H57" s="347"/>
      <c r="I57" s="67"/>
      <c r="J57" s="67"/>
      <c r="K57" s="67"/>
      <c r="L57" s="67"/>
      <c r="M57" s="69"/>
      <c r="N57" s="69"/>
      <c r="O57" s="69"/>
      <c r="P57" s="203"/>
      <c r="Q57" s="272">
        <f t="shared" si="2"/>
        <v>0</v>
      </c>
      <c r="R57" s="439">
        <f t="shared" si="8"/>
        <v>0</v>
      </c>
      <c r="W57" s="904" t="s">
        <v>293</v>
      </c>
      <c r="X57" s="904"/>
      <c r="Y57" s="904"/>
      <c r="Z57" s="491" t="s">
        <v>243</v>
      </c>
      <c r="AA57" s="491" t="s">
        <v>244</v>
      </c>
      <c r="AB57" s="491" t="s">
        <v>245</v>
      </c>
      <c r="AC57" s="123" t="s">
        <v>246</v>
      </c>
      <c r="AD57" s="196" t="s">
        <v>247</v>
      </c>
      <c r="AE57" s="491" t="s">
        <v>248</v>
      </c>
      <c r="AF57" s="212" t="s">
        <v>249</v>
      </c>
      <c r="AL57" s="227" t="s">
        <v>299</v>
      </c>
      <c r="AM57" s="227"/>
      <c r="AN57" s="228"/>
      <c r="AO57" s="228"/>
      <c r="AP57" s="228"/>
      <c r="AQ57" s="228"/>
      <c r="AR57" s="229">
        <f>AR54*0.002</f>
        <v>34.5</v>
      </c>
    </row>
    <row r="58" spans="1:44" x14ac:dyDescent="0.25">
      <c r="A58" s="237"/>
      <c r="B58" s="246"/>
      <c r="C58" s="293">
        <v>3</v>
      </c>
      <c r="D58" s="81" t="s">
        <v>92</v>
      </c>
      <c r="E58" s="239">
        <v>62</v>
      </c>
      <c r="F58" s="301">
        <v>64</v>
      </c>
      <c r="G58" s="73" t="s">
        <v>101</v>
      </c>
      <c r="H58" s="347">
        <f>(177+155)+150</f>
        <v>482</v>
      </c>
      <c r="I58" s="67">
        <f>F58*H58</f>
        <v>30848</v>
      </c>
      <c r="J58" s="67">
        <f>225+150</f>
        <v>375</v>
      </c>
      <c r="K58" s="67">
        <f t="shared" ref="K58" si="27">F58*J58</f>
        <v>24000</v>
      </c>
      <c r="L58" s="72">
        <f t="shared" ref="L58" si="28">I58+K58</f>
        <v>54848</v>
      </c>
      <c r="M58" s="67">
        <f>H58/$P$255*$P$263</f>
        <v>661.96072756426304</v>
      </c>
      <c r="N58" s="67">
        <f>J58/$P$255*$P$263</f>
        <v>515.01093949501785</v>
      </c>
      <c r="O58" s="72">
        <f t="shared" ref="O58" si="29">N58+M58</f>
        <v>1176.9716670592809</v>
      </c>
      <c r="P58" s="203">
        <f t="shared" ref="P58" si="30">O58*F58</f>
        <v>75326.186691793977</v>
      </c>
      <c r="Q58" s="272">
        <f t="shared" si="2"/>
        <v>75326.186691793991</v>
      </c>
      <c r="R58" s="439">
        <f t="shared" si="8"/>
        <v>0</v>
      </c>
      <c r="W58" s="878" t="s">
        <v>258</v>
      </c>
      <c r="X58" s="878"/>
      <c r="Y58" s="878"/>
      <c r="Z58" s="124" t="s">
        <v>251</v>
      </c>
      <c r="AA58" s="490">
        <v>11.11</v>
      </c>
      <c r="AB58" s="490">
        <v>12</v>
      </c>
      <c r="AC58" s="210">
        <f>63/1.05</f>
        <v>60</v>
      </c>
      <c r="AD58" s="196">
        <f>AC58*AB58</f>
        <v>720</v>
      </c>
      <c r="AE58" s="490">
        <v>18</v>
      </c>
      <c r="AF58" s="219">
        <f>AE58*AB58</f>
        <v>216</v>
      </c>
      <c r="AL58" s="227" t="s">
        <v>304</v>
      </c>
      <c r="AM58" s="227"/>
      <c r="AN58" s="228"/>
      <c r="AO58" s="228"/>
      <c r="AP58" s="228"/>
      <c r="AQ58" s="228"/>
      <c r="AR58" s="231">
        <f>SUM(AR53:AR57)</f>
        <v>21510.75</v>
      </c>
    </row>
    <row r="59" spans="1:44" x14ac:dyDescent="0.25">
      <c r="A59" s="237"/>
      <c r="B59" s="248"/>
      <c r="C59" s="298"/>
      <c r="D59" s="81" t="s">
        <v>154</v>
      </c>
      <c r="E59" s="239"/>
      <c r="F59" s="301"/>
      <c r="G59" s="68"/>
      <c r="H59" s="74"/>
      <c r="I59" s="67"/>
      <c r="J59" s="67"/>
      <c r="K59" s="67"/>
      <c r="L59" s="67"/>
      <c r="M59" s="69"/>
      <c r="N59" s="69"/>
      <c r="O59" s="69"/>
      <c r="P59" s="203"/>
      <c r="Q59" s="272">
        <f t="shared" si="2"/>
        <v>0</v>
      </c>
      <c r="R59" s="439">
        <f t="shared" si="8"/>
        <v>0</v>
      </c>
      <c r="W59" s="878" t="s">
        <v>252</v>
      </c>
      <c r="X59" s="878"/>
      <c r="Y59" s="878"/>
      <c r="Z59" s="124" t="s">
        <v>253</v>
      </c>
      <c r="AA59" s="490">
        <v>0.25</v>
      </c>
      <c r="AB59" s="490">
        <v>0.25</v>
      </c>
      <c r="AC59" s="123">
        <f>AC78</f>
        <v>268.8679245283019</v>
      </c>
      <c r="AD59" s="196">
        <f>AC59*AB59</f>
        <v>67.216981132075475</v>
      </c>
      <c r="AE59" s="490"/>
      <c r="AF59" s="219">
        <f t="shared" ref="AF59:AF61" si="31">AE59*AB59</f>
        <v>0</v>
      </c>
    </row>
    <row r="60" spans="1:44" x14ac:dyDescent="0.25">
      <c r="A60" s="237"/>
      <c r="B60" s="246"/>
      <c r="C60" s="293">
        <v>4</v>
      </c>
      <c r="D60" s="81" t="s">
        <v>93</v>
      </c>
      <c r="E60" s="239">
        <v>252</v>
      </c>
      <c r="F60" s="301">
        <v>255</v>
      </c>
      <c r="G60" s="73" t="s">
        <v>101</v>
      </c>
      <c r="H60" s="74">
        <f>(230+160)</f>
        <v>390</v>
      </c>
      <c r="I60" s="67">
        <f>F60*H60</f>
        <v>99450</v>
      </c>
      <c r="J60" s="67">
        <v>225</v>
      </c>
      <c r="K60" s="67">
        <f t="shared" ref="K60" si="32">F60*J60</f>
        <v>57375</v>
      </c>
      <c r="L60" s="72">
        <f t="shared" ref="L60" si="33">I60+K60</f>
        <v>156825</v>
      </c>
      <c r="M60" s="67">
        <f>H60/$P$255*$P$263</f>
        <v>535.61137707481862</v>
      </c>
      <c r="N60" s="67">
        <f>J60/$P$255*$P$263</f>
        <v>309.00656369701073</v>
      </c>
      <c r="O60" s="72">
        <f t="shared" ref="O60" si="34">N60+M60</f>
        <v>844.61794077182935</v>
      </c>
      <c r="P60" s="203">
        <f t="shared" ref="P60" si="35">O60*F60</f>
        <v>215377.57489681648</v>
      </c>
      <c r="Q60" s="272">
        <f t="shared" si="2"/>
        <v>215377.57489681651</v>
      </c>
      <c r="R60" s="439">
        <f t="shared" si="8"/>
        <v>0</v>
      </c>
      <c r="W60" s="878" t="s">
        <v>254</v>
      </c>
      <c r="X60" s="878"/>
      <c r="Y60" s="878"/>
      <c r="Z60" s="124" t="s">
        <v>255</v>
      </c>
      <c r="AA60" s="490">
        <v>0.25</v>
      </c>
      <c r="AB60" s="490">
        <v>0.35</v>
      </c>
      <c r="AC60" s="123">
        <f>AC45</f>
        <v>34.905660377358487</v>
      </c>
      <c r="AD60" s="196">
        <f t="shared" ref="AD60:AD61" si="36">AC60*AB60</f>
        <v>12.216981132075469</v>
      </c>
      <c r="AE60" s="490"/>
      <c r="AF60" s="219">
        <f t="shared" si="31"/>
        <v>0</v>
      </c>
    </row>
    <row r="61" spans="1:44" x14ac:dyDescent="0.25">
      <c r="A61" s="237"/>
      <c r="B61" s="248"/>
      <c r="C61" s="298"/>
      <c r="D61" s="81" t="s">
        <v>94</v>
      </c>
      <c r="E61" s="239"/>
      <c r="F61" s="301"/>
      <c r="G61" s="68"/>
      <c r="H61" s="74"/>
      <c r="I61" s="67"/>
      <c r="J61" s="67"/>
      <c r="K61" s="67"/>
      <c r="L61" s="67"/>
      <c r="M61" s="69"/>
      <c r="N61" s="69"/>
      <c r="O61" s="69"/>
      <c r="P61" s="203"/>
      <c r="Q61" s="272">
        <f t="shared" si="2"/>
        <v>0</v>
      </c>
      <c r="R61" s="439">
        <f t="shared" si="8"/>
        <v>0</v>
      </c>
      <c r="W61" s="878" t="str">
        <f>W46</f>
        <v>mortar (topping) included @ other item</v>
      </c>
      <c r="X61" s="878"/>
      <c r="Y61" s="878"/>
      <c r="Z61" s="124" t="s">
        <v>257</v>
      </c>
      <c r="AA61" s="490">
        <v>1</v>
      </c>
      <c r="AB61" s="490">
        <v>1</v>
      </c>
      <c r="AC61" s="123">
        <f>AC46</f>
        <v>0</v>
      </c>
      <c r="AD61" s="196">
        <f t="shared" si="36"/>
        <v>0</v>
      </c>
      <c r="AE61" s="490">
        <f>AE46</f>
        <v>0</v>
      </c>
      <c r="AF61" s="219">
        <f t="shared" si="31"/>
        <v>0</v>
      </c>
    </row>
    <row r="62" spans="1:44" x14ac:dyDescent="0.25">
      <c r="A62" s="237"/>
      <c r="B62" s="246"/>
      <c r="C62" s="293">
        <v>5</v>
      </c>
      <c r="D62" s="81" t="s">
        <v>160</v>
      </c>
      <c r="E62" s="348">
        <f>29.2+51.05</f>
        <v>80.25</v>
      </c>
      <c r="F62" s="349">
        <v>82</v>
      </c>
      <c r="G62" s="73" t="s">
        <v>101</v>
      </c>
      <c r="H62" s="74"/>
      <c r="I62" s="67">
        <f>F62*H62</f>
        <v>0</v>
      </c>
      <c r="J62" s="67"/>
      <c r="K62" s="67">
        <f t="shared" ref="K62:K65" si="37">F62*J62</f>
        <v>0</v>
      </c>
      <c r="L62" s="72">
        <f t="shared" ref="L62:L63" si="38">I62+K62</f>
        <v>0</v>
      </c>
      <c r="M62" s="67">
        <f>H62/$P$255*$P$263</f>
        <v>0</v>
      </c>
      <c r="N62" s="67">
        <f>J62/$P$255*$P$263</f>
        <v>0</v>
      </c>
      <c r="O62" s="72">
        <f>N62*F62</f>
        <v>0</v>
      </c>
      <c r="P62" s="221" t="s">
        <v>296</v>
      </c>
      <c r="Q62" s="272">
        <f t="shared" si="2"/>
        <v>0</v>
      </c>
      <c r="R62" s="439" t="e">
        <f t="shared" si="8"/>
        <v>#VALUE!</v>
      </c>
      <c r="W62" s="878" t="s">
        <v>259</v>
      </c>
      <c r="X62" s="878"/>
      <c r="Y62" s="878"/>
      <c r="Z62" s="124" t="s">
        <v>257</v>
      </c>
      <c r="AA62" s="490">
        <v>1</v>
      </c>
      <c r="AB62" s="490">
        <v>1</v>
      </c>
      <c r="AC62" s="123">
        <f>AC46</f>
        <v>0</v>
      </c>
      <c r="AD62" s="196">
        <f>AC62*AB62</f>
        <v>0</v>
      </c>
      <c r="AE62" s="490">
        <f>AE46</f>
        <v>0</v>
      </c>
      <c r="AF62" s="219">
        <f>AE62*AB62</f>
        <v>0</v>
      </c>
    </row>
    <row r="63" spans="1:44" x14ac:dyDescent="0.25">
      <c r="A63" s="237"/>
      <c r="B63" s="246"/>
      <c r="C63" s="293">
        <v>6</v>
      </c>
      <c r="D63" s="81" t="s">
        <v>492</v>
      </c>
      <c r="E63" s="239">
        <v>61.7</v>
      </c>
      <c r="F63" s="301">
        <v>63</v>
      </c>
      <c r="G63" s="73" t="s">
        <v>100</v>
      </c>
      <c r="H63" s="74">
        <v>130</v>
      </c>
      <c r="I63" s="67">
        <f>F63*H63</f>
        <v>8190</v>
      </c>
      <c r="J63" s="67">
        <v>120</v>
      </c>
      <c r="K63" s="67">
        <f t="shared" si="37"/>
        <v>7560</v>
      </c>
      <c r="L63" s="72">
        <f t="shared" si="38"/>
        <v>15750</v>
      </c>
      <c r="M63" s="67">
        <f>H63/$P$255*$P$263</f>
        <v>178.53712569160621</v>
      </c>
      <c r="N63" s="67">
        <f>J63/$P$255*$P$263</f>
        <v>164.80350063840572</v>
      </c>
      <c r="O63" s="72">
        <f t="shared" ref="O63" si="39">N63+M63</f>
        <v>343.3406263300119</v>
      </c>
      <c r="P63" s="203">
        <f t="shared" ref="P63" si="40">O63*F63</f>
        <v>21630.459458790749</v>
      </c>
      <c r="Q63" s="272">
        <f t="shared" si="2"/>
        <v>21630.459458790752</v>
      </c>
      <c r="R63" s="439">
        <f t="shared" si="8"/>
        <v>0</v>
      </c>
      <c r="W63" s="126"/>
      <c r="X63" s="126"/>
      <c r="Y63" s="126"/>
      <c r="Z63" s="126"/>
      <c r="AA63" s="490"/>
      <c r="AB63" s="490"/>
      <c r="AC63" s="123"/>
      <c r="AD63" s="212">
        <f>SUM(AD58:AD62)</f>
        <v>799.43396226415098</v>
      </c>
      <c r="AE63" s="491"/>
      <c r="AF63" s="212">
        <f>SUM(AF58:AF62)</f>
        <v>216</v>
      </c>
    </row>
    <row r="64" spans="1:44" hidden="1" x14ac:dyDescent="0.25">
      <c r="A64" s="237"/>
      <c r="B64" s="246"/>
      <c r="C64" s="293"/>
      <c r="D64" s="81"/>
      <c r="E64" s="239"/>
      <c r="F64" s="301"/>
      <c r="G64" s="68"/>
      <c r="H64" s="74"/>
      <c r="I64" s="67"/>
      <c r="J64" s="67"/>
      <c r="K64" s="67"/>
      <c r="L64" s="67"/>
      <c r="M64" s="69"/>
      <c r="N64" s="69"/>
      <c r="O64" s="69"/>
      <c r="P64" s="203"/>
      <c r="Q64" s="272">
        <f t="shared" si="2"/>
        <v>0</v>
      </c>
      <c r="R64" s="439"/>
    </row>
    <row r="65" spans="1:32" x14ac:dyDescent="0.25">
      <c r="A65" s="237"/>
      <c r="B65" s="246"/>
      <c r="C65" s="293">
        <v>7</v>
      </c>
      <c r="D65" s="81" t="s">
        <v>357</v>
      </c>
      <c r="E65" s="239">
        <v>152.9</v>
      </c>
      <c r="F65" s="301">
        <v>154</v>
      </c>
      <c r="G65" s="73" t="s">
        <v>101</v>
      </c>
      <c r="H65" s="74"/>
      <c r="I65" s="67">
        <f>F65*H65</f>
        <v>0</v>
      </c>
      <c r="J65" s="67"/>
      <c r="K65" s="67">
        <f t="shared" si="37"/>
        <v>0</v>
      </c>
      <c r="L65" s="72">
        <f t="shared" ref="L65" si="41">I65+K65</f>
        <v>0</v>
      </c>
      <c r="M65" s="67">
        <f>H65/$P$255*$P$263</f>
        <v>0</v>
      </c>
      <c r="N65" s="67">
        <f>J65/$P$255*$P$263</f>
        <v>0</v>
      </c>
      <c r="O65" s="72">
        <f>N65*F65</f>
        <v>0</v>
      </c>
      <c r="P65" s="221" t="s">
        <v>288</v>
      </c>
      <c r="Q65" s="272">
        <f t="shared" si="2"/>
        <v>0</v>
      </c>
      <c r="R65" s="439" t="e">
        <f t="shared" ref="R65" si="42">P65-Q65</f>
        <v>#VALUE!</v>
      </c>
    </row>
    <row r="66" spans="1:32" x14ac:dyDescent="0.25">
      <c r="A66" s="237"/>
      <c r="B66" s="248"/>
      <c r="C66" s="298"/>
      <c r="D66" s="81"/>
      <c r="E66" s="239"/>
      <c r="F66" s="301"/>
      <c r="G66" s="68"/>
      <c r="H66" s="74"/>
      <c r="I66" s="67"/>
      <c r="J66" s="67"/>
      <c r="K66" s="67"/>
      <c r="L66" s="67"/>
      <c r="M66" s="69"/>
      <c r="N66" s="69"/>
      <c r="O66" s="69"/>
      <c r="P66" s="203"/>
      <c r="Q66" s="272">
        <f t="shared" si="2"/>
        <v>0</v>
      </c>
      <c r="R66" s="439">
        <f t="shared" si="8"/>
        <v>0</v>
      </c>
    </row>
    <row r="67" spans="1:32" x14ac:dyDescent="0.25">
      <c r="A67" s="237"/>
      <c r="B67" s="290" t="s">
        <v>323</v>
      </c>
      <c r="C67" s="291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76"/>
      <c r="N67" s="69"/>
      <c r="O67" s="69"/>
      <c r="P67" s="203"/>
      <c r="Q67" s="272">
        <f t="shared" si="2"/>
        <v>0</v>
      </c>
      <c r="R67" s="439">
        <f t="shared" si="8"/>
        <v>0</v>
      </c>
    </row>
    <row r="68" spans="1:32" x14ac:dyDescent="0.25">
      <c r="A68" s="238"/>
      <c r="B68" s="249"/>
      <c r="C68" s="293">
        <v>1</v>
      </c>
      <c r="D68" s="83" t="s">
        <v>104</v>
      </c>
      <c r="E68" s="242">
        <v>3</v>
      </c>
      <c r="F68" s="302">
        <v>3</v>
      </c>
      <c r="G68" s="77" t="s">
        <v>28</v>
      </c>
      <c r="H68" s="328">
        <f>25000*2*0.85/1.07</f>
        <v>39719.626168224298</v>
      </c>
      <c r="I68" s="67">
        <f>F68*H68</f>
        <v>119158.8785046729</v>
      </c>
      <c r="J68" s="328">
        <f>25000*2*0.15/1.07</f>
        <v>7009.3457943925232</v>
      </c>
      <c r="K68" s="67">
        <f t="shared" ref="K68" si="43">F68*J68</f>
        <v>21028.037383177569</v>
      </c>
      <c r="L68" s="72">
        <f t="shared" ref="L68" si="44">I68+K68</f>
        <v>140186.91588785048</v>
      </c>
      <c r="M68" s="67">
        <f>H68/$P$255*$P$263</f>
        <v>54549.445304768255</v>
      </c>
      <c r="N68" s="67">
        <f>J68/$P$255*$P$263</f>
        <v>9626.3727008414571</v>
      </c>
      <c r="O68" s="72">
        <f t="shared" ref="O68" si="45">N68+M68</f>
        <v>64175.818005609712</v>
      </c>
      <c r="P68" s="203">
        <f t="shared" ref="P68" si="46">O68*F68</f>
        <v>192527.45401682914</v>
      </c>
      <c r="Q68" s="272">
        <f t="shared" si="2"/>
        <v>192527.45401682914</v>
      </c>
      <c r="R68" s="439">
        <f t="shared" si="8"/>
        <v>0</v>
      </c>
    </row>
    <row r="69" spans="1:32" x14ac:dyDescent="0.25">
      <c r="A69" s="238"/>
      <c r="B69" s="245"/>
      <c r="C69" s="293"/>
      <c r="D69" s="83" t="s">
        <v>324</v>
      </c>
      <c r="E69" s="242"/>
      <c r="F69" s="302"/>
      <c r="G69" s="75"/>
      <c r="H69" s="74"/>
      <c r="I69" s="74"/>
      <c r="J69" s="74"/>
      <c r="K69" s="74"/>
      <c r="L69" s="74"/>
      <c r="M69" s="72"/>
      <c r="N69" s="72"/>
      <c r="O69" s="72"/>
      <c r="P69" s="203"/>
      <c r="Q69" s="272">
        <f t="shared" si="2"/>
        <v>0</v>
      </c>
      <c r="R69" s="439">
        <f t="shared" si="8"/>
        <v>0</v>
      </c>
      <c r="W69" s="904" t="s">
        <v>294</v>
      </c>
      <c r="X69" s="904"/>
      <c r="Y69" s="904"/>
      <c r="Z69" s="491" t="s">
        <v>243</v>
      </c>
      <c r="AA69" s="491" t="s">
        <v>244</v>
      </c>
      <c r="AB69" s="491" t="s">
        <v>245</v>
      </c>
      <c r="AC69" s="123" t="s">
        <v>246</v>
      </c>
      <c r="AD69" s="196" t="s">
        <v>247</v>
      </c>
      <c r="AE69" s="491" t="s">
        <v>248</v>
      </c>
      <c r="AF69" s="212" t="s">
        <v>249</v>
      </c>
    </row>
    <row r="70" spans="1:32" x14ac:dyDescent="0.25">
      <c r="A70" s="350"/>
      <c r="B70" s="317"/>
      <c r="C70" s="318">
        <v>2</v>
      </c>
      <c r="D70" s="83" t="s">
        <v>105</v>
      </c>
      <c r="E70" s="242">
        <v>1</v>
      </c>
      <c r="F70" s="302">
        <v>1</v>
      </c>
      <c r="G70" s="77" t="s">
        <v>55</v>
      </c>
      <c r="H70" s="328">
        <f>25000*2*0.85/1.07</f>
        <v>39719.626168224298</v>
      </c>
      <c r="I70" s="67">
        <f>F70*H70</f>
        <v>39719.626168224298</v>
      </c>
      <c r="J70" s="328">
        <f>25000*2*0.15/1.07</f>
        <v>7009.3457943925232</v>
      </c>
      <c r="K70" s="67">
        <f t="shared" ref="K70" si="47">F70*J70</f>
        <v>7009.3457943925232</v>
      </c>
      <c r="L70" s="72">
        <f t="shared" ref="L70" si="48">I70+K70</f>
        <v>46728.971962616823</v>
      </c>
      <c r="M70" s="67">
        <f>H70/$P$255*$P$263</f>
        <v>54549.445304768255</v>
      </c>
      <c r="N70" s="67">
        <f>J70/$P$255*$P$263</f>
        <v>9626.3727008414571</v>
      </c>
      <c r="O70" s="72">
        <f t="shared" ref="O70" si="49">N70+M70</f>
        <v>64175.818005609712</v>
      </c>
      <c r="P70" s="203">
        <f t="shared" ref="P70" si="50">O70*F70</f>
        <v>64175.818005609712</v>
      </c>
      <c r="Q70" s="272">
        <f t="shared" si="2"/>
        <v>64175.818005609712</v>
      </c>
      <c r="R70" s="439">
        <f t="shared" si="8"/>
        <v>0</v>
      </c>
      <c r="W70" s="878" t="s">
        <v>272</v>
      </c>
      <c r="X70" s="878"/>
      <c r="Y70" s="878"/>
      <c r="Z70" s="124" t="s">
        <v>251</v>
      </c>
      <c r="AA70" s="490">
        <v>12.5</v>
      </c>
      <c r="AB70" s="490">
        <v>13</v>
      </c>
      <c r="AC70" s="123">
        <f>98/1.06</f>
        <v>92.452830188679243</v>
      </c>
      <c r="AD70" s="196">
        <f>AC70*AB70</f>
        <v>1201.8867924528302</v>
      </c>
      <c r="AE70" s="490">
        <v>16.5</v>
      </c>
      <c r="AF70" s="219">
        <f>AE70*AB70</f>
        <v>214.5</v>
      </c>
    </row>
    <row r="71" spans="1:32" x14ac:dyDescent="0.25">
      <c r="A71" s="350"/>
      <c r="B71" s="319"/>
      <c r="C71" s="318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72"/>
      <c r="N71" s="72"/>
      <c r="O71" s="72"/>
      <c r="P71" s="203"/>
      <c r="Q71" s="272">
        <f t="shared" si="2"/>
        <v>0</v>
      </c>
      <c r="R71" s="439">
        <f t="shared" si="8"/>
        <v>0</v>
      </c>
      <c r="W71" s="878" t="s">
        <v>252</v>
      </c>
      <c r="X71" s="878"/>
      <c r="Y71" s="878"/>
      <c r="Z71" s="124" t="s">
        <v>253</v>
      </c>
      <c r="AA71" s="490">
        <v>0.25</v>
      </c>
      <c r="AB71" s="490">
        <v>0.25</v>
      </c>
      <c r="AC71" s="123">
        <f>285/1.06</f>
        <v>268.8679245283019</v>
      </c>
      <c r="AD71" s="196">
        <f>AC71*AB71</f>
        <v>67.216981132075475</v>
      </c>
      <c r="AE71" s="490"/>
      <c r="AF71" s="219">
        <f>AE71*AB71</f>
        <v>0</v>
      </c>
    </row>
    <row r="72" spans="1:32" s="273" customFormat="1" x14ac:dyDescent="0.25">
      <c r="A72" s="350"/>
      <c r="B72" s="317"/>
      <c r="C72" s="318">
        <v>3</v>
      </c>
      <c r="D72" s="8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51">F72*H72</f>
        <v>13106.796116504855</v>
      </c>
      <c r="J72" s="74">
        <v>700</v>
      </c>
      <c r="K72" s="74">
        <f t="shared" ref="K72:K77" si="52">F72*J72</f>
        <v>1400</v>
      </c>
      <c r="L72" s="72">
        <f t="shared" ref="L72:L77" si="53">I72+K72</f>
        <v>14506.796116504855</v>
      </c>
      <c r="M72" s="67">
        <f t="shared" ref="M72:M77" si="54">H72/$P$255*$P$263</f>
        <v>9000.19117564109</v>
      </c>
      <c r="N72" s="67">
        <f t="shared" ref="N72:N77" si="55">J72/$P$255*$P$263</f>
        <v>961.35375372403348</v>
      </c>
      <c r="O72" s="72">
        <f t="shared" ref="O72:O77" si="56">N72+M72</f>
        <v>9961.5449293651236</v>
      </c>
      <c r="P72" s="203">
        <f t="shared" ref="P72:P77" si="57">O72*F72</f>
        <v>19923.089858730247</v>
      </c>
      <c r="Q72" s="272">
        <f t="shared" si="2"/>
        <v>19923.089858730247</v>
      </c>
      <c r="R72" s="439">
        <f t="shared" si="8"/>
        <v>0</v>
      </c>
      <c r="T72" s="224"/>
      <c r="W72" s="878" t="s">
        <v>254</v>
      </c>
      <c r="X72" s="878"/>
      <c r="Y72" s="878"/>
      <c r="Z72" s="124" t="s">
        <v>255</v>
      </c>
      <c r="AA72" s="490">
        <v>0.25</v>
      </c>
      <c r="AB72" s="490">
        <v>0.35</v>
      </c>
      <c r="AC72" s="123">
        <f>37/1.06</f>
        <v>34.905660377358487</v>
      </c>
      <c r="AD72" s="196">
        <f>AC72*AB72</f>
        <v>12.216981132075469</v>
      </c>
      <c r="AE72" s="490"/>
      <c r="AF72" s="219">
        <f>AE72*AB72</f>
        <v>0</v>
      </c>
    </row>
    <row r="73" spans="1:32" s="273" customFormat="1" x14ac:dyDescent="0.25">
      <c r="A73" s="350"/>
      <c r="B73" s="317"/>
      <c r="C73" s="318">
        <v>4</v>
      </c>
      <c r="D73" s="8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51"/>
        <v>26213.592233009709</v>
      </c>
      <c r="J73" s="74">
        <f>J72</f>
        <v>700</v>
      </c>
      <c r="K73" s="74">
        <f t="shared" si="52"/>
        <v>2800</v>
      </c>
      <c r="L73" s="72">
        <f t="shared" si="53"/>
        <v>29013.592233009709</v>
      </c>
      <c r="M73" s="67">
        <f t="shared" si="54"/>
        <v>9000.19117564109</v>
      </c>
      <c r="N73" s="67">
        <f t="shared" si="55"/>
        <v>961.35375372403348</v>
      </c>
      <c r="O73" s="72">
        <f t="shared" si="56"/>
        <v>9961.5449293651236</v>
      </c>
      <c r="P73" s="203">
        <f t="shared" si="57"/>
        <v>39846.179717460494</v>
      </c>
      <c r="Q73" s="272">
        <f t="shared" si="2"/>
        <v>39846.179717460494</v>
      </c>
      <c r="R73" s="439">
        <f t="shared" si="8"/>
        <v>0</v>
      </c>
      <c r="T73" s="224"/>
      <c r="W73" s="878" t="s">
        <v>256</v>
      </c>
      <c r="X73" s="878"/>
      <c r="Y73" s="878"/>
      <c r="Z73" s="124" t="s">
        <v>257</v>
      </c>
      <c r="AA73" s="490">
        <v>1</v>
      </c>
      <c r="AB73" s="490">
        <v>1</v>
      </c>
      <c r="AC73" s="123">
        <f>AN64</f>
        <v>0</v>
      </c>
      <c r="AD73" s="196">
        <f>AC73*AB73</f>
        <v>0</v>
      </c>
      <c r="AE73" s="490"/>
      <c r="AF73" s="219">
        <f>AE73*AB73</f>
        <v>0</v>
      </c>
    </row>
    <row r="74" spans="1:32" s="273" customFormat="1" x14ac:dyDescent="0.25">
      <c r="A74" s="350"/>
      <c r="B74" s="317"/>
      <c r="C74" s="318">
        <v>5</v>
      </c>
      <c r="D74" s="8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51"/>
        <v>59466.01941747572</v>
      </c>
      <c r="J74" s="74">
        <f>J73</f>
        <v>700</v>
      </c>
      <c r="K74" s="74">
        <f t="shared" si="52"/>
        <v>4900</v>
      </c>
      <c r="L74" s="72">
        <f t="shared" si="53"/>
        <v>64366.01941747572</v>
      </c>
      <c r="M74" s="67">
        <f t="shared" si="54"/>
        <v>11666.914486942153</v>
      </c>
      <c r="N74" s="67">
        <f t="shared" si="55"/>
        <v>961.35375372403348</v>
      </c>
      <c r="O74" s="72">
        <f t="shared" si="56"/>
        <v>12628.268240666186</v>
      </c>
      <c r="P74" s="203">
        <f t="shared" si="57"/>
        <v>88397.877684663297</v>
      </c>
      <c r="Q74" s="272">
        <f t="shared" si="2"/>
        <v>88397.877684663297</v>
      </c>
      <c r="R74" s="439">
        <f t="shared" si="8"/>
        <v>0</v>
      </c>
      <c r="T74" s="224"/>
      <c r="W74" s="126"/>
      <c r="X74" s="126"/>
      <c r="Y74" s="126"/>
      <c r="Z74" s="126"/>
      <c r="AA74" s="490"/>
      <c r="AB74" s="490"/>
      <c r="AC74" s="123"/>
      <c r="AD74" s="212">
        <f>SUM(AD70:AD73)</f>
        <v>1281.3207547169811</v>
      </c>
      <c r="AE74" s="491"/>
      <c r="AF74" s="212">
        <f>SUM(AF70:AF73)</f>
        <v>214.5</v>
      </c>
    </row>
    <row r="75" spans="1:32" s="273" customFormat="1" x14ac:dyDescent="0.25">
      <c r="A75" s="350"/>
      <c r="B75" s="317"/>
      <c r="C75" s="318">
        <v>6</v>
      </c>
      <c r="D75" s="8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51"/>
        <v>8495.1456310679605</v>
      </c>
      <c r="J75" s="74">
        <f>J74</f>
        <v>700</v>
      </c>
      <c r="K75" s="74">
        <f t="shared" si="52"/>
        <v>700</v>
      </c>
      <c r="L75" s="72">
        <f t="shared" si="53"/>
        <v>9195.1456310679605</v>
      </c>
      <c r="M75" s="67">
        <f t="shared" si="54"/>
        <v>11666.914486942153</v>
      </c>
      <c r="N75" s="67">
        <f t="shared" si="55"/>
        <v>961.35375372403348</v>
      </c>
      <c r="O75" s="72">
        <f t="shared" si="56"/>
        <v>12628.268240666186</v>
      </c>
      <c r="P75" s="203">
        <f t="shared" si="57"/>
        <v>12628.268240666186</v>
      </c>
      <c r="Q75" s="272">
        <f t="shared" si="2"/>
        <v>12628.268240666184</v>
      </c>
      <c r="R75" s="439">
        <f t="shared" si="8"/>
        <v>0</v>
      </c>
      <c r="T75" s="224"/>
      <c r="AD75" s="224"/>
      <c r="AF75" s="224"/>
    </row>
    <row r="76" spans="1:32" s="273" customFormat="1" x14ac:dyDescent="0.25">
      <c r="A76" s="350"/>
      <c r="B76" s="317"/>
      <c r="C76" s="318">
        <v>7</v>
      </c>
      <c r="D76" s="8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51"/>
        <v>14660.194174757282</v>
      </c>
      <c r="J76" s="74">
        <v>650</v>
      </c>
      <c r="K76" s="74">
        <f t="shared" si="52"/>
        <v>1300</v>
      </c>
      <c r="L76" s="72">
        <f t="shared" si="53"/>
        <v>15960.194174757282</v>
      </c>
      <c r="M76" s="67">
        <f t="shared" si="54"/>
        <v>10066.880500161515</v>
      </c>
      <c r="N76" s="67">
        <f t="shared" si="55"/>
        <v>892.68562845803103</v>
      </c>
      <c r="O76" s="72">
        <f t="shared" si="56"/>
        <v>10959.566128619546</v>
      </c>
      <c r="P76" s="203">
        <f t="shared" si="57"/>
        <v>21919.132257239093</v>
      </c>
      <c r="Q76" s="272">
        <f t="shared" si="2"/>
        <v>21919.132257239093</v>
      </c>
      <c r="R76" s="439">
        <f t="shared" si="8"/>
        <v>0</v>
      </c>
      <c r="T76" s="224"/>
      <c r="W76" s="904" t="s">
        <v>295</v>
      </c>
      <c r="X76" s="904"/>
      <c r="Y76" s="904"/>
      <c r="Z76" s="491" t="s">
        <v>243</v>
      </c>
      <c r="AA76" s="491" t="s">
        <v>244</v>
      </c>
      <c r="AB76" s="491" t="s">
        <v>245</v>
      </c>
      <c r="AC76" s="123" t="s">
        <v>246</v>
      </c>
      <c r="AD76" s="196" t="s">
        <v>247</v>
      </c>
      <c r="AE76" s="491" t="s">
        <v>248</v>
      </c>
      <c r="AF76" s="212" t="s">
        <v>249</v>
      </c>
    </row>
    <row r="77" spans="1:32" x14ac:dyDescent="0.25">
      <c r="A77" s="350"/>
      <c r="B77" s="317"/>
      <c r="C77" s="318">
        <v>8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67">
        <f t="shared" si="51"/>
        <v>23632.07547169811</v>
      </c>
      <c r="J77" s="74">
        <v>700</v>
      </c>
      <c r="K77" s="67">
        <f t="shared" si="52"/>
        <v>2100</v>
      </c>
      <c r="L77" s="72">
        <f t="shared" si="53"/>
        <v>25732.07547169811</v>
      </c>
      <c r="M77" s="67">
        <f t="shared" si="54"/>
        <v>10818.468791907922</v>
      </c>
      <c r="N77" s="67">
        <f t="shared" si="55"/>
        <v>961.35375372403348</v>
      </c>
      <c r="O77" s="72">
        <f t="shared" si="56"/>
        <v>11779.822545631956</v>
      </c>
      <c r="P77" s="203">
        <f t="shared" si="57"/>
        <v>35339.467636895868</v>
      </c>
      <c r="Q77" s="272">
        <f>L77/$P$255*$P$263</f>
        <v>35339.467636895868</v>
      </c>
      <c r="R77" s="439">
        <f>P77-Q77</f>
        <v>0</v>
      </c>
      <c r="W77" s="878" t="s">
        <v>271</v>
      </c>
      <c r="X77" s="878"/>
      <c r="Y77" s="878"/>
      <c r="Z77" s="124" t="s">
        <v>251</v>
      </c>
      <c r="AA77" s="490">
        <v>8.33</v>
      </c>
      <c r="AB77" s="490">
        <v>9</v>
      </c>
      <c r="AC77" s="123">
        <f>143/1.06</f>
        <v>134.90566037735849</v>
      </c>
      <c r="AD77" s="196">
        <f>AC77*AB77</f>
        <v>1214.1509433962265</v>
      </c>
      <c r="AE77" s="490">
        <v>23.9</v>
      </c>
      <c r="AF77" s="219">
        <f>AE77*AB77</f>
        <v>215.1</v>
      </c>
    </row>
    <row r="78" spans="1:32" x14ac:dyDescent="0.25">
      <c r="A78" s="350"/>
      <c r="B78" s="319"/>
      <c r="C78" s="318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72"/>
      <c r="N78" s="72"/>
      <c r="O78" s="72"/>
      <c r="P78" s="205"/>
      <c r="Q78" s="272">
        <f t="shared" si="2"/>
        <v>0</v>
      </c>
      <c r="R78" s="439">
        <f t="shared" si="8"/>
        <v>0</v>
      </c>
      <c r="W78" s="878" t="s">
        <v>252</v>
      </c>
      <c r="X78" s="878"/>
      <c r="Y78" s="878"/>
      <c r="Z78" s="124" t="s">
        <v>253</v>
      </c>
      <c r="AA78" s="490">
        <v>0.25</v>
      </c>
      <c r="AB78" s="490">
        <v>0.25</v>
      </c>
      <c r="AC78" s="123">
        <f>AC71</f>
        <v>268.8679245283019</v>
      </c>
      <c r="AD78" s="196">
        <f>AC78*AB78</f>
        <v>67.216981132075475</v>
      </c>
      <c r="AE78" s="490"/>
      <c r="AF78" s="219">
        <f>AE78*AB78</f>
        <v>0</v>
      </c>
    </row>
    <row r="79" spans="1:32" x14ac:dyDescent="0.25">
      <c r="A79" s="350"/>
      <c r="B79" s="317"/>
      <c r="C79" s="318">
        <v>9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67">
        <f>F79*H79</f>
        <v>8584.9056603773588</v>
      </c>
      <c r="J79" s="74">
        <f>J77</f>
        <v>700</v>
      </c>
      <c r="K79" s="67">
        <f t="shared" ref="K79" si="58">F79*J79</f>
        <v>700</v>
      </c>
      <c r="L79" s="72">
        <f t="shared" ref="L79" si="59">I79+K79</f>
        <v>9284.9056603773588</v>
      </c>
      <c r="M79" s="67">
        <f>H79/$P$255*$P$263</f>
        <v>11790.187545672108</v>
      </c>
      <c r="N79" s="67">
        <f>J79/$P$255*$P$263</f>
        <v>961.35375372403348</v>
      </c>
      <c r="O79" s="72">
        <f t="shared" ref="O79" si="60">N79+M79</f>
        <v>12751.541299396142</v>
      </c>
      <c r="P79" s="203">
        <f t="shared" ref="P79" si="61">O79*F79</f>
        <v>12751.541299396142</v>
      </c>
      <c r="Q79" s="272">
        <f t="shared" si="2"/>
        <v>12751.541299396144</v>
      </c>
      <c r="R79" s="439">
        <f t="shared" si="8"/>
        <v>0</v>
      </c>
      <c r="W79" s="878" t="s">
        <v>254</v>
      </c>
      <c r="X79" s="878"/>
      <c r="Y79" s="878"/>
      <c r="Z79" s="124" t="s">
        <v>255</v>
      </c>
      <c r="AA79" s="490">
        <v>0.25</v>
      </c>
      <c r="AB79" s="490">
        <v>0.35</v>
      </c>
      <c r="AC79" s="123">
        <f>37/1.06</f>
        <v>34.905660377358487</v>
      </c>
      <c r="AD79" s="196">
        <f>AC79*AB79</f>
        <v>12.216981132075469</v>
      </c>
      <c r="AE79" s="490"/>
      <c r="AF79" s="219">
        <f>AE79*AB79</f>
        <v>0</v>
      </c>
    </row>
    <row r="80" spans="1:32" x14ac:dyDescent="0.25">
      <c r="A80" s="350"/>
      <c r="B80" s="319"/>
      <c r="C80" s="318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72"/>
      <c r="N80" s="72"/>
      <c r="O80" s="72"/>
      <c r="P80" s="205"/>
      <c r="Q80" s="272">
        <f t="shared" si="2"/>
        <v>0</v>
      </c>
      <c r="R80" s="439">
        <f t="shared" si="8"/>
        <v>0</v>
      </c>
      <c r="W80" s="878" t="s">
        <v>256</v>
      </c>
      <c r="X80" s="878"/>
      <c r="Y80" s="878"/>
      <c r="Z80" s="124" t="s">
        <v>257</v>
      </c>
      <c r="AA80" s="490">
        <v>1</v>
      </c>
      <c r="AB80" s="490">
        <v>1</v>
      </c>
      <c r="AC80" s="123">
        <v>0</v>
      </c>
      <c r="AD80" s="196">
        <f>AC80*AB80</f>
        <v>0</v>
      </c>
      <c r="AE80" s="490">
        <v>0</v>
      </c>
      <c r="AF80" s="219">
        <f>AE80*AB80</f>
        <v>0</v>
      </c>
    </row>
    <row r="81" spans="1:32" x14ac:dyDescent="0.25">
      <c r="A81" s="350"/>
      <c r="B81" s="319"/>
      <c r="C81" s="318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72"/>
      <c r="N81" s="72"/>
      <c r="O81" s="72"/>
      <c r="P81" s="205"/>
      <c r="Q81" s="272">
        <f t="shared" ref="Q81:Q144" si="62">L81/$P$255*$P$263</f>
        <v>0</v>
      </c>
      <c r="R81" s="439">
        <f t="shared" si="8"/>
        <v>0</v>
      </c>
      <c r="W81" s="126"/>
      <c r="X81" s="126"/>
      <c r="Y81" s="126"/>
      <c r="Z81" s="126"/>
      <c r="AA81" s="490"/>
      <c r="AB81" s="490"/>
      <c r="AC81" s="123"/>
      <c r="AD81" s="212">
        <f>SUM(AD77:AD80)</f>
        <v>1293.5849056603774</v>
      </c>
      <c r="AE81" s="491"/>
      <c r="AF81" s="212">
        <f>SUM(AF77:AF80)</f>
        <v>215.1</v>
      </c>
    </row>
    <row r="82" spans="1:32" x14ac:dyDescent="0.25">
      <c r="A82" s="237"/>
      <c r="B82" s="290" t="s">
        <v>329</v>
      </c>
      <c r="C82" s="291" t="s">
        <v>27</v>
      </c>
      <c r="D82" s="82"/>
      <c r="E82" s="242"/>
      <c r="F82" s="302"/>
      <c r="G82" s="75"/>
      <c r="H82" s="74"/>
      <c r="I82" s="74"/>
      <c r="J82" s="74"/>
      <c r="K82" s="74"/>
      <c r="L82" s="74"/>
      <c r="M82" s="72"/>
      <c r="N82" s="72"/>
      <c r="O82" s="72"/>
      <c r="P82" s="205"/>
      <c r="Q82" s="272">
        <f t="shared" si="62"/>
        <v>0</v>
      </c>
      <c r="R82" s="439">
        <f t="shared" ref="R82:R148" si="63">P82-Q82</f>
        <v>0</v>
      </c>
    </row>
    <row r="83" spans="1:32" x14ac:dyDescent="0.25">
      <c r="A83" s="238"/>
      <c r="B83" s="249"/>
      <c r="C83" s="293">
        <v>1</v>
      </c>
      <c r="D83" s="84" t="s">
        <v>113</v>
      </c>
      <c r="E83" s="243">
        <v>1</v>
      </c>
      <c r="F83" s="302">
        <v>1</v>
      </c>
      <c r="G83" s="77" t="s">
        <v>55</v>
      </c>
      <c r="H83" s="72">
        <f>S83/$H$81</f>
        <v>221449.62616822429</v>
      </c>
      <c r="I83" s="67">
        <f>F83*H83</f>
        <v>221449.62616822429</v>
      </c>
      <c r="J83" s="72">
        <f>T83/$H$81</f>
        <v>39079.345794392524</v>
      </c>
      <c r="K83" s="67">
        <f t="shared" ref="K83" si="64">F83*J83</f>
        <v>39079.345794392524</v>
      </c>
      <c r="L83" s="72">
        <f t="shared" ref="L83" si="65">I83+K83</f>
        <v>260528.97196261681</v>
      </c>
      <c r="M83" s="67">
        <f>H83/$P$255*$P$263</f>
        <v>304130.61339658051</v>
      </c>
      <c r="N83" s="67">
        <f>J83/$P$255*$P$263</f>
        <v>53670.108246455391</v>
      </c>
      <c r="O83" s="72">
        <f t="shared" ref="O83" si="66">N83+M83</f>
        <v>357800.72164303588</v>
      </c>
      <c r="P83" s="203">
        <f t="shared" ref="P83" si="67">O83*F83</f>
        <v>357800.72164303588</v>
      </c>
      <c r="Q83" s="272">
        <f t="shared" si="62"/>
        <v>357800.72164303588</v>
      </c>
      <c r="R83" s="439">
        <f t="shared" si="63"/>
        <v>0</v>
      </c>
      <c r="S83" s="72">
        <f>278766*0.85</f>
        <v>236951.1</v>
      </c>
      <c r="T83" s="72">
        <f>278766*0.15</f>
        <v>41814.9</v>
      </c>
      <c r="W83" s="904" t="s">
        <v>350</v>
      </c>
      <c r="X83" s="904"/>
      <c r="Y83" s="904"/>
      <c r="Z83" s="491" t="s">
        <v>243</v>
      </c>
      <c r="AA83" s="491" t="s">
        <v>244</v>
      </c>
      <c r="AB83" s="491" t="s">
        <v>245</v>
      </c>
      <c r="AC83" s="123" t="s">
        <v>246</v>
      </c>
      <c r="AD83" s="196" t="s">
        <v>247</v>
      </c>
      <c r="AE83" s="491" t="s">
        <v>248</v>
      </c>
      <c r="AF83" s="212" t="s">
        <v>249</v>
      </c>
    </row>
    <row r="84" spans="1:32" x14ac:dyDescent="0.25">
      <c r="A84" s="238"/>
      <c r="B84" s="245"/>
      <c r="C84" s="293"/>
      <c r="D84" s="84" t="s">
        <v>54</v>
      </c>
      <c r="E84" s="243"/>
      <c r="F84" s="302"/>
      <c r="G84" s="77"/>
      <c r="H84" s="74"/>
      <c r="I84" s="74"/>
      <c r="J84" s="74"/>
      <c r="K84" s="74"/>
      <c r="L84" s="74"/>
      <c r="M84" s="72"/>
      <c r="N84" s="72"/>
      <c r="O84" s="72"/>
      <c r="P84" s="205"/>
      <c r="Q84" s="272">
        <f t="shared" si="62"/>
        <v>0</v>
      </c>
      <c r="R84" s="439">
        <f t="shared" si="63"/>
        <v>0</v>
      </c>
      <c r="S84" s="74"/>
      <c r="T84" s="74"/>
      <c r="W84" s="878" t="s">
        <v>250</v>
      </c>
      <c r="X84" s="878"/>
      <c r="Y84" s="878"/>
      <c r="Z84" s="124" t="s">
        <v>251</v>
      </c>
      <c r="AA84" s="490">
        <v>2.77</v>
      </c>
      <c r="AB84" s="490">
        <v>3</v>
      </c>
      <c r="AC84" s="335">
        <f>350/1.07</f>
        <v>327.10280373831773</v>
      </c>
      <c r="AD84" s="196">
        <f>AC84*AB84</f>
        <v>981.30841121495314</v>
      </c>
      <c r="AE84" s="490">
        <v>71.7</v>
      </c>
      <c r="AF84" s="219">
        <f>AE84*AB84</f>
        <v>215.10000000000002</v>
      </c>
    </row>
    <row r="85" spans="1:32" x14ac:dyDescent="0.25">
      <c r="A85" s="238"/>
      <c r="B85" s="249"/>
      <c r="C85" s="293">
        <v>2</v>
      </c>
      <c r="D85" s="84" t="s">
        <v>114</v>
      </c>
      <c r="E85" s="243">
        <v>1</v>
      </c>
      <c r="F85" s="302">
        <v>1</v>
      </c>
      <c r="G85" s="77" t="s">
        <v>55</v>
      </c>
      <c r="H85" s="72">
        <f>S85/$H$81</f>
        <v>95682.196261682227</v>
      </c>
      <c r="I85" s="67">
        <f>F85*H85</f>
        <v>95682.196261682227</v>
      </c>
      <c r="J85" s="72">
        <f>T85/$H$81</f>
        <v>16885.093457943924</v>
      </c>
      <c r="K85" s="67">
        <f t="shared" ref="K85" si="68">F85*J85</f>
        <v>16885.093457943924</v>
      </c>
      <c r="L85" s="72">
        <f t="shared" ref="L85" si="69">I85+K85</f>
        <v>112567.28971962615</v>
      </c>
      <c r="M85" s="67">
        <f>H85/$P$255*$P$263</f>
        <v>131406.34077246842</v>
      </c>
      <c r="N85" s="67">
        <f>J85/$P$255*$P$263</f>
        <v>23189.354253965012</v>
      </c>
      <c r="O85" s="72">
        <f t="shared" ref="O85" si="70">N85+M85</f>
        <v>154595.69502643344</v>
      </c>
      <c r="P85" s="203">
        <f t="shared" ref="P85" si="71">O85*F85</f>
        <v>154595.69502643344</v>
      </c>
      <c r="Q85" s="272">
        <f t="shared" si="62"/>
        <v>154595.69502643342</v>
      </c>
      <c r="R85" s="439">
        <f t="shared" si="63"/>
        <v>0</v>
      </c>
      <c r="S85" s="72">
        <f>120447*0.85</f>
        <v>102379.95</v>
      </c>
      <c r="T85" s="72">
        <f>120447*0.15</f>
        <v>18067.05</v>
      </c>
      <c r="W85" s="878" t="s">
        <v>252</v>
      </c>
      <c r="X85" s="878"/>
      <c r="Y85" s="878"/>
      <c r="Z85" s="124" t="s">
        <v>253</v>
      </c>
      <c r="AA85" s="490">
        <v>0.25</v>
      </c>
      <c r="AB85" s="490">
        <v>0.25</v>
      </c>
      <c r="AC85" s="123">
        <f>AC44</f>
        <v>268.8679245283019</v>
      </c>
      <c r="AD85" s="196">
        <f>AC85*AB85</f>
        <v>67.216981132075475</v>
      </c>
      <c r="AE85" s="490"/>
      <c r="AF85" s="219">
        <f>AE85*AB85</f>
        <v>0</v>
      </c>
    </row>
    <row r="86" spans="1:32" x14ac:dyDescent="0.25">
      <c r="A86" s="238"/>
      <c r="B86" s="245"/>
      <c r="C86" s="293"/>
      <c r="D86" s="84" t="s">
        <v>37</v>
      </c>
      <c r="E86" s="243"/>
      <c r="F86" s="302"/>
      <c r="G86" s="77"/>
      <c r="H86" s="74"/>
      <c r="I86" s="74"/>
      <c r="J86" s="74"/>
      <c r="K86" s="74"/>
      <c r="L86" s="74"/>
      <c r="M86" s="72"/>
      <c r="N86" s="72"/>
      <c r="O86" s="72"/>
      <c r="P86" s="205"/>
      <c r="Q86" s="272">
        <f t="shared" si="62"/>
        <v>0</v>
      </c>
      <c r="R86" s="439">
        <f t="shared" si="63"/>
        <v>0</v>
      </c>
      <c r="S86" s="74"/>
      <c r="T86" s="74"/>
      <c r="W86" s="878" t="s">
        <v>254</v>
      </c>
      <c r="X86" s="878"/>
      <c r="Y86" s="878"/>
      <c r="Z86" s="124" t="s">
        <v>255</v>
      </c>
      <c r="AA86" s="490">
        <v>0.25</v>
      </c>
      <c r="AB86" s="490">
        <v>0.35</v>
      </c>
      <c r="AC86" s="123">
        <f>AC45</f>
        <v>34.905660377358487</v>
      </c>
      <c r="AD86" s="196">
        <f>AC86*AB86</f>
        <v>12.216981132075469</v>
      </c>
      <c r="AE86" s="490"/>
      <c r="AF86" s="219">
        <f>AE86*AB86</f>
        <v>0</v>
      </c>
    </row>
    <row r="87" spans="1:32" x14ac:dyDescent="0.25">
      <c r="A87" s="238"/>
      <c r="B87" s="249"/>
      <c r="C87" s="293">
        <v>3</v>
      </c>
      <c r="D87" s="84" t="s">
        <v>115</v>
      </c>
      <c r="E87" s="243">
        <v>1</v>
      </c>
      <c r="F87" s="302">
        <v>1</v>
      </c>
      <c r="G87" s="77" t="s">
        <v>55</v>
      </c>
      <c r="H87" s="72">
        <f>S87/$H$81</f>
        <v>75806.892523364484</v>
      </c>
      <c r="I87" s="67">
        <f>F87*H87</f>
        <v>75806.892523364484</v>
      </c>
      <c r="J87" s="72">
        <f>T87/$H$81</f>
        <v>13377.686915887849</v>
      </c>
      <c r="K87" s="67">
        <f t="shared" ref="K87" si="72">F87*J87</f>
        <v>13377.686915887849</v>
      </c>
      <c r="L87" s="72">
        <f t="shared" ref="L87" si="73">I87+K87</f>
        <v>89184.579439252338</v>
      </c>
      <c r="M87" s="67">
        <f>H87/$P$255*$P$263</f>
        <v>104110.34383641544</v>
      </c>
      <c r="N87" s="67">
        <f>J87/$P$255*$P$263</f>
        <v>18372.41361819096</v>
      </c>
      <c r="O87" s="72">
        <f t="shared" ref="O87" si="74">N87+M87</f>
        <v>122482.7574546064</v>
      </c>
      <c r="P87" s="203">
        <f t="shared" ref="P87" si="75">O87*F87</f>
        <v>122482.7574546064</v>
      </c>
      <c r="Q87" s="272">
        <f t="shared" si="62"/>
        <v>122482.75745460641</v>
      </c>
      <c r="R87" s="439">
        <f t="shared" si="63"/>
        <v>0</v>
      </c>
      <c r="S87" s="72">
        <f>95427.5*0.85</f>
        <v>81113.375</v>
      </c>
      <c r="T87" s="72">
        <f>95427.5*0.15</f>
        <v>14314.125</v>
      </c>
      <c r="W87" s="878" t="s">
        <v>256</v>
      </c>
      <c r="X87" s="878"/>
      <c r="Y87" s="878"/>
      <c r="Z87" s="124" t="s">
        <v>257</v>
      </c>
      <c r="AA87" s="490">
        <v>1</v>
      </c>
      <c r="AB87" s="490">
        <v>1</v>
      </c>
      <c r="AC87" s="123">
        <v>0</v>
      </c>
      <c r="AD87" s="196">
        <f>AC87*AB87</f>
        <v>0</v>
      </c>
      <c r="AE87" s="490">
        <v>0</v>
      </c>
      <c r="AF87" s="219">
        <f>AE87*AB87</f>
        <v>0</v>
      </c>
    </row>
    <row r="88" spans="1:32" x14ac:dyDescent="0.25">
      <c r="A88" s="238"/>
      <c r="B88" s="245"/>
      <c r="C88" s="293"/>
      <c r="D88" s="84" t="s">
        <v>37</v>
      </c>
      <c r="E88" s="243"/>
      <c r="F88" s="302"/>
      <c r="G88" s="77"/>
      <c r="H88" s="74"/>
      <c r="I88" s="74"/>
      <c r="J88" s="74"/>
      <c r="K88" s="74"/>
      <c r="L88" s="74"/>
      <c r="M88" s="72"/>
      <c r="N88" s="72"/>
      <c r="O88" s="72"/>
      <c r="P88" s="205"/>
      <c r="Q88" s="272">
        <f t="shared" si="62"/>
        <v>0</v>
      </c>
      <c r="R88" s="439">
        <f t="shared" si="63"/>
        <v>0</v>
      </c>
      <c r="S88" s="74"/>
      <c r="T88" s="74"/>
      <c r="W88" s="126"/>
      <c r="X88" s="126"/>
      <c r="Y88" s="126"/>
      <c r="Z88" s="126"/>
      <c r="AA88" s="490"/>
      <c r="AB88" s="490"/>
      <c r="AC88" s="123"/>
      <c r="AD88" s="212">
        <f>SUM(AD84:AD87)</f>
        <v>1060.7423734791041</v>
      </c>
      <c r="AE88" s="491"/>
      <c r="AF88" s="212">
        <f>SUM(AF84:AF87)</f>
        <v>215.10000000000002</v>
      </c>
    </row>
    <row r="89" spans="1:32" x14ac:dyDescent="0.25">
      <c r="A89" s="238"/>
      <c r="B89" s="249"/>
      <c r="C89" s="293">
        <v>4</v>
      </c>
      <c r="D89" s="84" t="s">
        <v>116</v>
      </c>
      <c r="E89" s="243">
        <v>1</v>
      </c>
      <c r="F89" s="302">
        <v>1</v>
      </c>
      <c r="G89" s="77" t="s">
        <v>55</v>
      </c>
      <c r="H89" s="72">
        <f>S89/$H$81</f>
        <v>36019.345794392517</v>
      </c>
      <c r="I89" s="67">
        <f>F89*H89</f>
        <v>36019.345794392517</v>
      </c>
      <c r="J89" s="72">
        <f>T89/$H$81</f>
        <v>6356.3551401869154</v>
      </c>
      <c r="K89" s="67">
        <f t="shared" ref="K89" si="76">F89*J89</f>
        <v>6356.3551401869154</v>
      </c>
      <c r="L89" s="72">
        <f t="shared" ref="L89" si="77">I89+K89</f>
        <v>42375.700934579436</v>
      </c>
      <c r="M89" s="67">
        <f>H89/$P$255*$P$263</f>
        <v>49467.618980176041</v>
      </c>
      <c r="N89" s="67">
        <f>J89/$P$255*$P$263</f>
        <v>8729.5798200310655</v>
      </c>
      <c r="O89" s="72">
        <f t="shared" ref="O89" si="78">N89+M89</f>
        <v>58197.198800207108</v>
      </c>
      <c r="P89" s="203">
        <f t="shared" ref="P89" si="79">O89*F89</f>
        <v>58197.198800207108</v>
      </c>
      <c r="Q89" s="272">
        <f t="shared" si="62"/>
        <v>58197.198800207108</v>
      </c>
      <c r="R89" s="439">
        <f t="shared" si="63"/>
        <v>0</v>
      </c>
      <c r="S89" s="72">
        <f>45342*0.85</f>
        <v>38540.699999999997</v>
      </c>
      <c r="T89" s="72">
        <f>45342*0.15</f>
        <v>6801.3</v>
      </c>
    </row>
    <row r="90" spans="1:32" x14ac:dyDescent="0.25">
      <c r="A90" s="238"/>
      <c r="B90" s="245"/>
      <c r="C90" s="293"/>
      <c r="D90" s="84" t="s">
        <v>37</v>
      </c>
      <c r="E90" s="243"/>
      <c r="F90" s="302"/>
      <c r="G90" s="77"/>
      <c r="H90" s="74"/>
      <c r="I90" s="74"/>
      <c r="J90" s="74"/>
      <c r="K90" s="74"/>
      <c r="L90" s="74"/>
      <c r="M90" s="72"/>
      <c r="N90" s="72"/>
      <c r="O90" s="72"/>
      <c r="P90" s="205"/>
      <c r="Q90" s="272">
        <f t="shared" si="62"/>
        <v>0</v>
      </c>
      <c r="R90" s="439">
        <f t="shared" si="63"/>
        <v>0</v>
      </c>
      <c r="S90" s="74"/>
      <c r="T90" s="74"/>
    </row>
    <row r="91" spans="1:32" x14ac:dyDescent="0.25">
      <c r="A91" s="238"/>
      <c r="B91" s="249"/>
      <c r="C91" s="293">
        <v>5</v>
      </c>
      <c r="D91" s="84" t="s">
        <v>117</v>
      </c>
      <c r="E91" s="243">
        <v>2</v>
      </c>
      <c r="F91" s="302">
        <v>2</v>
      </c>
      <c r="G91" s="77" t="s">
        <v>28</v>
      </c>
      <c r="H91" s="266">
        <f>S91/$H$81</f>
        <v>10027.219626168224</v>
      </c>
      <c r="I91" s="67">
        <f>F91*H91</f>
        <v>20054.439252336448</v>
      </c>
      <c r="J91" s="266">
        <f>T91/$H$81</f>
        <v>1769.5093457943924</v>
      </c>
      <c r="K91" s="67">
        <f t="shared" ref="K91" si="80">F91*J91</f>
        <v>3539.0186915887848</v>
      </c>
      <c r="L91" s="72">
        <f t="shared" ref="L91" si="81">I91+K91</f>
        <v>23593.457943925234</v>
      </c>
      <c r="M91" s="67">
        <f>H91/$P$255*$P$263</f>
        <v>13771.007467188745</v>
      </c>
      <c r="N91" s="67">
        <f>J91/$P$255*$P$263</f>
        <v>2430.1777883274253</v>
      </c>
      <c r="O91" s="72">
        <f t="shared" ref="O91" si="82">N91+M91</f>
        <v>16201.185255516171</v>
      </c>
      <c r="P91" s="203">
        <f t="shared" ref="P91" si="83">O91*F91</f>
        <v>32402.370511032343</v>
      </c>
      <c r="Q91" s="272">
        <f t="shared" si="62"/>
        <v>32402.370511032339</v>
      </c>
      <c r="R91" s="439">
        <f t="shared" si="63"/>
        <v>0</v>
      </c>
      <c r="S91" s="328">
        <f>14025*0.85*0.9</f>
        <v>10729.125</v>
      </c>
      <c r="T91" s="328">
        <f>14025*0.15*0.9</f>
        <v>1893.375</v>
      </c>
      <c r="W91" s="900" t="s">
        <v>351</v>
      </c>
      <c r="X91" s="900"/>
      <c r="Y91" s="900"/>
      <c r="Z91" s="491" t="s">
        <v>243</v>
      </c>
      <c r="AA91" s="491" t="s">
        <v>244</v>
      </c>
      <c r="AB91" s="491" t="s">
        <v>245</v>
      </c>
      <c r="AC91" s="123" t="s">
        <v>246</v>
      </c>
      <c r="AD91" s="196" t="s">
        <v>247</v>
      </c>
      <c r="AE91" s="491" t="s">
        <v>248</v>
      </c>
      <c r="AF91" s="212" t="s">
        <v>249</v>
      </c>
    </row>
    <row r="92" spans="1:32" x14ac:dyDescent="0.25">
      <c r="A92" s="238"/>
      <c r="B92" s="245"/>
      <c r="C92" s="293"/>
      <c r="D92" s="84" t="s">
        <v>38</v>
      </c>
      <c r="E92" s="243"/>
      <c r="F92" s="302"/>
      <c r="G92" s="75"/>
      <c r="H92" s="74"/>
      <c r="I92" s="74"/>
      <c r="J92" s="74"/>
      <c r="K92" s="74"/>
      <c r="L92" s="74"/>
      <c r="M92" s="72"/>
      <c r="N92" s="72"/>
      <c r="O92" s="72"/>
      <c r="P92" s="205"/>
      <c r="Q92" s="272">
        <f t="shared" si="62"/>
        <v>0</v>
      </c>
      <c r="R92" s="439">
        <f t="shared" si="63"/>
        <v>0</v>
      </c>
      <c r="S92" s="74"/>
      <c r="T92" s="74"/>
      <c r="W92" s="878" t="s">
        <v>352</v>
      </c>
      <c r="X92" s="878"/>
      <c r="Y92" s="878"/>
      <c r="Z92" s="124" t="s">
        <v>251</v>
      </c>
      <c r="AA92" s="490">
        <v>8.33</v>
      </c>
      <c r="AB92" s="490">
        <v>9</v>
      </c>
      <c r="AC92" s="123">
        <f>130/1.06</f>
        <v>122.64150943396226</v>
      </c>
      <c r="AD92" s="196">
        <f>AC92*AB92</f>
        <v>1103.7735849056603</v>
      </c>
      <c r="AE92" s="490">
        <f>AE77</f>
        <v>23.9</v>
      </c>
      <c r="AF92" s="219">
        <f>AE92*AB92</f>
        <v>215.1</v>
      </c>
    </row>
    <row r="93" spans="1:32" x14ac:dyDescent="0.25">
      <c r="A93" s="238"/>
      <c r="B93" s="249"/>
      <c r="C93" s="293">
        <v>6</v>
      </c>
      <c r="D93" s="83" t="s">
        <v>118</v>
      </c>
      <c r="E93" s="242">
        <v>2</v>
      </c>
      <c r="F93" s="302">
        <v>2</v>
      </c>
      <c r="G93" s="77" t="s">
        <v>28</v>
      </c>
      <c r="H93" s="266">
        <f>S93/$H$81</f>
        <v>12944.228971962617</v>
      </c>
      <c r="I93" s="67">
        <f>F93*H93</f>
        <v>25888.457943925234</v>
      </c>
      <c r="J93" s="266">
        <f>T93/$H$81</f>
        <v>2284.2757009345796</v>
      </c>
      <c r="K93" s="67">
        <f t="shared" ref="K93" si="84">F93*J93</f>
        <v>4568.5514018691592</v>
      </c>
      <c r="L93" s="72">
        <f t="shared" ref="L93" si="85">I93+K93</f>
        <v>30457.009345794395</v>
      </c>
      <c r="M93" s="67">
        <f>H93/$P$255*$P$263</f>
        <v>17777.118730370927</v>
      </c>
      <c r="N93" s="67">
        <f>J93/$P$255*$P$263</f>
        <v>3137.1385994772227</v>
      </c>
      <c r="O93" s="72">
        <f t="shared" ref="O93" si="86">N93+M93</f>
        <v>20914.257329848151</v>
      </c>
      <c r="P93" s="203">
        <f t="shared" ref="P93" si="87">O93*F93</f>
        <v>41828.514659696302</v>
      </c>
      <c r="Q93" s="272">
        <f t="shared" si="62"/>
        <v>41828.514659696295</v>
      </c>
      <c r="R93" s="439">
        <f t="shared" si="63"/>
        <v>0</v>
      </c>
      <c r="S93" s="328">
        <f>18105*0.85*0.9</f>
        <v>13850.325000000001</v>
      </c>
      <c r="T93" s="328">
        <f>18105*0.15*0.9</f>
        <v>2444.1750000000002</v>
      </c>
      <c r="W93" s="878" t="s">
        <v>252</v>
      </c>
      <c r="X93" s="878"/>
      <c r="Y93" s="878"/>
      <c r="Z93" s="124" t="s">
        <v>253</v>
      </c>
      <c r="AA93" s="490">
        <v>0.25</v>
      </c>
      <c r="AB93" s="490">
        <v>0.25</v>
      </c>
      <c r="AC93" s="123">
        <f>260/1.06</f>
        <v>245.28301886792451</v>
      </c>
      <c r="AD93" s="196">
        <f>AC93*AB93</f>
        <v>61.320754716981128</v>
      </c>
      <c r="AE93" s="490"/>
      <c r="AF93" s="219">
        <f>AE93*AB93</f>
        <v>0</v>
      </c>
    </row>
    <row r="94" spans="1:32" x14ac:dyDescent="0.25">
      <c r="A94" s="238"/>
      <c r="B94" s="245"/>
      <c r="C94" s="293"/>
      <c r="D94" s="83" t="s">
        <v>51</v>
      </c>
      <c r="E94" s="242"/>
      <c r="F94" s="302"/>
      <c r="G94" s="75"/>
      <c r="H94" s="74"/>
      <c r="I94" s="74"/>
      <c r="J94" s="74"/>
      <c r="K94" s="74"/>
      <c r="L94" s="74"/>
      <c r="M94" s="72"/>
      <c r="N94" s="72"/>
      <c r="O94" s="72"/>
      <c r="P94" s="205"/>
      <c r="Q94" s="272">
        <f t="shared" si="62"/>
        <v>0</v>
      </c>
      <c r="R94" s="439">
        <f t="shared" si="63"/>
        <v>0</v>
      </c>
      <c r="S94" s="74"/>
      <c r="T94" s="74"/>
      <c r="W94" s="878" t="s">
        <v>254</v>
      </c>
      <c r="X94" s="878"/>
      <c r="Y94" s="878"/>
      <c r="Z94" s="124" t="s">
        <v>255</v>
      </c>
      <c r="AA94" s="490">
        <v>0.25</v>
      </c>
      <c r="AB94" s="490">
        <v>0.35</v>
      </c>
      <c r="AC94" s="123">
        <f>37/1.06</f>
        <v>34.905660377358487</v>
      </c>
      <c r="AD94" s="196">
        <f>AC94*AB94</f>
        <v>12.216981132075469</v>
      </c>
      <c r="AE94" s="490"/>
      <c r="AF94" s="219">
        <f>AE94*AB94</f>
        <v>0</v>
      </c>
    </row>
    <row r="95" spans="1:32" x14ac:dyDescent="0.25">
      <c r="A95" s="238"/>
      <c r="B95" s="249"/>
      <c r="C95" s="293">
        <v>7</v>
      </c>
      <c r="D95" s="83" t="s">
        <v>119</v>
      </c>
      <c r="E95" s="242">
        <v>4</v>
      </c>
      <c r="F95" s="302">
        <v>4</v>
      </c>
      <c r="G95" s="77" t="s">
        <v>28</v>
      </c>
      <c r="H95" s="266">
        <f>S95/$H$81</f>
        <v>6563.2710280373831</v>
      </c>
      <c r="I95" s="67">
        <f>F95*H95</f>
        <v>26253.084112149532</v>
      </c>
      <c r="J95" s="266">
        <f>T95/$H$81</f>
        <v>1158.2242990654204</v>
      </c>
      <c r="K95" s="67">
        <f t="shared" ref="K95" si="88">F95*J95</f>
        <v>4632.8971962616815</v>
      </c>
      <c r="L95" s="72">
        <f t="shared" ref="L95" si="89">I95+K95</f>
        <v>30885.981308411214</v>
      </c>
      <c r="M95" s="67">
        <f>H95/$P$255*$P$263</f>
        <v>9013.7503421599067</v>
      </c>
      <c r="N95" s="67">
        <f>J95/$P$255*$P$263</f>
        <v>1590.661825087042</v>
      </c>
      <c r="O95" s="72">
        <f t="shared" ref="O95" si="90">N95+M95</f>
        <v>10604.412167246948</v>
      </c>
      <c r="P95" s="203">
        <f t="shared" ref="P95" si="91">O95*F95</f>
        <v>42417.648668987793</v>
      </c>
      <c r="Q95" s="272">
        <f t="shared" si="62"/>
        <v>42417.648668987793</v>
      </c>
      <c r="R95" s="439">
        <f t="shared" si="63"/>
        <v>0</v>
      </c>
      <c r="S95" s="328">
        <f>9180*0.85*0.9</f>
        <v>7022.7</v>
      </c>
      <c r="T95" s="328">
        <f>9180*0.15*0.9</f>
        <v>1239.3</v>
      </c>
      <c r="W95" s="878" t="s">
        <v>256</v>
      </c>
      <c r="X95" s="878"/>
      <c r="Y95" s="878"/>
      <c r="Z95" s="124" t="s">
        <v>257</v>
      </c>
      <c r="AA95" s="490">
        <v>1</v>
      </c>
      <c r="AB95" s="490">
        <v>1</v>
      </c>
      <c r="AC95" s="123">
        <v>0</v>
      </c>
      <c r="AD95" s="196">
        <f>AC95*AB95</f>
        <v>0</v>
      </c>
      <c r="AE95" s="490">
        <v>0</v>
      </c>
      <c r="AF95" s="219">
        <f>AE95*AB95</f>
        <v>0</v>
      </c>
    </row>
    <row r="96" spans="1:32" x14ac:dyDescent="0.25">
      <c r="A96" s="238"/>
      <c r="B96" s="245"/>
      <c r="C96" s="293"/>
      <c r="D96" s="83" t="s">
        <v>38</v>
      </c>
      <c r="E96" s="242"/>
      <c r="F96" s="302"/>
      <c r="G96" s="75"/>
      <c r="H96" s="74"/>
      <c r="I96" s="74"/>
      <c r="J96" s="74"/>
      <c r="K96" s="74"/>
      <c r="L96" s="74"/>
      <c r="M96" s="72"/>
      <c r="N96" s="72"/>
      <c r="O96" s="72"/>
      <c r="P96" s="205"/>
      <c r="Q96" s="272">
        <f t="shared" si="62"/>
        <v>0</v>
      </c>
      <c r="R96" s="439">
        <f t="shared" si="63"/>
        <v>0</v>
      </c>
      <c r="S96" s="74"/>
      <c r="T96" s="74"/>
      <c r="W96" s="126"/>
      <c r="X96" s="126"/>
      <c r="Y96" s="126"/>
      <c r="Z96" s="126"/>
      <c r="AA96" s="490"/>
      <c r="AB96" s="490"/>
      <c r="AC96" s="123"/>
      <c r="AD96" s="212">
        <f>SUM(AD92:AD95)</f>
        <v>1177.3113207547169</v>
      </c>
      <c r="AE96" s="491"/>
      <c r="AF96" s="212">
        <f>SUM(AF92:AF95)</f>
        <v>215.1</v>
      </c>
    </row>
    <row r="97" spans="1:32" x14ac:dyDescent="0.25">
      <c r="A97" s="238"/>
      <c r="B97" s="249"/>
      <c r="C97" s="293">
        <v>8</v>
      </c>
      <c r="D97" s="83" t="s">
        <v>120</v>
      </c>
      <c r="E97" s="242">
        <v>1</v>
      </c>
      <c r="F97" s="302">
        <v>1</v>
      </c>
      <c r="G97" s="77" t="s">
        <v>55</v>
      </c>
      <c r="H97" s="266">
        <f>S97/$H$81</f>
        <v>3281.6355140186915</v>
      </c>
      <c r="I97" s="67">
        <f>F97*H97</f>
        <v>3281.6355140186915</v>
      </c>
      <c r="J97" s="266">
        <f>T97/$H$81</f>
        <v>579.11214953271019</v>
      </c>
      <c r="K97" s="67">
        <f t="shared" ref="K97" si="92">F97*J97</f>
        <v>579.11214953271019</v>
      </c>
      <c r="L97" s="72">
        <f t="shared" ref="L97" si="93">I97+K97</f>
        <v>3860.7476635514017</v>
      </c>
      <c r="M97" s="67">
        <f>H97/$P$255*$P$263</f>
        <v>4506.8751710799534</v>
      </c>
      <c r="N97" s="67">
        <f>J97/$P$255*$P$263</f>
        <v>795.33091254352098</v>
      </c>
      <c r="O97" s="72">
        <f t="shared" ref="O97" si="94">N97+M97</f>
        <v>5302.2060836234741</v>
      </c>
      <c r="P97" s="203">
        <f t="shared" ref="P97" si="95">O97*F97</f>
        <v>5302.2060836234741</v>
      </c>
      <c r="Q97" s="272">
        <f t="shared" si="62"/>
        <v>5302.2060836234741</v>
      </c>
      <c r="R97" s="439">
        <f t="shared" si="63"/>
        <v>0</v>
      </c>
      <c r="S97" s="328">
        <f>4590*0.85*0.9</f>
        <v>3511.35</v>
      </c>
      <c r="T97" s="328">
        <f>4590*0.15*0.9</f>
        <v>619.65</v>
      </c>
    </row>
    <row r="98" spans="1:32" x14ac:dyDescent="0.25">
      <c r="A98" s="238"/>
      <c r="B98" s="245"/>
      <c r="C98" s="293"/>
      <c r="D98" s="83" t="s">
        <v>51</v>
      </c>
      <c r="E98" s="242"/>
      <c r="F98" s="302"/>
      <c r="G98" s="75"/>
      <c r="H98" s="74"/>
      <c r="I98" s="74"/>
      <c r="J98" s="74"/>
      <c r="K98" s="74"/>
      <c r="L98" s="74"/>
      <c r="M98" s="72"/>
      <c r="N98" s="72"/>
      <c r="O98" s="72"/>
      <c r="P98" s="205"/>
      <c r="Q98" s="272">
        <f t="shared" si="62"/>
        <v>0</v>
      </c>
      <c r="R98" s="439">
        <f t="shared" si="63"/>
        <v>0</v>
      </c>
      <c r="S98" s="74"/>
      <c r="T98" s="74"/>
    </row>
    <row r="99" spans="1:32" x14ac:dyDescent="0.25">
      <c r="A99" s="238"/>
      <c r="B99" s="249"/>
      <c r="C99" s="293">
        <v>9</v>
      </c>
      <c r="D99" s="83" t="s">
        <v>121</v>
      </c>
      <c r="E99" s="242">
        <v>1</v>
      </c>
      <c r="F99" s="302">
        <v>1</v>
      </c>
      <c r="G99" s="77" t="s">
        <v>55</v>
      </c>
      <c r="H99" s="72">
        <f>S99/$H$81</f>
        <v>146022.05607476635</v>
      </c>
      <c r="I99" s="67">
        <f>F99*H99</f>
        <v>146022.05607476635</v>
      </c>
      <c r="J99" s="72">
        <f>T99/$H$81</f>
        <v>25768.598130841117</v>
      </c>
      <c r="K99" s="67">
        <f t="shared" ref="K99" si="96">F99*J99</f>
        <v>25768.598130841117</v>
      </c>
      <c r="L99" s="72">
        <f t="shared" ref="L99" si="97">I99+K99</f>
        <v>171790.65420560748</v>
      </c>
      <c r="M99" s="67">
        <f>H99/$P$255*$P$263</f>
        <v>200541.21676282564</v>
      </c>
      <c r="N99" s="67">
        <f>J99/$P$255*$P$263</f>
        <v>35389.626487557456</v>
      </c>
      <c r="O99" s="72">
        <f t="shared" ref="O99" si="98">N99+M99</f>
        <v>235930.8432503831</v>
      </c>
      <c r="P99" s="203">
        <f t="shared" ref="P99" si="99">O99*F99</f>
        <v>235930.8432503831</v>
      </c>
      <c r="Q99" s="272">
        <f t="shared" si="62"/>
        <v>235930.84325038313</v>
      </c>
      <c r="R99" s="439">
        <f t="shared" si="63"/>
        <v>0</v>
      </c>
      <c r="S99" s="72">
        <f>183816*0.85</f>
        <v>156243.6</v>
      </c>
      <c r="T99" s="72">
        <f>183816*0.15</f>
        <v>27572.399999999998</v>
      </c>
      <c r="W99" s="900" t="s">
        <v>351</v>
      </c>
      <c r="X99" s="900"/>
      <c r="Y99" s="900"/>
      <c r="Z99" s="491" t="s">
        <v>243</v>
      </c>
      <c r="AA99" s="491" t="s">
        <v>244</v>
      </c>
      <c r="AB99" s="491" t="s">
        <v>245</v>
      </c>
      <c r="AC99" s="123" t="s">
        <v>246</v>
      </c>
      <c r="AD99" s="123" t="s">
        <v>247</v>
      </c>
      <c r="AE99" s="491" t="s">
        <v>248</v>
      </c>
      <c r="AF99" s="491" t="s">
        <v>249</v>
      </c>
    </row>
    <row r="100" spans="1:32" x14ac:dyDescent="0.25">
      <c r="A100" s="238"/>
      <c r="B100" s="245"/>
      <c r="C100" s="293"/>
      <c r="D100" s="83" t="s">
        <v>54</v>
      </c>
      <c r="E100" s="242"/>
      <c r="F100" s="302"/>
      <c r="G100" s="77"/>
      <c r="H100" s="74"/>
      <c r="I100" s="74"/>
      <c r="J100" s="74"/>
      <c r="K100" s="74"/>
      <c r="L100" s="72"/>
      <c r="M100" s="72"/>
      <c r="N100" s="72"/>
      <c r="O100" s="72"/>
      <c r="P100" s="205"/>
      <c r="Q100" s="272">
        <f t="shared" si="62"/>
        <v>0</v>
      </c>
      <c r="R100" s="439">
        <f t="shared" si="63"/>
        <v>0</v>
      </c>
      <c r="S100" s="74"/>
      <c r="T100" s="74"/>
      <c r="W100" s="878" t="s">
        <v>353</v>
      </c>
      <c r="X100" s="878"/>
      <c r="Y100" s="878"/>
      <c r="Z100" s="124" t="s">
        <v>251</v>
      </c>
      <c r="AA100" s="490">
        <v>8.33</v>
      </c>
      <c r="AB100" s="490">
        <v>9</v>
      </c>
      <c r="AC100" s="123">
        <f>143/1.06</f>
        <v>134.90566037735849</v>
      </c>
      <c r="AD100" s="123">
        <f>AC100*AB100</f>
        <v>1214.1509433962265</v>
      </c>
      <c r="AE100" s="490">
        <f>AE92</f>
        <v>23.9</v>
      </c>
      <c r="AF100" s="219">
        <f>AE100*AB100</f>
        <v>215.1</v>
      </c>
    </row>
    <row r="101" spans="1:32" x14ac:dyDescent="0.25">
      <c r="A101" s="238"/>
      <c r="B101" s="249"/>
      <c r="C101" s="293">
        <v>10</v>
      </c>
      <c r="D101" s="83" t="s">
        <v>122</v>
      </c>
      <c r="E101" s="242">
        <v>1</v>
      </c>
      <c r="F101" s="302">
        <v>1</v>
      </c>
      <c r="G101" s="77" t="s">
        <v>55</v>
      </c>
      <c r="H101" s="72">
        <f>S101/$H$81</f>
        <v>159048.50467289719</v>
      </c>
      <c r="I101" s="67">
        <f>F101*H101</f>
        <v>159048.50467289719</v>
      </c>
      <c r="J101" s="72">
        <f>T101/$H$81</f>
        <v>28067.383177570089</v>
      </c>
      <c r="K101" s="67">
        <f t="shared" ref="K101" si="100">F101*J101</f>
        <v>28067.383177570089</v>
      </c>
      <c r="L101" s="72">
        <f t="shared" ref="L101" si="101">I101+K101</f>
        <v>187115.88785046729</v>
      </c>
      <c r="M101" s="67">
        <f>H101/$P$255*$P$263</f>
        <v>218431.25284497743</v>
      </c>
      <c r="N101" s="67">
        <f>J101/$P$255*$P$263</f>
        <v>38546.691678525422</v>
      </c>
      <c r="O101" s="72">
        <f t="shared" ref="O101" si="102">N101+M101</f>
        <v>256977.94452350284</v>
      </c>
      <c r="P101" s="203">
        <f t="shared" ref="P101" si="103">O101*F101</f>
        <v>256977.94452350284</v>
      </c>
      <c r="Q101" s="272">
        <f t="shared" si="62"/>
        <v>256977.94452350287</v>
      </c>
      <c r="R101" s="439">
        <f t="shared" si="63"/>
        <v>0</v>
      </c>
      <c r="S101" s="72">
        <f>200214*0.85</f>
        <v>170181.9</v>
      </c>
      <c r="T101" s="72">
        <f>200214*0.15</f>
        <v>30032.1</v>
      </c>
      <c r="W101" s="878" t="s">
        <v>252</v>
      </c>
      <c r="X101" s="878"/>
      <c r="Y101" s="878"/>
      <c r="Z101" s="124" t="s">
        <v>253</v>
      </c>
      <c r="AA101" s="490">
        <v>0.25</v>
      </c>
      <c r="AB101" s="490">
        <v>0.25</v>
      </c>
      <c r="AC101" s="123">
        <f>260/1.06</f>
        <v>245.28301886792451</v>
      </c>
      <c r="AD101" s="123">
        <f>AC101*AB101</f>
        <v>61.320754716981128</v>
      </c>
      <c r="AE101" s="490"/>
      <c r="AF101" s="219">
        <f>AE101*AB101</f>
        <v>0</v>
      </c>
    </row>
    <row r="102" spans="1:32" x14ac:dyDescent="0.25">
      <c r="A102" s="238"/>
      <c r="B102" s="245"/>
      <c r="C102" s="293"/>
      <c r="D102" s="83" t="s">
        <v>37</v>
      </c>
      <c r="E102" s="242"/>
      <c r="F102" s="302"/>
      <c r="G102" s="77"/>
      <c r="H102" s="74"/>
      <c r="I102" s="74"/>
      <c r="J102" s="74"/>
      <c r="K102" s="74"/>
      <c r="L102" s="72"/>
      <c r="M102" s="72"/>
      <c r="N102" s="72"/>
      <c r="O102" s="72"/>
      <c r="P102" s="205"/>
      <c r="Q102" s="272">
        <f t="shared" si="62"/>
        <v>0</v>
      </c>
      <c r="R102" s="439">
        <f t="shared" si="63"/>
        <v>0</v>
      </c>
      <c r="S102" s="74"/>
      <c r="T102" s="74"/>
      <c r="U102" s="273"/>
      <c r="V102" s="273"/>
      <c r="W102" s="878" t="s">
        <v>254</v>
      </c>
      <c r="X102" s="878"/>
      <c r="Y102" s="878"/>
      <c r="Z102" s="124" t="s">
        <v>255</v>
      </c>
      <c r="AA102" s="490">
        <v>0.25</v>
      </c>
      <c r="AB102" s="490">
        <v>0.35</v>
      </c>
      <c r="AC102" s="123">
        <f>37/1.06</f>
        <v>34.905660377358487</v>
      </c>
      <c r="AD102" s="123">
        <f>AC102*AB102</f>
        <v>12.216981132075469</v>
      </c>
      <c r="AE102" s="490"/>
      <c r="AF102" s="219">
        <f>AE102*AB102</f>
        <v>0</v>
      </c>
    </row>
    <row r="103" spans="1:32" x14ac:dyDescent="0.25">
      <c r="A103" s="238"/>
      <c r="B103" s="249"/>
      <c r="C103" s="293">
        <v>11</v>
      </c>
      <c r="D103" s="83" t="s">
        <v>123</v>
      </c>
      <c r="E103" s="242">
        <v>24</v>
      </c>
      <c r="F103" s="302">
        <v>24</v>
      </c>
      <c r="G103" s="77" t="s">
        <v>28</v>
      </c>
      <c r="H103" s="72">
        <f>S103/$H$81</f>
        <v>14585.046728971962</v>
      </c>
      <c r="I103" s="67">
        <f>F103*H103</f>
        <v>350041.1214953271</v>
      </c>
      <c r="J103" s="72">
        <f>T103/$H$81</f>
        <v>2573.8317757009345</v>
      </c>
      <c r="K103" s="67">
        <f t="shared" ref="K103" si="104">F103*J103</f>
        <v>61771.962616822428</v>
      </c>
      <c r="L103" s="72">
        <f t="shared" ref="L103" si="105">I103+K103</f>
        <v>411813.08411214955</v>
      </c>
      <c r="M103" s="67">
        <f>H103/$P$255*$P$263</f>
        <v>20030.556315910901</v>
      </c>
      <c r="N103" s="67">
        <f>J103/$P$255*$P$263</f>
        <v>3534.804055748983</v>
      </c>
      <c r="O103" s="72">
        <f t="shared" ref="O103" si="106">N103+M103</f>
        <v>23565.360371659885</v>
      </c>
      <c r="P103" s="203">
        <f t="shared" ref="P103" si="107">O103*F103</f>
        <v>565568.6489198372</v>
      </c>
      <c r="Q103" s="272">
        <f t="shared" si="62"/>
        <v>565568.64891983732</v>
      </c>
      <c r="R103" s="439">
        <f t="shared" si="63"/>
        <v>0</v>
      </c>
      <c r="S103" s="72">
        <f>18360*0.85</f>
        <v>15606</v>
      </c>
      <c r="T103" s="72">
        <f>18360*0.15</f>
        <v>2754</v>
      </c>
      <c r="U103" s="273"/>
      <c r="V103" s="273"/>
      <c r="W103" s="878" t="s">
        <v>256</v>
      </c>
      <c r="X103" s="878"/>
      <c r="Y103" s="878"/>
      <c r="Z103" s="124" t="s">
        <v>257</v>
      </c>
      <c r="AA103" s="490">
        <v>1</v>
      </c>
      <c r="AB103" s="490">
        <v>1</v>
      </c>
      <c r="AC103" s="123">
        <f>AX104</f>
        <v>0</v>
      </c>
      <c r="AD103" s="123">
        <f>AC103*AB103</f>
        <v>0</v>
      </c>
      <c r="AE103" s="490"/>
      <c r="AF103" s="219">
        <f>AE103*AB103</f>
        <v>0</v>
      </c>
    </row>
    <row r="104" spans="1:32" x14ac:dyDescent="0.25">
      <c r="A104" s="238"/>
      <c r="B104" s="245"/>
      <c r="C104" s="293"/>
      <c r="D104" s="83" t="s">
        <v>52</v>
      </c>
      <c r="E104" s="242"/>
      <c r="F104" s="302"/>
      <c r="G104" s="75"/>
      <c r="H104" s="74"/>
      <c r="I104" s="74"/>
      <c r="J104" s="74"/>
      <c r="K104" s="74"/>
      <c r="L104" s="72"/>
      <c r="M104" s="72"/>
      <c r="N104" s="72"/>
      <c r="O104" s="72"/>
      <c r="P104" s="205"/>
      <c r="Q104" s="272">
        <f t="shared" si="62"/>
        <v>0</v>
      </c>
      <c r="R104" s="439">
        <f t="shared" si="63"/>
        <v>0</v>
      </c>
      <c r="S104" s="74"/>
      <c r="T104" s="74"/>
      <c r="U104" s="273"/>
      <c r="V104" s="273"/>
      <c r="W104" s="126"/>
      <c r="X104" s="126"/>
      <c r="Y104" s="126"/>
      <c r="Z104" s="126"/>
      <c r="AA104" s="490"/>
      <c r="AB104" s="490"/>
      <c r="AC104" s="123"/>
      <c r="AD104" s="212">
        <f>SUM(AD100:AD103)</f>
        <v>1287.6886792452831</v>
      </c>
      <c r="AE104" s="491"/>
      <c r="AF104" s="212">
        <f>SUM(AF100:AF103)</f>
        <v>215.1</v>
      </c>
    </row>
    <row r="105" spans="1:32" x14ac:dyDescent="0.25">
      <c r="A105" s="238"/>
      <c r="B105" s="245"/>
      <c r="C105" s="293"/>
      <c r="D105" s="83" t="s">
        <v>58</v>
      </c>
      <c r="E105" s="242"/>
      <c r="F105" s="302"/>
      <c r="G105" s="75"/>
      <c r="H105" s="74"/>
      <c r="I105" s="74"/>
      <c r="J105" s="74"/>
      <c r="K105" s="74"/>
      <c r="L105" s="72"/>
      <c r="M105" s="72"/>
      <c r="N105" s="72"/>
      <c r="O105" s="72"/>
      <c r="P105" s="205"/>
      <c r="Q105" s="272">
        <f t="shared" si="62"/>
        <v>0</v>
      </c>
      <c r="R105" s="439">
        <f t="shared" si="63"/>
        <v>0</v>
      </c>
      <c r="S105" s="74"/>
      <c r="T105" s="74"/>
      <c r="U105" s="273"/>
      <c r="V105" s="273"/>
      <c r="W105" s="338"/>
      <c r="X105" s="338"/>
      <c r="Y105" s="339"/>
      <c r="Z105" s="340"/>
      <c r="AA105" s="340"/>
      <c r="AB105" s="340"/>
      <c r="AC105" s="341"/>
      <c r="AD105" s="489"/>
      <c r="AE105" s="342"/>
      <c r="AF105" s="212"/>
    </row>
    <row r="106" spans="1:32" x14ac:dyDescent="0.25">
      <c r="A106" s="238"/>
      <c r="B106" s="249"/>
      <c r="C106" s="293">
        <v>12</v>
      </c>
      <c r="D106" s="83" t="s">
        <v>124</v>
      </c>
      <c r="E106" s="242">
        <v>1</v>
      </c>
      <c r="F106" s="302">
        <v>1</v>
      </c>
      <c r="G106" s="77" t="s">
        <v>55</v>
      </c>
      <c r="H106" s="72">
        <f>S106/$H$81</f>
        <v>19446.728971962617</v>
      </c>
      <c r="I106" s="67">
        <f>F106*H106</f>
        <v>19446.728971962617</v>
      </c>
      <c r="J106" s="72">
        <f>T106/$H$81</f>
        <v>3431.7757009345792</v>
      </c>
      <c r="K106" s="67">
        <f t="shared" ref="K106" si="108">F106*J106</f>
        <v>3431.7757009345792</v>
      </c>
      <c r="L106" s="72">
        <f t="shared" ref="L106" si="109">I106+K106</f>
        <v>22878.504672897197</v>
      </c>
      <c r="M106" s="67">
        <f>H106/$P$255*$P$263</f>
        <v>26707.408421214539</v>
      </c>
      <c r="N106" s="67">
        <f>J106/$P$255*$P$263</f>
        <v>4713.0720743319771</v>
      </c>
      <c r="O106" s="72">
        <f t="shared" ref="O106" si="110">N106+M106</f>
        <v>31420.480495546515</v>
      </c>
      <c r="P106" s="203">
        <f t="shared" ref="P106" si="111">O106*F106</f>
        <v>31420.480495546515</v>
      </c>
      <c r="Q106" s="272">
        <f t="shared" si="62"/>
        <v>31420.480495546515</v>
      </c>
      <c r="R106" s="439">
        <f t="shared" si="63"/>
        <v>0</v>
      </c>
      <c r="S106" s="72">
        <f>24480*0.85</f>
        <v>20808</v>
      </c>
      <c r="T106" s="72">
        <f>24480*0.15</f>
        <v>3672</v>
      </c>
      <c r="U106" s="273"/>
      <c r="V106" s="273"/>
      <c r="W106" s="905"/>
      <c r="X106" s="905"/>
      <c r="Y106" s="494"/>
      <c r="Z106" s="336"/>
      <c r="AA106" s="336"/>
      <c r="AB106" s="344"/>
      <c r="AC106" s="345"/>
      <c r="AD106" s="337"/>
      <c r="AE106" s="342"/>
      <c r="AF106" s="220"/>
    </row>
    <row r="107" spans="1:32" x14ac:dyDescent="0.25">
      <c r="A107" s="238"/>
      <c r="B107" s="245"/>
      <c r="C107" s="293"/>
      <c r="D107" s="83" t="s">
        <v>53</v>
      </c>
      <c r="E107" s="242"/>
      <c r="F107" s="302"/>
      <c r="G107" s="75"/>
      <c r="H107" s="74"/>
      <c r="I107" s="74"/>
      <c r="J107" s="74"/>
      <c r="K107" s="74"/>
      <c r="L107" s="72"/>
      <c r="M107" s="72"/>
      <c r="N107" s="72"/>
      <c r="O107" s="72"/>
      <c r="P107" s="205"/>
      <c r="Q107" s="272">
        <f t="shared" si="62"/>
        <v>0</v>
      </c>
      <c r="R107" s="439">
        <f t="shared" si="63"/>
        <v>0</v>
      </c>
      <c r="S107" s="74"/>
      <c r="T107" s="74"/>
      <c r="U107" s="273"/>
      <c r="V107" s="273"/>
      <c r="W107" s="905"/>
      <c r="X107" s="905"/>
      <c r="Y107" s="494"/>
      <c r="Z107" s="336"/>
      <c r="AA107" s="336"/>
      <c r="AB107" s="344"/>
      <c r="AC107" s="345"/>
      <c r="AD107" s="337"/>
      <c r="AE107" s="342"/>
      <c r="AF107" s="220"/>
    </row>
    <row r="108" spans="1:32" x14ac:dyDescent="0.25">
      <c r="A108" s="524"/>
      <c r="B108" s="245"/>
      <c r="C108" s="293"/>
      <c r="D108" s="83" t="s">
        <v>59</v>
      </c>
      <c r="E108" s="242"/>
      <c r="F108" s="302"/>
      <c r="G108" s="75"/>
      <c r="H108" s="74"/>
      <c r="I108" s="74"/>
      <c r="J108" s="74"/>
      <c r="K108" s="74"/>
      <c r="L108" s="72"/>
      <c r="M108" s="72"/>
      <c r="N108" s="72"/>
      <c r="O108" s="72"/>
      <c r="P108" s="205"/>
      <c r="Q108" s="272">
        <f t="shared" si="62"/>
        <v>0</v>
      </c>
      <c r="R108" s="439">
        <f t="shared" si="63"/>
        <v>0</v>
      </c>
      <c r="S108" s="74"/>
      <c r="T108" s="74"/>
      <c r="U108" s="273"/>
      <c r="V108" s="273"/>
      <c r="W108" s="126"/>
      <c r="X108" s="126"/>
      <c r="Y108" s="126"/>
      <c r="Z108" s="126"/>
      <c r="AA108" s="126"/>
      <c r="AB108" s="126"/>
      <c r="AC108" s="346"/>
      <c r="AD108" s="337"/>
      <c r="AE108" s="342"/>
      <c r="AF108" s="212"/>
    </row>
    <row r="109" spans="1:32" ht="15" customHeight="1" x14ac:dyDescent="0.25">
      <c r="A109" s="525"/>
      <c r="B109" s="249"/>
      <c r="C109" s="293">
        <v>13</v>
      </c>
      <c r="D109" s="83" t="s">
        <v>125</v>
      </c>
      <c r="E109" s="242">
        <v>1</v>
      </c>
      <c r="F109" s="302">
        <v>1</v>
      </c>
      <c r="G109" s="77" t="s">
        <v>55</v>
      </c>
      <c r="H109" s="72">
        <f>S109/$H$81</f>
        <v>62725.233644859807</v>
      </c>
      <c r="I109" s="67">
        <f>F109*H109</f>
        <v>62725.233644859807</v>
      </c>
      <c r="J109" s="72">
        <f>T109/$H$81</f>
        <v>11069.158878504672</v>
      </c>
      <c r="K109" s="67">
        <f t="shared" ref="K109" si="112">F109*J109</f>
        <v>11069.158878504672</v>
      </c>
      <c r="L109" s="72">
        <f t="shared" ref="L109" si="113">I109+K109</f>
        <v>73794.392523364484</v>
      </c>
      <c r="M109" s="67">
        <f>H109/$P$255*$P$263</f>
        <v>86144.484025290018</v>
      </c>
      <c r="N109" s="67">
        <f>J109/$P$255*$P$263</f>
        <v>15201.967769168827</v>
      </c>
      <c r="O109" s="72">
        <f t="shared" ref="O109" si="114">N109+M109</f>
        <v>101346.45179445884</v>
      </c>
      <c r="P109" s="203">
        <f t="shared" ref="P109" si="115">O109*F109</f>
        <v>101346.45179445884</v>
      </c>
      <c r="Q109" s="272">
        <f t="shared" si="62"/>
        <v>101346.45179445886</v>
      </c>
      <c r="R109" s="439">
        <f t="shared" si="63"/>
        <v>0</v>
      </c>
      <c r="S109" s="72">
        <f>(65520+7560+5880)*0.85</f>
        <v>67116</v>
      </c>
      <c r="T109" s="72">
        <f>(65520+7560+5880)*0.15</f>
        <v>11844</v>
      </c>
      <c r="W109" s="126"/>
      <c r="X109" s="126"/>
      <c r="Y109" s="126"/>
      <c r="Z109" s="126"/>
      <c r="AA109" s="126"/>
      <c r="AB109" s="126"/>
      <c r="AC109" s="127"/>
      <c r="AD109" s="213"/>
      <c r="AE109" s="126"/>
      <c r="AF109" s="219"/>
    </row>
    <row r="110" spans="1:32" x14ac:dyDescent="0.25">
      <c r="A110" s="238"/>
      <c r="B110" s="245"/>
      <c r="C110" s="293"/>
      <c r="D110" s="83" t="s">
        <v>164</v>
      </c>
      <c r="E110" s="242"/>
      <c r="F110" s="302"/>
      <c r="G110" s="75"/>
      <c r="H110" s="74"/>
      <c r="I110" s="74"/>
      <c r="J110" s="74"/>
      <c r="K110" s="74"/>
      <c r="L110" s="72"/>
      <c r="M110" s="72"/>
      <c r="N110" s="72"/>
      <c r="O110" s="72"/>
      <c r="P110" s="205"/>
      <c r="Q110" s="272">
        <f t="shared" si="62"/>
        <v>0</v>
      </c>
      <c r="R110" s="439">
        <f t="shared" si="63"/>
        <v>0</v>
      </c>
      <c r="S110" s="74"/>
      <c r="T110" s="74"/>
      <c r="W110" s="880" t="s">
        <v>267</v>
      </c>
      <c r="X110" s="880"/>
      <c r="Y110" s="141" t="s">
        <v>243</v>
      </c>
      <c r="Z110" s="141" t="s">
        <v>244</v>
      </c>
      <c r="AA110" s="141" t="s">
        <v>245</v>
      </c>
      <c r="AB110" s="141" t="s">
        <v>246</v>
      </c>
      <c r="AC110" s="141" t="s">
        <v>247</v>
      </c>
      <c r="AD110" s="216" t="s">
        <v>248</v>
      </c>
      <c r="AE110" s="141" t="s">
        <v>249</v>
      </c>
      <c r="AF110" s="219"/>
    </row>
    <row r="111" spans="1:32" x14ac:dyDescent="0.25">
      <c r="A111" s="238"/>
      <c r="B111" s="249"/>
      <c r="C111" s="293">
        <v>14</v>
      </c>
      <c r="D111" s="83" t="s">
        <v>126</v>
      </c>
      <c r="E111" s="242">
        <v>1</v>
      </c>
      <c r="F111" s="302">
        <v>1</v>
      </c>
      <c r="G111" s="77" t="s">
        <v>55</v>
      </c>
      <c r="H111" s="72">
        <f>S111/$H$81</f>
        <v>120112.14953271027</v>
      </c>
      <c r="I111" s="67">
        <f>F111*H111</f>
        <v>120112.14953271027</v>
      </c>
      <c r="J111" s="72">
        <f>T111/$H$81</f>
        <v>21196.261682242988</v>
      </c>
      <c r="K111" s="67">
        <f t="shared" ref="K111" si="116">F111*J111</f>
        <v>21196.261682242988</v>
      </c>
      <c r="L111" s="72">
        <f t="shared" ref="L111" si="117">I111+K111</f>
        <v>141308.41121495326</v>
      </c>
      <c r="M111" s="67">
        <f>H111/$P$255*$P$263</f>
        <v>164957.52260161919</v>
      </c>
      <c r="N111" s="67">
        <f>J111/$P$255*$P$263</f>
        <v>29110.151047344563</v>
      </c>
      <c r="O111" s="72">
        <f t="shared" ref="O111" si="118">N111+M111</f>
        <v>194067.67364896374</v>
      </c>
      <c r="P111" s="203">
        <f t="shared" ref="P111" si="119">O111*F111</f>
        <v>194067.67364896374</v>
      </c>
      <c r="Q111" s="272">
        <f t="shared" si="62"/>
        <v>194067.67364896374</v>
      </c>
      <c r="R111" s="439">
        <f t="shared" si="63"/>
        <v>0</v>
      </c>
      <c r="S111" s="72">
        <f>151200*0.85</f>
        <v>128520</v>
      </c>
      <c r="T111" s="72">
        <f>151200*0.15</f>
        <v>22680</v>
      </c>
      <c r="W111" s="142"/>
      <c r="X111" s="488" t="s">
        <v>265</v>
      </c>
      <c r="Y111" s="488" t="s">
        <v>268</v>
      </c>
      <c r="Z111" s="488">
        <v>8.0000000000000002E-3</v>
      </c>
      <c r="AA111" s="488">
        <v>0.01</v>
      </c>
      <c r="AB111" s="488">
        <v>1000</v>
      </c>
      <c r="AC111" s="488">
        <f>AB111*AA111</f>
        <v>10</v>
      </c>
      <c r="AD111" s="144">
        <v>600</v>
      </c>
      <c r="AE111" s="488">
        <f>AD111*AA111</f>
        <v>6</v>
      </c>
      <c r="AF111" s="219"/>
    </row>
    <row r="112" spans="1:32" x14ac:dyDescent="0.25">
      <c r="A112" s="238"/>
      <c r="B112" s="245"/>
      <c r="C112" s="293"/>
      <c r="D112" s="83" t="s">
        <v>164</v>
      </c>
      <c r="E112" s="242"/>
      <c r="F112" s="302"/>
      <c r="G112" s="75"/>
      <c r="H112" s="74"/>
      <c r="I112" s="74"/>
      <c r="J112" s="74"/>
      <c r="K112" s="74"/>
      <c r="L112" s="72"/>
      <c r="M112" s="72"/>
      <c r="N112" s="72"/>
      <c r="O112" s="72"/>
      <c r="P112" s="205"/>
      <c r="Q112" s="272">
        <f t="shared" si="62"/>
        <v>0</v>
      </c>
      <c r="R112" s="439">
        <f t="shared" si="63"/>
        <v>0</v>
      </c>
      <c r="S112" s="74"/>
      <c r="T112" s="74"/>
      <c r="W112" s="142"/>
      <c r="X112" s="488" t="s">
        <v>264</v>
      </c>
      <c r="Y112" s="488" t="s">
        <v>253</v>
      </c>
      <c r="Z112" s="488">
        <v>0.14399999999999999</v>
      </c>
      <c r="AA112" s="488">
        <v>0.17</v>
      </c>
      <c r="AB112" s="144">
        <f>230/1.075</f>
        <v>213.95348837209303</v>
      </c>
      <c r="AC112" s="144">
        <f>AB112*AA112</f>
        <v>36.372093023255822</v>
      </c>
      <c r="AD112" s="144">
        <v>150</v>
      </c>
      <c r="AE112" s="488">
        <f>AD112*AA112</f>
        <v>25.500000000000004</v>
      </c>
      <c r="AF112" s="212"/>
    </row>
    <row r="113" spans="1:32" x14ac:dyDescent="0.25">
      <c r="A113" s="238"/>
      <c r="B113" s="249"/>
      <c r="C113" s="293">
        <v>15</v>
      </c>
      <c r="D113" s="83" t="s">
        <v>127</v>
      </c>
      <c r="E113" s="242">
        <v>1</v>
      </c>
      <c r="F113" s="302">
        <v>1</v>
      </c>
      <c r="G113" s="77" t="s">
        <v>55</v>
      </c>
      <c r="H113" s="72">
        <f>S113/$H$81</f>
        <v>64059.813084112146</v>
      </c>
      <c r="I113" s="67">
        <f>F113*H113</f>
        <v>64059.813084112146</v>
      </c>
      <c r="J113" s="72">
        <f>T113/$H$81</f>
        <v>11304.67289719626</v>
      </c>
      <c r="K113" s="67">
        <f t="shared" ref="K113" si="120">F113*J113</f>
        <v>11304.67289719626</v>
      </c>
      <c r="L113" s="72">
        <f t="shared" ref="L113" si="121">I113+K113</f>
        <v>75364.485981308404</v>
      </c>
      <c r="M113" s="67">
        <f>H113/$P$255*$P$263</f>
        <v>87977.345387530237</v>
      </c>
      <c r="N113" s="67">
        <f>J113/$P$255*$P$263</f>
        <v>15525.4138919171</v>
      </c>
      <c r="O113" s="72">
        <f t="shared" ref="O113" si="122">N113+M113</f>
        <v>103502.75927944733</v>
      </c>
      <c r="P113" s="203">
        <f t="shared" ref="P113" si="123">O113*F113</f>
        <v>103502.75927944733</v>
      </c>
      <c r="Q113" s="272">
        <f t="shared" si="62"/>
        <v>103502.75927944733</v>
      </c>
      <c r="R113" s="439">
        <f t="shared" si="63"/>
        <v>0</v>
      </c>
      <c r="S113" s="72">
        <f>80640*0.85</f>
        <v>68544</v>
      </c>
      <c r="T113" s="72">
        <f>80640*0.15</f>
        <v>12096</v>
      </c>
      <c r="W113" s="142"/>
      <c r="X113" s="488" t="s">
        <v>269</v>
      </c>
      <c r="Y113" s="488" t="s">
        <v>253</v>
      </c>
      <c r="Z113" s="488">
        <v>5</v>
      </c>
      <c r="AA113" s="488">
        <v>5</v>
      </c>
      <c r="AB113" s="437">
        <f>50/1.05</f>
        <v>47.61904761904762</v>
      </c>
      <c r="AC113" s="437">
        <f>AB113*AA113</f>
        <v>238.0952380952381</v>
      </c>
      <c r="AD113" s="144">
        <v>20</v>
      </c>
      <c r="AE113" s="488">
        <f>AD113*AA113</f>
        <v>100</v>
      </c>
      <c r="AF113" s="220"/>
    </row>
    <row r="114" spans="1:32" x14ac:dyDescent="0.25">
      <c r="A114" s="238"/>
      <c r="B114" s="245"/>
      <c r="C114" s="293"/>
      <c r="D114" s="83" t="s">
        <v>164</v>
      </c>
      <c r="E114" s="242"/>
      <c r="F114" s="302"/>
      <c r="G114" s="75"/>
      <c r="H114" s="74"/>
      <c r="I114" s="74"/>
      <c r="J114" s="74"/>
      <c r="K114" s="74"/>
      <c r="L114" s="72"/>
      <c r="M114" s="72"/>
      <c r="N114" s="72"/>
      <c r="O114" s="72"/>
      <c r="P114" s="205"/>
      <c r="Q114" s="272">
        <f t="shared" si="62"/>
        <v>0</v>
      </c>
      <c r="R114" s="439">
        <f t="shared" si="63"/>
        <v>0</v>
      </c>
      <c r="S114" s="74"/>
      <c r="T114" s="74"/>
      <c r="W114" s="142"/>
      <c r="X114" s="145"/>
      <c r="Y114" s="145"/>
      <c r="Z114" s="145"/>
      <c r="AA114" s="145"/>
      <c r="AB114" s="145"/>
      <c r="AC114" s="146">
        <f>SUM(AC111:AC113)</f>
        <v>284.46733111849392</v>
      </c>
      <c r="AD114" s="217"/>
      <c r="AE114" s="147">
        <f>SUM(AE111:AE113)</f>
        <v>131.5</v>
      </c>
      <c r="AF114" s="220"/>
    </row>
    <row r="115" spans="1:32" x14ac:dyDescent="0.25">
      <c r="A115" s="238"/>
      <c r="B115" s="249"/>
      <c r="C115" s="293">
        <v>16</v>
      </c>
      <c r="D115" s="83" t="s">
        <v>128</v>
      </c>
      <c r="E115" s="242">
        <v>1</v>
      </c>
      <c r="F115" s="302">
        <v>1</v>
      </c>
      <c r="G115" s="77" t="s">
        <v>55</v>
      </c>
      <c r="H115" s="72">
        <f>S115/$H$81</f>
        <v>48845.607476635509</v>
      </c>
      <c r="I115" s="67">
        <f>F115*H115</f>
        <v>48845.607476635509</v>
      </c>
      <c r="J115" s="72">
        <f>T115/$H$81</f>
        <v>8619.8130841121474</v>
      </c>
      <c r="K115" s="67">
        <f t="shared" ref="K115" si="124">F115*J115</f>
        <v>8619.8130841121474</v>
      </c>
      <c r="L115" s="72">
        <f t="shared" ref="L115" si="125">I115+K115</f>
        <v>57465.420560747654</v>
      </c>
      <c r="M115" s="67">
        <f>H115/$P$255*$P$263</f>
        <v>67082.725857991798</v>
      </c>
      <c r="N115" s="67">
        <f>J115/$P$255*$P$263</f>
        <v>11838.128092586789</v>
      </c>
      <c r="O115" s="72">
        <f t="shared" ref="O115" si="126">N115+M115</f>
        <v>78920.853950578588</v>
      </c>
      <c r="P115" s="203">
        <f t="shared" ref="P115" si="127">O115*F115</f>
        <v>78920.853950578588</v>
      </c>
      <c r="Q115" s="272">
        <f t="shared" si="62"/>
        <v>78920.853950578588</v>
      </c>
      <c r="R115" s="439">
        <f t="shared" si="63"/>
        <v>0</v>
      </c>
      <c r="S115" s="72">
        <f>(27888+33600)*0.85</f>
        <v>52264.799999999996</v>
      </c>
      <c r="T115" s="72">
        <f>(27888+33600)*0.15</f>
        <v>9223.1999999999989</v>
      </c>
      <c r="W115" s="126"/>
      <c r="X115" s="126"/>
      <c r="Y115" s="126"/>
      <c r="Z115" s="126"/>
      <c r="AA115" s="126"/>
      <c r="AB115" s="126"/>
      <c r="AC115" s="127"/>
      <c r="AD115" s="213"/>
      <c r="AE115" s="126"/>
      <c r="AF115" s="220"/>
    </row>
    <row r="116" spans="1:32" x14ac:dyDescent="0.25">
      <c r="A116" s="238"/>
      <c r="B116" s="245"/>
      <c r="C116" s="293"/>
      <c r="D116" s="83" t="s">
        <v>164</v>
      </c>
      <c r="E116" s="242"/>
      <c r="F116" s="302"/>
      <c r="G116" s="75"/>
      <c r="H116" s="74"/>
      <c r="I116" s="74"/>
      <c r="J116" s="74"/>
      <c r="K116" s="74"/>
      <c r="L116" s="74"/>
      <c r="M116" s="72"/>
      <c r="N116" s="72"/>
      <c r="O116" s="72"/>
      <c r="P116" s="205"/>
      <c r="Q116" s="272">
        <f t="shared" si="62"/>
        <v>0</v>
      </c>
      <c r="R116" s="439"/>
      <c r="S116" s="74"/>
      <c r="W116" s="880" t="s">
        <v>275</v>
      </c>
      <c r="X116" s="880"/>
      <c r="Y116" s="141" t="s">
        <v>243</v>
      </c>
      <c r="Z116" s="141" t="s">
        <v>244</v>
      </c>
      <c r="AA116" s="141" t="s">
        <v>245</v>
      </c>
      <c r="AB116" s="141" t="s">
        <v>246</v>
      </c>
      <c r="AC116" s="141" t="s">
        <v>247</v>
      </c>
      <c r="AD116" s="216" t="s">
        <v>248</v>
      </c>
      <c r="AE116" s="141" t="s">
        <v>249</v>
      </c>
      <c r="AF116" s="220"/>
    </row>
    <row r="117" spans="1:32" x14ac:dyDescent="0.25">
      <c r="A117" s="238"/>
      <c r="B117" s="245"/>
      <c r="C117" s="293"/>
      <c r="D117" s="83"/>
      <c r="E117" s="242"/>
      <c r="F117" s="302"/>
      <c r="G117" s="75"/>
      <c r="H117" s="74"/>
      <c r="I117" s="74"/>
      <c r="J117" s="74"/>
      <c r="K117" s="74"/>
      <c r="L117" s="74"/>
      <c r="M117" s="72"/>
      <c r="N117" s="72"/>
      <c r="O117" s="72"/>
      <c r="P117" s="205"/>
      <c r="Q117" s="272">
        <f t="shared" si="62"/>
        <v>0</v>
      </c>
      <c r="R117" s="439"/>
      <c r="W117" s="891" t="s">
        <v>276</v>
      </c>
      <c r="X117" s="891"/>
      <c r="Y117" s="488" t="s">
        <v>100</v>
      </c>
      <c r="Z117" s="488">
        <v>26</v>
      </c>
      <c r="AA117" s="488">
        <f>5*6</f>
        <v>30</v>
      </c>
      <c r="AB117" s="144">
        <f>270/1.05</f>
        <v>257.14285714285711</v>
      </c>
      <c r="AC117" s="144">
        <f t="shared" ref="AC117:AC125" si="128">AB117*AA117</f>
        <v>7714.2857142857138</v>
      </c>
      <c r="AD117" s="144">
        <v>150</v>
      </c>
      <c r="AE117" s="144">
        <f t="shared" ref="AE117:AE125" si="129">AD117*AA117</f>
        <v>4500</v>
      </c>
      <c r="AF117" s="220"/>
    </row>
    <row r="118" spans="1:32" x14ac:dyDescent="0.25">
      <c r="A118" s="238"/>
      <c r="B118" s="289" t="s">
        <v>330</v>
      </c>
      <c r="C118" s="300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72"/>
      <c r="N118" s="72"/>
      <c r="O118" s="72"/>
      <c r="P118" s="205"/>
      <c r="Q118" s="272">
        <f t="shared" si="62"/>
        <v>0</v>
      </c>
      <c r="R118" s="439"/>
      <c r="W118" s="891" t="s">
        <v>277</v>
      </c>
      <c r="X118" s="891"/>
      <c r="Y118" s="488" t="s">
        <v>283</v>
      </c>
      <c r="Z118" s="488">
        <v>10</v>
      </c>
      <c r="AA118" s="488">
        <v>10</v>
      </c>
      <c r="AB118" s="144">
        <v>250</v>
      </c>
      <c r="AC118" s="144">
        <f t="shared" si="128"/>
        <v>2500</v>
      </c>
      <c r="AD118" s="144">
        <v>65</v>
      </c>
      <c r="AE118" s="144">
        <f t="shared" si="129"/>
        <v>650</v>
      </c>
      <c r="AF118" s="220"/>
    </row>
    <row r="119" spans="1:32" x14ac:dyDescent="0.25">
      <c r="A119" s="238"/>
      <c r="B119" s="249"/>
      <c r="C119" s="293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328">
        <f>2400/1.05</f>
        <v>2285.7142857142858</v>
      </c>
      <c r="I119" s="67">
        <f>F119*H119</f>
        <v>45714.285714285717</v>
      </c>
      <c r="J119" s="74">
        <v>350</v>
      </c>
      <c r="K119" s="67">
        <f t="shared" ref="K119:K120" si="130">F119*J119</f>
        <v>7000</v>
      </c>
      <c r="L119" s="72">
        <f t="shared" ref="L119:L120" si="131">I119+K119</f>
        <v>52714.285714285717</v>
      </c>
      <c r="M119" s="67">
        <f>H119/$P$255*$P$263</f>
        <v>3139.1142978743951</v>
      </c>
      <c r="N119" s="67">
        <f>J119/$P$255*$P$263</f>
        <v>480.67687686201674</v>
      </c>
      <c r="O119" s="72">
        <f t="shared" ref="O119:O120" si="132">N119+M119</f>
        <v>3619.7911747364119</v>
      </c>
      <c r="P119" s="203">
        <f t="shared" ref="P119:P120" si="133">O119*F119</f>
        <v>72395.823494728233</v>
      </c>
      <c r="Q119" s="272">
        <f t="shared" si="62"/>
        <v>72395.823494728247</v>
      </c>
      <c r="R119" s="439">
        <f t="shared" si="63"/>
        <v>0</v>
      </c>
      <c r="W119" s="891" t="s">
        <v>278</v>
      </c>
      <c r="X119" s="891"/>
      <c r="Y119" s="488" t="s">
        <v>283</v>
      </c>
      <c r="Z119" s="488">
        <v>10</v>
      </c>
      <c r="AA119" s="488">
        <v>10</v>
      </c>
      <c r="AB119" s="144">
        <v>280</v>
      </c>
      <c r="AC119" s="144">
        <f t="shared" si="128"/>
        <v>2800</v>
      </c>
      <c r="AD119" s="144">
        <v>70</v>
      </c>
      <c r="AE119" s="144">
        <f t="shared" si="129"/>
        <v>700</v>
      </c>
      <c r="AF119" s="220"/>
    </row>
    <row r="120" spans="1:32" x14ac:dyDescent="0.25">
      <c r="A120" s="238"/>
      <c r="B120" s="249"/>
      <c r="C120" s="293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328">
        <f>350/1.05</f>
        <v>333.33333333333331</v>
      </c>
      <c r="I120" s="67">
        <f>F120*H120</f>
        <v>16000</v>
      </c>
      <c r="J120" s="74">
        <v>75</v>
      </c>
      <c r="K120" s="67">
        <f t="shared" si="130"/>
        <v>3600</v>
      </c>
      <c r="L120" s="72">
        <f t="shared" si="131"/>
        <v>19600</v>
      </c>
      <c r="M120" s="67">
        <f>H120/$P$255*$P$263</f>
        <v>457.78750177334922</v>
      </c>
      <c r="N120" s="67">
        <f>J120/$P$255*$P$263</f>
        <v>103.00218789900357</v>
      </c>
      <c r="O120" s="72">
        <f t="shared" si="132"/>
        <v>560.78968967235278</v>
      </c>
      <c r="P120" s="203">
        <f t="shared" si="133"/>
        <v>26917.905104272933</v>
      </c>
      <c r="Q120" s="272">
        <f t="shared" si="62"/>
        <v>26917.905104272937</v>
      </c>
      <c r="R120" s="439">
        <f t="shared" si="63"/>
        <v>0</v>
      </c>
      <c r="W120" s="890" t="s">
        <v>280</v>
      </c>
      <c r="X120" s="890"/>
      <c r="Y120" s="488" t="s">
        <v>101</v>
      </c>
      <c r="Z120" s="488">
        <f>4.5*1.2</f>
        <v>5.3999999999999995</v>
      </c>
      <c r="AA120" s="488">
        <v>6</v>
      </c>
      <c r="AB120" s="144">
        <v>160</v>
      </c>
      <c r="AC120" s="144">
        <f t="shared" si="128"/>
        <v>960</v>
      </c>
      <c r="AD120" s="144">
        <v>145</v>
      </c>
      <c r="AE120" s="144">
        <f t="shared" si="129"/>
        <v>870</v>
      </c>
      <c r="AF120" s="220"/>
    </row>
    <row r="121" spans="1:32" x14ac:dyDescent="0.25">
      <c r="A121" s="238"/>
      <c r="B121" s="245"/>
      <c r="C121" s="293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72"/>
      <c r="N121" s="72"/>
      <c r="O121" s="72"/>
      <c r="P121" s="205"/>
      <c r="Q121" s="272">
        <f t="shared" si="62"/>
        <v>0</v>
      </c>
      <c r="R121" s="439">
        <f t="shared" si="63"/>
        <v>0</v>
      </c>
      <c r="W121" s="890" t="s">
        <v>285</v>
      </c>
      <c r="X121" s="890"/>
      <c r="Y121" s="488" t="s">
        <v>100</v>
      </c>
      <c r="Z121" s="488">
        <v>26</v>
      </c>
      <c r="AA121" s="488">
        <v>32</v>
      </c>
      <c r="AB121" s="2">
        <v>90</v>
      </c>
      <c r="AC121" s="144">
        <f t="shared" si="128"/>
        <v>2880</v>
      </c>
      <c r="AD121" s="2">
        <v>90</v>
      </c>
      <c r="AE121" s="144">
        <f t="shared" si="129"/>
        <v>2880</v>
      </c>
      <c r="AF121" s="220"/>
    </row>
    <row r="122" spans="1:32" x14ac:dyDescent="0.25">
      <c r="A122" s="238"/>
      <c r="B122" s="249"/>
      <c r="C122" s="293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67">
        <f>F122*H122</f>
        <v>15238.095238095237</v>
      </c>
      <c r="J122" s="74">
        <v>400</v>
      </c>
      <c r="K122" s="67">
        <f t="shared" ref="K122:K123" si="134">F122*J122</f>
        <v>1600</v>
      </c>
      <c r="L122" s="72">
        <f t="shared" ref="L122:L123" si="135">I122+K122</f>
        <v>16838.095238095237</v>
      </c>
      <c r="M122" s="67">
        <f>H122/$P$255*$P$263</f>
        <v>5231.8571631239911</v>
      </c>
      <c r="N122" s="67">
        <f>J122/$P$255*$P$263</f>
        <v>549.34500212801913</v>
      </c>
      <c r="O122" s="72">
        <f t="shared" ref="O122:O123" si="136">N122+M122</f>
        <v>5781.2021652520107</v>
      </c>
      <c r="P122" s="203">
        <f t="shared" ref="P122:P123" si="137">O122*F122</f>
        <v>23124.808661008043</v>
      </c>
      <c r="Q122" s="272">
        <f t="shared" si="62"/>
        <v>23124.808661008039</v>
      </c>
      <c r="R122" s="439">
        <f t="shared" si="63"/>
        <v>0</v>
      </c>
      <c r="W122" s="890" t="s">
        <v>279</v>
      </c>
      <c r="X122" s="890"/>
      <c r="Y122" s="488" t="s">
        <v>266</v>
      </c>
      <c r="Z122" s="488">
        <f>4.5*1.2*0.15+(4.5*0.3*0.1)*2</f>
        <v>1.0799999999999998</v>
      </c>
      <c r="AA122" s="488">
        <v>1.25</v>
      </c>
      <c r="AB122" s="2">
        <f>3800/1.05</f>
        <v>3619.0476190476188</v>
      </c>
      <c r="AC122" s="144">
        <f t="shared" si="128"/>
        <v>4523.8095238095239</v>
      </c>
      <c r="AD122" s="2">
        <v>800</v>
      </c>
      <c r="AE122" s="144">
        <f t="shared" si="129"/>
        <v>1000</v>
      </c>
      <c r="AF122" s="220"/>
    </row>
    <row r="123" spans="1:32" x14ac:dyDescent="0.25">
      <c r="A123" s="238"/>
      <c r="B123" s="249"/>
      <c r="C123" s="293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328">
        <f>750/1.05</f>
        <v>714.28571428571422</v>
      </c>
      <c r="I123" s="67">
        <f>F123*H123</f>
        <v>11428.571428571428</v>
      </c>
      <c r="J123" s="74">
        <v>75</v>
      </c>
      <c r="K123" s="67">
        <f t="shared" si="134"/>
        <v>1200</v>
      </c>
      <c r="L123" s="72">
        <f t="shared" si="135"/>
        <v>12628.571428571428</v>
      </c>
      <c r="M123" s="67">
        <f>H123/$P$255*$P$263</f>
        <v>980.97321808574827</v>
      </c>
      <c r="N123" s="67">
        <f>J123/$P$255*$P$263</f>
        <v>103.00218789900357</v>
      </c>
      <c r="O123" s="72">
        <f t="shared" si="136"/>
        <v>1083.9754059847519</v>
      </c>
      <c r="P123" s="203">
        <f t="shared" si="137"/>
        <v>17343.60649575603</v>
      </c>
      <c r="Q123" s="272">
        <f t="shared" si="62"/>
        <v>17343.60649575603</v>
      </c>
      <c r="R123" s="439">
        <f t="shared" si="63"/>
        <v>0</v>
      </c>
      <c r="W123" s="890" t="s">
        <v>282</v>
      </c>
      <c r="X123" s="890"/>
      <c r="Y123" s="488" t="s">
        <v>284</v>
      </c>
      <c r="Z123" s="173">
        <f>(5*12+23*1.2+16)*0.616</f>
        <v>63.817599999999999</v>
      </c>
      <c r="AA123" s="488">
        <v>75</v>
      </c>
      <c r="AB123" s="2">
        <f>33/1.05</f>
        <v>31.428571428571427</v>
      </c>
      <c r="AC123" s="144">
        <f t="shared" si="128"/>
        <v>2357.1428571428569</v>
      </c>
      <c r="AD123" s="2">
        <v>12</v>
      </c>
      <c r="AE123" s="144">
        <f t="shared" si="129"/>
        <v>900</v>
      </c>
      <c r="AF123" s="220"/>
    </row>
    <row r="124" spans="1:32" x14ac:dyDescent="0.25">
      <c r="A124" s="238"/>
      <c r="B124" s="245"/>
      <c r="C124" s="293"/>
      <c r="D124" s="83"/>
      <c r="E124" s="242"/>
      <c r="F124" s="302"/>
      <c r="G124" s="75"/>
      <c r="H124" s="74"/>
      <c r="I124" s="74"/>
      <c r="J124" s="74"/>
      <c r="K124" s="74"/>
      <c r="L124" s="74"/>
      <c r="M124" s="72"/>
      <c r="N124" s="72"/>
      <c r="O124" s="72"/>
      <c r="P124" s="205"/>
      <c r="Q124" s="272">
        <f t="shared" si="62"/>
        <v>0</v>
      </c>
      <c r="R124" s="439"/>
      <c r="W124" s="890" t="s">
        <v>281</v>
      </c>
      <c r="X124" s="890"/>
      <c r="Y124" s="488" t="s">
        <v>101</v>
      </c>
      <c r="Z124" s="488">
        <f>0.3*4.5*2</f>
        <v>2.6999999999999997</v>
      </c>
      <c r="AA124" s="488">
        <v>3</v>
      </c>
      <c r="AB124" s="2">
        <v>220</v>
      </c>
      <c r="AC124" s="144">
        <f t="shared" si="128"/>
        <v>660</v>
      </c>
      <c r="AD124" s="2">
        <v>200</v>
      </c>
      <c r="AE124" s="144">
        <f t="shared" si="129"/>
        <v>600</v>
      </c>
      <c r="AF124" s="220"/>
    </row>
    <row r="125" spans="1:32" x14ac:dyDescent="0.25">
      <c r="A125" s="238"/>
      <c r="B125" s="289" t="s">
        <v>332</v>
      </c>
      <c r="C125" s="300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72"/>
      <c r="N125" s="72"/>
      <c r="O125" s="72"/>
      <c r="P125" s="205"/>
      <c r="Q125" s="272">
        <f t="shared" si="62"/>
        <v>0</v>
      </c>
      <c r="R125" s="439"/>
      <c r="W125" s="890" t="s">
        <v>379</v>
      </c>
      <c r="X125" s="890"/>
      <c r="Y125" s="488" t="s">
        <v>301</v>
      </c>
      <c r="Z125" s="488">
        <v>1</v>
      </c>
      <c r="AA125" s="488">
        <v>1</v>
      </c>
      <c r="AB125" s="2">
        <v>1000</v>
      </c>
      <c r="AC125" s="144">
        <f t="shared" si="128"/>
        <v>1000</v>
      </c>
      <c r="AD125" s="2">
        <v>800</v>
      </c>
      <c r="AE125" s="144">
        <f t="shared" si="129"/>
        <v>800</v>
      </c>
    </row>
    <row r="126" spans="1:32" x14ac:dyDescent="0.25">
      <c r="A126" s="238"/>
      <c r="B126" s="249"/>
      <c r="C126" s="293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67">
        <f t="shared" ref="I126:I132" si="138">F126*H126</f>
        <v>17160</v>
      </c>
      <c r="J126" s="74">
        <v>75</v>
      </c>
      <c r="K126" s="67">
        <f t="shared" ref="K126:K132" si="139">F126*J126</f>
        <v>5850</v>
      </c>
      <c r="L126" s="72">
        <f t="shared" ref="L126:L132" si="140">I126+K126</f>
        <v>23010</v>
      </c>
      <c r="M126" s="67">
        <f t="shared" ref="M126:M132" si="141">H126/$P$255*$P$263</f>
        <v>302.13975117041048</v>
      </c>
      <c r="N126" s="67">
        <f t="shared" ref="N126:N132" si="142">J126/$P$255*$P$263</f>
        <v>103.00218789900357</v>
      </c>
      <c r="O126" s="72">
        <f t="shared" ref="O126:O129" si="143">N126+M126</f>
        <v>405.14193906941404</v>
      </c>
      <c r="P126" s="203">
        <f t="shared" ref="P126:P129" si="144">O126*F126</f>
        <v>31601.071247414297</v>
      </c>
      <c r="Q126" s="272">
        <f t="shared" si="62"/>
        <v>31601.071247414297</v>
      </c>
      <c r="R126" s="439">
        <f t="shared" si="63"/>
        <v>0</v>
      </c>
      <c r="AC126" s="146">
        <f>SUM(AC117:AC125)</f>
        <v>25395.238095238092</v>
      </c>
      <c r="AD126" s="18"/>
      <c r="AE126" s="146">
        <f>SUM(AE117:AE125)</f>
        <v>12900</v>
      </c>
    </row>
    <row r="127" spans="1:32" x14ac:dyDescent="0.25">
      <c r="A127" s="238"/>
      <c r="B127" s="249"/>
      <c r="C127" s="293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67">
        <f t="shared" si="138"/>
        <v>7733.3333333333321</v>
      </c>
      <c r="J127" s="74">
        <v>75</v>
      </c>
      <c r="K127" s="67">
        <f t="shared" si="139"/>
        <v>4350</v>
      </c>
      <c r="L127" s="72">
        <f t="shared" si="140"/>
        <v>12083.333333333332</v>
      </c>
      <c r="M127" s="67">
        <f t="shared" si="141"/>
        <v>183.11500070933968</v>
      </c>
      <c r="N127" s="67">
        <f t="shared" si="142"/>
        <v>103.00218789900357</v>
      </c>
      <c r="O127" s="72">
        <f t="shared" si="143"/>
        <v>286.11718860834327</v>
      </c>
      <c r="P127" s="203">
        <f t="shared" si="144"/>
        <v>16594.796939283911</v>
      </c>
      <c r="Q127" s="272">
        <f t="shared" si="62"/>
        <v>16594.796939283908</v>
      </c>
      <c r="R127" s="439">
        <f t="shared" si="63"/>
        <v>0</v>
      </c>
    </row>
    <row r="128" spans="1:32" x14ac:dyDescent="0.25">
      <c r="A128" s="238"/>
      <c r="B128" s="249"/>
      <c r="C128" s="293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67">
        <f t="shared" si="138"/>
        <v>15321.428571428571</v>
      </c>
      <c r="J128" s="74">
        <v>120</v>
      </c>
      <c r="K128" s="67">
        <f t="shared" si="139"/>
        <v>2340</v>
      </c>
      <c r="L128" s="72">
        <f t="shared" si="140"/>
        <v>17661.428571428572</v>
      </c>
      <c r="M128" s="67">
        <f t="shared" si="141"/>
        <v>1079.0705398943232</v>
      </c>
      <c r="N128" s="67">
        <f t="shared" si="142"/>
        <v>164.80350063840572</v>
      </c>
      <c r="O128" s="72">
        <f t="shared" si="143"/>
        <v>1243.8740405327289</v>
      </c>
      <c r="P128" s="203">
        <f t="shared" si="144"/>
        <v>24255.543790388216</v>
      </c>
      <c r="Q128" s="272">
        <f t="shared" si="62"/>
        <v>24255.543790388216</v>
      </c>
      <c r="R128" s="439">
        <f t="shared" si="63"/>
        <v>0</v>
      </c>
    </row>
    <row r="129" spans="1:32" x14ac:dyDescent="0.25">
      <c r="A129" s="238"/>
      <c r="B129" s="249"/>
      <c r="C129" s="293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67">
        <f t="shared" si="138"/>
        <v>2285.7142857142858</v>
      </c>
      <c r="J129" s="74">
        <v>175</v>
      </c>
      <c r="K129" s="67">
        <f t="shared" si="139"/>
        <v>350</v>
      </c>
      <c r="L129" s="72">
        <f t="shared" si="140"/>
        <v>2635.7142857142858</v>
      </c>
      <c r="M129" s="67">
        <f t="shared" si="141"/>
        <v>1569.5571489371976</v>
      </c>
      <c r="N129" s="67">
        <f t="shared" si="142"/>
        <v>240.33843843100837</v>
      </c>
      <c r="O129" s="72">
        <f t="shared" si="143"/>
        <v>1809.895587368206</v>
      </c>
      <c r="P129" s="203">
        <f t="shared" si="144"/>
        <v>3619.7911747364119</v>
      </c>
      <c r="Q129" s="272">
        <f t="shared" si="62"/>
        <v>3619.7911747364119</v>
      </c>
      <c r="R129" s="439">
        <f t="shared" si="63"/>
        <v>0</v>
      </c>
      <c r="U129" s="226"/>
      <c r="V129" s="226"/>
      <c r="W129" s="898" t="s">
        <v>366</v>
      </c>
      <c r="X129" s="898"/>
      <c r="Y129" s="898"/>
      <c r="Z129" s="497"/>
      <c r="AA129" s="497"/>
      <c r="AB129" s="497"/>
      <c r="AC129" s="497"/>
      <c r="AD129" s="497"/>
      <c r="AE129" s="356"/>
      <c r="AF129" s="356"/>
    </row>
    <row r="130" spans="1:32" x14ac:dyDescent="0.25">
      <c r="A130" s="238"/>
      <c r="B130" s="249"/>
      <c r="C130" s="293">
        <v>5</v>
      </c>
      <c r="D130" s="83" t="s">
        <v>416</v>
      </c>
      <c r="E130" s="306" t="s">
        <v>39</v>
      </c>
      <c r="F130" s="302"/>
      <c r="G130" s="75"/>
      <c r="H130" s="74"/>
      <c r="I130" s="67">
        <f t="shared" si="138"/>
        <v>0</v>
      </c>
      <c r="J130" s="74"/>
      <c r="K130" s="67">
        <f t="shared" si="139"/>
        <v>0</v>
      </c>
      <c r="L130" s="72">
        <f t="shared" si="140"/>
        <v>0</v>
      </c>
      <c r="M130" s="67">
        <f t="shared" si="141"/>
        <v>0</v>
      </c>
      <c r="N130" s="67">
        <f t="shared" si="142"/>
        <v>0</v>
      </c>
      <c r="O130" s="72">
        <f>N130*F130</f>
        <v>0</v>
      </c>
      <c r="P130" s="305" t="s">
        <v>288</v>
      </c>
      <c r="Q130" s="272">
        <f t="shared" si="62"/>
        <v>0</v>
      </c>
      <c r="R130" s="439" t="e">
        <f t="shared" si="63"/>
        <v>#VALUE!</v>
      </c>
      <c r="U130" s="226"/>
      <c r="V130" s="226"/>
      <c r="W130" s="354"/>
      <c r="X130" s="354"/>
      <c r="Y130" s="354"/>
      <c r="Z130" s="497" t="s">
        <v>81</v>
      </c>
      <c r="AA130" s="497" t="s">
        <v>6</v>
      </c>
      <c r="AB130" s="497" t="s">
        <v>5</v>
      </c>
      <c r="AC130" s="497" t="s">
        <v>174</v>
      </c>
      <c r="AD130" s="497" t="s">
        <v>175</v>
      </c>
      <c r="AE130" s="356" t="s">
        <v>176</v>
      </c>
      <c r="AF130" s="356" t="s">
        <v>177</v>
      </c>
    </row>
    <row r="131" spans="1:32" s="1" customFormat="1" x14ac:dyDescent="0.25">
      <c r="A131" s="238"/>
      <c r="B131" s="250"/>
      <c r="C131" s="293">
        <v>6</v>
      </c>
      <c r="D131" s="83" t="s">
        <v>159</v>
      </c>
      <c r="E131" s="306" t="s">
        <v>39</v>
      </c>
      <c r="F131" s="302"/>
      <c r="G131" s="75"/>
      <c r="H131" s="74"/>
      <c r="I131" s="67">
        <f t="shared" si="138"/>
        <v>0</v>
      </c>
      <c r="J131" s="74"/>
      <c r="K131" s="67">
        <f t="shared" si="139"/>
        <v>0</v>
      </c>
      <c r="L131" s="72">
        <f t="shared" si="140"/>
        <v>0</v>
      </c>
      <c r="M131" s="67">
        <f t="shared" si="141"/>
        <v>0</v>
      </c>
      <c r="N131" s="67">
        <f t="shared" si="142"/>
        <v>0</v>
      </c>
      <c r="O131" s="72">
        <f>N131*F131</f>
        <v>0</v>
      </c>
      <c r="P131" s="305" t="s">
        <v>288</v>
      </c>
      <c r="Q131" s="272">
        <f t="shared" si="62"/>
        <v>0</v>
      </c>
      <c r="R131" s="439" t="e">
        <f t="shared" si="63"/>
        <v>#VALUE!</v>
      </c>
      <c r="S131" s="18"/>
      <c r="T131" s="224"/>
      <c r="U131" s="225"/>
      <c r="V131" s="225"/>
      <c r="W131" s="899" t="s">
        <v>367</v>
      </c>
      <c r="X131" s="899"/>
      <c r="Y131" s="899"/>
      <c r="Z131" s="357">
        <f>5.925*5.9</f>
        <v>34.957500000000003</v>
      </c>
      <c r="AA131" s="493">
        <v>35</v>
      </c>
      <c r="AB131" s="493" t="s">
        <v>101</v>
      </c>
      <c r="AC131" s="359">
        <f>4500/1.12</f>
        <v>4017.8571428571427</v>
      </c>
      <c r="AD131" s="360">
        <f>AC131*AA131</f>
        <v>140625</v>
      </c>
      <c r="AE131" s="361">
        <v>375</v>
      </c>
      <c r="AF131" s="362">
        <f>AE131*AA131</f>
        <v>13125</v>
      </c>
    </row>
    <row r="132" spans="1:32" s="1" customFormat="1" x14ac:dyDescent="0.25">
      <c r="A132" s="238"/>
      <c r="B132" s="250"/>
      <c r="C132" s="293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67">
        <f t="shared" si="138"/>
        <v>38806.213592233013</v>
      </c>
      <c r="J132" s="74">
        <f>5878*0.15/1.03</f>
        <v>856.01941747572812</v>
      </c>
      <c r="K132" s="67">
        <f t="shared" si="139"/>
        <v>6848.155339805825</v>
      </c>
      <c r="L132" s="72">
        <f t="shared" si="140"/>
        <v>45654.368932038837</v>
      </c>
      <c r="M132" s="67">
        <f t="shared" si="141"/>
        <v>6661.874840126753</v>
      </c>
      <c r="N132" s="67">
        <f t="shared" si="142"/>
        <v>1175.6249717870739</v>
      </c>
      <c r="O132" s="72">
        <f t="shared" ref="O132" si="145">N132+M132</f>
        <v>7837.4998119138272</v>
      </c>
      <c r="P132" s="203">
        <f t="shared" ref="P132" si="146">O132*F132</f>
        <v>62699.998495310618</v>
      </c>
      <c r="Q132" s="272">
        <f t="shared" si="62"/>
        <v>62699.99849531061</v>
      </c>
      <c r="R132" s="439">
        <f t="shared" si="63"/>
        <v>0</v>
      </c>
      <c r="S132" s="18"/>
      <c r="T132" s="224"/>
      <c r="U132" s="225"/>
      <c r="V132" s="225"/>
      <c r="W132" s="899" t="s">
        <v>368</v>
      </c>
      <c r="X132" s="899"/>
      <c r="Y132" s="899"/>
      <c r="Z132" s="493">
        <f>2*3.5</f>
        <v>7</v>
      </c>
      <c r="AA132" s="493">
        <v>12</v>
      </c>
      <c r="AB132" s="493" t="s">
        <v>100</v>
      </c>
      <c r="AC132" s="360">
        <f>7.4*50</f>
        <v>370</v>
      </c>
      <c r="AD132" s="360">
        <f>AC132*AA132</f>
        <v>4440</v>
      </c>
      <c r="AE132" s="362">
        <v>85</v>
      </c>
      <c r="AF132" s="362">
        <f>AE132*AA132</f>
        <v>1020</v>
      </c>
    </row>
    <row r="133" spans="1:32" s="1" customFormat="1" ht="15" customHeight="1" x14ac:dyDescent="0.25">
      <c r="A133" s="238"/>
      <c r="B133" s="245"/>
      <c r="C133" s="293"/>
      <c r="D133" s="82"/>
      <c r="E133" s="242"/>
      <c r="F133" s="302"/>
      <c r="G133" s="75"/>
      <c r="H133" s="74"/>
      <c r="I133" s="74"/>
      <c r="J133" s="74"/>
      <c r="K133" s="74"/>
      <c r="L133" s="74"/>
      <c r="M133" s="72"/>
      <c r="N133" s="72"/>
      <c r="O133" s="72"/>
      <c r="P133" s="205"/>
      <c r="Q133" s="272">
        <f t="shared" si="62"/>
        <v>0</v>
      </c>
      <c r="R133" s="439"/>
      <c r="S133" s="18"/>
      <c r="T133" s="224"/>
      <c r="U133" s="225"/>
      <c r="V133" s="225"/>
      <c r="W133" s="899" t="s">
        <v>369</v>
      </c>
      <c r="X133" s="899"/>
      <c r="Y133" s="899"/>
      <c r="Z133" s="493">
        <v>11.8</v>
      </c>
      <c r="AA133" s="493">
        <v>12</v>
      </c>
      <c r="AB133" s="493" t="s">
        <v>100</v>
      </c>
      <c r="AC133" s="360">
        <f>47.1*36/1.12</f>
        <v>1513.9285714285713</v>
      </c>
      <c r="AD133" s="360">
        <f>AC133*AA133</f>
        <v>18167.142857142855</v>
      </c>
      <c r="AE133" s="362">
        <v>200</v>
      </c>
      <c r="AF133" s="362">
        <f>AE133*AA133</f>
        <v>2400</v>
      </c>
    </row>
    <row r="134" spans="1:32" x14ac:dyDescent="0.25">
      <c r="A134" s="238"/>
      <c r="B134" s="290" t="s">
        <v>335</v>
      </c>
      <c r="C134" s="291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72"/>
      <c r="N134" s="72"/>
      <c r="O134" s="72"/>
      <c r="P134" s="205"/>
      <c r="Q134" s="272">
        <f t="shared" si="62"/>
        <v>0</v>
      </c>
      <c r="R134" s="439"/>
      <c r="U134" s="226"/>
      <c r="V134" s="226"/>
      <c r="W134" s="899" t="s">
        <v>370</v>
      </c>
      <c r="X134" s="899"/>
      <c r="Y134" s="899"/>
      <c r="Z134" s="363">
        <f>(5.825*7)+(5.9*2)</f>
        <v>52.575000000000003</v>
      </c>
      <c r="AA134" s="493">
        <v>54</v>
      </c>
      <c r="AB134" s="493" t="s">
        <v>100</v>
      </c>
      <c r="AC134" s="360">
        <f>33*36/1.12</f>
        <v>1060.7142857142856</v>
      </c>
      <c r="AD134" s="360">
        <f>AC134*AA134</f>
        <v>57278.57142857142</v>
      </c>
      <c r="AE134" s="362">
        <v>130</v>
      </c>
      <c r="AF134" s="362">
        <f>AE134*AA134</f>
        <v>7020</v>
      </c>
    </row>
    <row r="135" spans="1:32" x14ac:dyDescent="0.25">
      <c r="A135" s="238"/>
      <c r="B135" s="249"/>
      <c r="C135" s="293">
        <v>1</v>
      </c>
      <c r="D135" s="83" t="s">
        <v>414</v>
      </c>
      <c r="E135" s="242">
        <v>15.7</v>
      </c>
      <c r="F135" s="302">
        <v>16.5</v>
      </c>
      <c r="G135" s="77" t="s">
        <v>100</v>
      </c>
      <c r="H135" s="407">
        <f>152640*0.85/F135/1.05</f>
        <v>7488.8311688311687</v>
      </c>
      <c r="I135" s="67">
        <f>F135*H135</f>
        <v>123565.71428571429</v>
      </c>
      <c r="J135" s="407">
        <f>152640*0.15/F135/1.05</f>
        <v>1321.5584415584417</v>
      </c>
      <c r="K135" s="67">
        <f t="shared" ref="K135:K138" si="147">F135*J135</f>
        <v>21805.71428571429</v>
      </c>
      <c r="L135" s="72">
        <f t="shared" ref="L135:L138" si="148">I135+K135</f>
        <v>145371.42857142858</v>
      </c>
      <c r="M135" s="67">
        <f>H135/$P$255*$P$263</f>
        <v>10284.879935944835</v>
      </c>
      <c r="N135" s="67">
        <f>J135/$P$255*$P$263</f>
        <v>1814.9788122255595</v>
      </c>
      <c r="O135" s="72">
        <f t="shared" ref="O135:O138" si="149">N135+M135</f>
        <v>12099.858748170394</v>
      </c>
      <c r="P135" s="203">
        <f t="shared" ref="P135:P138" si="150">O135*F135</f>
        <v>199647.6693448115</v>
      </c>
      <c r="Q135" s="272">
        <f t="shared" si="62"/>
        <v>199647.66934481153</v>
      </c>
      <c r="R135" s="439">
        <f t="shared" ref="R135:R138" si="151">P135-Q135</f>
        <v>0</v>
      </c>
      <c r="U135" s="226"/>
      <c r="V135" s="226"/>
      <c r="W135" s="899" t="s">
        <v>371</v>
      </c>
      <c r="X135" s="899"/>
      <c r="Y135" s="899"/>
      <c r="Z135" s="363">
        <f>(5.825*1)</f>
        <v>5.8250000000000002</v>
      </c>
      <c r="AA135" s="493">
        <v>6</v>
      </c>
      <c r="AB135" s="493" t="s">
        <v>100</v>
      </c>
      <c r="AC135" s="360">
        <f>9.42*36/1.075</f>
        <v>315.46046511627907</v>
      </c>
      <c r="AD135" s="360">
        <f>AC135*AA135</f>
        <v>1892.7627906976745</v>
      </c>
      <c r="AE135" s="362">
        <v>35</v>
      </c>
      <c r="AF135" s="362">
        <f>AE135*AA135</f>
        <v>210</v>
      </c>
    </row>
    <row r="136" spans="1:32" x14ac:dyDescent="0.25">
      <c r="A136" s="238"/>
      <c r="B136" s="249"/>
      <c r="C136" s="293">
        <v>2</v>
      </c>
      <c r="D136" s="83" t="s">
        <v>415</v>
      </c>
      <c r="E136" s="242">
        <v>8.5</v>
      </c>
      <c r="F136" s="302">
        <v>9</v>
      </c>
      <c r="G136" s="77" t="s">
        <v>100</v>
      </c>
      <c r="H136" s="407">
        <f>59360*0.8/F136/1.05</f>
        <v>5025.1851851851852</v>
      </c>
      <c r="I136" s="67">
        <f>F136*H136</f>
        <v>45226.666666666664</v>
      </c>
      <c r="J136" s="407">
        <f>59360*0.2/F136/1.05</f>
        <v>1256.2962962962963</v>
      </c>
      <c r="K136" s="67">
        <f t="shared" si="147"/>
        <v>11306.666666666666</v>
      </c>
      <c r="L136" s="72">
        <f t="shared" si="148"/>
        <v>56533.333333333328</v>
      </c>
      <c r="M136" s="67">
        <f>H136/$P$255*$P$263</f>
        <v>6901.4009156231141</v>
      </c>
      <c r="N136" s="67">
        <f>J136/$P$255*$P$263</f>
        <v>1725.3502289057785</v>
      </c>
      <c r="O136" s="72">
        <f t="shared" si="149"/>
        <v>8626.7511445288928</v>
      </c>
      <c r="P136" s="203">
        <f t="shared" si="150"/>
        <v>77640.760300760041</v>
      </c>
      <c r="Q136" s="272">
        <f t="shared" si="62"/>
        <v>77640.760300760026</v>
      </c>
      <c r="R136" s="439">
        <f t="shared" si="151"/>
        <v>0</v>
      </c>
      <c r="T136" s="899" t="s">
        <v>372</v>
      </c>
      <c r="U136" s="899"/>
      <c r="V136" s="899"/>
      <c r="W136" s="899"/>
      <c r="X136" s="899"/>
      <c r="Y136" s="899"/>
      <c r="Z136" s="357">
        <f>7*5.925</f>
        <v>41.475000000000001</v>
      </c>
      <c r="AA136" s="493">
        <v>42</v>
      </c>
      <c r="AB136" s="364" t="s">
        <v>100</v>
      </c>
      <c r="AC136" s="360">
        <f>4.7*70/1.12</f>
        <v>293.75</v>
      </c>
      <c r="AD136" s="360">
        <f t="shared" ref="AD136:AD141" si="152">AC136*AA136</f>
        <v>12337.5</v>
      </c>
      <c r="AE136" s="362">
        <v>60</v>
      </c>
      <c r="AF136" s="362">
        <f t="shared" ref="AF136:AF141" si="153">AE136*AA136</f>
        <v>2520</v>
      </c>
    </row>
    <row r="137" spans="1:32" x14ac:dyDescent="0.25">
      <c r="A137" s="238"/>
      <c r="B137" s="249"/>
      <c r="C137" s="293">
        <v>3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AC126/F137</f>
        <v>6348.8095238095229</v>
      </c>
      <c r="I137" s="67">
        <f>F137*H137</f>
        <v>25395.238095238092</v>
      </c>
      <c r="J137" s="74">
        <f>AE126/F137</f>
        <v>3225</v>
      </c>
      <c r="K137" s="67">
        <f t="shared" si="147"/>
        <v>12900</v>
      </c>
      <c r="L137" s="72">
        <f t="shared" si="148"/>
        <v>38295.238095238092</v>
      </c>
      <c r="M137" s="67">
        <f>H137/$P$255*$P$263</f>
        <v>8719.2169534188251</v>
      </c>
      <c r="N137" s="67">
        <f>J137/$P$255*$P$263</f>
        <v>4429.094079657154</v>
      </c>
      <c r="O137" s="72">
        <f t="shared" si="149"/>
        <v>13148.311033075979</v>
      </c>
      <c r="P137" s="203">
        <f t="shared" si="150"/>
        <v>52593.244132303917</v>
      </c>
      <c r="Q137" s="272">
        <f t="shared" si="62"/>
        <v>52593.244132303917</v>
      </c>
      <c r="R137" s="439">
        <f t="shared" si="151"/>
        <v>0</v>
      </c>
      <c r="U137" s="226"/>
      <c r="V137" s="226"/>
      <c r="W137" s="899" t="s">
        <v>373</v>
      </c>
      <c r="X137" s="899"/>
      <c r="Y137" s="899"/>
      <c r="Z137" s="357">
        <v>5.83</v>
      </c>
      <c r="AA137" s="493">
        <v>6</v>
      </c>
      <c r="AB137" s="364" t="s">
        <v>100</v>
      </c>
      <c r="AC137" s="360">
        <f>600/1.05</f>
        <v>571.42857142857144</v>
      </c>
      <c r="AD137" s="360">
        <f t="shared" si="152"/>
        <v>3428.5714285714284</v>
      </c>
      <c r="AE137" s="362">
        <v>150</v>
      </c>
      <c r="AF137" s="362">
        <f t="shared" si="153"/>
        <v>900</v>
      </c>
    </row>
    <row r="138" spans="1:32" x14ac:dyDescent="0.25">
      <c r="A138" s="238"/>
      <c r="B138" s="249"/>
      <c r="C138" s="293">
        <v>4</v>
      </c>
      <c r="D138" s="83" t="s">
        <v>337</v>
      </c>
      <c r="E138" s="242">
        <v>56</v>
      </c>
      <c r="F138" s="302">
        <v>58</v>
      </c>
      <c r="G138" s="77" t="s">
        <v>101</v>
      </c>
      <c r="H138" s="328">
        <v>185</v>
      </c>
      <c r="I138" s="67">
        <f>F138*H138</f>
        <v>10730</v>
      </c>
      <c r="J138" s="74">
        <v>185</v>
      </c>
      <c r="K138" s="67">
        <f t="shared" si="147"/>
        <v>10730</v>
      </c>
      <c r="L138" s="72">
        <f t="shared" si="148"/>
        <v>21460</v>
      </c>
      <c r="M138" s="67">
        <f>H138/$P$255*$P$263</f>
        <v>254.07206348420883</v>
      </c>
      <c r="N138" s="67">
        <f>J138/$P$255*$P$263</f>
        <v>254.07206348420883</v>
      </c>
      <c r="O138" s="72">
        <f t="shared" si="149"/>
        <v>508.14412696841765</v>
      </c>
      <c r="P138" s="203">
        <f t="shared" si="150"/>
        <v>29472.359364168224</v>
      </c>
      <c r="Q138" s="272">
        <f t="shared" si="62"/>
        <v>29472.359364168227</v>
      </c>
      <c r="R138" s="439">
        <f t="shared" si="151"/>
        <v>0</v>
      </c>
      <c r="U138" s="226"/>
      <c r="V138" s="226"/>
      <c r="W138" s="899" t="s">
        <v>374</v>
      </c>
      <c r="X138" s="899"/>
      <c r="Y138" s="899"/>
      <c r="Z138" s="357">
        <v>2</v>
      </c>
      <c r="AA138" s="493">
        <v>2</v>
      </c>
      <c r="AB138" s="364" t="s">
        <v>283</v>
      </c>
      <c r="AC138" s="360">
        <f>14.13*60</f>
        <v>847.80000000000007</v>
      </c>
      <c r="AD138" s="360">
        <f t="shared" si="152"/>
        <v>1695.6000000000001</v>
      </c>
      <c r="AE138" s="362">
        <v>151</v>
      </c>
      <c r="AF138" s="362">
        <f t="shared" si="153"/>
        <v>302</v>
      </c>
    </row>
    <row r="139" spans="1:32" x14ac:dyDescent="0.25">
      <c r="A139" s="238"/>
      <c r="B139" s="289"/>
      <c r="C139" s="300"/>
      <c r="D139" s="83"/>
      <c r="E139" s="242"/>
      <c r="F139" s="302"/>
      <c r="G139" s="75"/>
      <c r="H139" s="74"/>
      <c r="I139" s="74"/>
      <c r="J139" s="74"/>
      <c r="K139" s="74"/>
      <c r="L139" s="74"/>
      <c r="M139" s="72"/>
      <c r="N139" s="72"/>
      <c r="O139" s="72"/>
      <c r="P139" s="205"/>
      <c r="Q139" s="272">
        <f t="shared" si="62"/>
        <v>0</v>
      </c>
      <c r="R139" s="439"/>
      <c r="U139" s="226"/>
      <c r="V139" s="226"/>
      <c r="W139" s="899" t="s">
        <v>375</v>
      </c>
      <c r="X139" s="899"/>
      <c r="Y139" s="899"/>
      <c r="Z139" s="357">
        <v>2</v>
      </c>
      <c r="AA139" s="493">
        <v>2</v>
      </c>
      <c r="AB139" s="364" t="s">
        <v>283</v>
      </c>
      <c r="AC139" s="360">
        <f>24.72*60</f>
        <v>1483.1999999999998</v>
      </c>
      <c r="AD139" s="360">
        <f t="shared" si="152"/>
        <v>2966.3999999999996</v>
      </c>
      <c r="AE139" s="362">
        <v>152</v>
      </c>
      <c r="AF139" s="362">
        <f t="shared" si="153"/>
        <v>304</v>
      </c>
    </row>
    <row r="140" spans="1:32" s="1" customFormat="1" x14ac:dyDescent="0.25">
      <c r="A140" s="237"/>
      <c r="B140" s="412" t="s">
        <v>338</v>
      </c>
      <c r="C140" s="413" t="s">
        <v>131</v>
      </c>
      <c r="D140" s="82"/>
      <c r="E140" s="242"/>
      <c r="F140" s="302"/>
      <c r="G140" s="77"/>
      <c r="H140" s="74"/>
      <c r="I140" s="74"/>
      <c r="J140" s="74"/>
      <c r="K140" s="67"/>
      <c r="L140" s="72"/>
      <c r="M140" s="67"/>
      <c r="N140" s="67"/>
      <c r="O140" s="72"/>
      <c r="P140" s="203"/>
      <c r="Q140" s="272">
        <f t="shared" si="62"/>
        <v>0</v>
      </c>
      <c r="R140" s="439"/>
      <c r="S140" s="18"/>
      <c r="U140" s="226"/>
      <c r="V140" s="226"/>
      <c r="W140" s="899" t="s">
        <v>376</v>
      </c>
      <c r="X140" s="899"/>
      <c r="Y140" s="899"/>
      <c r="Z140" s="357">
        <f>4*4</f>
        <v>16</v>
      </c>
      <c r="AA140" s="493">
        <v>16</v>
      </c>
      <c r="AB140" s="364" t="s">
        <v>283</v>
      </c>
      <c r="AC140" s="360">
        <v>160</v>
      </c>
      <c r="AD140" s="360">
        <f t="shared" si="152"/>
        <v>2560</v>
      </c>
      <c r="AE140" s="362">
        <v>35</v>
      </c>
      <c r="AF140" s="362">
        <f t="shared" si="153"/>
        <v>560</v>
      </c>
    </row>
    <row r="141" spans="1:32" s="224" customFormat="1" x14ac:dyDescent="0.25">
      <c r="A141" s="411"/>
      <c r="B141" s="412"/>
      <c r="C141" s="413">
        <v>1</v>
      </c>
      <c r="D141" s="83" t="s">
        <v>456</v>
      </c>
      <c r="E141" s="242">
        <v>1</v>
      </c>
      <c r="F141" s="302">
        <v>1</v>
      </c>
      <c r="G141" s="77" t="s">
        <v>55</v>
      </c>
      <c r="H141" s="74">
        <f>(23600+74200)*0.85/1.3889/1.07</f>
        <v>55937.496425262238</v>
      </c>
      <c r="I141" s="74">
        <f t="shared" ref="I141:I143" si="154">F141*H141</f>
        <v>55937.496425262238</v>
      </c>
      <c r="J141" s="74">
        <f>(23600+74200)*0.15/1.3889/1.07</f>
        <v>9871.3228985756905</v>
      </c>
      <c r="K141" s="67">
        <f t="shared" ref="K141:K143" si="155">F141*J141</f>
        <v>9871.3228985756905</v>
      </c>
      <c r="L141" s="72">
        <f t="shared" ref="L141:L143" si="156">I141+K141</f>
        <v>65808.819323837932</v>
      </c>
      <c r="M141" s="67">
        <f>H141/$P$255*$P$263</f>
        <v>76822.460231929363</v>
      </c>
      <c r="N141" s="67">
        <f>J141/$P$255*$P$263</f>
        <v>13556.904746811068</v>
      </c>
      <c r="O141" s="72">
        <f t="shared" ref="O141:O143" si="157">N141+M141</f>
        <v>90379.364978740428</v>
      </c>
      <c r="P141" s="203">
        <f t="shared" ref="P141:P143" si="158">O141*F141</f>
        <v>90379.364978740428</v>
      </c>
      <c r="Q141" s="272">
        <f t="shared" si="62"/>
        <v>90379.364978740428</v>
      </c>
      <c r="R141" s="439">
        <f t="shared" ref="R141:R143" si="159">P141-Q141</f>
        <v>0</v>
      </c>
      <c r="S141" s="273"/>
      <c r="T141" s="1"/>
      <c r="U141" s="226"/>
      <c r="V141" s="226"/>
      <c r="W141" s="899" t="s">
        <v>377</v>
      </c>
      <c r="X141" s="899"/>
      <c r="Y141" s="899"/>
      <c r="Z141" s="357">
        <v>58</v>
      </c>
      <c r="AA141" s="493">
        <v>60</v>
      </c>
      <c r="AB141" s="364" t="s">
        <v>101</v>
      </c>
      <c r="AC141" s="360">
        <v>65</v>
      </c>
      <c r="AD141" s="360">
        <f t="shared" si="152"/>
        <v>3900</v>
      </c>
      <c r="AE141" s="362">
        <v>65</v>
      </c>
      <c r="AF141" s="362">
        <f t="shared" si="153"/>
        <v>3900</v>
      </c>
    </row>
    <row r="142" spans="1:32" s="224" customFormat="1" x14ac:dyDescent="0.25">
      <c r="A142" s="411"/>
      <c r="B142" s="412"/>
      <c r="C142" s="413">
        <v>2</v>
      </c>
      <c r="D142" s="83" t="s">
        <v>457</v>
      </c>
      <c r="E142" s="242">
        <v>1</v>
      </c>
      <c r="F142" s="302">
        <v>1</v>
      </c>
      <c r="G142" s="77" t="s">
        <v>55</v>
      </c>
      <c r="H142" s="74">
        <f>(58600+74200)*0.85/1.3889/1.07</f>
        <v>75956.027865795753</v>
      </c>
      <c r="I142" s="74">
        <f t="shared" si="154"/>
        <v>75956.027865795753</v>
      </c>
      <c r="J142" s="74">
        <f>(58600+74200)*0.15/1.3889/1.07</f>
        <v>13404.00491749337</v>
      </c>
      <c r="K142" s="67">
        <f t="shared" si="155"/>
        <v>13404.00491749337</v>
      </c>
      <c r="L142" s="72">
        <f t="shared" si="156"/>
        <v>89360.03278328912</v>
      </c>
      <c r="M142" s="67">
        <f>H142/$P$255*$P$263</f>
        <v>104315.16072392862</v>
      </c>
      <c r="N142" s="67">
        <f>J142/$P$255*$P$263</f>
        <v>18408.557774810935</v>
      </c>
      <c r="O142" s="72">
        <f t="shared" si="157"/>
        <v>122723.71849873956</v>
      </c>
      <c r="P142" s="203">
        <f t="shared" si="158"/>
        <v>122723.71849873956</v>
      </c>
      <c r="Q142" s="272">
        <f t="shared" si="62"/>
        <v>122723.71849873954</v>
      </c>
      <c r="R142" s="439">
        <f t="shared" si="159"/>
        <v>0</v>
      </c>
      <c r="S142" s="273"/>
      <c r="T142" s="1"/>
      <c r="U142" s="226"/>
      <c r="V142" s="226"/>
      <c r="W142" s="899" t="s">
        <v>378</v>
      </c>
      <c r="X142" s="899"/>
      <c r="Y142" s="899"/>
      <c r="Z142" s="493">
        <v>1</v>
      </c>
      <c r="AA142" s="493">
        <v>1</v>
      </c>
      <c r="AB142" s="493" t="s">
        <v>301</v>
      </c>
      <c r="AC142" s="360">
        <v>2000</v>
      </c>
      <c r="AD142" s="360">
        <f>AC142*AA142</f>
        <v>2000</v>
      </c>
      <c r="AE142" s="362">
        <v>500</v>
      </c>
      <c r="AF142" s="362">
        <f>AE142*AA142</f>
        <v>500</v>
      </c>
    </row>
    <row r="143" spans="1:32" s="224" customFormat="1" x14ac:dyDescent="0.25">
      <c r="A143" s="411"/>
      <c r="B143" s="412"/>
      <c r="C143" s="413">
        <v>3</v>
      </c>
      <c r="D143" s="83" t="s">
        <v>418</v>
      </c>
      <c r="E143" s="242">
        <v>1</v>
      </c>
      <c r="F143" s="302">
        <v>1</v>
      </c>
      <c r="G143" s="77" t="s">
        <v>55</v>
      </c>
      <c r="H143" s="74">
        <f>5900*0.85/1.3889/1.03</f>
        <v>3505.6030231369796</v>
      </c>
      <c r="I143" s="74">
        <f t="shared" si="154"/>
        <v>3505.6030231369796</v>
      </c>
      <c r="J143" s="74">
        <f>5900*0.15/1.3889/1.03</f>
        <v>618.63582761240821</v>
      </c>
      <c r="K143" s="67">
        <f t="shared" si="155"/>
        <v>618.63582761240821</v>
      </c>
      <c r="L143" s="72">
        <f t="shared" si="156"/>
        <v>4124.2388507493879</v>
      </c>
      <c r="M143" s="67">
        <f>H143/$P$255*$P$263</f>
        <v>4814.4637505129358</v>
      </c>
      <c r="N143" s="67">
        <f>J143/$P$255*$P$263</f>
        <v>849.61125009051807</v>
      </c>
      <c r="O143" s="72">
        <f t="shared" si="157"/>
        <v>5664.0750006034541</v>
      </c>
      <c r="P143" s="203">
        <f t="shared" si="158"/>
        <v>5664.0750006034541</v>
      </c>
      <c r="Q143" s="272">
        <f t="shared" si="62"/>
        <v>5664.0750006034541</v>
      </c>
      <c r="R143" s="439">
        <f t="shared" si="159"/>
        <v>0</v>
      </c>
      <c r="S143" s="273"/>
      <c r="T143" s="1"/>
      <c r="U143" s="226"/>
      <c r="V143" s="226"/>
      <c r="W143" s="899" t="s">
        <v>379</v>
      </c>
      <c r="X143" s="899"/>
      <c r="Y143" s="899"/>
      <c r="Z143" s="493">
        <v>1</v>
      </c>
      <c r="AA143" s="493">
        <v>1</v>
      </c>
      <c r="AB143" s="493" t="s">
        <v>301</v>
      </c>
      <c r="AC143" s="360">
        <v>2000</v>
      </c>
      <c r="AD143" s="360">
        <f>AC143*AA143</f>
        <v>2000</v>
      </c>
      <c r="AE143" s="362">
        <v>1000</v>
      </c>
      <c r="AF143" s="362">
        <f>AE143*AA143</f>
        <v>1000</v>
      </c>
    </row>
    <row r="144" spans="1:32" s="1" customFormat="1" x14ac:dyDescent="0.25">
      <c r="A144" s="238"/>
      <c r="B144" s="248"/>
      <c r="C144" s="298"/>
      <c r="D144" s="82"/>
      <c r="E144" s="242"/>
      <c r="F144" s="302"/>
      <c r="G144" s="75"/>
      <c r="H144" s="74"/>
      <c r="I144" s="74"/>
      <c r="J144" s="74"/>
      <c r="K144" s="74"/>
      <c r="L144" s="74"/>
      <c r="M144" s="72"/>
      <c r="N144" s="72"/>
      <c r="O144" s="72"/>
      <c r="P144" s="205"/>
      <c r="Q144" s="272">
        <f t="shared" si="62"/>
        <v>0</v>
      </c>
      <c r="R144" s="439"/>
      <c r="S144" s="18"/>
      <c r="U144" s="226"/>
      <c r="V144" s="226"/>
      <c r="W144" s="226"/>
      <c r="X144" s="226"/>
      <c r="Y144" s="226"/>
      <c r="Z144" s="226"/>
      <c r="AA144" s="226"/>
      <c r="AB144" s="226"/>
      <c r="AC144" s="226"/>
      <c r="AD144" s="365">
        <f>SUM(AD131:AD143)</f>
        <v>253291.54850498337</v>
      </c>
      <c r="AE144" s="60"/>
      <c r="AF144" s="366">
        <f>SUM(AF131:AF143)</f>
        <v>33761</v>
      </c>
    </row>
    <row r="145" spans="1:39" x14ac:dyDescent="0.25">
      <c r="A145" s="238"/>
      <c r="B145" s="290" t="s">
        <v>339</v>
      </c>
      <c r="C145" s="291" t="s">
        <v>340</v>
      </c>
      <c r="D145" s="83"/>
      <c r="E145" s="242"/>
      <c r="F145" s="302"/>
      <c r="G145" s="75"/>
      <c r="H145" s="74"/>
      <c r="I145" s="74"/>
      <c r="J145" s="74"/>
      <c r="K145" s="74"/>
      <c r="L145" s="74"/>
      <c r="M145" s="72"/>
      <c r="N145" s="72"/>
      <c r="O145" s="72"/>
      <c r="P145" s="205"/>
      <c r="Q145" s="272">
        <f t="shared" ref="Q145:Q208" si="160">L145/$P$255*$P$263</f>
        <v>0</v>
      </c>
      <c r="R145" s="439"/>
    </row>
    <row r="146" spans="1:39" x14ac:dyDescent="0.25">
      <c r="A146" s="238"/>
      <c r="B146" s="249"/>
      <c r="C146" s="293">
        <v>1</v>
      </c>
      <c r="D146" s="83" t="s">
        <v>341</v>
      </c>
      <c r="E146" s="242">
        <v>1</v>
      </c>
      <c r="F146" s="302">
        <v>1</v>
      </c>
      <c r="G146" s="77" t="s">
        <v>55</v>
      </c>
      <c r="H146" s="328">
        <f>79415.5*0.7/1.07</f>
        <v>51954.065420560742</v>
      </c>
      <c r="I146" s="67">
        <f>F146*H146</f>
        <v>51954.065420560742</v>
      </c>
      <c r="J146" s="328">
        <f>79415.5*0.3/1.07</f>
        <v>22266.028037383174</v>
      </c>
      <c r="K146" s="67">
        <f t="shared" ref="K146:K148" si="161">F146*J146</f>
        <v>22266.028037383174</v>
      </c>
      <c r="L146" s="72">
        <f t="shared" ref="L146:L148" si="162">I146+K146</f>
        <v>74220.09345794392</v>
      </c>
      <c r="M146" s="67">
        <f>H146/$P$255*$P$263</f>
        <v>71351.765447542959</v>
      </c>
      <c r="N146" s="67">
        <f>J146/$P$255*$P$263</f>
        <v>30579.32804894698</v>
      </c>
      <c r="O146" s="72">
        <f t="shared" ref="O146:O148" si="163">N146+M146</f>
        <v>101931.09349648994</v>
      </c>
      <c r="P146" s="203">
        <f t="shared" ref="P146:P148" si="164">O146*F146</f>
        <v>101931.09349648994</v>
      </c>
      <c r="Q146" s="272">
        <f t="shared" si="160"/>
        <v>101931.09349648995</v>
      </c>
      <c r="R146" s="439">
        <f t="shared" si="63"/>
        <v>0</v>
      </c>
    </row>
    <row r="147" spans="1:39" x14ac:dyDescent="0.25">
      <c r="A147" s="238"/>
      <c r="B147" s="249"/>
      <c r="C147" s="293">
        <v>2</v>
      </c>
      <c r="D147" s="83" t="s">
        <v>342</v>
      </c>
      <c r="E147" s="242">
        <v>1</v>
      </c>
      <c r="F147" s="302">
        <v>1</v>
      </c>
      <c r="G147" s="77" t="s">
        <v>55</v>
      </c>
      <c r="H147" s="328">
        <f>120317.5*0.7/1.07</f>
        <v>78712.383177570082</v>
      </c>
      <c r="I147" s="67">
        <f>F147*H147</f>
        <v>78712.383177570082</v>
      </c>
      <c r="J147" s="328">
        <f>120317.5*0.3/1.07</f>
        <v>33733.878504672895</v>
      </c>
      <c r="K147" s="67">
        <f t="shared" si="161"/>
        <v>33733.878504672895</v>
      </c>
      <c r="L147" s="72">
        <f t="shared" si="162"/>
        <v>112446.26168224297</v>
      </c>
      <c r="M147" s="67">
        <f>H147/$P$255*$P$263</f>
        <v>108100.63576045922</v>
      </c>
      <c r="N147" s="67">
        <f>J147/$P$255*$P$263</f>
        <v>46328.843897339677</v>
      </c>
      <c r="O147" s="72">
        <f t="shared" si="163"/>
        <v>154429.47965779889</v>
      </c>
      <c r="P147" s="203">
        <f t="shared" si="164"/>
        <v>154429.47965779889</v>
      </c>
      <c r="Q147" s="272">
        <f t="shared" si="160"/>
        <v>154429.47965779889</v>
      </c>
      <c r="R147" s="439">
        <f t="shared" si="63"/>
        <v>0</v>
      </c>
    </row>
    <row r="148" spans="1:39" x14ac:dyDescent="0.25">
      <c r="A148" s="238"/>
      <c r="B148" s="249"/>
      <c r="C148" s="293">
        <v>3</v>
      </c>
      <c r="D148" s="83" t="s">
        <v>359</v>
      </c>
      <c r="E148" s="242">
        <v>6.3</v>
      </c>
      <c r="F148" s="302">
        <v>6.5</v>
      </c>
      <c r="G148" s="77" t="s">
        <v>100</v>
      </c>
      <c r="H148" s="74">
        <f>(AE212*2+AE228*3)/F148/1.05</f>
        <v>3093.6263736263736</v>
      </c>
      <c r="I148" s="67">
        <f>F148*H148</f>
        <v>20108.571428571428</v>
      </c>
      <c r="J148" s="74">
        <f>(AE219*2+AE235*3)/F148/1.05</f>
        <v>2913.5531135531132</v>
      </c>
      <c r="K148" s="67">
        <f t="shared" si="161"/>
        <v>18938.095238095237</v>
      </c>
      <c r="L148" s="72">
        <f t="shared" si="162"/>
        <v>39046.666666666664</v>
      </c>
      <c r="M148" s="67">
        <f>H148/$P$255*$P$263</f>
        <v>4248.6704670076906</v>
      </c>
      <c r="N148" s="67">
        <f>J148/$P$255*$P$263</f>
        <v>4001.3646034123294</v>
      </c>
      <c r="O148" s="72">
        <f t="shared" si="163"/>
        <v>8250.0350704200209</v>
      </c>
      <c r="P148" s="203">
        <f t="shared" si="164"/>
        <v>53625.227957730138</v>
      </c>
      <c r="Q148" s="272">
        <f t="shared" si="160"/>
        <v>53625.227957730131</v>
      </c>
      <c r="R148" s="439">
        <f t="shared" si="63"/>
        <v>0</v>
      </c>
    </row>
    <row r="149" spans="1:39" ht="15.75" thickBot="1" x14ac:dyDescent="0.3">
      <c r="A149" s="238"/>
      <c r="B149" s="289"/>
      <c r="C149" s="300"/>
      <c r="D149" s="83"/>
      <c r="E149" s="242"/>
      <c r="F149" s="302"/>
      <c r="G149" s="75"/>
      <c r="H149" s="74"/>
      <c r="I149" s="74"/>
      <c r="J149" s="74"/>
      <c r="K149" s="74"/>
      <c r="L149" s="74"/>
      <c r="M149" s="72"/>
      <c r="N149" s="72"/>
      <c r="O149" s="72"/>
      <c r="P149" s="205"/>
      <c r="Q149" s="272">
        <f t="shared" si="160"/>
        <v>0</v>
      </c>
      <c r="R149" s="439"/>
    </row>
    <row r="150" spans="1:39" s="234" customFormat="1" ht="15.75" thickBot="1" x14ac:dyDescent="0.3">
      <c r="A150" s="308"/>
      <c r="B150" s="910" t="s">
        <v>343</v>
      </c>
      <c r="C150" s="911"/>
      <c r="D150" s="912"/>
      <c r="E150" s="309"/>
      <c r="F150" s="310"/>
      <c r="G150" s="311"/>
      <c r="H150" s="312"/>
      <c r="I150" s="313">
        <f>SUM(I36:I149)</f>
        <v>4139378.3307939433</v>
      </c>
      <c r="J150" s="312"/>
      <c r="K150" s="313">
        <f>SUM(K36:K149)</f>
        <v>1285296.0718094779</v>
      </c>
      <c r="L150" s="313">
        <f>SUM(L36:L149)</f>
        <v>5424674.4026034204</v>
      </c>
      <c r="M150" s="312"/>
      <c r="N150" s="312"/>
      <c r="O150" s="313"/>
      <c r="P150" s="315">
        <f>SUM(P36:P149)</f>
        <v>7450044.4281049697</v>
      </c>
      <c r="Q150" s="272">
        <f t="shared" si="160"/>
        <v>7450044.4281049678</v>
      </c>
      <c r="R150" s="439">
        <f t="shared" ref="R150" si="165">P150-Q150</f>
        <v>0</v>
      </c>
      <c r="T150" s="211"/>
      <c r="AG150" s="277"/>
      <c r="AH150" s="277"/>
      <c r="AI150" s="277"/>
      <c r="AJ150" s="277"/>
      <c r="AK150" s="278"/>
      <c r="AL150" s="225"/>
      <c r="AM150" s="282"/>
    </row>
    <row r="151" spans="1:39" s="226" customFormat="1" ht="15.75" x14ac:dyDescent="0.25">
      <c r="A151" s="517" t="s">
        <v>86</v>
      </c>
      <c r="B151" s="513" t="s">
        <v>344</v>
      </c>
      <c r="C151" s="514"/>
      <c r="D151" s="515"/>
      <c r="E151" s="254"/>
      <c r="F151" s="304"/>
      <c r="G151" s="255"/>
      <c r="H151" s="256"/>
      <c r="I151" s="256"/>
      <c r="J151" s="256"/>
      <c r="K151" s="256"/>
      <c r="L151" s="256"/>
      <c r="M151" s="256"/>
      <c r="N151" s="256"/>
      <c r="O151" s="256"/>
      <c r="P151" s="257"/>
      <c r="Q151" s="272">
        <f t="shared" si="160"/>
        <v>0</v>
      </c>
      <c r="R151" s="439"/>
      <c r="T151" s="1"/>
      <c r="AG151" s="286"/>
      <c r="AH151" s="286"/>
      <c r="AI151" s="286"/>
      <c r="AJ151" s="286"/>
      <c r="AK151" s="127"/>
      <c r="AL151" s="285"/>
      <c r="AM151" s="225"/>
    </row>
    <row r="152" spans="1:39" s="1" customFormat="1" x14ac:dyDescent="0.25">
      <c r="A152" s="238"/>
      <c r="B152" s="290" t="s">
        <v>319</v>
      </c>
      <c r="C152" s="291" t="s">
        <v>132</v>
      </c>
      <c r="D152" s="316"/>
      <c r="E152" s="244"/>
      <c r="F152" s="302"/>
      <c r="G152" s="75"/>
      <c r="H152" s="74"/>
      <c r="I152" s="74"/>
      <c r="J152" s="74"/>
      <c r="K152" s="74"/>
      <c r="L152" s="74"/>
      <c r="M152" s="72"/>
      <c r="N152" s="72"/>
      <c r="O152" s="72"/>
      <c r="P152" s="205"/>
      <c r="Q152" s="272">
        <f t="shared" si="160"/>
        <v>0</v>
      </c>
      <c r="R152" s="439"/>
      <c r="S152" s="18"/>
    </row>
    <row r="153" spans="1:39" s="1" customFormat="1" x14ac:dyDescent="0.25">
      <c r="A153" s="238"/>
      <c r="B153" s="317"/>
      <c r="C153" s="318">
        <v>1</v>
      </c>
      <c r="D153" s="83" t="s">
        <v>419</v>
      </c>
      <c r="E153" s="242">
        <f>61+1+5</f>
        <v>67</v>
      </c>
      <c r="F153" s="242">
        <f>61+1+5</f>
        <v>67</v>
      </c>
      <c r="G153" s="73" t="s">
        <v>283</v>
      </c>
      <c r="H153" s="67">
        <f>360/1.05</f>
        <v>342.85714285714283</v>
      </c>
      <c r="I153" s="67">
        <f>F153*H153</f>
        <v>22971.428571428569</v>
      </c>
      <c r="J153" s="67">
        <v>130</v>
      </c>
      <c r="K153" s="67">
        <f t="shared" ref="K153:K156" si="166">F153*J153</f>
        <v>8710</v>
      </c>
      <c r="L153" s="72">
        <f t="shared" ref="L153:L156" si="167">I153+K153</f>
        <v>31681.428571428569</v>
      </c>
      <c r="M153" s="67">
        <f>H153/$P$255*$P$263</f>
        <v>470.86714468115923</v>
      </c>
      <c r="N153" s="67">
        <f>J153/$P$255*$P$263</f>
        <v>178.53712569160621</v>
      </c>
      <c r="O153" s="72">
        <f t="shared" ref="O153:O156" si="168">N153+M153</f>
        <v>649.4042703727655</v>
      </c>
      <c r="P153" s="203">
        <f t="shared" ref="P153:P156" si="169">O153*F153</f>
        <v>43510.086114975289</v>
      </c>
      <c r="Q153" s="272">
        <f t="shared" si="160"/>
        <v>43510.086114975282</v>
      </c>
      <c r="R153" s="439">
        <f t="shared" ref="R153:R159" si="170">P153-Q153</f>
        <v>0</v>
      </c>
      <c r="S153" s="18"/>
      <c r="T153" s="67">
        <f>360/1.05</f>
        <v>342.85714285714283</v>
      </c>
    </row>
    <row r="154" spans="1:39" s="1" customFormat="1" x14ac:dyDescent="0.25">
      <c r="A154" s="238"/>
      <c r="B154" s="317"/>
      <c r="C154" s="318">
        <v>2</v>
      </c>
      <c r="D154" s="83" t="s">
        <v>134</v>
      </c>
      <c r="E154" s="242">
        <v>88</v>
      </c>
      <c r="F154" s="242">
        <v>88</v>
      </c>
      <c r="G154" s="73" t="s">
        <v>283</v>
      </c>
      <c r="H154" s="67">
        <f>837/1.05</f>
        <v>797.14285714285711</v>
      </c>
      <c r="I154" s="67">
        <f>F154*H154</f>
        <v>70148.57142857142</v>
      </c>
      <c r="J154" s="67">
        <f>J153</f>
        <v>130</v>
      </c>
      <c r="K154" s="67">
        <f t="shared" si="166"/>
        <v>11440</v>
      </c>
      <c r="L154" s="72">
        <f t="shared" si="167"/>
        <v>81588.57142857142</v>
      </c>
      <c r="M154" s="67">
        <f>H154/$P$255*$P$263</f>
        <v>1094.766111383695</v>
      </c>
      <c r="N154" s="67">
        <f>J154/$P$255*$P$263</f>
        <v>178.53712569160621</v>
      </c>
      <c r="O154" s="72">
        <f t="shared" si="168"/>
        <v>1273.3032370753012</v>
      </c>
      <c r="P154" s="203">
        <f t="shared" si="169"/>
        <v>112050.68486262651</v>
      </c>
      <c r="Q154" s="272">
        <f t="shared" si="160"/>
        <v>112050.68486262653</v>
      </c>
      <c r="R154" s="439">
        <f t="shared" si="170"/>
        <v>0</v>
      </c>
      <c r="S154" s="18"/>
      <c r="T154" s="67">
        <f>837/1.05</f>
        <v>797.14285714285711</v>
      </c>
    </row>
    <row r="155" spans="1:39" s="1" customFormat="1" x14ac:dyDescent="0.25">
      <c r="A155" s="238"/>
      <c r="B155" s="317"/>
      <c r="C155" s="318">
        <v>3</v>
      </c>
      <c r="D155" s="83" t="s">
        <v>135</v>
      </c>
      <c r="E155" s="242">
        <f>3+1</f>
        <v>4</v>
      </c>
      <c r="F155" s="242">
        <f>3+1</f>
        <v>4</v>
      </c>
      <c r="G155" s="73" t="s">
        <v>283</v>
      </c>
      <c r="H155" s="67">
        <f>260/1.05</f>
        <v>247.61904761904762</v>
      </c>
      <c r="I155" s="67">
        <f>F155*H155</f>
        <v>990.47619047619048</v>
      </c>
      <c r="J155" s="67">
        <f>J153</f>
        <v>130</v>
      </c>
      <c r="K155" s="67">
        <f t="shared" si="166"/>
        <v>520</v>
      </c>
      <c r="L155" s="72">
        <f t="shared" si="167"/>
        <v>1510.4761904761904</v>
      </c>
      <c r="M155" s="67">
        <f>H155/$P$255*$P$263</f>
        <v>340.07071560305945</v>
      </c>
      <c r="N155" s="67">
        <f>J155/$P$255*$P$263</f>
        <v>178.53712569160621</v>
      </c>
      <c r="O155" s="72">
        <f t="shared" si="168"/>
        <v>518.6078412946656</v>
      </c>
      <c r="P155" s="203">
        <f t="shared" si="169"/>
        <v>2074.4313651786624</v>
      </c>
      <c r="Q155" s="272">
        <f t="shared" si="160"/>
        <v>2074.4313651786624</v>
      </c>
      <c r="R155" s="439">
        <f t="shared" si="170"/>
        <v>0</v>
      </c>
      <c r="S155" s="18"/>
      <c r="T155" s="67">
        <f>260/1.05</f>
        <v>247.61904761904762</v>
      </c>
      <c r="U155" s="18"/>
      <c r="V155" s="273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</row>
    <row r="156" spans="1:39" s="1" customFormat="1" x14ac:dyDescent="0.25">
      <c r="A156" s="238"/>
      <c r="B156" s="317"/>
      <c r="C156" s="318">
        <v>4</v>
      </c>
      <c r="D156" s="83" t="s">
        <v>136</v>
      </c>
      <c r="E156" s="242">
        <v>18</v>
      </c>
      <c r="F156" s="242">
        <v>18</v>
      </c>
      <c r="G156" s="73" t="s">
        <v>283</v>
      </c>
      <c r="H156" s="67">
        <f>1980/1.05</f>
        <v>1885.7142857142856</v>
      </c>
      <c r="I156" s="67">
        <f>F156*H156</f>
        <v>33942.857142857138</v>
      </c>
      <c r="J156" s="67">
        <v>210</v>
      </c>
      <c r="K156" s="67">
        <f t="shared" si="166"/>
        <v>3780</v>
      </c>
      <c r="L156" s="72">
        <f t="shared" si="167"/>
        <v>37722.857142857138</v>
      </c>
      <c r="M156" s="67">
        <f>H156/$P$255*$P$263</f>
        <v>2589.7692957463755</v>
      </c>
      <c r="N156" s="67">
        <f>J156/$P$255*$P$263</f>
        <v>288.40612611721002</v>
      </c>
      <c r="O156" s="72">
        <f t="shared" si="168"/>
        <v>2878.1754218635856</v>
      </c>
      <c r="P156" s="203">
        <f t="shared" si="169"/>
        <v>51807.157593544543</v>
      </c>
      <c r="Q156" s="272">
        <f t="shared" si="160"/>
        <v>51807.157593544536</v>
      </c>
      <c r="R156" s="439">
        <f t="shared" si="170"/>
        <v>0</v>
      </c>
      <c r="S156" s="18"/>
      <c r="T156" s="67">
        <f>1980/1.05</f>
        <v>1885.7142857142856</v>
      </c>
      <c r="U156" s="18"/>
      <c r="V156" s="273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</row>
    <row r="157" spans="1:39" s="1" customFormat="1" x14ac:dyDescent="0.25">
      <c r="A157" s="238"/>
      <c r="B157" s="319"/>
      <c r="C157" s="318"/>
      <c r="D157" s="83" t="s">
        <v>137</v>
      </c>
      <c r="E157" s="242"/>
      <c r="F157" s="24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>
        <f t="shared" si="160"/>
        <v>0</v>
      </c>
      <c r="R157" s="439"/>
      <c r="S157" s="18"/>
      <c r="T157" s="74"/>
      <c r="U157" s="18"/>
      <c r="V157" s="273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</row>
    <row r="158" spans="1:39" s="1" customFormat="1" x14ac:dyDescent="0.25">
      <c r="A158" s="238"/>
      <c r="B158" s="317"/>
      <c r="C158" s="318">
        <v>5</v>
      </c>
      <c r="D158" s="83" t="s">
        <v>138</v>
      </c>
      <c r="E158" s="242">
        <v>3</v>
      </c>
      <c r="F158" s="242">
        <v>3</v>
      </c>
      <c r="G158" s="73" t="s">
        <v>283</v>
      </c>
      <c r="H158" s="67">
        <f>1620/1.05</f>
        <v>1542.8571428571429</v>
      </c>
      <c r="I158" s="67">
        <f>F158*H158</f>
        <v>4628.5714285714284</v>
      </c>
      <c r="J158" s="67">
        <v>210</v>
      </c>
      <c r="K158" s="67">
        <f t="shared" ref="K158:K159" si="171">F158*J158</f>
        <v>630</v>
      </c>
      <c r="L158" s="72">
        <f t="shared" ref="L158:L159" si="172">I158+K158</f>
        <v>5258.5714285714284</v>
      </c>
      <c r="M158" s="67">
        <f>H158/$P$255*$P$263</f>
        <v>2118.9021510652165</v>
      </c>
      <c r="N158" s="67">
        <f>J158/$P$255*$P$263</f>
        <v>288.40612611721002</v>
      </c>
      <c r="O158" s="72">
        <f t="shared" ref="O158:O159" si="173">N158+M158</f>
        <v>2407.3082771824265</v>
      </c>
      <c r="P158" s="203">
        <f t="shared" ref="P158:P159" si="174">O158*F158</f>
        <v>7221.9248315472796</v>
      </c>
      <c r="Q158" s="272">
        <f t="shared" si="160"/>
        <v>7221.9248315472796</v>
      </c>
      <c r="R158" s="439">
        <f t="shared" si="170"/>
        <v>0</v>
      </c>
      <c r="S158" s="18"/>
      <c r="T158" s="67">
        <f>1620/1.05</f>
        <v>1542.8571428571429</v>
      </c>
      <c r="U158" s="18"/>
      <c r="V158" s="273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</row>
    <row r="159" spans="1:39" s="1" customFormat="1" x14ac:dyDescent="0.25">
      <c r="A159" s="238"/>
      <c r="B159" s="290"/>
      <c r="C159" s="318">
        <v>6</v>
      </c>
      <c r="D159" s="83" t="s">
        <v>139</v>
      </c>
      <c r="E159" s="242">
        <v>44</v>
      </c>
      <c r="F159" s="242">
        <v>44</v>
      </c>
      <c r="G159" s="73" t="s">
        <v>283</v>
      </c>
      <c r="H159" s="74">
        <f>3500/1.05</f>
        <v>3333.333333333333</v>
      </c>
      <c r="I159" s="67">
        <f>F159*H159</f>
        <v>146666.66666666666</v>
      </c>
      <c r="J159" s="67">
        <v>210</v>
      </c>
      <c r="K159" s="67">
        <f t="shared" si="171"/>
        <v>9240</v>
      </c>
      <c r="L159" s="72">
        <f t="shared" si="172"/>
        <v>155906.66666666666</v>
      </c>
      <c r="M159" s="67">
        <f>H159/$P$255*$P$263</f>
        <v>4577.8750177334923</v>
      </c>
      <c r="N159" s="67">
        <f>J159/$P$255*$P$263</f>
        <v>288.40612611721002</v>
      </c>
      <c r="O159" s="72">
        <f t="shared" si="173"/>
        <v>4866.2811438507024</v>
      </c>
      <c r="P159" s="203">
        <f t="shared" si="174"/>
        <v>214116.37032943091</v>
      </c>
      <c r="Q159" s="272">
        <f t="shared" si="160"/>
        <v>214116.37032943091</v>
      </c>
      <c r="R159" s="439">
        <f t="shared" si="170"/>
        <v>0</v>
      </c>
      <c r="S159" s="18"/>
      <c r="T159" s="74">
        <f>3500/1.05</f>
        <v>3333.333333333333</v>
      </c>
    </row>
    <row r="160" spans="1:39" s="1" customFormat="1" x14ac:dyDescent="0.25">
      <c r="A160" s="238"/>
      <c r="B160" s="317"/>
      <c r="C160" s="318"/>
      <c r="D160" s="83" t="s">
        <v>140</v>
      </c>
      <c r="E160" s="242"/>
      <c r="F160" s="242"/>
      <c r="G160" s="68"/>
      <c r="H160" s="67"/>
      <c r="I160" s="67"/>
      <c r="J160" s="67"/>
      <c r="K160" s="67"/>
      <c r="L160" s="72"/>
      <c r="M160" s="67"/>
      <c r="N160" s="67"/>
      <c r="O160" s="72"/>
      <c r="P160" s="203"/>
      <c r="Q160" s="272">
        <f t="shared" si="160"/>
        <v>0</v>
      </c>
      <c r="R160" s="439"/>
      <c r="S160" s="18"/>
      <c r="T160" s="67"/>
    </row>
    <row r="161" spans="1:38" s="1" customFormat="1" x14ac:dyDescent="0.25">
      <c r="A161" s="238"/>
      <c r="B161" s="317"/>
      <c r="C161" s="318">
        <v>7</v>
      </c>
      <c r="D161" s="83" t="s">
        <v>412</v>
      </c>
      <c r="E161" s="242">
        <v>25</v>
      </c>
      <c r="F161" s="302">
        <v>25</v>
      </c>
      <c r="G161" s="73" t="s">
        <v>283</v>
      </c>
      <c r="H161" s="67">
        <f>3100/1.05</f>
        <v>2952.3809523809523</v>
      </c>
      <c r="I161" s="67">
        <f>F161*H161</f>
        <v>73809.523809523802</v>
      </c>
      <c r="J161" s="67">
        <v>210</v>
      </c>
      <c r="K161" s="67">
        <f t="shared" ref="K161:K174" si="175">F161*J161</f>
        <v>5250</v>
      </c>
      <c r="L161" s="72">
        <f t="shared" ref="L161:L174" si="176">I161+K161</f>
        <v>79059.523809523802</v>
      </c>
      <c r="M161" s="67">
        <f>H161/$P$255*$P$263</f>
        <v>4054.6893014210932</v>
      </c>
      <c r="N161" s="67">
        <f>J161/$P$255*$P$263</f>
        <v>288.40612611721002</v>
      </c>
      <c r="O161" s="72">
        <f t="shared" ref="O161:O174" si="177">N161+M161</f>
        <v>4343.0954275383028</v>
      </c>
      <c r="P161" s="203">
        <f t="shared" ref="P161:P174" si="178">O161*F161</f>
        <v>108577.38568845757</v>
      </c>
      <c r="Q161" s="272">
        <f t="shared" si="160"/>
        <v>108577.38568845758</v>
      </c>
      <c r="R161" s="439">
        <f t="shared" ref="R161:R174" si="179">P161-Q161</f>
        <v>0</v>
      </c>
      <c r="S161" s="18"/>
      <c r="T161" s="67">
        <f>3100/1.05</f>
        <v>2952.3809523809523</v>
      </c>
    </row>
    <row r="162" spans="1:38" s="1" customFormat="1" x14ac:dyDescent="0.25">
      <c r="A162" s="238"/>
      <c r="B162" s="317"/>
      <c r="C162" s="318">
        <v>8</v>
      </c>
      <c r="D162" s="83" t="s">
        <v>286</v>
      </c>
      <c r="E162" s="242">
        <v>4</v>
      </c>
      <c r="F162" s="302">
        <v>4</v>
      </c>
      <c r="G162" s="73" t="s">
        <v>283</v>
      </c>
      <c r="H162" s="67">
        <f>2400/1.05</f>
        <v>2285.7142857142858</v>
      </c>
      <c r="I162" s="67">
        <f>F162*H162</f>
        <v>9142.8571428571431</v>
      </c>
      <c r="J162" s="67">
        <v>210</v>
      </c>
      <c r="K162" s="67">
        <f t="shared" si="175"/>
        <v>840</v>
      </c>
      <c r="L162" s="72">
        <f t="shared" si="176"/>
        <v>9982.8571428571431</v>
      </c>
      <c r="M162" s="67">
        <f>H162/$P$255*$P$263</f>
        <v>3139.1142978743951</v>
      </c>
      <c r="N162" s="67">
        <f>J162/$P$255*$P$263</f>
        <v>288.40612611721002</v>
      </c>
      <c r="O162" s="72">
        <f t="shared" si="177"/>
        <v>3427.5204239916052</v>
      </c>
      <c r="P162" s="203">
        <f t="shared" si="178"/>
        <v>13710.081695966421</v>
      </c>
      <c r="Q162" s="272">
        <f t="shared" si="160"/>
        <v>13710.081695966421</v>
      </c>
      <c r="R162" s="439">
        <f t="shared" si="179"/>
        <v>0</v>
      </c>
      <c r="S162" s="18"/>
      <c r="T162" s="67">
        <f>2400/1.05</f>
        <v>2285.7142857142858</v>
      </c>
    </row>
    <row r="163" spans="1:38" s="1" customFormat="1" x14ac:dyDescent="0.25">
      <c r="A163" s="238"/>
      <c r="B163" s="317"/>
      <c r="C163" s="318"/>
      <c r="D163" s="83"/>
      <c r="E163" s="242"/>
      <c r="F163" s="302"/>
      <c r="G163" s="73"/>
      <c r="H163" s="67"/>
      <c r="I163" s="67"/>
      <c r="J163" s="67"/>
      <c r="K163" s="67"/>
      <c r="L163" s="72"/>
      <c r="M163" s="67"/>
      <c r="N163" s="67"/>
      <c r="O163" s="72"/>
      <c r="P163" s="203"/>
      <c r="Q163" s="272">
        <f t="shared" si="160"/>
        <v>0</v>
      </c>
      <c r="R163" s="439"/>
      <c r="S163" s="18"/>
    </row>
    <row r="164" spans="1:38" s="1" customFormat="1" x14ac:dyDescent="0.25">
      <c r="A164" s="238"/>
      <c r="B164" s="290" t="s">
        <v>320</v>
      </c>
      <c r="C164" s="291" t="s">
        <v>420</v>
      </c>
      <c r="D164" s="316"/>
      <c r="E164" s="244"/>
      <c r="F164" s="302"/>
      <c r="G164" s="75"/>
      <c r="H164" s="440">
        <v>0.87</v>
      </c>
      <c r="I164" s="74"/>
      <c r="J164" s="440">
        <v>0.85</v>
      </c>
      <c r="K164" s="74"/>
      <c r="L164" s="74"/>
      <c r="M164" s="72"/>
      <c r="N164" s="72"/>
      <c r="O164" s="72"/>
      <c r="P164" s="205"/>
      <c r="Q164" s="272">
        <f t="shared" si="160"/>
        <v>0</v>
      </c>
      <c r="R164" s="439"/>
      <c r="S164" s="18"/>
    </row>
    <row r="165" spans="1:38" s="1" customFormat="1" x14ac:dyDescent="0.25">
      <c r="A165" s="238"/>
      <c r="B165" s="317"/>
      <c r="C165" s="318">
        <v>1</v>
      </c>
      <c r="D165" s="83" t="s">
        <v>421</v>
      </c>
      <c r="E165" s="539">
        <v>2284</v>
      </c>
      <c r="F165" s="242">
        <v>2450</v>
      </c>
      <c r="G165" s="73" t="s">
        <v>100</v>
      </c>
      <c r="H165" s="67">
        <f>T165/$H$164</f>
        <v>17.241379310344829</v>
      </c>
      <c r="I165" s="67">
        <f>F165*H165</f>
        <v>42241.379310344833</v>
      </c>
      <c r="J165" s="67">
        <f>W165/$J$164</f>
        <v>5.882352941176471</v>
      </c>
      <c r="K165" s="67">
        <f t="shared" si="175"/>
        <v>14411.764705882353</v>
      </c>
      <c r="L165" s="72">
        <f t="shared" si="176"/>
        <v>56653.14401622719</v>
      </c>
      <c r="M165" s="67">
        <f t="shared" ref="M165:M174" si="180">H165/$P$255*$P$263</f>
        <v>23.678663884828413</v>
      </c>
      <c r="N165" s="67">
        <f t="shared" ref="N165:N174" si="181">J165/$P$255*$P$263</f>
        <v>8.0786029724708701</v>
      </c>
      <c r="O165" s="72">
        <f t="shared" si="177"/>
        <v>31.757266857299285</v>
      </c>
      <c r="P165" s="203">
        <f t="shared" si="178"/>
        <v>77805.303800383248</v>
      </c>
      <c r="Q165" s="272">
        <f t="shared" si="160"/>
        <v>77805.303800383248</v>
      </c>
      <c r="R165" s="439">
        <f t="shared" si="179"/>
        <v>0</v>
      </c>
      <c r="S165" s="18"/>
      <c r="T165" s="67">
        <v>15</v>
      </c>
      <c r="U165" s="18"/>
      <c r="V165" s="273"/>
      <c r="W165" s="67">
        <v>5</v>
      </c>
      <c r="X165" s="224"/>
      <c r="Y165" s="224"/>
      <c r="Z165" s="224"/>
      <c r="AA165" s="224"/>
      <c r="AB165" s="224"/>
      <c r="AC165" s="224"/>
      <c r="AD165" s="224"/>
      <c r="AE165" s="224"/>
      <c r="AF165" s="224"/>
    </row>
    <row r="166" spans="1:38" s="1" customFormat="1" x14ac:dyDescent="0.25">
      <c r="A166" s="238"/>
      <c r="B166" s="317"/>
      <c r="C166" s="318">
        <v>2</v>
      </c>
      <c r="D166" s="83" t="s">
        <v>422</v>
      </c>
      <c r="E166" s="539">
        <v>6464</v>
      </c>
      <c r="F166" s="242">
        <v>6880</v>
      </c>
      <c r="G166" s="73" t="s">
        <v>100</v>
      </c>
      <c r="H166" s="67">
        <f>T166/$H$164</f>
        <v>25.287356321839081</v>
      </c>
      <c r="I166" s="67">
        <f t="shared" ref="I166:I174" si="182">F166*H166</f>
        <v>173977.01149425289</v>
      </c>
      <c r="J166" s="67">
        <f t="shared" ref="J166:J174" si="183">W166/$J$164</f>
        <v>8.2352941176470598</v>
      </c>
      <c r="K166" s="67">
        <f t="shared" si="175"/>
        <v>56658.823529411769</v>
      </c>
      <c r="L166" s="72">
        <f t="shared" si="176"/>
        <v>230635.83502366467</v>
      </c>
      <c r="M166" s="67">
        <f t="shared" si="180"/>
        <v>34.728707031081669</v>
      </c>
      <c r="N166" s="67">
        <f t="shared" si="181"/>
        <v>11.310044161459219</v>
      </c>
      <c r="O166" s="72">
        <f t="shared" si="177"/>
        <v>46.038751192540886</v>
      </c>
      <c r="P166" s="203">
        <f t="shared" si="178"/>
        <v>316746.60820468131</v>
      </c>
      <c r="Q166" s="272">
        <f t="shared" si="160"/>
        <v>316746.60820468131</v>
      </c>
      <c r="R166" s="439">
        <f t="shared" si="179"/>
        <v>0</v>
      </c>
      <c r="S166" s="18"/>
      <c r="T166" s="67">
        <v>22</v>
      </c>
      <c r="U166" s="18"/>
      <c r="V166" s="273"/>
      <c r="W166" s="67">
        <v>7</v>
      </c>
      <c r="X166" s="224"/>
      <c r="Y166" s="224"/>
      <c r="Z166" s="224"/>
      <c r="AA166" s="224"/>
      <c r="AB166" s="224"/>
      <c r="AC166" s="224"/>
      <c r="AD166" s="224"/>
      <c r="AE166" s="224"/>
      <c r="AF166" s="224"/>
    </row>
    <row r="167" spans="1:38" s="1" customFormat="1" x14ac:dyDescent="0.25">
      <c r="A167" s="238"/>
      <c r="B167" s="317"/>
      <c r="C167" s="318">
        <v>3</v>
      </c>
      <c r="D167" s="83" t="s">
        <v>423</v>
      </c>
      <c r="E167" s="539">
        <v>1087</v>
      </c>
      <c r="F167" s="242">
        <v>1215</v>
      </c>
      <c r="G167" s="73" t="s">
        <v>100</v>
      </c>
      <c r="H167" s="67">
        <f t="shared" ref="H167:H174" si="184">T167/$H$164</f>
        <v>37.931034482758619</v>
      </c>
      <c r="I167" s="67">
        <f t="shared" si="182"/>
        <v>46086.206896551725</v>
      </c>
      <c r="J167" s="67">
        <f t="shared" si="183"/>
        <v>18.823529411764707</v>
      </c>
      <c r="K167" s="67">
        <f t="shared" si="175"/>
        <v>22870.588235294119</v>
      </c>
      <c r="L167" s="72">
        <f t="shared" si="176"/>
        <v>68956.795131845836</v>
      </c>
      <c r="M167" s="67">
        <f t="shared" si="180"/>
        <v>52.093060546622503</v>
      </c>
      <c r="N167" s="67">
        <f t="shared" si="181"/>
        <v>25.851529511906783</v>
      </c>
      <c r="O167" s="72">
        <f t="shared" si="177"/>
        <v>77.944590058529286</v>
      </c>
      <c r="P167" s="203">
        <f t="shared" si="178"/>
        <v>94702.676921113089</v>
      </c>
      <c r="Q167" s="272">
        <f t="shared" si="160"/>
        <v>94702.676921113074</v>
      </c>
      <c r="R167" s="439">
        <f t="shared" si="179"/>
        <v>0</v>
      </c>
      <c r="S167" s="18"/>
      <c r="T167" s="67">
        <v>33</v>
      </c>
      <c r="U167" s="18"/>
      <c r="V167" s="273"/>
      <c r="W167" s="67">
        <v>16</v>
      </c>
      <c r="X167" s="224"/>
      <c r="Y167" s="224"/>
      <c r="Z167" s="224"/>
      <c r="AA167" s="224"/>
      <c r="AB167" s="224"/>
      <c r="AC167" s="224"/>
      <c r="AD167" s="224"/>
      <c r="AE167" s="224"/>
      <c r="AF167" s="224"/>
    </row>
    <row r="168" spans="1:38" s="1" customFormat="1" x14ac:dyDescent="0.25">
      <c r="A168" s="238"/>
      <c r="B168" s="317"/>
      <c r="C168" s="318">
        <v>4</v>
      </c>
      <c r="D168" s="83" t="s">
        <v>430</v>
      </c>
      <c r="E168" s="539">
        <v>1771</v>
      </c>
      <c r="F168" s="242">
        <v>1880</v>
      </c>
      <c r="G168" s="73" t="s">
        <v>100</v>
      </c>
      <c r="H168" s="67">
        <f t="shared" si="184"/>
        <v>60.919540229885058</v>
      </c>
      <c r="I168" s="67">
        <f t="shared" si="182"/>
        <v>114528.7356321839</v>
      </c>
      <c r="J168" s="67">
        <f t="shared" si="183"/>
        <v>18.823529411764707</v>
      </c>
      <c r="K168" s="67">
        <f t="shared" si="175"/>
        <v>35388.23529411765</v>
      </c>
      <c r="L168" s="72">
        <f t="shared" si="176"/>
        <v>149916.97092630155</v>
      </c>
      <c r="M168" s="67">
        <f t="shared" si="180"/>
        <v>83.664612393060381</v>
      </c>
      <c r="N168" s="67">
        <f t="shared" si="181"/>
        <v>25.851529511906783</v>
      </c>
      <c r="O168" s="72">
        <f t="shared" si="177"/>
        <v>109.51614190496716</v>
      </c>
      <c r="P168" s="203">
        <f t="shared" si="178"/>
        <v>205890.34678133824</v>
      </c>
      <c r="Q168" s="272">
        <f t="shared" si="160"/>
        <v>205890.34678133827</v>
      </c>
      <c r="R168" s="439">
        <f t="shared" si="179"/>
        <v>0</v>
      </c>
      <c r="S168" s="18"/>
      <c r="T168" s="67">
        <v>53</v>
      </c>
      <c r="U168" s="18"/>
      <c r="V168" s="273"/>
      <c r="W168" s="67">
        <v>16</v>
      </c>
      <c r="X168" s="224"/>
      <c r="Y168" s="224"/>
      <c r="Z168" s="224"/>
      <c r="AA168" s="224"/>
      <c r="AB168" s="224"/>
      <c r="AC168" s="224"/>
      <c r="AD168" s="224"/>
      <c r="AE168" s="224"/>
      <c r="AF168" s="224"/>
    </row>
    <row r="169" spans="1:38" s="1" customFormat="1" x14ac:dyDescent="0.25">
      <c r="A169" s="238"/>
      <c r="B169" s="317"/>
      <c r="C169" s="318">
        <v>5</v>
      </c>
      <c r="D169" s="83" t="s">
        <v>424</v>
      </c>
      <c r="E169" s="242">
        <v>21</v>
      </c>
      <c r="F169" s="242">
        <v>23</v>
      </c>
      <c r="G169" s="73" t="s">
        <v>100</v>
      </c>
      <c r="H169" s="67">
        <f t="shared" si="184"/>
        <v>95.402298850574709</v>
      </c>
      <c r="I169" s="67">
        <f t="shared" si="182"/>
        <v>2194.2528735632181</v>
      </c>
      <c r="J169" s="67">
        <f t="shared" si="183"/>
        <v>29.411764705882355</v>
      </c>
      <c r="K169" s="67">
        <f t="shared" si="175"/>
        <v>676.47058823529414</v>
      </c>
      <c r="L169" s="72">
        <f t="shared" si="176"/>
        <v>2870.7234617985123</v>
      </c>
      <c r="M169" s="67">
        <f t="shared" si="180"/>
        <v>131.02194016271721</v>
      </c>
      <c r="N169" s="67">
        <f t="shared" si="181"/>
        <v>40.393014862354349</v>
      </c>
      <c r="O169" s="72">
        <f t="shared" si="177"/>
        <v>171.41495502507155</v>
      </c>
      <c r="P169" s="203">
        <f t="shared" si="178"/>
        <v>3942.5439655766459</v>
      </c>
      <c r="Q169" s="272">
        <f t="shared" si="160"/>
        <v>3942.5439655766454</v>
      </c>
      <c r="R169" s="439">
        <f t="shared" si="179"/>
        <v>0</v>
      </c>
      <c r="S169" s="18"/>
      <c r="T169" s="67">
        <v>83</v>
      </c>
      <c r="U169" s="18"/>
      <c r="V169" s="273"/>
      <c r="W169" s="67">
        <v>25</v>
      </c>
    </row>
    <row r="170" spans="1:38" s="1" customFormat="1" x14ac:dyDescent="0.25">
      <c r="A170" s="238"/>
      <c r="B170" s="319"/>
      <c r="C170" s="318">
        <v>6</v>
      </c>
      <c r="D170" s="83" t="s">
        <v>425</v>
      </c>
      <c r="E170" s="242">
        <v>24</v>
      </c>
      <c r="F170" s="242">
        <v>27</v>
      </c>
      <c r="G170" s="73" t="s">
        <v>100</v>
      </c>
      <c r="H170" s="67">
        <f t="shared" si="184"/>
        <v>149.42528735632183</v>
      </c>
      <c r="I170" s="67">
        <f t="shared" si="182"/>
        <v>4034.4827586206893</v>
      </c>
      <c r="J170" s="67">
        <f t="shared" si="183"/>
        <v>45.882352941176471</v>
      </c>
      <c r="K170" s="67">
        <f t="shared" si="175"/>
        <v>1238.8235294117646</v>
      </c>
      <c r="L170" s="72">
        <f t="shared" si="176"/>
        <v>5273.3062880324542</v>
      </c>
      <c r="M170" s="67">
        <f t="shared" si="180"/>
        <v>205.2150870018462</v>
      </c>
      <c r="N170" s="67">
        <f t="shared" si="181"/>
        <v>63.013103185272776</v>
      </c>
      <c r="O170" s="72">
        <f t="shared" si="177"/>
        <v>268.22819018711897</v>
      </c>
      <c r="P170" s="203">
        <f t="shared" si="178"/>
        <v>7242.1611350522126</v>
      </c>
      <c r="Q170" s="272">
        <f t="shared" si="160"/>
        <v>7242.1611350522126</v>
      </c>
      <c r="R170" s="439">
        <f t="shared" si="179"/>
        <v>0</v>
      </c>
      <c r="S170" s="18"/>
      <c r="T170" s="67">
        <v>130</v>
      </c>
      <c r="U170" s="18"/>
      <c r="V170" s="273"/>
      <c r="W170" s="67">
        <v>39</v>
      </c>
      <c r="X170" s="224"/>
      <c r="Y170" s="224"/>
      <c r="Z170" s="224"/>
      <c r="AA170" s="224"/>
      <c r="AB170" s="224"/>
      <c r="AC170" s="224"/>
      <c r="AD170" s="224"/>
      <c r="AE170" s="224"/>
      <c r="AF170" s="224"/>
    </row>
    <row r="171" spans="1:38" s="1" customFormat="1" x14ac:dyDescent="0.25">
      <c r="A171" s="238"/>
      <c r="B171" s="317"/>
      <c r="C171" s="318">
        <v>7</v>
      </c>
      <c r="D171" s="83" t="s">
        <v>426</v>
      </c>
      <c r="E171" s="242">
        <v>9</v>
      </c>
      <c r="F171" s="242">
        <v>11</v>
      </c>
      <c r="G171" s="73" t="s">
        <v>100</v>
      </c>
      <c r="H171" s="67">
        <f t="shared" si="184"/>
        <v>218.39080459770116</v>
      </c>
      <c r="I171" s="67">
        <f t="shared" si="182"/>
        <v>2402.2988505747126</v>
      </c>
      <c r="J171" s="67">
        <f t="shared" si="183"/>
        <v>67.058823529411768</v>
      </c>
      <c r="K171" s="67">
        <f t="shared" si="175"/>
        <v>737.64705882352951</v>
      </c>
      <c r="L171" s="72">
        <f t="shared" si="176"/>
        <v>3139.9459093982423</v>
      </c>
      <c r="M171" s="67">
        <f t="shared" si="180"/>
        <v>299.9297425411599</v>
      </c>
      <c r="N171" s="67">
        <f t="shared" si="181"/>
        <v>92.096073886167915</v>
      </c>
      <c r="O171" s="72">
        <f t="shared" si="177"/>
        <v>392.02581642732781</v>
      </c>
      <c r="P171" s="203">
        <f t="shared" si="178"/>
        <v>4312.2839807006058</v>
      </c>
      <c r="Q171" s="272">
        <f t="shared" si="160"/>
        <v>4312.2839807006058</v>
      </c>
      <c r="R171" s="439">
        <f t="shared" si="179"/>
        <v>0</v>
      </c>
      <c r="S171" s="18"/>
      <c r="T171" s="67">
        <v>190</v>
      </c>
      <c r="U171" s="18"/>
      <c r="V171" s="273"/>
      <c r="W171" s="67">
        <v>57</v>
      </c>
      <c r="X171" s="224"/>
      <c r="Y171" s="224"/>
      <c r="Z171" s="224"/>
      <c r="AA171" s="224"/>
      <c r="AB171" s="224"/>
      <c r="AC171" s="224"/>
      <c r="AD171" s="224"/>
      <c r="AE171" s="224"/>
      <c r="AF171" s="224"/>
    </row>
    <row r="172" spans="1:38" s="1" customFormat="1" x14ac:dyDescent="0.25">
      <c r="A172" s="238"/>
      <c r="B172" s="317"/>
      <c r="C172" s="318">
        <v>8</v>
      </c>
      <c r="D172" s="83" t="s">
        <v>427</v>
      </c>
      <c r="E172" s="539">
        <v>34</v>
      </c>
      <c r="F172" s="242">
        <v>47</v>
      </c>
      <c r="G172" s="73" t="s">
        <v>100</v>
      </c>
      <c r="H172" s="67">
        <f t="shared" si="184"/>
        <v>356.32183908045977</v>
      </c>
      <c r="I172" s="67">
        <f t="shared" si="182"/>
        <v>16747.126436781607</v>
      </c>
      <c r="J172" s="67">
        <f t="shared" si="183"/>
        <v>109.41176470588236</v>
      </c>
      <c r="K172" s="67">
        <f t="shared" si="175"/>
        <v>5142.3529411764712</v>
      </c>
      <c r="L172" s="72">
        <f t="shared" si="176"/>
        <v>21889.47937795808</v>
      </c>
      <c r="M172" s="67">
        <f t="shared" si="180"/>
        <v>489.35905361978712</v>
      </c>
      <c r="N172" s="67">
        <f t="shared" si="181"/>
        <v>150.26201528795818</v>
      </c>
      <c r="O172" s="72">
        <f t="shared" si="177"/>
        <v>639.62106890774533</v>
      </c>
      <c r="P172" s="203">
        <f t="shared" si="178"/>
        <v>30062.190238664029</v>
      </c>
      <c r="Q172" s="272">
        <f t="shared" si="160"/>
        <v>30062.190238664032</v>
      </c>
      <c r="R172" s="439">
        <f t="shared" si="179"/>
        <v>0</v>
      </c>
      <c r="S172" s="18"/>
      <c r="T172" s="67">
        <v>310</v>
      </c>
      <c r="U172" s="18"/>
      <c r="V172" s="273"/>
      <c r="W172" s="67">
        <v>93</v>
      </c>
    </row>
    <row r="173" spans="1:38" s="1" customFormat="1" x14ac:dyDescent="0.25">
      <c r="A173" s="238"/>
      <c r="B173" s="317"/>
      <c r="C173" s="318">
        <v>9</v>
      </c>
      <c r="D173" s="83" t="s">
        <v>428</v>
      </c>
      <c r="E173" s="539">
        <v>27</v>
      </c>
      <c r="F173" s="242">
        <v>37</v>
      </c>
      <c r="G173" s="73" t="s">
        <v>100</v>
      </c>
      <c r="H173" s="67">
        <f t="shared" si="184"/>
        <v>1018.3908045977012</v>
      </c>
      <c r="I173" s="67">
        <f t="shared" si="182"/>
        <v>37680.45977011494</v>
      </c>
      <c r="J173" s="67">
        <f t="shared" si="183"/>
        <v>311.76470588235293</v>
      </c>
      <c r="K173" s="67">
        <f t="shared" si="175"/>
        <v>11535.294117647058</v>
      </c>
      <c r="L173" s="72">
        <f t="shared" si="176"/>
        <v>49215.753887761995</v>
      </c>
      <c r="M173" s="67">
        <f t="shared" si="180"/>
        <v>1398.6197467971981</v>
      </c>
      <c r="N173" s="67">
        <f t="shared" si="181"/>
        <v>428.16595754095607</v>
      </c>
      <c r="O173" s="72">
        <f t="shared" si="177"/>
        <v>1826.7857043381541</v>
      </c>
      <c r="P173" s="203">
        <f t="shared" si="178"/>
        <v>67591.071060511706</v>
      </c>
      <c r="Q173" s="272">
        <f t="shared" si="160"/>
        <v>67591.071060511706</v>
      </c>
      <c r="R173" s="439">
        <f t="shared" si="179"/>
        <v>0</v>
      </c>
      <c r="S173" s="18"/>
      <c r="T173" s="67">
        <v>886</v>
      </c>
      <c r="U173" s="18"/>
      <c r="V173" s="273"/>
      <c r="W173" s="67">
        <v>265</v>
      </c>
    </row>
    <row r="174" spans="1:38" s="1" customFormat="1" x14ac:dyDescent="0.25">
      <c r="A174" s="238"/>
      <c r="B174" s="317"/>
      <c r="C174" s="318">
        <v>10</v>
      </c>
      <c r="D174" s="83" t="s">
        <v>429</v>
      </c>
      <c r="E174" s="539">
        <v>102</v>
      </c>
      <c r="F174" s="242">
        <v>125</v>
      </c>
      <c r="G174" s="73" t="s">
        <v>100</v>
      </c>
      <c r="H174" s="67">
        <f t="shared" si="184"/>
        <v>1650.5747126436781</v>
      </c>
      <c r="I174" s="67">
        <f t="shared" si="182"/>
        <v>206321.83908045976</v>
      </c>
      <c r="J174" s="67">
        <f t="shared" si="183"/>
        <v>505.88235294117646</v>
      </c>
      <c r="K174" s="67">
        <f t="shared" si="175"/>
        <v>63235.294117647056</v>
      </c>
      <c r="L174" s="72">
        <f t="shared" si="176"/>
        <v>269557.13319810684</v>
      </c>
      <c r="M174" s="67">
        <f t="shared" si="180"/>
        <v>2266.8374225742396</v>
      </c>
      <c r="N174" s="67">
        <f t="shared" si="181"/>
        <v>694.7598556324948</v>
      </c>
      <c r="O174" s="72">
        <f t="shared" si="177"/>
        <v>2961.5972782067342</v>
      </c>
      <c r="P174" s="203">
        <f t="shared" si="178"/>
        <v>370199.65977584181</v>
      </c>
      <c r="Q174" s="272">
        <f t="shared" si="160"/>
        <v>370199.65977584181</v>
      </c>
      <c r="R174" s="439">
        <f t="shared" si="179"/>
        <v>0</v>
      </c>
      <c r="S174" s="18"/>
      <c r="T174" s="67">
        <v>1436</v>
      </c>
      <c r="U174" s="18"/>
      <c r="V174" s="273"/>
      <c r="W174" s="67">
        <v>430</v>
      </c>
    </row>
    <row r="175" spans="1:38" s="1" customFormat="1" x14ac:dyDescent="0.25">
      <c r="A175" s="238"/>
      <c r="B175" s="317"/>
      <c r="C175" s="318"/>
      <c r="D175" s="83"/>
      <c r="E175" s="242"/>
      <c r="F175" s="242"/>
      <c r="G175" s="73"/>
      <c r="H175" s="67"/>
      <c r="I175" s="67"/>
      <c r="J175" s="67"/>
      <c r="K175" s="67"/>
      <c r="L175" s="72"/>
      <c r="M175" s="67"/>
      <c r="N175" s="67"/>
      <c r="O175" s="72"/>
      <c r="P175" s="203"/>
      <c r="Q175" s="272">
        <f t="shared" si="160"/>
        <v>0</v>
      </c>
      <c r="R175" s="439"/>
      <c r="S175" s="18"/>
      <c r="T175" s="67"/>
      <c r="U175" s="18"/>
      <c r="V175" s="273"/>
      <c r="W175" s="67"/>
      <c r="X175" s="496"/>
      <c r="Y175" s="496"/>
      <c r="Z175" s="496"/>
      <c r="AA175" s="496"/>
      <c r="AB175" s="496"/>
      <c r="AC175" s="496"/>
      <c r="AD175" s="496"/>
      <c r="AE175" s="496"/>
      <c r="AF175" s="384"/>
      <c r="AG175" s="385"/>
      <c r="AH175" s="385"/>
      <c r="AI175" s="385"/>
      <c r="AJ175" s="385"/>
      <c r="AK175" s="385"/>
      <c r="AL175" s="385"/>
    </row>
    <row r="176" spans="1:38" s="1" customFormat="1" x14ac:dyDescent="0.25">
      <c r="A176" s="238"/>
      <c r="B176" s="290" t="s">
        <v>321</v>
      </c>
      <c r="C176" s="291" t="s">
        <v>431</v>
      </c>
      <c r="D176" s="316"/>
      <c r="E176" s="244"/>
      <c r="F176" s="302"/>
      <c r="G176" s="75"/>
      <c r="H176" s="74"/>
      <c r="I176" s="74"/>
      <c r="J176" s="74"/>
      <c r="K176" s="74"/>
      <c r="L176" s="74"/>
      <c r="M176" s="72"/>
      <c r="N176" s="72"/>
      <c r="O176" s="72"/>
      <c r="P176" s="205"/>
      <c r="Q176" s="272">
        <f t="shared" si="160"/>
        <v>0</v>
      </c>
      <c r="R176" s="439"/>
      <c r="S176" s="18"/>
      <c r="T176" s="74"/>
      <c r="W176" s="74"/>
    </row>
    <row r="177" spans="1:33" s="1" customFormat="1" x14ac:dyDescent="0.25">
      <c r="A177" s="238"/>
      <c r="B177" s="317"/>
      <c r="C177" s="318">
        <v>1</v>
      </c>
      <c r="D177" s="83" t="s">
        <v>432</v>
      </c>
      <c r="E177" s="242">
        <v>24</v>
      </c>
      <c r="F177" s="242">
        <v>24</v>
      </c>
      <c r="G177" s="73" t="s">
        <v>28</v>
      </c>
      <c r="H177" s="67">
        <f t="shared" ref="H177:H183" si="185">T177/$H$164</f>
        <v>108.04597701149426</v>
      </c>
      <c r="I177" s="67">
        <f>F177*H177</f>
        <v>2593.1034482758623</v>
      </c>
      <c r="J177" s="67">
        <f t="shared" ref="J177:J183" si="186">W177/$J$164</f>
        <v>44.705882352941181</v>
      </c>
      <c r="K177" s="67">
        <f t="shared" ref="K177:K183" si="187">F177*J177</f>
        <v>1072.9411764705883</v>
      </c>
      <c r="L177" s="72">
        <f t="shared" ref="L177:L183" si="188">I177+K177</f>
        <v>3666.0446247464506</v>
      </c>
      <c r="M177" s="67">
        <f t="shared" ref="M177:M183" si="189">H177/$P$255*$P$263</f>
        <v>148.38629367825803</v>
      </c>
      <c r="N177" s="67">
        <f t="shared" ref="N177:N183" si="190">J177/$P$255*$P$263</f>
        <v>61.397382590778612</v>
      </c>
      <c r="O177" s="72">
        <f t="shared" ref="O177:O183" si="191">N177+M177</f>
        <v>209.78367626903665</v>
      </c>
      <c r="P177" s="203">
        <f t="shared" ref="P177:P183" si="192">O177*F177</f>
        <v>5034.8082304568798</v>
      </c>
      <c r="Q177" s="272">
        <f t="shared" si="160"/>
        <v>5034.8082304568798</v>
      </c>
      <c r="R177" s="439">
        <f t="shared" ref="R177:R183" si="193">P177-Q177</f>
        <v>0</v>
      </c>
      <c r="S177" s="18"/>
      <c r="T177" s="67">
        <v>94</v>
      </c>
      <c r="U177" s="18"/>
      <c r="V177" s="273"/>
      <c r="W177" s="67">
        <v>38</v>
      </c>
      <c r="X177" s="224"/>
      <c r="Y177" s="224"/>
      <c r="Z177" s="224"/>
      <c r="AA177" s="224"/>
      <c r="AB177" s="224"/>
      <c r="AC177" s="224"/>
      <c r="AD177" s="224"/>
      <c r="AE177" s="224"/>
      <c r="AF177" s="224"/>
    </row>
    <row r="178" spans="1:33" s="1" customFormat="1" x14ac:dyDescent="0.25">
      <c r="A178" s="238"/>
      <c r="B178" s="317"/>
      <c r="C178" s="318">
        <v>2</v>
      </c>
      <c r="D178" s="83" t="s">
        <v>433</v>
      </c>
      <c r="E178" s="242">
        <v>6</v>
      </c>
      <c r="F178" s="242">
        <v>6</v>
      </c>
      <c r="G178" s="73" t="s">
        <v>28</v>
      </c>
      <c r="H178" s="67">
        <f t="shared" si="185"/>
        <v>163.2183908045977</v>
      </c>
      <c r="I178" s="67">
        <f t="shared" ref="I178:I180" si="194">F178*H178</f>
        <v>979.31034482758628</v>
      </c>
      <c r="J178" s="67">
        <f t="shared" si="186"/>
        <v>52.941176470588239</v>
      </c>
      <c r="K178" s="67">
        <f t="shared" si="187"/>
        <v>317.64705882352945</v>
      </c>
      <c r="L178" s="72">
        <f t="shared" si="188"/>
        <v>1296.9574036511158</v>
      </c>
      <c r="M178" s="67">
        <f t="shared" si="189"/>
        <v>224.15801810970893</v>
      </c>
      <c r="N178" s="67">
        <f t="shared" si="190"/>
        <v>72.707426752237836</v>
      </c>
      <c r="O178" s="72">
        <f t="shared" si="191"/>
        <v>296.8654448619468</v>
      </c>
      <c r="P178" s="203">
        <f t="shared" si="192"/>
        <v>1781.1926691716808</v>
      </c>
      <c r="Q178" s="272">
        <f t="shared" si="160"/>
        <v>1781.1926691716808</v>
      </c>
      <c r="R178" s="439">
        <f t="shared" si="193"/>
        <v>0</v>
      </c>
      <c r="S178" s="18"/>
      <c r="T178" s="67">
        <v>142</v>
      </c>
      <c r="U178" s="18"/>
      <c r="V178" s="273"/>
      <c r="W178" s="67">
        <v>45</v>
      </c>
      <c r="X178" s="224"/>
      <c r="Y178" s="224"/>
      <c r="Z178" s="224"/>
      <c r="AA178" s="224"/>
      <c r="AB178" s="224"/>
      <c r="AC178" s="224"/>
      <c r="AD178" s="224"/>
      <c r="AE178" s="224"/>
      <c r="AF178" s="224"/>
    </row>
    <row r="179" spans="1:33" s="1" customFormat="1" x14ac:dyDescent="0.25">
      <c r="A179" s="238"/>
      <c r="B179" s="317"/>
      <c r="C179" s="318">
        <v>3</v>
      </c>
      <c r="D179" s="83" t="s">
        <v>434</v>
      </c>
      <c r="E179" s="242">
        <v>3</v>
      </c>
      <c r="F179" s="242">
        <v>3</v>
      </c>
      <c r="G179" s="73" t="s">
        <v>28</v>
      </c>
      <c r="H179" s="67">
        <f t="shared" si="185"/>
        <v>235.63218390804599</v>
      </c>
      <c r="I179" s="67">
        <f t="shared" si="194"/>
        <v>706.89655172413791</v>
      </c>
      <c r="J179" s="67">
        <f t="shared" si="186"/>
        <v>72.941176470588232</v>
      </c>
      <c r="K179" s="67">
        <f t="shared" si="187"/>
        <v>218.8235294117647</v>
      </c>
      <c r="L179" s="72">
        <f t="shared" si="188"/>
        <v>925.72008113590255</v>
      </c>
      <c r="M179" s="67">
        <f t="shared" si="189"/>
        <v>323.60840642598828</v>
      </c>
      <c r="N179" s="67">
        <f t="shared" si="190"/>
        <v>100.17467685863878</v>
      </c>
      <c r="O179" s="72">
        <f t="shared" si="191"/>
        <v>423.78308328462708</v>
      </c>
      <c r="P179" s="203">
        <f t="shared" si="192"/>
        <v>1271.3492498538812</v>
      </c>
      <c r="Q179" s="272">
        <f t="shared" si="160"/>
        <v>1271.349249853881</v>
      </c>
      <c r="R179" s="439">
        <f t="shared" si="193"/>
        <v>0</v>
      </c>
      <c r="S179" s="18"/>
      <c r="T179" s="67">
        <v>205</v>
      </c>
      <c r="U179" s="18"/>
      <c r="V179" s="273"/>
      <c r="W179" s="67">
        <v>62</v>
      </c>
      <c r="X179" s="273"/>
      <c r="Y179" s="273"/>
      <c r="Z179" s="273"/>
      <c r="AA179" s="273"/>
      <c r="AB179" s="273"/>
      <c r="AC179" s="273"/>
      <c r="AD179" s="224"/>
      <c r="AE179" s="273"/>
      <c r="AF179" s="224"/>
      <c r="AG179" s="406"/>
    </row>
    <row r="180" spans="1:33" s="1" customFormat="1" x14ac:dyDescent="0.25">
      <c r="A180" s="238"/>
      <c r="B180" s="317"/>
      <c r="C180" s="318">
        <v>4</v>
      </c>
      <c r="D180" s="83" t="s">
        <v>435</v>
      </c>
      <c r="E180" s="242">
        <v>4</v>
      </c>
      <c r="F180" s="242">
        <v>4</v>
      </c>
      <c r="G180" s="73" t="s">
        <v>28</v>
      </c>
      <c r="H180" s="67">
        <f t="shared" si="185"/>
        <v>168.9655172413793</v>
      </c>
      <c r="I180" s="67">
        <f t="shared" si="194"/>
        <v>675.86206896551721</v>
      </c>
      <c r="J180" s="67">
        <f t="shared" si="186"/>
        <v>51.764705882352942</v>
      </c>
      <c r="K180" s="67">
        <f t="shared" si="187"/>
        <v>207.05882352941177</v>
      </c>
      <c r="L180" s="72">
        <f t="shared" si="188"/>
        <v>882.92089249492892</v>
      </c>
      <c r="M180" s="67">
        <f t="shared" si="189"/>
        <v>232.05090607131842</v>
      </c>
      <c r="N180" s="67">
        <f t="shared" si="190"/>
        <v>71.091706157743658</v>
      </c>
      <c r="O180" s="72">
        <f t="shared" si="191"/>
        <v>303.14261222906208</v>
      </c>
      <c r="P180" s="203">
        <f t="shared" si="192"/>
        <v>1212.5704489162483</v>
      </c>
      <c r="Q180" s="272">
        <f t="shared" si="160"/>
        <v>1212.5704489162481</v>
      </c>
      <c r="R180" s="439">
        <f t="shared" si="193"/>
        <v>0</v>
      </c>
      <c r="S180" s="18"/>
      <c r="T180" s="67">
        <v>147</v>
      </c>
      <c r="U180" s="18"/>
      <c r="V180" s="273"/>
      <c r="W180" s="67">
        <v>44</v>
      </c>
      <c r="X180" s="273"/>
      <c r="Y180" s="273"/>
      <c r="Z180" s="273"/>
      <c r="AA180" s="273"/>
      <c r="AB180" s="273"/>
      <c r="AC180" s="273"/>
      <c r="AD180" s="224"/>
      <c r="AE180" s="273"/>
      <c r="AF180" s="224"/>
    </row>
    <row r="181" spans="1:33" s="1" customFormat="1" x14ac:dyDescent="0.25">
      <c r="A181" s="238"/>
      <c r="B181" s="317"/>
      <c r="C181" s="318">
        <v>5</v>
      </c>
      <c r="D181" s="83" t="s">
        <v>436</v>
      </c>
      <c r="E181" s="242">
        <v>104</v>
      </c>
      <c r="F181" s="242">
        <v>104</v>
      </c>
      <c r="G181" s="73" t="s">
        <v>28</v>
      </c>
      <c r="H181" s="67">
        <f t="shared" si="185"/>
        <v>275.86206896551727</v>
      </c>
      <c r="I181" s="67">
        <f>F181*H181</f>
        <v>28689.655172413797</v>
      </c>
      <c r="J181" s="67">
        <f t="shared" si="186"/>
        <v>84.705882352941174</v>
      </c>
      <c r="K181" s="67">
        <f t="shared" si="187"/>
        <v>8809.4117647058829</v>
      </c>
      <c r="L181" s="72">
        <f t="shared" si="188"/>
        <v>37499.066937119678</v>
      </c>
      <c r="M181" s="67">
        <f t="shared" si="189"/>
        <v>378.85862215725462</v>
      </c>
      <c r="N181" s="67">
        <f t="shared" si="190"/>
        <v>116.33188280358051</v>
      </c>
      <c r="O181" s="72">
        <f t="shared" si="191"/>
        <v>495.19050496083514</v>
      </c>
      <c r="P181" s="203">
        <f t="shared" si="192"/>
        <v>51499.812515926853</v>
      </c>
      <c r="Q181" s="272">
        <f t="shared" si="160"/>
        <v>51499.81251592686</v>
      </c>
      <c r="R181" s="439">
        <f t="shared" si="193"/>
        <v>0</v>
      </c>
      <c r="S181" s="18"/>
      <c r="T181" s="67">
        <v>240</v>
      </c>
      <c r="U181" s="18"/>
      <c r="V181" s="273"/>
      <c r="W181" s="67">
        <v>72</v>
      </c>
      <c r="X181" s="224"/>
      <c r="Y181" s="224"/>
      <c r="Z181" s="224"/>
      <c r="AA181" s="224"/>
      <c r="AB181" s="224"/>
      <c r="AC181" s="224"/>
      <c r="AD181" s="224"/>
      <c r="AE181" s="224"/>
      <c r="AF181" s="224"/>
    </row>
    <row r="182" spans="1:33" s="1" customFormat="1" x14ac:dyDescent="0.25">
      <c r="A182" s="238"/>
      <c r="B182" s="317"/>
      <c r="C182" s="318">
        <v>6</v>
      </c>
      <c r="D182" s="83" t="s">
        <v>437</v>
      </c>
      <c r="E182" s="242">
        <v>5</v>
      </c>
      <c r="F182" s="242">
        <v>5</v>
      </c>
      <c r="G182" s="73" t="s">
        <v>28</v>
      </c>
      <c r="H182" s="67">
        <f t="shared" si="185"/>
        <v>180.45977011494253</v>
      </c>
      <c r="I182" s="67">
        <f t="shared" ref="I182:I183" si="195">F182*H182</f>
        <v>902.29885057471267</v>
      </c>
      <c r="J182" s="67">
        <f t="shared" si="186"/>
        <v>55.294117647058826</v>
      </c>
      <c r="K182" s="67">
        <f t="shared" si="187"/>
        <v>276.47058823529414</v>
      </c>
      <c r="L182" s="72">
        <f t="shared" si="188"/>
        <v>1178.7694388100067</v>
      </c>
      <c r="M182" s="67">
        <f t="shared" si="189"/>
        <v>247.83668199453737</v>
      </c>
      <c r="N182" s="67">
        <f t="shared" si="190"/>
        <v>75.938867941226178</v>
      </c>
      <c r="O182" s="72">
        <f t="shared" si="191"/>
        <v>323.77554993576354</v>
      </c>
      <c r="P182" s="203">
        <f t="shared" si="192"/>
        <v>1618.8777496788177</v>
      </c>
      <c r="Q182" s="272">
        <f t="shared" si="160"/>
        <v>1618.8777496788177</v>
      </c>
      <c r="R182" s="439">
        <f t="shared" si="193"/>
        <v>0</v>
      </c>
      <c r="S182" s="18"/>
      <c r="T182" s="67">
        <v>157</v>
      </c>
      <c r="U182" s="18"/>
      <c r="V182" s="273"/>
      <c r="W182" s="67">
        <v>47</v>
      </c>
      <c r="X182" s="224"/>
      <c r="Y182" s="224"/>
      <c r="Z182" s="224"/>
      <c r="AA182" s="224"/>
      <c r="AB182" s="224"/>
      <c r="AC182" s="224"/>
      <c r="AD182" s="224"/>
      <c r="AE182" s="224"/>
      <c r="AF182" s="224"/>
    </row>
    <row r="183" spans="1:33" s="1" customFormat="1" x14ac:dyDescent="0.25">
      <c r="A183" s="238"/>
      <c r="B183" s="317"/>
      <c r="C183" s="318">
        <v>7</v>
      </c>
      <c r="D183" s="83" t="s">
        <v>438</v>
      </c>
      <c r="E183" s="242">
        <v>10</v>
      </c>
      <c r="F183" s="242">
        <v>10</v>
      </c>
      <c r="G183" s="73" t="s">
        <v>28</v>
      </c>
      <c r="H183" s="67">
        <f t="shared" si="185"/>
        <v>758.62068965517244</v>
      </c>
      <c r="I183" s="67">
        <f t="shared" si="195"/>
        <v>7586.2068965517246</v>
      </c>
      <c r="J183" s="67">
        <f t="shared" si="186"/>
        <v>155.29411764705884</v>
      </c>
      <c r="K183" s="67">
        <f t="shared" si="187"/>
        <v>1552.9411764705883</v>
      </c>
      <c r="L183" s="72">
        <f t="shared" si="188"/>
        <v>9139.148073022312</v>
      </c>
      <c r="M183" s="67">
        <f t="shared" si="189"/>
        <v>1041.8612109324501</v>
      </c>
      <c r="N183" s="67">
        <f t="shared" si="190"/>
        <v>213.27511847323098</v>
      </c>
      <c r="O183" s="72">
        <f t="shared" si="191"/>
        <v>1255.1363294056812</v>
      </c>
      <c r="P183" s="203">
        <f t="shared" si="192"/>
        <v>12551.363294056811</v>
      </c>
      <c r="Q183" s="272">
        <f t="shared" si="160"/>
        <v>12551.36329405681</v>
      </c>
      <c r="R183" s="439">
        <f t="shared" si="193"/>
        <v>0</v>
      </c>
      <c r="S183" s="18"/>
      <c r="T183" s="67">
        <v>660</v>
      </c>
      <c r="U183" s="18"/>
      <c r="V183" s="273"/>
      <c r="W183" s="67">
        <v>132</v>
      </c>
      <c r="X183" s="273"/>
      <c r="Y183" s="273"/>
      <c r="Z183" s="273"/>
      <c r="AA183" s="273"/>
      <c r="AB183" s="273"/>
      <c r="AC183" s="273"/>
      <c r="AD183" s="224"/>
      <c r="AE183" s="273"/>
      <c r="AF183" s="224"/>
      <c r="AG183" s="406"/>
    </row>
    <row r="184" spans="1:33" s="1" customFormat="1" x14ac:dyDescent="0.25">
      <c r="A184" s="238"/>
      <c r="B184" s="317"/>
      <c r="C184" s="318"/>
      <c r="D184" s="83"/>
      <c r="E184" s="242"/>
      <c r="F184" s="242"/>
      <c r="G184" s="73"/>
      <c r="H184" s="67"/>
      <c r="I184" s="67"/>
      <c r="J184" s="67"/>
      <c r="K184" s="67"/>
      <c r="L184" s="72"/>
      <c r="M184" s="67"/>
      <c r="N184" s="67"/>
      <c r="O184" s="72"/>
      <c r="P184" s="203"/>
      <c r="Q184" s="272">
        <f t="shared" si="160"/>
        <v>0</v>
      </c>
      <c r="R184" s="439"/>
      <c r="S184" s="18"/>
      <c r="U184" s="18"/>
      <c r="V184" s="273"/>
      <c r="W184" s="67"/>
      <c r="X184" s="273"/>
      <c r="Y184" s="273"/>
      <c r="Z184" s="273"/>
      <c r="AA184" s="273"/>
      <c r="AB184" s="273"/>
      <c r="AC184" s="273"/>
      <c r="AD184" s="224"/>
      <c r="AE184" s="273"/>
      <c r="AF184" s="224"/>
      <c r="AG184" s="406"/>
    </row>
    <row r="185" spans="1:33" s="1" customFormat="1" x14ac:dyDescent="0.25">
      <c r="A185" s="238"/>
      <c r="B185" s="290" t="s">
        <v>439</v>
      </c>
      <c r="C185" s="291" t="s">
        <v>454</v>
      </c>
      <c r="D185" s="316"/>
      <c r="E185" s="244"/>
      <c r="F185" s="244"/>
      <c r="G185" s="75"/>
      <c r="H185" s="440">
        <v>0.87</v>
      </c>
      <c r="I185" s="74"/>
      <c r="J185" s="74"/>
      <c r="K185" s="74"/>
      <c r="L185" s="74"/>
      <c r="M185" s="72"/>
      <c r="N185" s="72"/>
      <c r="O185" s="72"/>
      <c r="P185" s="205"/>
      <c r="Q185" s="272">
        <f t="shared" si="160"/>
        <v>0</v>
      </c>
      <c r="R185" s="439"/>
      <c r="S185" s="18"/>
      <c r="W185" s="74"/>
    </row>
    <row r="186" spans="1:33" s="1" customFormat="1" x14ac:dyDescent="0.25">
      <c r="A186" s="238"/>
      <c r="B186" s="317"/>
      <c r="C186" s="318">
        <v>1</v>
      </c>
      <c r="D186" s="83" t="s">
        <v>440</v>
      </c>
      <c r="E186" s="242">
        <v>1</v>
      </c>
      <c r="F186" s="242">
        <v>1</v>
      </c>
      <c r="G186" s="73" t="s">
        <v>55</v>
      </c>
      <c r="H186" s="67">
        <f>T186/$H$185</f>
        <v>20235.632183908045</v>
      </c>
      <c r="I186" s="67">
        <f>F186*H186</f>
        <v>20235.632183908045</v>
      </c>
      <c r="J186" s="67">
        <f t="shared" ref="J186:J190" si="196">W186/$J$164</f>
        <v>4117.6470588235297</v>
      </c>
      <c r="K186" s="67">
        <f t="shared" ref="K186:K198" si="197">F186*J186</f>
        <v>4117.6470588235297</v>
      </c>
      <c r="L186" s="72">
        <f t="shared" ref="L186:L198" si="198">I186+K186</f>
        <v>24353.279242731573</v>
      </c>
      <c r="M186" s="67">
        <f>H186/$P$255*$P$263</f>
        <v>27790.858512826941</v>
      </c>
      <c r="N186" s="67">
        <f>J186/$P$255*$P$263</f>
        <v>5655.0220807296091</v>
      </c>
      <c r="O186" s="72">
        <f t="shared" ref="O186:O198" si="199">N186+M186</f>
        <v>33445.880593556547</v>
      </c>
      <c r="P186" s="203">
        <f t="shared" ref="P186:P198" si="200">O186*F186</f>
        <v>33445.880593556547</v>
      </c>
      <c r="Q186" s="272">
        <f t="shared" si="160"/>
        <v>33445.880593556547</v>
      </c>
      <c r="R186" s="439">
        <f t="shared" ref="R186:R198" si="201">P186-Q186</f>
        <v>0</v>
      </c>
      <c r="S186" s="18"/>
      <c r="T186" s="67">
        <f>17605</f>
        <v>17605</v>
      </c>
      <c r="U186" s="18"/>
      <c r="V186" s="273"/>
      <c r="W186" s="67">
        <v>3500</v>
      </c>
      <c r="X186" s="224"/>
      <c r="Y186" s="224"/>
      <c r="Z186" s="224"/>
      <c r="AA186" s="224"/>
      <c r="AB186" s="224"/>
      <c r="AC186" s="224"/>
      <c r="AD186" s="224"/>
      <c r="AE186" s="224"/>
      <c r="AF186" s="224"/>
    </row>
    <row r="187" spans="1:33" s="1" customFormat="1" x14ac:dyDescent="0.25">
      <c r="A187" s="238"/>
      <c r="B187" s="317"/>
      <c r="C187" s="318">
        <v>2</v>
      </c>
      <c r="D187" s="83" t="s">
        <v>441</v>
      </c>
      <c r="E187" s="242">
        <v>1</v>
      </c>
      <c r="F187" s="242">
        <v>1</v>
      </c>
      <c r="G187" s="73" t="s">
        <v>55</v>
      </c>
      <c r="H187" s="67">
        <f t="shared" ref="H187:H198" si="202">T187/$H$185</f>
        <v>24827.586206896551</v>
      </c>
      <c r="I187" s="67">
        <f t="shared" ref="I187:I189" si="203">F187*H187</f>
        <v>24827.586206896551</v>
      </c>
      <c r="J187" s="67">
        <f t="shared" si="196"/>
        <v>5882.3529411764712</v>
      </c>
      <c r="K187" s="67">
        <f t="shared" si="197"/>
        <v>5882.3529411764712</v>
      </c>
      <c r="L187" s="72">
        <f t="shared" si="198"/>
        <v>30709.939148073023</v>
      </c>
      <c r="M187" s="67">
        <f>H187/$P$255*$P$263</f>
        <v>34097.275994152908</v>
      </c>
      <c r="N187" s="67">
        <f>J187/$P$255*$P$263</f>
        <v>8078.6029724708696</v>
      </c>
      <c r="O187" s="72">
        <f t="shared" si="199"/>
        <v>42175.878966623779</v>
      </c>
      <c r="P187" s="203">
        <f t="shared" si="200"/>
        <v>42175.878966623779</v>
      </c>
      <c r="Q187" s="272">
        <f t="shared" si="160"/>
        <v>42175.878966623779</v>
      </c>
      <c r="R187" s="439">
        <f t="shared" si="201"/>
        <v>0</v>
      </c>
      <c r="S187" s="18"/>
      <c r="T187" s="67">
        <f>21600</f>
        <v>21600</v>
      </c>
      <c r="U187" s="18"/>
      <c r="V187" s="273"/>
      <c r="W187" s="67">
        <v>5000</v>
      </c>
      <c r="X187" s="224"/>
      <c r="Y187" s="224"/>
      <c r="Z187" s="224"/>
      <c r="AA187" s="224"/>
      <c r="AB187" s="224"/>
      <c r="AC187" s="224"/>
      <c r="AD187" s="224"/>
      <c r="AE187" s="224"/>
      <c r="AF187" s="224"/>
    </row>
    <row r="188" spans="1:33" s="1" customFormat="1" x14ac:dyDescent="0.25">
      <c r="A188" s="238"/>
      <c r="B188" s="317"/>
      <c r="C188" s="318">
        <v>3</v>
      </c>
      <c r="D188" s="83" t="s">
        <v>442</v>
      </c>
      <c r="E188" s="242">
        <v>1</v>
      </c>
      <c r="F188" s="242">
        <v>1</v>
      </c>
      <c r="G188" s="73" t="s">
        <v>55</v>
      </c>
      <c r="H188" s="67">
        <f t="shared" si="202"/>
        <v>24827.586206896551</v>
      </c>
      <c r="I188" s="67">
        <f t="shared" si="203"/>
        <v>24827.586206896551</v>
      </c>
      <c r="J188" s="67">
        <f t="shared" si="196"/>
        <v>5882.3529411764712</v>
      </c>
      <c r="K188" s="67">
        <f t="shared" si="197"/>
        <v>5882.3529411764712</v>
      </c>
      <c r="L188" s="72">
        <f t="shared" si="198"/>
        <v>30709.939148073023</v>
      </c>
      <c r="M188" s="67">
        <f>H188/$P$255*$P$263</f>
        <v>34097.275994152908</v>
      </c>
      <c r="N188" s="67">
        <f>J188/$P$255*$P$263</f>
        <v>8078.6029724708696</v>
      </c>
      <c r="O188" s="72">
        <f t="shared" si="199"/>
        <v>42175.878966623779</v>
      </c>
      <c r="P188" s="203">
        <f t="shared" si="200"/>
        <v>42175.878966623779</v>
      </c>
      <c r="Q188" s="272">
        <f t="shared" si="160"/>
        <v>42175.878966623779</v>
      </c>
      <c r="R188" s="439">
        <f t="shared" si="201"/>
        <v>0</v>
      </c>
      <c r="S188" s="18"/>
      <c r="T188" s="67">
        <f>21600</f>
        <v>21600</v>
      </c>
      <c r="U188" s="18"/>
      <c r="V188" s="273"/>
      <c r="W188" s="67">
        <v>5000</v>
      </c>
      <c r="X188" s="273"/>
      <c r="Y188" s="273"/>
      <c r="Z188" s="273"/>
      <c r="AA188" s="273"/>
      <c r="AB188" s="273"/>
      <c r="AC188" s="273"/>
      <c r="AD188" s="224"/>
      <c r="AE188" s="273"/>
      <c r="AF188" s="224"/>
      <c r="AG188" s="406"/>
    </row>
    <row r="189" spans="1:33" s="1" customFormat="1" x14ac:dyDescent="0.25">
      <c r="A189" s="238"/>
      <c r="B189" s="317"/>
      <c r="C189" s="318">
        <v>4</v>
      </c>
      <c r="D189" s="83" t="s">
        <v>443</v>
      </c>
      <c r="E189" s="242">
        <v>1</v>
      </c>
      <c r="F189" s="242">
        <v>1</v>
      </c>
      <c r="G189" s="73" t="s">
        <v>55</v>
      </c>
      <c r="H189" s="67">
        <f t="shared" si="202"/>
        <v>25280.459770114943</v>
      </c>
      <c r="I189" s="67">
        <f t="shared" si="203"/>
        <v>25280.459770114943</v>
      </c>
      <c r="J189" s="67">
        <f t="shared" si="196"/>
        <v>4117.6470588235297</v>
      </c>
      <c r="K189" s="67">
        <f t="shared" si="197"/>
        <v>4117.6470588235297</v>
      </c>
      <c r="L189" s="72">
        <f t="shared" si="198"/>
        <v>29398.106828938471</v>
      </c>
      <c r="M189" s="67">
        <f>H189/$P$255*$P$263</f>
        <v>34719.235565527735</v>
      </c>
      <c r="N189" s="67">
        <f>J189/$P$255*$P$263</f>
        <v>5655.0220807296091</v>
      </c>
      <c r="O189" s="72">
        <f t="shared" si="199"/>
        <v>40374.257646257342</v>
      </c>
      <c r="P189" s="203">
        <f t="shared" si="200"/>
        <v>40374.257646257342</v>
      </c>
      <c r="Q189" s="272">
        <f t="shared" si="160"/>
        <v>40374.257646257349</v>
      </c>
      <c r="R189" s="439">
        <f t="shared" si="201"/>
        <v>0</v>
      </c>
      <c r="S189" s="18"/>
      <c r="T189" s="67">
        <f>21994</f>
        <v>21994</v>
      </c>
      <c r="U189" s="18"/>
      <c r="V189" s="273"/>
      <c r="W189" s="67">
        <v>3500</v>
      </c>
      <c r="X189" s="273"/>
      <c r="Y189" s="273"/>
      <c r="Z189" s="273"/>
      <c r="AA189" s="273"/>
      <c r="AB189" s="273"/>
      <c r="AC189" s="273"/>
      <c r="AD189" s="224"/>
      <c r="AE189" s="273"/>
      <c r="AF189" s="224"/>
    </row>
    <row r="190" spans="1:33" s="1" customFormat="1" x14ac:dyDescent="0.25">
      <c r="A190" s="238"/>
      <c r="B190" s="317"/>
      <c r="C190" s="318">
        <v>5</v>
      </c>
      <c r="D190" s="83" t="s">
        <v>444</v>
      </c>
      <c r="E190" s="242">
        <v>1</v>
      </c>
      <c r="F190" s="242">
        <v>1</v>
      </c>
      <c r="G190" s="73" t="s">
        <v>55</v>
      </c>
      <c r="H190" s="67">
        <f t="shared" si="202"/>
        <v>49827.586206896551</v>
      </c>
      <c r="I190" s="67">
        <f>F190*H190</f>
        <v>49827.586206896551</v>
      </c>
      <c r="J190" s="67">
        <f t="shared" si="196"/>
        <v>5882.3529411764712</v>
      </c>
      <c r="K190" s="67">
        <f t="shared" si="197"/>
        <v>5882.3529411764712</v>
      </c>
      <c r="L190" s="72">
        <f t="shared" si="198"/>
        <v>55709.939148073019</v>
      </c>
      <c r="M190" s="67">
        <f>H190/$P$255*$P$263</f>
        <v>68431.338627154095</v>
      </c>
      <c r="N190" s="67">
        <f>J190/$P$255*$P$263</f>
        <v>8078.6029724708696</v>
      </c>
      <c r="O190" s="72">
        <f t="shared" si="199"/>
        <v>76509.941599624959</v>
      </c>
      <c r="P190" s="203">
        <f t="shared" si="200"/>
        <v>76509.941599624959</v>
      </c>
      <c r="Q190" s="272">
        <f t="shared" si="160"/>
        <v>76509.941599624974</v>
      </c>
      <c r="R190" s="439">
        <f t="shared" si="201"/>
        <v>0</v>
      </c>
      <c r="S190" s="18"/>
      <c r="T190" s="67">
        <f>43350</f>
        <v>43350</v>
      </c>
      <c r="U190" s="18"/>
      <c r="V190" s="273"/>
      <c r="W190" s="67">
        <v>5000</v>
      </c>
      <c r="X190" s="224"/>
      <c r="Y190" s="224"/>
      <c r="Z190" s="224"/>
      <c r="AA190" s="224"/>
      <c r="AB190" s="224"/>
      <c r="AC190" s="224"/>
      <c r="AD190" s="224"/>
      <c r="AE190" s="224"/>
      <c r="AF190" s="224"/>
    </row>
    <row r="191" spans="1:33" s="1" customFormat="1" x14ac:dyDescent="0.25">
      <c r="A191" s="238"/>
      <c r="B191" s="317"/>
      <c r="C191" s="318"/>
      <c r="D191" s="83" t="s">
        <v>445</v>
      </c>
      <c r="E191" s="242"/>
      <c r="F191" s="242"/>
      <c r="G191" s="73"/>
      <c r="H191" s="67"/>
      <c r="I191" s="67"/>
      <c r="J191" s="67"/>
      <c r="K191" s="67"/>
      <c r="L191" s="72"/>
      <c r="M191" s="67"/>
      <c r="N191" s="67"/>
      <c r="O191" s="72"/>
      <c r="P191" s="203"/>
      <c r="Q191" s="272">
        <f t="shared" si="160"/>
        <v>0</v>
      </c>
      <c r="R191" s="439"/>
      <c r="S191" s="18"/>
      <c r="T191" s="67"/>
      <c r="U191" s="18"/>
      <c r="V191" s="273"/>
      <c r="W191" s="67"/>
      <c r="X191" s="224"/>
      <c r="Y191" s="224"/>
      <c r="Z191" s="224"/>
      <c r="AA191" s="224"/>
      <c r="AB191" s="224"/>
      <c r="AC191" s="224"/>
      <c r="AD191" s="224"/>
      <c r="AE191" s="224"/>
      <c r="AF191" s="224"/>
    </row>
    <row r="192" spans="1:33" s="1" customFormat="1" x14ac:dyDescent="0.25">
      <c r="A192" s="238"/>
      <c r="B192" s="317"/>
      <c r="C192" s="318">
        <v>6</v>
      </c>
      <c r="D192" s="83" t="s">
        <v>446</v>
      </c>
      <c r="E192" s="242">
        <v>2</v>
      </c>
      <c r="F192" s="242">
        <v>2</v>
      </c>
      <c r="G192" s="73" t="s">
        <v>28</v>
      </c>
      <c r="H192" s="67">
        <f t="shared" si="202"/>
        <v>1206.8965517241379</v>
      </c>
      <c r="I192" s="67">
        <f t="shared" ref="I192:I193" si="204">F192*H192</f>
        <v>2413.7931034482758</v>
      </c>
      <c r="J192" s="67">
        <f t="shared" ref="J192:J198" si="205">W192/$J$164</f>
        <v>305.88235294117646</v>
      </c>
      <c r="K192" s="67">
        <f t="shared" si="197"/>
        <v>611.76470588235293</v>
      </c>
      <c r="L192" s="72">
        <f t="shared" si="198"/>
        <v>3025.5578093306285</v>
      </c>
      <c r="M192" s="67">
        <f t="shared" ref="M192:M198" si="206">H192/$P$255*$P$263</f>
        <v>1657.5064719379884</v>
      </c>
      <c r="N192" s="67">
        <f t="shared" ref="N192:N198" si="207">J192/$P$255*$P$263</f>
        <v>420.08735456848518</v>
      </c>
      <c r="O192" s="72">
        <f t="shared" si="199"/>
        <v>2077.5938265064738</v>
      </c>
      <c r="P192" s="203">
        <f t="shared" si="200"/>
        <v>4155.1876530129475</v>
      </c>
      <c r="Q192" s="272">
        <f t="shared" si="160"/>
        <v>4155.1876530129475</v>
      </c>
      <c r="R192" s="439">
        <f t="shared" si="201"/>
        <v>0</v>
      </c>
      <c r="S192" s="18"/>
      <c r="T192" s="67">
        <v>1050</v>
      </c>
      <c r="U192" s="18"/>
      <c r="V192" s="273"/>
      <c r="W192" s="67">
        <v>260</v>
      </c>
      <c r="X192" s="273"/>
      <c r="Y192" s="273"/>
      <c r="Z192" s="273"/>
      <c r="AA192" s="273"/>
      <c r="AB192" s="273"/>
      <c r="AC192" s="273"/>
      <c r="AD192" s="224"/>
      <c r="AE192" s="273"/>
      <c r="AF192" s="224"/>
      <c r="AG192" s="406"/>
    </row>
    <row r="193" spans="1:33" s="1" customFormat="1" x14ac:dyDescent="0.25">
      <c r="A193" s="238"/>
      <c r="B193" s="317"/>
      <c r="C193" s="318">
        <v>7</v>
      </c>
      <c r="D193" s="83" t="s">
        <v>447</v>
      </c>
      <c r="E193" s="242">
        <v>2</v>
      </c>
      <c r="F193" s="242">
        <v>2</v>
      </c>
      <c r="G193" s="73" t="s">
        <v>28</v>
      </c>
      <c r="H193" s="67">
        <f t="shared" si="202"/>
        <v>1206.8965517241379</v>
      </c>
      <c r="I193" s="67">
        <f t="shared" si="204"/>
        <v>2413.7931034482758</v>
      </c>
      <c r="J193" s="67">
        <f t="shared" si="205"/>
        <v>305.88235294117646</v>
      </c>
      <c r="K193" s="67">
        <f t="shared" si="197"/>
        <v>611.76470588235293</v>
      </c>
      <c r="L193" s="72">
        <f t="shared" si="198"/>
        <v>3025.5578093306285</v>
      </c>
      <c r="M193" s="67">
        <f t="shared" si="206"/>
        <v>1657.5064719379884</v>
      </c>
      <c r="N193" s="67">
        <f t="shared" si="207"/>
        <v>420.08735456848518</v>
      </c>
      <c r="O193" s="72">
        <f t="shared" si="199"/>
        <v>2077.5938265064738</v>
      </c>
      <c r="P193" s="203">
        <f t="shared" si="200"/>
        <v>4155.1876530129475</v>
      </c>
      <c r="Q193" s="272">
        <f t="shared" si="160"/>
        <v>4155.1876530129475</v>
      </c>
      <c r="R193" s="439">
        <f t="shared" si="201"/>
        <v>0</v>
      </c>
      <c r="S193" s="18"/>
      <c r="T193" s="67">
        <v>1050</v>
      </c>
      <c r="U193" s="18"/>
      <c r="V193" s="273"/>
      <c r="W193" s="67">
        <v>260</v>
      </c>
      <c r="X193" s="273"/>
      <c r="Y193" s="273"/>
      <c r="Z193" s="273"/>
      <c r="AA193" s="273"/>
      <c r="AB193" s="273"/>
      <c r="AC193" s="273"/>
      <c r="AD193" s="224"/>
      <c r="AE193" s="273"/>
      <c r="AF193" s="224"/>
    </row>
    <row r="194" spans="1:33" s="1" customFormat="1" x14ac:dyDescent="0.25">
      <c r="A194" s="238"/>
      <c r="B194" s="317"/>
      <c r="C194" s="318">
        <v>8</v>
      </c>
      <c r="D194" s="83" t="s">
        <v>448</v>
      </c>
      <c r="E194" s="242">
        <v>9</v>
      </c>
      <c r="F194" s="242">
        <v>9</v>
      </c>
      <c r="G194" s="73" t="s">
        <v>28</v>
      </c>
      <c r="H194" s="67">
        <f t="shared" si="202"/>
        <v>1206.8965517241379</v>
      </c>
      <c r="I194" s="67">
        <f>F194*H194</f>
        <v>10862.068965517241</v>
      </c>
      <c r="J194" s="67">
        <f t="shared" si="205"/>
        <v>305.88235294117646</v>
      </c>
      <c r="K194" s="67">
        <f t="shared" si="197"/>
        <v>2752.9411764705883</v>
      </c>
      <c r="L194" s="72">
        <f t="shared" si="198"/>
        <v>13615.01014198783</v>
      </c>
      <c r="M194" s="67">
        <f t="shared" si="206"/>
        <v>1657.5064719379884</v>
      </c>
      <c r="N194" s="67">
        <f t="shared" si="207"/>
        <v>420.08735456848518</v>
      </c>
      <c r="O194" s="72">
        <f t="shared" si="199"/>
        <v>2077.5938265064738</v>
      </c>
      <c r="P194" s="203">
        <f t="shared" si="200"/>
        <v>18698.344438558262</v>
      </c>
      <c r="Q194" s="272">
        <f t="shared" si="160"/>
        <v>18698.344438558266</v>
      </c>
      <c r="R194" s="439">
        <f t="shared" si="201"/>
        <v>0</v>
      </c>
      <c r="S194" s="18"/>
      <c r="T194" s="67">
        <v>1050</v>
      </c>
      <c r="U194" s="18"/>
      <c r="V194" s="273"/>
      <c r="W194" s="67">
        <v>260</v>
      </c>
      <c r="X194" s="224"/>
      <c r="Y194" s="224"/>
      <c r="Z194" s="224"/>
      <c r="AA194" s="224"/>
      <c r="AB194" s="224"/>
      <c r="AC194" s="224"/>
      <c r="AD194" s="224"/>
      <c r="AE194" s="224"/>
      <c r="AF194" s="224"/>
    </row>
    <row r="195" spans="1:33" s="1" customFormat="1" x14ac:dyDescent="0.25">
      <c r="A195" s="238"/>
      <c r="B195" s="317"/>
      <c r="C195" s="318">
        <v>9</v>
      </c>
      <c r="D195" s="83" t="s">
        <v>449</v>
      </c>
      <c r="E195" s="242">
        <v>5</v>
      </c>
      <c r="F195" s="242">
        <v>5</v>
      </c>
      <c r="G195" s="73" t="s">
        <v>28</v>
      </c>
      <c r="H195" s="67">
        <f t="shared" si="202"/>
        <v>3333.3333333333335</v>
      </c>
      <c r="I195" s="67">
        <f t="shared" ref="I195:I198" si="208">F195*H195</f>
        <v>16666.666666666668</v>
      </c>
      <c r="J195" s="67">
        <f t="shared" si="205"/>
        <v>470.58823529411768</v>
      </c>
      <c r="K195" s="67">
        <f t="shared" si="197"/>
        <v>2352.9411764705883</v>
      </c>
      <c r="L195" s="72">
        <f t="shared" si="198"/>
        <v>19019.607843137255</v>
      </c>
      <c r="M195" s="67">
        <f t="shared" si="206"/>
        <v>4577.8750177334923</v>
      </c>
      <c r="N195" s="67">
        <f t="shared" si="207"/>
        <v>646.28823779766958</v>
      </c>
      <c r="O195" s="72">
        <f t="shared" si="199"/>
        <v>5224.1632555311617</v>
      </c>
      <c r="P195" s="203">
        <f t="shared" si="200"/>
        <v>26120.816277655809</v>
      </c>
      <c r="Q195" s="272">
        <f t="shared" si="160"/>
        <v>26120.816277655813</v>
      </c>
      <c r="R195" s="439">
        <f t="shared" si="201"/>
        <v>0</v>
      </c>
      <c r="S195" s="18"/>
      <c r="T195" s="67">
        <v>2900</v>
      </c>
      <c r="U195" s="18"/>
      <c r="V195" s="273"/>
      <c r="W195" s="67">
        <v>400</v>
      </c>
      <c r="X195" s="224"/>
      <c r="Y195" s="224"/>
      <c r="Z195" s="224"/>
      <c r="AA195" s="224"/>
      <c r="AB195" s="224"/>
      <c r="AC195" s="224"/>
      <c r="AD195" s="224"/>
      <c r="AE195" s="224"/>
      <c r="AF195" s="224"/>
    </row>
    <row r="196" spans="1:33" s="1" customFormat="1" x14ac:dyDescent="0.25">
      <c r="A196" s="238"/>
      <c r="B196" s="317"/>
      <c r="C196" s="318">
        <v>10</v>
      </c>
      <c r="D196" s="83" t="s">
        <v>451</v>
      </c>
      <c r="E196" s="242">
        <v>240</v>
      </c>
      <c r="F196" s="242">
        <v>247</v>
      </c>
      <c r="G196" s="73" t="s">
        <v>453</v>
      </c>
      <c r="H196" s="67">
        <f t="shared" si="202"/>
        <v>31.781344350866043</v>
      </c>
      <c r="I196" s="67">
        <f t="shared" si="208"/>
        <v>7849.9920546639123</v>
      </c>
      <c r="J196" s="67">
        <f t="shared" si="205"/>
        <v>12.941176470588236</v>
      </c>
      <c r="K196" s="67">
        <f t="shared" si="197"/>
        <v>3196.4705882352941</v>
      </c>
      <c r="L196" s="72">
        <f t="shared" si="198"/>
        <v>11046.462642899207</v>
      </c>
      <c r="M196" s="67">
        <f t="shared" si="206"/>
        <v>43.64730670014454</v>
      </c>
      <c r="N196" s="67">
        <f t="shared" si="207"/>
        <v>17.772926539435915</v>
      </c>
      <c r="O196" s="72">
        <f t="shared" si="199"/>
        <v>61.420233239580455</v>
      </c>
      <c r="P196" s="203">
        <f t="shared" si="200"/>
        <v>15170.797610176372</v>
      </c>
      <c r="Q196" s="272">
        <f t="shared" si="160"/>
        <v>15170.797610176371</v>
      </c>
      <c r="R196" s="439">
        <f t="shared" si="201"/>
        <v>0</v>
      </c>
      <c r="S196" s="18"/>
      <c r="T196" s="67">
        <f>30/1.085</f>
        <v>27.649769585253456</v>
      </c>
      <c r="U196" s="18"/>
      <c r="V196" s="273"/>
      <c r="W196" s="67">
        <v>11</v>
      </c>
    </row>
    <row r="197" spans="1:33" s="1" customFormat="1" x14ac:dyDescent="0.25">
      <c r="A197" s="238"/>
      <c r="B197" s="317"/>
      <c r="C197" s="318">
        <v>11</v>
      </c>
      <c r="D197" s="83" t="s">
        <v>450</v>
      </c>
      <c r="E197" s="242">
        <v>240</v>
      </c>
      <c r="F197" s="242">
        <v>247</v>
      </c>
      <c r="G197" s="73" t="s">
        <v>283</v>
      </c>
      <c r="H197" s="67">
        <f t="shared" si="202"/>
        <v>18.390804597701148</v>
      </c>
      <c r="I197" s="67">
        <f t="shared" si="208"/>
        <v>4542.5287356321833</v>
      </c>
      <c r="J197" s="67">
        <f t="shared" si="205"/>
        <v>7.0588235294117645</v>
      </c>
      <c r="K197" s="67">
        <f t="shared" si="197"/>
        <v>1743.5294117647059</v>
      </c>
      <c r="L197" s="72">
        <f t="shared" si="198"/>
        <v>6286.0581473968887</v>
      </c>
      <c r="M197" s="67">
        <f t="shared" si="206"/>
        <v>25.257241477150302</v>
      </c>
      <c r="N197" s="67">
        <f t="shared" si="207"/>
        <v>9.6943235669650427</v>
      </c>
      <c r="O197" s="72">
        <f t="shared" si="199"/>
        <v>34.951565044115341</v>
      </c>
      <c r="P197" s="203">
        <f t="shared" si="200"/>
        <v>8633.0365658964893</v>
      </c>
      <c r="Q197" s="272">
        <f t="shared" si="160"/>
        <v>8633.0365658964893</v>
      </c>
      <c r="R197" s="439">
        <f t="shared" si="201"/>
        <v>0</v>
      </c>
      <c r="S197" s="18"/>
      <c r="T197" s="67">
        <v>16</v>
      </c>
      <c r="U197" s="18"/>
      <c r="V197" s="273"/>
      <c r="W197" s="67">
        <v>6</v>
      </c>
    </row>
    <row r="198" spans="1:33" s="1" customFormat="1" x14ac:dyDescent="0.25">
      <c r="A198" s="238"/>
      <c r="B198" s="317"/>
      <c r="C198" s="318">
        <v>12</v>
      </c>
      <c r="D198" s="83" t="s">
        <v>452</v>
      </c>
      <c r="E198" s="242">
        <v>95</v>
      </c>
      <c r="F198" s="242">
        <v>100</v>
      </c>
      <c r="G198" s="73" t="s">
        <v>283</v>
      </c>
      <c r="H198" s="67">
        <f t="shared" si="202"/>
        <v>28.735632183908045</v>
      </c>
      <c r="I198" s="67">
        <f t="shared" si="208"/>
        <v>2873.5632183908046</v>
      </c>
      <c r="J198" s="67">
        <f t="shared" si="205"/>
        <v>10.588235294117647</v>
      </c>
      <c r="K198" s="67">
        <f t="shared" si="197"/>
        <v>1058.8235294117646</v>
      </c>
      <c r="L198" s="72">
        <f t="shared" si="198"/>
        <v>3932.3867478025695</v>
      </c>
      <c r="M198" s="67">
        <f t="shared" si="206"/>
        <v>39.464439808047345</v>
      </c>
      <c r="N198" s="67">
        <f t="shared" si="207"/>
        <v>14.541485350447564</v>
      </c>
      <c r="O198" s="72">
        <f t="shared" si="199"/>
        <v>54.005925158494911</v>
      </c>
      <c r="P198" s="203">
        <f t="shared" si="200"/>
        <v>5400.5925158494911</v>
      </c>
      <c r="Q198" s="272">
        <f t="shared" si="160"/>
        <v>5400.592515849492</v>
      </c>
      <c r="R198" s="439">
        <f t="shared" si="201"/>
        <v>0</v>
      </c>
      <c r="S198" s="18"/>
      <c r="T198" s="67">
        <v>25</v>
      </c>
      <c r="U198" s="18"/>
      <c r="V198" s="273"/>
      <c r="W198" s="67">
        <v>9</v>
      </c>
    </row>
    <row r="199" spans="1:33" s="1" customFormat="1" x14ac:dyDescent="0.25">
      <c r="A199" s="238"/>
      <c r="B199" s="317"/>
      <c r="C199" s="318"/>
      <c r="D199" s="83"/>
      <c r="E199" s="242"/>
      <c r="F199" s="242"/>
      <c r="G199" s="73"/>
      <c r="H199" s="67"/>
      <c r="I199" s="67"/>
      <c r="J199" s="67"/>
      <c r="K199" s="67"/>
      <c r="L199" s="72"/>
      <c r="M199" s="67"/>
      <c r="N199" s="67"/>
      <c r="O199" s="72"/>
      <c r="P199" s="203"/>
      <c r="Q199" s="272">
        <f t="shared" si="160"/>
        <v>0</v>
      </c>
      <c r="R199" s="439"/>
      <c r="S199" s="18"/>
      <c r="U199" s="18"/>
      <c r="V199" s="273"/>
      <c r="W199" s="67"/>
      <c r="X199" s="273"/>
      <c r="Y199" s="273"/>
      <c r="Z199" s="273"/>
      <c r="AA199" s="273"/>
      <c r="AB199" s="273"/>
      <c r="AC199" s="273"/>
      <c r="AD199" s="224"/>
      <c r="AE199" s="273"/>
      <c r="AF199" s="224"/>
      <c r="AG199" s="406"/>
    </row>
    <row r="200" spans="1:33" s="1" customFormat="1" x14ac:dyDescent="0.25">
      <c r="A200" s="238"/>
      <c r="B200" s="290" t="s">
        <v>329</v>
      </c>
      <c r="C200" s="291" t="s">
        <v>458</v>
      </c>
      <c r="D200" s="316"/>
      <c r="E200" s="244"/>
      <c r="F200" s="244"/>
      <c r="G200" s="75"/>
      <c r="H200" s="74"/>
      <c r="I200" s="74"/>
      <c r="J200" s="74"/>
      <c r="K200" s="74"/>
      <c r="L200" s="74"/>
      <c r="M200" s="72"/>
      <c r="N200" s="72"/>
      <c r="O200" s="72"/>
      <c r="P200" s="205"/>
      <c r="Q200" s="272">
        <f t="shared" si="160"/>
        <v>0</v>
      </c>
      <c r="R200" s="439"/>
      <c r="S200" s="18"/>
      <c r="W200" s="74"/>
    </row>
    <row r="201" spans="1:33" s="1" customFormat="1" x14ac:dyDescent="0.25">
      <c r="A201" s="238"/>
      <c r="B201" s="317"/>
      <c r="C201" s="318">
        <v>1</v>
      </c>
      <c r="D201" s="83" t="s">
        <v>459</v>
      </c>
      <c r="E201" s="539">
        <v>1337</v>
      </c>
      <c r="F201" s="242">
        <v>1446</v>
      </c>
      <c r="G201" s="73" t="s">
        <v>100</v>
      </c>
      <c r="H201" s="67">
        <f>10</f>
        <v>10</v>
      </c>
      <c r="I201" s="67">
        <f>F201*H201</f>
        <v>14460</v>
      </c>
      <c r="J201" s="67">
        <f t="shared" ref="J201:J209" si="209">W201/$J$164</f>
        <v>4.7058823529411766</v>
      </c>
      <c r="K201" s="67">
        <f t="shared" ref="K201:K209" si="210">F201*J201</f>
        <v>6804.7058823529414</v>
      </c>
      <c r="L201" s="72">
        <f t="shared" ref="L201:L209" si="211">I201+K201</f>
        <v>21264.705882352941</v>
      </c>
      <c r="M201" s="67">
        <f t="shared" ref="M201:M209" si="212">H201/$P$255*$P$263</f>
        <v>13.733625053200479</v>
      </c>
      <c r="N201" s="67">
        <f t="shared" ref="N201:N209" si="213">J201/$P$255*$P$263</f>
        <v>6.4628823779766957</v>
      </c>
      <c r="O201" s="72">
        <f t="shared" ref="O201:O209" si="214">N201+M201</f>
        <v>20.196507431177174</v>
      </c>
      <c r="P201" s="203">
        <f t="shared" ref="P201:P209" si="215">O201*F201</f>
        <v>29204.149745482195</v>
      </c>
      <c r="Q201" s="272">
        <f t="shared" si="160"/>
        <v>29204.149745482195</v>
      </c>
      <c r="R201" s="439">
        <f t="shared" ref="R201:R209" si="216">P201-Q201</f>
        <v>0</v>
      </c>
      <c r="S201" s="18"/>
      <c r="U201" s="18"/>
      <c r="V201" s="273"/>
      <c r="W201" s="67">
        <v>4</v>
      </c>
      <c r="X201" s="224"/>
      <c r="Y201" s="224"/>
      <c r="Z201" s="224"/>
      <c r="AA201" s="224"/>
      <c r="AB201" s="224"/>
      <c r="AC201" s="224"/>
      <c r="AD201" s="224"/>
      <c r="AE201" s="224"/>
      <c r="AF201" s="224"/>
    </row>
    <row r="202" spans="1:33" s="1" customFormat="1" x14ac:dyDescent="0.25">
      <c r="A202" s="238"/>
      <c r="B202" s="317"/>
      <c r="C202" s="318">
        <v>2</v>
      </c>
      <c r="D202" s="83" t="s">
        <v>460</v>
      </c>
      <c r="E202" s="539">
        <v>1113</v>
      </c>
      <c r="F202" s="242">
        <v>1320</v>
      </c>
      <c r="G202" s="73" t="s">
        <v>100</v>
      </c>
      <c r="H202" s="67">
        <f>25</f>
        <v>25</v>
      </c>
      <c r="I202" s="67">
        <f t="shared" ref="I202:I204" si="217">F202*H202</f>
        <v>33000</v>
      </c>
      <c r="J202" s="67">
        <f t="shared" si="209"/>
        <v>10.588235294117647</v>
      </c>
      <c r="K202" s="67">
        <f t="shared" si="210"/>
        <v>13976.470588235294</v>
      </c>
      <c r="L202" s="72">
        <f t="shared" si="211"/>
        <v>46976.470588235294</v>
      </c>
      <c r="M202" s="67">
        <f t="shared" si="212"/>
        <v>34.334062633001196</v>
      </c>
      <c r="N202" s="67">
        <f t="shared" si="213"/>
        <v>14.541485350447564</v>
      </c>
      <c r="O202" s="72">
        <f t="shared" si="214"/>
        <v>48.875547983448762</v>
      </c>
      <c r="P202" s="203">
        <f t="shared" si="215"/>
        <v>64515.723338152362</v>
      </c>
      <c r="Q202" s="272">
        <f t="shared" si="160"/>
        <v>64515.723338152362</v>
      </c>
      <c r="R202" s="439">
        <f t="shared" si="216"/>
        <v>0</v>
      </c>
      <c r="S202" s="18"/>
      <c r="U202" s="18"/>
      <c r="V202" s="273"/>
      <c r="W202" s="67">
        <v>9</v>
      </c>
      <c r="X202" s="224"/>
      <c r="Y202" s="224"/>
      <c r="Z202" s="224"/>
      <c r="AA202" s="224"/>
      <c r="AB202" s="224"/>
      <c r="AC202" s="224"/>
      <c r="AD202" s="224"/>
      <c r="AE202" s="224"/>
      <c r="AF202" s="224"/>
    </row>
    <row r="203" spans="1:33" s="1" customFormat="1" x14ac:dyDescent="0.25">
      <c r="A203" s="238"/>
      <c r="B203" s="317"/>
      <c r="C203" s="318">
        <v>3</v>
      </c>
      <c r="D203" s="83" t="s">
        <v>461</v>
      </c>
      <c r="E203" s="242">
        <v>33</v>
      </c>
      <c r="F203" s="242">
        <v>33</v>
      </c>
      <c r="G203" s="73" t="s">
        <v>28</v>
      </c>
      <c r="H203" s="67">
        <f>258</f>
        <v>258</v>
      </c>
      <c r="I203" s="67">
        <f t="shared" si="217"/>
        <v>8514</v>
      </c>
      <c r="J203" s="67">
        <f t="shared" si="209"/>
        <v>117.64705882352942</v>
      </c>
      <c r="K203" s="67">
        <f t="shared" si="210"/>
        <v>3882.3529411764707</v>
      </c>
      <c r="L203" s="72">
        <f t="shared" si="211"/>
        <v>12396.35294117647</v>
      </c>
      <c r="M203" s="67">
        <f t="shared" si="212"/>
        <v>354.32752637257232</v>
      </c>
      <c r="N203" s="67">
        <f t="shared" si="213"/>
        <v>161.5720594494174</v>
      </c>
      <c r="O203" s="72">
        <f t="shared" si="214"/>
        <v>515.89958582198972</v>
      </c>
      <c r="P203" s="203">
        <f t="shared" si="215"/>
        <v>17024.686332125661</v>
      </c>
      <c r="Q203" s="272">
        <f t="shared" si="160"/>
        <v>17024.686332125661</v>
      </c>
      <c r="R203" s="439">
        <f t="shared" si="216"/>
        <v>0</v>
      </c>
      <c r="S203" s="18"/>
      <c r="U203" s="18"/>
      <c r="V203" s="273"/>
      <c r="W203" s="67">
        <v>100</v>
      </c>
      <c r="X203" s="273"/>
      <c r="Y203" s="273"/>
      <c r="Z203" s="273"/>
      <c r="AA203" s="273"/>
      <c r="AB203" s="273"/>
      <c r="AC203" s="273"/>
      <c r="AD203" s="224"/>
      <c r="AE203" s="273"/>
      <c r="AF203" s="224"/>
      <c r="AG203" s="406"/>
    </row>
    <row r="204" spans="1:33" s="1" customFormat="1" x14ac:dyDescent="0.25">
      <c r="A204" s="238"/>
      <c r="B204" s="317"/>
      <c r="C204" s="318">
        <v>4</v>
      </c>
      <c r="D204" s="83" t="s">
        <v>462</v>
      </c>
      <c r="E204" s="242">
        <v>33</v>
      </c>
      <c r="F204" s="242">
        <v>33</v>
      </c>
      <c r="G204" s="73" t="s">
        <v>28</v>
      </c>
      <c r="H204" s="67">
        <f>456</f>
        <v>456</v>
      </c>
      <c r="I204" s="67">
        <f t="shared" si="217"/>
        <v>15048</v>
      </c>
      <c r="J204" s="67">
        <f t="shared" si="209"/>
        <v>117.64705882352942</v>
      </c>
      <c r="K204" s="67">
        <f t="shared" si="210"/>
        <v>3882.3529411764707</v>
      </c>
      <c r="L204" s="72">
        <f t="shared" si="211"/>
        <v>18930.352941176472</v>
      </c>
      <c r="M204" s="67">
        <f t="shared" si="212"/>
        <v>626.2533024259418</v>
      </c>
      <c r="N204" s="67">
        <f t="shared" si="213"/>
        <v>161.5720594494174</v>
      </c>
      <c r="O204" s="72">
        <f t="shared" si="214"/>
        <v>787.82536187535925</v>
      </c>
      <c r="P204" s="203">
        <f t="shared" si="215"/>
        <v>25998.236941886855</v>
      </c>
      <c r="Q204" s="272">
        <f t="shared" si="160"/>
        <v>25998.236941886855</v>
      </c>
      <c r="R204" s="439">
        <f t="shared" si="216"/>
        <v>0</v>
      </c>
      <c r="S204" s="18"/>
      <c r="U204" s="18"/>
      <c r="V204" s="273"/>
      <c r="W204" s="67">
        <v>100</v>
      </c>
      <c r="X204" s="273"/>
      <c r="Y204" s="273"/>
      <c r="Z204" s="273"/>
      <c r="AA204" s="273"/>
      <c r="AB204" s="273"/>
      <c r="AC204" s="273"/>
      <c r="AD204" s="224"/>
      <c r="AE204" s="273"/>
      <c r="AF204" s="224"/>
    </row>
    <row r="205" spans="1:33" s="1" customFormat="1" x14ac:dyDescent="0.25">
      <c r="A205" s="238"/>
      <c r="B205" s="317"/>
      <c r="C205" s="318">
        <v>1</v>
      </c>
      <c r="D205" s="83" t="s">
        <v>463</v>
      </c>
      <c r="E205" s="242">
        <v>1</v>
      </c>
      <c r="F205" s="242">
        <v>1</v>
      </c>
      <c r="G205" s="73" t="s">
        <v>251</v>
      </c>
      <c r="H205" s="67">
        <f>4500</f>
        <v>4500</v>
      </c>
      <c r="I205" s="67">
        <f>F205*H205</f>
        <v>4500</v>
      </c>
      <c r="J205" s="67">
        <f t="shared" si="209"/>
        <v>1058.8235294117646</v>
      </c>
      <c r="K205" s="67">
        <f t="shared" si="210"/>
        <v>1058.8235294117646</v>
      </c>
      <c r="L205" s="72">
        <f t="shared" si="211"/>
        <v>5558.8235294117649</v>
      </c>
      <c r="M205" s="67">
        <f t="shared" si="212"/>
        <v>6180.1312739402147</v>
      </c>
      <c r="N205" s="67">
        <f t="shared" si="213"/>
        <v>1454.1485350447563</v>
      </c>
      <c r="O205" s="72">
        <f t="shared" si="214"/>
        <v>7634.2798089849712</v>
      </c>
      <c r="P205" s="203">
        <f t="shared" si="215"/>
        <v>7634.2798089849712</v>
      </c>
      <c r="Q205" s="272">
        <f t="shared" si="160"/>
        <v>7634.2798089849721</v>
      </c>
      <c r="R205" s="439">
        <f t="shared" si="216"/>
        <v>0</v>
      </c>
      <c r="S205" s="18"/>
      <c r="U205" s="18"/>
      <c r="V205" s="273"/>
      <c r="W205" s="67">
        <v>900</v>
      </c>
      <c r="X205" s="224"/>
      <c r="Y205" s="224"/>
      <c r="Z205" s="224"/>
      <c r="AA205" s="224"/>
      <c r="AB205" s="224"/>
      <c r="AC205" s="224"/>
      <c r="AD205" s="224"/>
      <c r="AE205" s="224"/>
      <c r="AF205" s="224"/>
    </row>
    <row r="206" spans="1:33" s="1" customFormat="1" x14ac:dyDescent="0.25">
      <c r="A206" s="238"/>
      <c r="B206" s="317"/>
      <c r="C206" s="318">
        <v>2</v>
      </c>
      <c r="D206" s="83" t="s">
        <v>464</v>
      </c>
      <c r="E206" s="242">
        <v>1</v>
      </c>
      <c r="F206" s="242">
        <v>1</v>
      </c>
      <c r="G206" s="73" t="s">
        <v>251</v>
      </c>
      <c r="H206" s="67">
        <f>15000</f>
        <v>15000</v>
      </c>
      <c r="I206" s="67">
        <f t="shared" ref="I206:I208" si="218">F206*H206</f>
        <v>15000</v>
      </c>
      <c r="J206" s="67">
        <f t="shared" si="209"/>
        <v>3529.4117647058824</v>
      </c>
      <c r="K206" s="67">
        <f t="shared" si="210"/>
        <v>3529.4117647058824</v>
      </c>
      <c r="L206" s="72">
        <f t="shared" si="211"/>
        <v>18529.411764705881</v>
      </c>
      <c r="M206" s="67">
        <f t="shared" si="212"/>
        <v>20600.437579800717</v>
      </c>
      <c r="N206" s="67">
        <f t="shared" si="213"/>
        <v>4847.161783482522</v>
      </c>
      <c r="O206" s="72">
        <f t="shared" si="214"/>
        <v>25447.59936328324</v>
      </c>
      <c r="P206" s="203">
        <f t="shared" si="215"/>
        <v>25447.59936328324</v>
      </c>
      <c r="Q206" s="272">
        <f t="shared" si="160"/>
        <v>25447.599363283236</v>
      </c>
      <c r="R206" s="439">
        <f t="shared" si="216"/>
        <v>0</v>
      </c>
      <c r="S206" s="18"/>
      <c r="U206" s="18"/>
      <c r="V206" s="273"/>
      <c r="W206" s="67">
        <v>3000</v>
      </c>
      <c r="X206" s="224"/>
      <c r="Y206" s="224"/>
      <c r="Z206" s="224"/>
      <c r="AA206" s="224"/>
      <c r="AB206" s="224"/>
      <c r="AC206" s="224"/>
      <c r="AD206" s="224"/>
      <c r="AE206" s="224"/>
      <c r="AF206" s="224"/>
    </row>
    <row r="207" spans="1:33" s="1" customFormat="1" x14ac:dyDescent="0.25">
      <c r="A207" s="238"/>
      <c r="B207" s="317"/>
      <c r="C207" s="318">
        <v>3</v>
      </c>
      <c r="D207" s="83" t="s">
        <v>465</v>
      </c>
      <c r="E207" s="242">
        <v>1</v>
      </c>
      <c r="F207" s="242">
        <v>1</v>
      </c>
      <c r="G207" s="73" t="s">
        <v>243</v>
      </c>
      <c r="H207" s="67">
        <f>12000</f>
        <v>12000</v>
      </c>
      <c r="I207" s="67">
        <f t="shared" si="218"/>
        <v>12000</v>
      </c>
      <c r="J207" s="67">
        <f t="shared" si="209"/>
        <v>529.41176470588232</v>
      </c>
      <c r="K207" s="67">
        <f t="shared" si="210"/>
        <v>529.41176470588232</v>
      </c>
      <c r="L207" s="72">
        <f t="shared" si="211"/>
        <v>12529.411764705883</v>
      </c>
      <c r="M207" s="67">
        <f t="shared" si="212"/>
        <v>16480.350063840571</v>
      </c>
      <c r="N207" s="67">
        <f t="shared" si="213"/>
        <v>727.07426752237814</v>
      </c>
      <c r="O207" s="72">
        <f t="shared" si="214"/>
        <v>17207.424331362949</v>
      </c>
      <c r="P207" s="203">
        <f t="shared" si="215"/>
        <v>17207.424331362949</v>
      </c>
      <c r="Q207" s="272">
        <f t="shared" si="160"/>
        <v>17207.424331362952</v>
      </c>
      <c r="R207" s="439">
        <f t="shared" si="216"/>
        <v>0</v>
      </c>
      <c r="S207" s="18"/>
      <c r="U207" s="18"/>
      <c r="V207" s="273"/>
      <c r="W207" s="67">
        <v>450</v>
      </c>
      <c r="X207" s="273"/>
      <c r="Y207" s="273"/>
      <c r="Z207" s="273"/>
      <c r="AA207" s="273"/>
      <c r="AB207" s="273"/>
      <c r="AC207" s="273"/>
      <c r="AD207" s="224"/>
      <c r="AE207" s="273"/>
      <c r="AF207" s="224"/>
      <c r="AG207" s="406">
        <f>AE220*2+AE236*3</f>
        <v>40999</v>
      </c>
    </row>
    <row r="208" spans="1:33" s="1" customFormat="1" x14ac:dyDescent="0.25">
      <c r="A208" s="238"/>
      <c r="B208" s="317"/>
      <c r="C208" s="318">
        <v>4</v>
      </c>
      <c r="D208" s="83" t="s">
        <v>466</v>
      </c>
      <c r="E208" s="242">
        <v>2</v>
      </c>
      <c r="F208" s="242">
        <v>2</v>
      </c>
      <c r="G208" s="73" t="s">
        <v>283</v>
      </c>
      <c r="H208" s="67">
        <f>5612</f>
        <v>5612</v>
      </c>
      <c r="I208" s="67">
        <f t="shared" si="218"/>
        <v>11224</v>
      </c>
      <c r="J208" s="67">
        <f t="shared" si="209"/>
        <v>2352.9411764705883</v>
      </c>
      <c r="K208" s="67">
        <f t="shared" si="210"/>
        <v>4705.8823529411766</v>
      </c>
      <c r="L208" s="72">
        <f t="shared" si="211"/>
        <v>15929.882352941177</v>
      </c>
      <c r="M208" s="67">
        <f t="shared" si="212"/>
        <v>7707.3103798561078</v>
      </c>
      <c r="N208" s="67">
        <f t="shared" si="213"/>
        <v>3231.4411889883477</v>
      </c>
      <c r="O208" s="72">
        <f t="shared" si="214"/>
        <v>10938.751568844455</v>
      </c>
      <c r="P208" s="203">
        <f t="shared" si="215"/>
        <v>21877.503137688909</v>
      </c>
      <c r="Q208" s="272">
        <f t="shared" si="160"/>
        <v>21877.503137688913</v>
      </c>
      <c r="R208" s="439">
        <f t="shared" si="216"/>
        <v>0</v>
      </c>
      <c r="S208" s="18"/>
      <c r="U208" s="18"/>
      <c r="V208" s="273"/>
      <c r="W208" s="67">
        <v>2000</v>
      </c>
      <c r="X208" s="273"/>
      <c r="Y208" s="273"/>
      <c r="Z208" s="273"/>
      <c r="AA208" s="273"/>
      <c r="AB208" s="273"/>
      <c r="AC208" s="273"/>
      <c r="AD208" s="224"/>
      <c r="AE208" s="273"/>
      <c r="AF208" s="224"/>
    </row>
    <row r="209" spans="1:39" s="1" customFormat="1" x14ac:dyDescent="0.25">
      <c r="A209" s="238"/>
      <c r="B209" s="317"/>
      <c r="C209" s="318">
        <v>5</v>
      </c>
      <c r="D209" s="83" t="s">
        <v>467</v>
      </c>
      <c r="E209" s="242">
        <v>1</v>
      </c>
      <c r="F209" s="242">
        <v>1</v>
      </c>
      <c r="G209" s="73" t="s">
        <v>301</v>
      </c>
      <c r="H209" s="67">
        <f>7500+3000</f>
        <v>10500</v>
      </c>
      <c r="I209" s="67">
        <f>F209*H209</f>
        <v>10500</v>
      </c>
      <c r="J209" s="67">
        <f t="shared" si="209"/>
        <v>6470.588235294118</v>
      </c>
      <c r="K209" s="67">
        <f t="shared" si="210"/>
        <v>6470.588235294118</v>
      </c>
      <c r="L209" s="72">
        <f t="shared" si="211"/>
        <v>16970.588235294119</v>
      </c>
      <c r="M209" s="67">
        <f t="shared" si="212"/>
        <v>14420.306305860502</v>
      </c>
      <c r="N209" s="67">
        <f t="shared" si="213"/>
        <v>8886.4632697179568</v>
      </c>
      <c r="O209" s="72">
        <f t="shared" si="214"/>
        <v>23306.769575578459</v>
      </c>
      <c r="P209" s="203">
        <f t="shared" si="215"/>
        <v>23306.769575578459</v>
      </c>
      <c r="Q209" s="272">
        <f t="shared" ref="Q209:Q238" si="219">L209/$P$255*$P$263</f>
        <v>23306.769575578459</v>
      </c>
      <c r="R209" s="439">
        <f t="shared" si="216"/>
        <v>0</v>
      </c>
      <c r="S209" s="18"/>
      <c r="U209" s="18"/>
      <c r="V209" s="273"/>
      <c r="W209" s="67">
        <f>2500+3000</f>
        <v>5500</v>
      </c>
      <c r="X209" s="496" t="s">
        <v>7</v>
      </c>
      <c r="Y209" s="496" t="s">
        <v>6</v>
      </c>
      <c r="Z209" s="496" t="s">
        <v>5</v>
      </c>
      <c r="AA209" s="897" t="s">
        <v>380</v>
      </c>
      <c r="AB209" s="897"/>
      <c r="AC209" s="897"/>
      <c r="AD209" s="897" t="s">
        <v>381</v>
      </c>
      <c r="AE209" s="897"/>
      <c r="AF209" s="384"/>
      <c r="AG209" s="385"/>
      <c r="AH209" s="385"/>
      <c r="AI209" s="385"/>
      <c r="AJ209" s="385"/>
      <c r="AK209" s="385" t="s">
        <v>397</v>
      </c>
      <c r="AL209" s="385" t="s">
        <v>398</v>
      </c>
    </row>
    <row r="210" spans="1:39" ht="15.75" thickBot="1" x14ac:dyDescent="0.3">
      <c r="A210" s="238"/>
      <c r="B210" s="249"/>
      <c r="C210" s="293"/>
      <c r="D210" s="83"/>
      <c r="E210" s="242"/>
      <c r="F210" s="302"/>
      <c r="G210" s="68"/>
      <c r="H210" s="67"/>
      <c r="I210" s="67"/>
      <c r="J210" s="67"/>
      <c r="K210" s="67"/>
      <c r="L210" s="67"/>
      <c r="M210" s="72"/>
      <c r="N210" s="72"/>
      <c r="O210" s="72"/>
      <c r="P210" s="205"/>
      <c r="Q210" s="272">
        <f t="shared" si="219"/>
        <v>0</v>
      </c>
      <c r="R210" s="439"/>
      <c r="V210" s="273"/>
      <c r="W210" s="368" t="s">
        <v>400</v>
      </c>
      <c r="X210" s="496"/>
      <c r="Y210" s="496"/>
      <c r="Z210" s="496"/>
      <c r="AA210" s="496"/>
      <c r="AB210" s="496"/>
      <c r="AC210" s="496"/>
      <c r="AD210" s="496"/>
      <c r="AE210" s="496"/>
      <c r="AF210" s="386"/>
      <c r="AG210" s="386">
        <v>0.6</v>
      </c>
      <c r="AH210" s="387">
        <v>1.8</v>
      </c>
      <c r="AI210" s="385">
        <f>AG210*AH210</f>
        <v>1.08</v>
      </c>
      <c r="AJ210" s="387">
        <f>AG210+AH210</f>
        <v>2.4</v>
      </c>
      <c r="AK210" s="385">
        <v>0.6</v>
      </c>
      <c r="AL210" s="385">
        <v>0.15</v>
      </c>
    </row>
    <row r="211" spans="1:39" s="234" customFormat="1" ht="15.75" thickBot="1" x14ac:dyDescent="0.3">
      <c r="A211" s="308"/>
      <c r="B211" s="910" t="s">
        <v>345</v>
      </c>
      <c r="C211" s="911"/>
      <c r="D211" s="912"/>
      <c r="E211" s="309"/>
      <c r="F211" s="310"/>
      <c r="G211" s="311"/>
      <c r="H211" s="312"/>
      <c r="I211" s="313">
        <f>SUM(I151:I210)</f>
        <v>1367515.3352402137</v>
      </c>
      <c r="J211" s="312"/>
      <c r="K211" s="313">
        <f>SUM(K151:K210)</f>
        <v>347811.17647058825</v>
      </c>
      <c r="L211" s="313">
        <f>SUM(L151:L210)</f>
        <v>1715326.5117108023</v>
      </c>
      <c r="M211" s="312"/>
      <c r="N211" s="312"/>
      <c r="O211" s="313"/>
      <c r="P211" s="315">
        <f>SUM(P151:P210)</f>
        <v>2355765.1155650457</v>
      </c>
      <c r="Q211" s="272">
        <f t="shared" si="219"/>
        <v>2355765.1155650457</v>
      </c>
      <c r="R211" s="439">
        <f t="shared" ref="R211:R224" si="220">P211-Q211</f>
        <v>0</v>
      </c>
      <c r="T211" s="443"/>
      <c r="U211" s="275"/>
      <c r="V211" s="276"/>
      <c r="W211" s="496" t="s">
        <v>9</v>
      </c>
      <c r="X211" s="496" t="s">
        <v>382</v>
      </c>
      <c r="Y211" s="369">
        <f>+Y214*1.2</f>
        <v>2.2680000000000002</v>
      </c>
      <c r="Z211" s="370" t="s">
        <v>383</v>
      </c>
      <c r="AA211" s="371" t="s">
        <v>384</v>
      </c>
      <c r="AB211" s="372">
        <v>2300</v>
      </c>
      <c r="AC211" s="370" t="s">
        <v>385</v>
      </c>
      <c r="AD211" s="373" t="s">
        <v>384</v>
      </c>
      <c r="AE211" s="374">
        <f>Y211*AB211</f>
        <v>5216.4000000000005</v>
      </c>
      <c r="AF211" s="386"/>
      <c r="AG211" s="385">
        <v>0.15</v>
      </c>
      <c r="AH211" s="385">
        <v>1.8</v>
      </c>
      <c r="AI211" s="385">
        <f>AG211*AH211</f>
        <v>0.27</v>
      </c>
      <c r="AJ211" s="387">
        <f t="shared" ref="AJ211" si="221">AG211+AH211</f>
        <v>1.95</v>
      </c>
      <c r="AK211" s="385">
        <v>1.8</v>
      </c>
      <c r="AL211" s="385">
        <v>0.6</v>
      </c>
      <c r="AM211" s="282"/>
    </row>
    <row r="212" spans="1:39" ht="15.75" x14ac:dyDescent="0.25">
      <c r="A212" s="321" t="s">
        <v>346</v>
      </c>
      <c r="B212" s="320" t="s">
        <v>356</v>
      </c>
      <c r="C212" s="292"/>
      <c r="D212" s="83"/>
      <c r="E212" s="242"/>
      <c r="F212" s="302"/>
      <c r="G212" s="68"/>
      <c r="H212" s="67"/>
      <c r="I212" s="67"/>
      <c r="J212" s="67"/>
      <c r="K212" s="67"/>
      <c r="L212" s="67"/>
      <c r="M212" s="72"/>
      <c r="N212" s="72"/>
      <c r="O212" s="72"/>
      <c r="P212" s="205"/>
      <c r="Q212" s="272">
        <f t="shared" si="219"/>
        <v>0</v>
      </c>
      <c r="R212" s="439"/>
      <c r="V212" s="273"/>
      <c r="W212" s="375"/>
      <c r="X212" s="376"/>
      <c r="Y212" s="370"/>
      <c r="Z212" s="370"/>
      <c r="AA212" s="371"/>
      <c r="AB212" s="370"/>
      <c r="AC212" s="373" t="s">
        <v>386</v>
      </c>
      <c r="AD212" s="373" t="s">
        <v>384</v>
      </c>
      <c r="AE212" s="377">
        <f>SUM(AE211:AE211)</f>
        <v>5216.4000000000005</v>
      </c>
      <c r="AF212" s="386"/>
      <c r="AG212" s="385">
        <v>0.15</v>
      </c>
      <c r="AH212" s="385">
        <v>0.6</v>
      </c>
      <c r="AI212" s="385">
        <f>AG212*AH212</f>
        <v>0.09</v>
      </c>
      <c r="AJ212" s="387">
        <f>AG212+AH212</f>
        <v>0.75</v>
      </c>
      <c r="AK212" s="385">
        <v>0.15</v>
      </c>
      <c r="AL212" s="385">
        <v>1.8</v>
      </c>
    </row>
    <row r="213" spans="1:39" x14ac:dyDescent="0.25">
      <c r="A213" s="238"/>
      <c r="B213" s="290" t="s">
        <v>319</v>
      </c>
      <c r="C213" s="291" t="s">
        <v>403</v>
      </c>
      <c r="D213" s="83"/>
      <c r="E213" s="242"/>
      <c r="F213" s="242"/>
      <c r="G213" s="77"/>
      <c r="H213" s="74"/>
      <c r="I213" s="74"/>
      <c r="J213" s="74"/>
      <c r="K213" s="74"/>
      <c r="L213" s="72"/>
      <c r="M213" s="74"/>
      <c r="N213" s="74"/>
      <c r="O213" s="72"/>
      <c r="P213" s="203"/>
      <c r="Q213" s="272">
        <f t="shared" si="219"/>
        <v>0</v>
      </c>
      <c r="R213" s="439"/>
      <c r="V213" s="273"/>
      <c r="W213" s="375"/>
      <c r="X213" s="376"/>
      <c r="Y213" s="370"/>
      <c r="Z213" s="370"/>
      <c r="AA213" s="371"/>
      <c r="AB213" s="370"/>
      <c r="AC213" s="373"/>
      <c r="AD213" s="373"/>
      <c r="AE213" s="378"/>
      <c r="AF213" s="386"/>
      <c r="AG213" s="385">
        <v>0.15</v>
      </c>
      <c r="AH213" s="385">
        <v>0.6</v>
      </c>
      <c r="AI213" s="385">
        <f>AG213*AH213</f>
        <v>0.09</v>
      </c>
      <c r="AJ213" s="387">
        <f>AG213+AH213</f>
        <v>0.75</v>
      </c>
      <c r="AK213" s="385"/>
      <c r="AL213" s="385">
        <v>0.6</v>
      </c>
    </row>
    <row r="214" spans="1:39" x14ac:dyDescent="0.25">
      <c r="A214" s="238"/>
      <c r="B214" s="249"/>
      <c r="C214" s="293">
        <v>1</v>
      </c>
      <c r="D214" s="83" t="s">
        <v>404</v>
      </c>
      <c r="E214" s="242">
        <v>10</v>
      </c>
      <c r="F214" s="242">
        <v>10</v>
      </c>
      <c r="G214" s="77" t="s">
        <v>28</v>
      </c>
      <c r="H214" s="74"/>
      <c r="I214" s="74">
        <f t="shared" ref="I214:I224" si="222">F214*H214</f>
        <v>0</v>
      </c>
      <c r="J214" s="74">
        <f>750+100</f>
        <v>850</v>
      </c>
      <c r="K214" s="74">
        <f t="shared" ref="K214:K224" si="223">F214*J214</f>
        <v>8500</v>
      </c>
      <c r="L214" s="72">
        <f t="shared" ref="L214:L224" si="224">I214+K214</f>
        <v>8500</v>
      </c>
      <c r="M214" s="74" t="s">
        <v>469</v>
      </c>
      <c r="N214" s="74">
        <f t="shared" ref="N214:N224" si="225">J214/$P$255*$P$263</f>
        <v>1167.3581295220406</v>
      </c>
      <c r="O214" s="72">
        <f>N214</f>
        <v>1167.3581295220406</v>
      </c>
      <c r="P214" s="203">
        <f t="shared" ref="P214:P224" si="226">O214*F214</f>
        <v>11673.581295220407</v>
      </c>
      <c r="Q214" s="272">
        <f t="shared" si="219"/>
        <v>11673.581295220407</v>
      </c>
      <c r="R214" s="439">
        <f t="shared" si="220"/>
        <v>0</v>
      </c>
      <c r="V214" s="273"/>
      <c r="W214" s="496" t="s">
        <v>10</v>
      </c>
      <c r="X214" s="379" t="s">
        <v>387</v>
      </c>
      <c r="Y214" s="380">
        <f>AI218</f>
        <v>1.8900000000000003</v>
      </c>
      <c r="Z214" s="370" t="s">
        <v>383</v>
      </c>
      <c r="AA214" s="371" t="s">
        <v>384</v>
      </c>
      <c r="AB214" s="372">
        <v>400</v>
      </c>
      <c r="AC214" s="370" t="s">
        <v>385</v>
      </c>
      <c r="AD214" s="373" t="s">
        <v>384</v>
      </c>
      <c r="AE214" s="378">
        <f t="shared" ref="AE214:AE218" si="227">Y214*AB214</f>
        <v>756.00000000000011</v>
      </c>
      <c r="AF214" s="386"/>
      <c r="AG214" s="385">
        <v>0.2</v>
      </c>
      <c r="AH214" s="385">
        <v>1.8</v>
      </c>
      <c r="AI214" s="385">
        <f>AG214*AH214</f>
        <v>0.36000000000000004</v>
      </c>
      <c r="AJ214" s="387">
        <f>AG214+AH214</f>
        <v>2</v>
      </c>
      <c r="AK214" s="385"/>
      <c r="AL214" s="385">
        <v>0.2</v>
      </c>
    </row>
    <row r="215" spans="1:39" x14ac:dyDescent="0.25">
      <c r="A215" s="524"/>
      <c r="B215" s="249"/>
      <c r="C215" s="293">
        <v>2</v>
      </c>
      <c r="D215" s="83" t="s">
        <v>405</v>
      </c>
      <c r="E215" s="242">
        <v>3</v>
      </c>
      <c r="F215" s="242">
        <v>3</v>
      </c>
      <c r="G215" s="77" t="s">
        <v>28</v>
      </c>
      <c r="H215" s="74"/>
      <c r="I215" s="74">
        <f>F215*H215</f>
        <v>0</v>
      </c>
      <c r="J215" s="74">
        <f>750+100</f>
        <v>850</v>
      </c>
      <c r="K215" s="74">
        <f>F215*J215</f>
        <v>2550</v>
      </c>
      <c r="L215" s="72">
        <f>I215+K215</f>
        <v>2550</v>
      </c>
      <c r="M215" s="74" t="s">
        <v>469</v>
      </c>
      <c r="N215" s="74">
        <f t="shared" si="225"/>
        <v>1167.3581295220406</v>
      </c>
      <c r="O215" s="72">
        <f t="shared" ref="O215:O221" si="228">N215</f>
        <v>1167.3581295220406</v>
      </c>
      <c r="P215" s="203">
        <f>O215*F215</f>
        <v>3502.0743885661218</v>
      </c>
      <c r="Q215" s="272">
        <f t="shared" si="219"/>
        <v>3502.0743885661223</v>
      </c>
      <c r="R215" s="439">
        <f>P215-Q215</f>
        <v>0</v>
      </c>
      <c r="V215" s="273"/>
      <c r="W215" s="496"/>
      <c r="X215" s="379" t="s">
        <v>388</v>
      </c>
      <c r="Y215" s="380">
        <f>AJ218</f>
        <v>7.85</v>
      </c>
      <c r="Z215" s="370" t="s">
        <v>383</v>
      </c>
      <c r="AA215" s="371"/>
      <c r="AB215" s="372">
        <v>100</v>
      </c>
      <c r="AC215" s="370" t="s">
        <v>385</v>
      </c>
      <c r="AD215" s="373"/>
      <c r="AE215" s="378">
        <f t="shared" si="227"/>
        <v>785</v>
      </c>
      <c r="AF215" s="386"/>
      <c r="AG215" s="385"/>
      <c r="AH215" s="385"/>
      <c r="AI215" s="385"/>
      <c r="AJ215" s="387"/>
      <c r="AK215" s="385"/>
      <c r="AL215" s="385"/>
    </row>
    <row r="216" spans="1:39" x14ac:dyDescent="0.25">
      <c r="A216" s="525"/>
      <c r="B216" s="249"/>
      <c r="C216" s="293">
        <v>3</v>
      </c>
      <c r="D216" s="83" t="s">
        <v>406</v>
      </c>
      <c r="E216" s="242">
        <v>7</v>
      </c>
      <c r="F216" s="242">
        <v>7</v>
      </c>
      <c r="G216" s="77" t="s">
        <v>28</v>
      </c>
      <c r="H216" s="74"/>
      <c r="I216" s="74">
        <f t="shared" si="222"/>
        <v>0</v>
      </c>
      <c r="J216" s="74">
        <f>600+100</f>
        <v>700</v>
      </c>
      <c r="K216" s="74">
        <f t="shared" si="223"/>
        <v>4900</v>
      </c>
      <c r="L216" s="72">
        <f t="shared" si="224"/>
        <v>4900</v>
      </c>
      <c r="M216" s="74" t="s">
        <v>469</v>
      </c>
      <c r="N216" s="74">
        <f t="shared" si="225"/>
        <v>961.35375372403348</v>
      </c>
      <c r="O216" s="72">
        <f t="shared" si="228"/>
        <v>961.35375372403348</v>
      </c>
      <c r="P216" s="203">
        <f t="shared" si="226"/>
        <v>6729.4762760682343</v>
      </c>
      <c r="Q216" s="272">
        <f t="shared" si="219"/>
        <v>6729.4762760682343</v>
      </c>
      <c r="R216" s="439">
        <f t="shared" si="220"/>
        <v>0</v>
      </c>
      <c r="V216" s="273"/>
      <c r="W216" s="496"/>
      <c r="X216" s="379" t="s">
        <v>389</v>
      </c>
      <c r="Y216" s="380">
        <f>AK218</f>
        <v>2.5499999999999998</v>
      </c>
      <c r="Z216" s="370" t="s">
        <v>100</v>
      </c>
      <c r="AA216" s="371"/>
      <c r="AB216" s="372">
        <v>400</v>
      </c>
      <c r="AC216" s="381" t="s">
        <v>390</v>
      </c>
      <c r="AD216" s="373"/>
      <c r="AE216" s="378">
        <f t="shared" si="227"/>
        <v>1019.9999999999999</v>
      </c>
      <c r="AF216" s="386"/>
      <c r="AG216" s="385"/>
      <c r="AH216" s="385"/>
      <c r="AI216" s="385"/>
      <c r="AJ216" s="387"/>
      <c r="AK216" s="385"/>
      <c r="AL216" s="385"/>
    </row>
    <row r="217" spans="1:39" x14ac:dyDescent="0.25">
      <c r="A217" s="238"/>
      <c r="B217" s="249"/>
      <c r="C217" s="293">
        <v>4</v>
      </c>
      <c r="D217" s="83" t="s">
        <v>407</v>
      </c>
      <c r="E217" s="242">
        <v>7</v>
      </c>
      <c r="F217" s="242">
        <v>7</v>
      </c>
      <c r="G217" s="77" t="s">
        <v>28</v>
      </c>
      <c r="H217" s="74"/>
      <c r="I217" s="74">
        <f t="shared" si="222"/>
        <v>0</v>
      </c>
      <c r="J217" s="74">
        <f>300+100</f>
        <v>400</v>
      </c>
      <c r="K217" s="74">
        <f t="shared" si="223"/>
        <v>2800</v>
      </c>
      <c r="L217" s="72">
        <f t="shared" si="224"/>
        <v>2800</v>
      </c>
      <c r="M217" s="74" t="s">
        <v>469</v>
      </c>
      <c r="N217" s="74">
        <f t="shared" si="225"/>
        <v>549.34500212801913</v>
      </c>
      <c r="O217" s="72">
        <f t="shared" si="228"/>
        <v>549.34500212801913</v>
      </c>
      <c r="P217" s="203">
        <f t="shared" si="226"/>
        <v>3845.4150148961339</v>
      </c>
      <c r="Q217" s="272">
        <f t="shared" si="219"/>
        <v>3845.4150148961339</v>
      </c>
      <c r="R217" s="439">
        <f t="shared" si="220"/>
        <v>0</v>
      </c>
      <c r="V217" s="273"/>
      <c r="W217" s="496"/>
      <c r="X217" s="379" t="s">
        <v>391</v>
      </c>
      <c r="Y217" s="380">
        <f>AL218</f>
        <v>3.35</v>
      </c>
      <c r="Z217" s="370" t="s">
        <v>100</v>
      </c>
      <c r="AA217" s="371"/>
      <c r="AB217" s="372">
        <v>400</v>
      </c>
      <c r="AC217" s="381" t="s">
        <v>390</v>
      </c>
      <c r="AD217" s="373"/>
      <c r="AE217" s="378">
        <f t="shared" si="227"/>
        <v>1340</v>
      </c>
      <c r="AF217" s="386"/>
      <c r="AG217" s="385"/>
      <c r="AH217" s="385"/>
      <c r="AI217" s="385"/>
      <c r="AJ217" s="387"/>
      <c r="AK217" s="385"/>
      <c r="AL217" s="385"/>
    </row>
    <row r="218" spans="1:39" x14ac:dyDescent="0.25">
      <c r="A218" s="238"/>
      <c r="B218" s="249"/>
      <c r="C218" s="293">
        <v>5</v>
      </c>
      <c r="D218" s="83" t="s">
        <v>408</v>
      </c>
      <c r="E218" s="242">
        <v>2</v>
      </c>
      <c r="F218" s="242">
        <v>2</v>
      </c>
      <c r="G218" s="77" t="s">
        <v>28</v>
      </c>
      <c r="H218" s="74"/>
      <c r="I218" s="74">
        <f t="shared" si="222"/>
        <v>0</v>
      </c>
      <c r="J218" s="74">
        <f>400+100</f>
        <v>500</v>
      </c>
      <c r="K218" s="74">
        <f t="shared" si="223"/>
        <v>1000</v>
      </c>
      <c r="L218" s="72">
        <f t="shared" si="224"/>
        <v>1000</v>
      </c>
      <c r="M218" s="74" t="s">
        <v>469</v>
      </c>
      <c r="N218" s="74">
        <f t="shared" si="225"/>
        <v>686.68125266002392</v>
      </c>
      <c r="O218" s="72">
        <f t="shared" si="228"/>
        <v>686.68125266002392</v>
      </c>
      <c r="P218" s="203">
        <f t="shared" si="226"/>
        <v>1373.3625053200478</v>
      </c>
      <c r="Q218" s="272">
        <f t="shared" si="219"/>
        <v>1373.3625053200478</v>
      </c>
      <c r="R218" s="439">
        <f t="shared" si="220"/>
        <v>0</v>
      </c>
      <c r="V218" s="273"/>
      <c r="W218" s="496"/>
      <c r="X218" s="379" t="s">
        <v>392</v>
      </c>
      <c r="Y218" s="382">
        <v>2</v>
      </c>
      <c r="Z218" s="370" t="s">
        <v>393</v>
      </c>
      <c r="AA218" s="373"/>
      <c r="AB218" s="372">
        <v>500</v>
      </c>
      <c r="AC218" s="381" t="s">
        <v>394</v>
      </c>
      <c r="AD218" s="373"/>
      <c r="AE218" s="374">
        <f t="shared" si="227"/>
        <v>1000</v>
      </c>
      <c r="AF218" s="386"/>
      <c r="AG218" s="385"/>
      <c r="AH218" s="385"/>
      <c r="AI218" s="388">
        <f>SUM(AI210:AI214)</f>
        <v>1.8900000000000003</v>
      </c>
      <c r="AJ218" s="388">
        <f>SUM(AJ210:AJ214)</f>
        <v>7.85</v>
      </c>
      <c r="AK218" s="388">
        <f>SUM(AK210:AK213)</f>
        <v>2.5499999999999998</v>
      </c>
      <c r="AL218" s="388">
        <f>SUM(AL210:AL214)</f>
        <v>3.35</v>
      </c>
    </row>
    <row r="219" spans="1:39" x14ac:dyDescent="0.25">
      <c r="A219" s="238"/>
      <c r="B219" s="249"/>
      <c r="C219" s="293">
        <v>6</v>
      </c>
      <c r="D219" s="83" t="s">
        <v>409</v>
      </c>
      <c r="E219" s="242">
        <v>2</v>
      </c>
      <c r="F219" s="242">
        <v>2</v>
      </c>
      <c r="G219" s="77" t="s">
        <v>28</v>
      </c>
      <c r="H219" s="74"/>
      <c r="I219" s="74">
        <f t="shared" si="222"/>
        <v>0</v>
      </c>
      <c r="J219" s="74">
        <f>400+100</f>
        <v>500</v>
      </c>
      <c r="K219" s="74">
        <f t="shared" si="223"/>
        <v>1000</v>
      </c>
      <c r="L219" s="72">
        <f t="shared" si="224"/>
        <v>1000</v>
      </c>
      <c r="M219" s="74" t="s">
        <v>469</v>
      </c>
      <c r="N219" s="74">
        <f t="shared" si="225"/>
        <v>686.68125266002392</v>
      </c>
      <c r="O219" s="72">
        <f t="shared" si="228"/>
        <v>686.68125266002392</v>
      </c>
      <c r="P219" s="203">
        <f t="shared" si="226"/>
        <v>1373.3625053200478</v>
      </c>
      <c r="Q219" s="272">
        <f t="shared" si="219"/>
        <v>1373.3625053200478</v>
      </c>
      <c r="R219" s="439">
        <f t="shared" si="220"/>
        <v>0</v>
      </c>
      <c r="V219" s="273"/>
      <c r="W219" s="375"/>
      <c r="X219" s="376"/>
      <c r="Y219" s="370"/>
      <c r="Z219" s="370"/>
      <c r="AA219" s="373"/>
      <c r="AB219" s="370"/>
      <c r="AC219" s="373" t="s">
        <v>395</v>
      </c>
      <c r="AD219" s="373" t="s">
        <v>384</v>
      </c>
      <c r="AE219" s="377">
        <f>SUM(AE214:AE218)</f>
        <v>4901</v>
      </c>
      <c r="AF219" s="386"/>
      <c r="AG219" s="385"/>
      <c r="AH219" s="385"/>
      <c r="AI219" s="385"/>
      <c r="AJ219" s="387"/>
      <c r="AK219" s="385"/>
      <c r="AL219" s="385"/>
    </row>
    <row r="220" spans="1:39" ht="15.75" thickBot="1" x14ac:dyDescent="0.3">
      <c r="A220" s="238"/>
      <c r="B220" s="249"/>
      <c r="C220" s="293">
        <v>7</v>
      </c>
      <c r="D220" s="83" t="s">
        <v>410</v>
      </c>
      <c r="E220" s="242">
        <v>2</v>
      </c>
      <c r="F220" s="242">
        <v>2</v>
      </c>
      <c r="G220" s="77" t="s">
        <v>28</v>
      </c>
      <c r="H220" s="74"/>
      <c r="I220" s="74">
        <f t="shared" si="222"/>
        <v>0</v>
      </c>
      <c r="J220" s="74">
        <f>200+100</f>
        <v>300</v>
      </c>
      <c r="K220" s="74">
        <f t="shared" si="223"/>
        <v>600</v>
      </c>
      <c r="L220" s="72">
        <f t="shared" si="224"/>
        <v>600</v>
      </c>
      <c r="M220" s="74" t="s">
        <v>469</v>
      </c>
      <c r="N220" s="74">
        <f t="shared" si="225"/>
        <v>412.00875159601429</v>
      </c>
      <c r="O220" s="72">
        <f t="shared" si="228"/>
        <v>412.00875159601429</v>
      </c>
      <c r="P220" s="203">
        <f t="shared" si="226"/>
        <v>824.01750319202858</v>
      </c>
      <c r="Q220" s="272">
        <f t="shared" si="219"/>
        <v>824.01750319202858</v>
      </c>
      <c r="R220" s="439">
        <f t="shared" si="220"/>
        <v>0</v>
      </c>
      <c r="V220" s="273"/>
      <c r="W220" s="375"/>
      <c r="X220" s="376"/>
      <c r="Y220" s="370"/>
      <c r="Z220" s="370"/>
      <c r="AA220" s="373"/>
      <c r="AB220" s="370"/>
      <c r="AC220" s="373" t="s">
        <v>396</v>
      </c>
      <c r="AD220" s="373" t="s">
        <v>384</v>
      </c>
      <c r="AE220" s="383">
        <f>AE212+AE219</f>
        <v>10117.400000000001</v>
      </c>
      <c r="AF220" s="386"/>
      <c r="AG220" s="385"/>
      <c r="AH220" s="385"/>
      <c r="AI220" s="385"/>
      <c r="AJ220" s="387"/>
      <c r="AK220" s="385"/>
      <c r="AL220" s="385"/>
    </row>
    <row r="221" spans="1:39" ht="15.75" thickTop="1" x14ac:dyDescent="0.25">
      <c r="A221" s="238"/>
      <c r="B221" s="249"/>
      <c r="C221" s="293">
        <v>8</v>
      </c>
      <c r="D221" s="83" t="s">
        <v>358</v>
      </c>
      <c r="E221" s="242">
        <v>10</v>
      </c>
      <c r="F221" s="242">
        <v>10</v>
      </c>
      <c r="G221" s="77" t="s">
        <v>28</v>
      </c>
      <c r="H221" s="74"/>
      <c r="I221" s="74">
        <f t="shared" si="222"/>
        <v>0</v>
      </c>
      <c r="J221" s="74">
        <f>250+100</f>
        <v>350</v>
      </c>
      <c r="K221" s="74">
        <f t="shared" si="223"/>
        <v>3500</v>
      </c>
      <c r="L221" s="72">
        <f t="shared" si="224"/>
        <v>3500</v>
      </c>
      <c r="M221" s="74" t="s">
        <v>469</v>
      </c>
      <c r="N221" s="74">
        <f t="shared" si="225"/>
        <v>480.67687686201674</v>
      </c>
      <c r="O221" s="72">
        <f t="shared" si="228"/>
        <v>480.67687686201674</v>
      </c>
      <c r="P221" s="203">
        <f t="shared" si="226"/>
        <v>4806.7687686201671</v>
      </c>
      <c r="Q221" s="272">
        <f t="shared" si="219"/>
        <v>4806.768768620168</v>
      </c>
      <c r="R221" s="439">
        <f t="shared" si="220"/>
        <v>0</v>
      </c>
      <c r="V221" s="273"/>
      <c r="W221" s="389"/>
      <c r="X221" s="390"/>
      <c r="Y221" s="391"/>
      <c r="Z221" s="391"/>
      <c r="AA221" s="392"/>
      <c r="AB221" s="391"/>
      <c r="AC221" s="392"/>
      <c r="AD221" s="392"/>
      <c r="AE221" s="378"/>
      <c r="AF221" s="393"/>
      <c r="AG221" s="394"/>
      <c r="AH221" s="394"/>
      <c r="AI221" s="394"/>
      <c r="AJ221" s="395"/>
      <c r="AK221" s="394"/>
      <c r="AL221" s="394"/>
    </row>
    <row r="222" spans="1:39" x14ac:dyDescent="0.25">
      <c r="A222" s="238"/>
      <c r="B222" s="249"/>
      <c r="C222" s="293">
        <v>9</v>
      </c>
      <c r="D222" s="83" t="s">
        <v>468</v>
      </c>
      <c r="E222" s="242">
        <v>12</v>
      </c>
      <c r="F222" s="242">
        <v>12</v>
      </c>
      <c r="G222" s="77" t="s">
        <v>28</v>
      </c>
      <c r="H222" s="74">
        <f>550/1.05</f>
        <v>523.80952380952374</v>
      </c>
      <c r="I222" s="74">
        <f t="shared" si="222"/>
        <v>6285.7142857142844</v>
      </c>
      <c r="J222" s="74">
        <f>150+100</f>
        <v>250</v>
      </c>
      <c r="K222" s="74">
        <f t="shared" si="223"/>
        <v>3000</v>
      </c>
      <c r="L222" s="72">
        <f t="shared" si="224"/>
        <v>9285.7142857142844</v>
      </c>
      <c r="M222" s="74">
        <f>H222/$P$255*$P$263</f>
        <v>719.38035992954872</v>
      </c>
      <c r="N222" s="74">
        <f t="shared" si="225"/>
        <v>343.34062633001196</v>
      </c>
      <c r="O222" s="72">
        <f t="shared" ref="O222:O224" si="229">N222+M222</f>
        <v>1062.7209862595607</v>
      </c>
      <c r="P222" s="203">
        <f t="shared" si="226"/>
        <v>12752.651835114728</v>
      </c>
      <c r="Q222" s="272">
        <f t="shared" si="219"/>
        <v>12752.651835114726</v>
      </c>
      <c r="R222" s="439">
        <f t="shared" si="220"/>
        <v>0</v>
      </c>
      <c r="V222" s="273"/>
      <c r="W222" s="396"/>
      <c r="X222" s="397"/>
      <c r="Y222" s="397"/>
      <c r="Z222" s="397"/>
      <c r="AA222" s="397"/>
      <c r="AB222" s="397"/>
      <c r="AC222" s="397"/>
      <c r="AD222" s="397"/>
      <c r="AE222" s="397"/>
      <c r="AF222" s="393"/>
      <c r="AG222" s="393"/>
      <c r="AH222" s="395"/>
      <c r="AI222" s="394"/>
      <c r="AJ222" s="395"/>
      <c r="AK222" s="394"/>
      <c r="AL222" s="394"/>
    </row>
    <row r="223" spans="1:39" x14ac:dyDescent="0.25">
      <c r="A223" s="238"/>
      <c r="B223" s="249"/>
      <c r="C223" s="293">
        <v>10</v>
      </c>
      <c r="D223" s="83" t="s">
        <v>470</v>
      </c>
      <c r="E223" s="242">
        <v>2</v>
      </c>
      <c r="F223" s="242">
        <v>2</v>
      </c>
      <c r="G223" s="77" t="s">
        <v>28</v>
      </c>
      <c r="H223" s="74">
        <f>6000/1.05</f>
        <v>5714.2857142857138</v>
      </c>
      <c r="I223" s="74">
        <f t="shared" si="222"/>
        <v>11428.571428571428</v>
      </c>
      <c r="J223" s="74">
        <v>1500</v>
      </c>
      <c r="K223" s="74">
        <f t="shared" si="223"/>
        <v>3000</v>
      </c>
      <c r="L223" s="72">
        <f t="shared" si="224"/>
        <v>14428.571428571428</v>
      </c>
      <c r="M223" s="74">
        <f>H223/$P$255*$P$263</f>
        <v>7847.7857446859862</v>
      </c>
      <c r="N223" s="74">
        <f t="shared" si="225"/>
        <v>2060.0437579800714</v>
      </c>
      <c r="O223" s="72">
        <f t="shared" si="229"/>
        <v>9907.829502666058</v>
      </c>
      <c r="P223" s="203">
        <f t="shared" si="226"/>
        <v>19815.659005332116</v>
      </c>
      <c r="Q223" s="272">
        <f t="shared" si="219"/>
        <v>19815.659005332116</v>
      </c>
      <c r="R223" s="439">
        <f t="shared" si="220"/>
        <v>0</v>
      </c>
      <c r="V223" s="273"/>
      <c r="AD223" s="18"/>
      <c r="AF223" s="384"/>
      <c r="AG223" s="385"/>
      <c r="AH223" s="385"/>
      <c r="AI223" s="385"/>
      <c r="AJ223" s="385"/>
      <c r="AK223" s="385" t="s">
        <v>397</v>
      </c>
      <c r="AL223" s="385" t="s">
        <v>398</v>
      </c>
    </row>
    <row r="224" spans="1:39" x14ac:dyDescent="0.25">
      <c r="A224" s="238"/>
      <c r="B224" s="249"/>
      <c r="C224" s="293">
        <v>11</v>
      </c>
      <c r="D224" s="83" t="s">
        <v>467</v>
      </c>
      <c r="E224" s="242">
        <v>1</v>
      </c>
      <c r="F224" s="242">
        <v>1</v>
      </c>
      <c r="G224" s="77" t="s">
        <v>301</v>
      </c>
      <c r="H224" s="74">
        <v>10000</v>
      </c>
      <c r="I224" s="74">
        <f t="shared" si="222"/>
        <v>10000</v>
      </c>
      <c r="J224" s="74">
        <v>4000</v>
      </c>
      <c r="K224" s="74">
        <f t="shared" si="223"/>
        <v>4000</v>
      </c>
      <c r="L224" s="72">
        <f t="shared" si="224"/>
        <v>14000</v>
      </c>
      <c r="M224" s="74">
        <f>H224/$P$255*$P$263</f>
        <v>13733.625053200478</v>
      </c>
      <c r="N224" s="74">
        <f t="shared" si="225"/>
        <v>5493.4500212801913</v>
      </c>
      <c r="O224" s="72">
        <f t="shared" si="229"/>
        <v>19227.075074480668</v>
      </c>
      <c r="P224" s="203">
        <f t="shared" si="226"/>
        <v>19227.075074480668</v>
      </c>
      <c r="Q224" s="272">
        <f t="shared" si="219"/>
        <v>19227.075074480672</v>
      </c>
      <c r="R224" s="439">
        <f t="shared" si="220"/>
        <v>0</v>
      </c>
      <c r="V224" s="273"/>
      <c r="W224" s="496" t="s">
        <v>4</v>
      </c>
      <c r="X224" s="496" t="s">
        <v>7</v>
      </c>
      <c r="Y224" s="496" t="s">
        <v>6</v>
      </c>
      <c r="Z224" s="496" t="s">
        <v>5</v>
      </c>
      <c r="AA224" s="897" t="s">
        <v>380</v>
      </c>
      <c r="AB224" s="897"/>
      <c r="AC224" s="897"/>
      <c r="AD224" s="897" t="s">
        <v>381</v>
      </c>
      <c r="AE224" s="897"/>
      <c r="AF224" s="384"/>
      <c r="AG224" s="385"/>
      <c r="AH224" s="385"/>
      <c r="AI224" s="385"/>
      <c r="AJ224" s="385"/>
      <c r="AK224" s="385"/>
      <c r="AL224" s="385"/>
    </row>
    <row r="225" spans="1:39" x14ac:dyDescent="0.25">
      <c r="A225" s="238"/>
      <c r="B225" s="249"/>
      <c r="C225" s="293"/>
      <c r="D225" s="83"/>
      <c r="E225" s="242"/>
      <c r="F225" s="302"/>
      <c r="G225" s="77"/>
      <c r="H225" s="74"/>
      <c r="I225" s="74"/>
      <c r="J225" s="74"/>
      <c r="K225" s="74"/>
      <c r="L225" s="74"/>
      <c r="M225" s="72"/>
      <c r="N225" s="72"/>
      <c r="O225" s="72"/>
      <c r="P225" s="205"/>
      <c r="Q225" s="272">
        <f t="shared" si="219"/>
        <v>0</v>
      </c>
      <c r="R225" s="439"/>
      <c r="W225" s="368" t="s">
        <v>399</v>
      </c>
      <c r="X225" s="496"/>
      <c r="Y225" s="496"/>
      <c r="Z225" s="496"/>
      <c r="AA225" s="496"/>
      <c r="AB225" s="496"/>
      <c r="AC225" s="496"/>
      <c r="AD225" s="496"/>
      <c r="AE225" s="496"/>
      <c r="AF225" s="386"/>
      <c r="AG225" s="386">
        <v>0.6</v>
      </c>
      <c r="AH225" s="387">
        <v>1</v>
      </c>
      <c r="AI225" s="385">
        <f>AG225*AH225</f>
        <v>0.6</v>
      </c>
      <c r="AJ225" s="387">
        <f>AG225+AH225</f>
        <v>1.6</v>
      </c>
      <c r="AK225" s="385">
        <v>0.6</v>
      </c>
      <c r="AL225" s="385">
        <v>0.15</v>
      </c>
    </row>
    <row r="226" spans="1:39" x14ac:dyDescent="0.25">
      <c r="A226" s="238"/>
      <c r="B226" s="290" t="s">
        <v>320</v>
      </c>
      <c r="C226" s="291" t="s">
        <v>355</v>
      </c>
      <c r="D226" s="83"/>
      <c r="E226" s="242"/>
      <c r="F226" s="242"/>
      <c r="G226" s="77"/>
      <c r="H226" s="74"/>
      <c r="I226" s="74"/>
      <c r="J226" s="74"/>
      <c r="K226" s="74"/>
      <c r="L226" s="72"/>
      <c r="M226" s="74"/>
      <c r="N226" s="74"/>
      <c r="O226" s="72"/>
      <c r="P226" s="203"/>
      <c r="Q226" s="272">
        <f t="shared" si="219"/>
        <v>0</v>
      </c>
      <c r="R226" s="439"/>
      <c r="V226" s="273"/>
      <c r="W226" s="496" t="s">
        <v>9</v>
      </c>
      <c r="X226" s="496" t="s">
        <v>382</v>
      </c>
      <c r="Y226" s="369">
        <f>+Y230*1.2</f>
        <v>1.548</v>
      </c>
      <c r="Z226" s="370" t="s">
        <v>383</v>
      </c>
      <c r="AA226" s="371" t="s">
        <v>384</v>
      </c>
      <c r="AB226" s="372">
        <v>2300</v>
      </c>
      <c r="AC226" s="370" t="s">
        <v>385</v>
      </c>
      <c r="AD226" s="373" t="s">
        <v>384</v>
      </c>
      <c r="AE226" s="374">
        <f>Y226*AB226</f>
        <v>3560.4</v>
      </c>
      <c r="AF226" s="386"/>
      <c r="AG226" s="385">
        <v>0.15</v>
      </c>
      <c r="AH226" s="385">
        <v>1</v>
      </c>
      <c r="AI226" s="385">
        <f>AG226*AH226</f>
        <v>0.15</v>
      </c>
      <c r="AJ226" s="387">
        <f t="shared" ref="AJ226" si="230">AG226+AH226</f>
        <v>1.1499999999999999</v>
      </c>
      <c r="AK226" s="385">
        <v>1</v>
      </c>
      <c r="AL226" s="385">
        <v>0.6</v>
      </c>
    </row>
    <row r="227" spans="1:39" x14ac:dyDescent="0.25">
      <c r="A227" s="238"/>
      <c r="B227" s="290"/>
      <c r="C227" s="293">
        <v>1</v>
      </c>
      <c r="D227" s="83" t="s">
        <v>493</v>
      </c>
      <c r="E227" s="242">
        <v>5</v>
      </c>
      <c r="F227" s="242">
        <v>5</v>
      </c>
      <c r="G227" s="77" t="s">
        <v>283</v>
      </c>
      <c r="H227" s="74"/>
      <c r="I227" s="74">
        <f t="shared" ref="I227:I234" si="231">F227*H227</f>
        <v>0</v>
      </c>
      <c r="J227" s="74">
        <f>300+100</f>
        <v>400</v>
      </c>
      <c r="K227" s="74">
        <f t="shared" ref="K227:K234" si="232">F227*J227</f>
        <v>2000</v>
      </c>
      <c r="L227" s="72">
        <f t="shared" ref="L227:L234" si="233">I227+K227</f>
        <v>2000</v>
      </c>
      <c r="M227" s="74" t="s">
        <v>469</v>
      </c>
      <c r="N227" s="74">
        <f t="shared" ref="N227:N234" si="234">J227/$P$255*$P$263</f>
        <v>549.34500212801913</v>
      </c>
      <c r="O227" s="72">
        <f>N227</f>
        <v>549.34500212801913</v>
      </c>
      <c r="P227" s="203">
        <f t="shared" ref="P227:P234" si="235">O227*F227</f>
        <v>2746.7250106400957</v>
      </c>
      <c r="Q227" s="272">
        <f t="shared" si="219"/>
        <v>2746.7250106400957</v>
      </c>
      <c r="R227" s="439">
        <f t="shared" ref="R227:R234" si="236">P227-Q227</f>
        <v>0</v>
      </c>
      <c r="V227" s="273"/>
      <c r="W227" s="496"/>
      <c r="X227" s="496"/>
      <c r="Y227" s="369"/>
      <c r="Z227" s="370"/>
      <c r="AA227" s="371"/>
      <c r="AB227" s="372"/>
      <c r="AC227" s="370"/>
      <c r="AD227" s="373"/>
      <c r="AE227" s="378"/>
      <c r="AF227" s="386"/>
      <c r="AG227" s="385"/>
      <c r="AH227" s="385"/>
      <c r="AI227" s="385"/>
      <c r="AJ227" s="387"/>
      <c r="AK227" s="385"/>
      <c r="AL227" s="385"/>
    </row>
    <row r="228" spans="1:39" x14ac:dyDescent="0.25">
      <c r="A228" s="238"/>
      <c r="B228" s="249"/>
      <c r="C228" s="293">
        <v>2</v>
      </c>
      <c r="D228" s="83" t="s">
        <v>361</v>
      </c>
      <c r="E228" s="242">
        <v>10</v>
      </c>
      <c r="F228" s="242">
        <v>10</v>
      </c>
      <c r="G228" s="77" t="s">
        <v>283</v>
      </c>
      <c r="H228" s="74"/>
      <c r="I228" s="74">
        <f t="shared" si="231"/>
        <v>0</v>
      </c>
      <c r="J228" s="74">
        <f>150+100</f>
        <v>250</v>
      </c>
      <c r="K228" s="74">
        <f t="shared" si="232"/>
        <v>2500</v>
      </c>
      <c r="L228" s="72">
        <f t="shared" si="233"/>
        <v>2500</v>
      </c>
      <c r="M228" s="74" t="s">
        <v>469</v>
      </c>
      <c r="N228" s="74">
        <f t="shared" si="234"/>
        <v>343.34062633001196</v>
      </c>
      <c r="O228" s="72">
        <f>N228</f>
        <v>343.34062633001196</v>
      </c>
      <c r="P228" s="203">
        <f t="shared" si="235"/>
        <v>3433.4062633001195</v>
      </c>
      <c r="Q228" s="272">
        <f t="shared" si="219"/>
        <v>3433.4062633001195</v>
      </c>
      <c r="R228" s="439">
        <f t="shared" si="236"/>
        <v>0</v>
      </c>
      <c r="V228" s="287"/>
      <c r="W228" s="375"/>
      <c r="X228" s="376"/>
      <c r="Y228" s="370"/>
      <c r="Z228" s="370"/>
      <c r="AA228" s="371"/>
      <c r="AB228" s="370"/>
      <c r="AC228" s="373" t="s">
        <v>386</v>
      </c>
      <c r="AD228" s="373" t="s">
        <v>384</v>
      </c>
      <c r="AE228" s="377">
        <f>SUM(AE226:AE226)</f>
        <v>3560.4</v>
      </c>
      <c r="AF228" s="386"/>
      <c r="AG228" s="385">
        <v>0.15</v>
      </c>
      <c r="AH228" s="385">
        <v>0.6</v>
      </c>
      <c r="AI228" s="385">
        <f>AG228*AH228</f>
        <v>0.09</v>
      </c>
      <c r="AJ228" s="387">
        <f>AG228+AH228</f>
        <v>0.75</v>
      </c>
      <c r="AK228" s="385">
        <v>0.15</v>
      </c>
      <c r="AL228" s="385">
        <v>1</v>
      </c>
    </row>
    <row r="229" spans="1:39" x14ac:dyDescent="0.25">
      <c r="A229" s="238"/>
      <c r="B229" s="249"/>
      <c r="C229" s="293">
        <v>3</v>
      </c>
      <c r="D229" s="83" t="s">
        <v>362</v>
      </c>
      <c r="E229" s="242">
        <v>1</v>
      </c>
      <c r="F229" s="242">
        <v>1</v>
      </c>
      <c r="G229" s="77" t="s">
        <v>55</v>
      </c>
      <c r="H229" s="74"/>
      <c r="I229" s="74">
        <f t="shared" si="231"/>
        <v>0</v>
      </c>
      <c r="J229" s="74">
        <f>600+100</f>
        <v>700</v>
      </c>
      <c r="K229" s="74">
        <f t="shared" si="232"/>
        <v>700</v>
      </c>
      <c r="L229" s="72">
        <f t="shared" si="233"/>
        <v>700</v>
      </c>
      <c r="M229" s="74" t="s">
        <v>469</v>
      </c>
      <c r="N229" s="74">
        <f t="shared" si="234"/>
        <v>961.35375372403348</v>
      </c>
      <c r="O229" s="72">
        <f t="shared" ref="O229:O232" si="237">N229</f>
        <v>961.35375372403348</v>
      </c>
      <c r="P229" s="203">
        <f t="shared" si="235"/>
        <v>961.35375372403348</v>
      </c>
      <c r="Q229" s="272">
        <f t="shared" si="219"/>
        <v>961.35375372403348</v>
      </c>
      <c r="R229" s="439">
        <f t="shared" si="236"/>
        <v>0</v>
      </c>
      <c r="V229" s="287"/>
      <c r="W229" s="375"/>
      <c r="X229" s="376"/>
      <c r="Y229" s="370"/>
      <c r="Z229" s="370"/>
      <c r="AA229" s="371"/>
      <c r="AB229" s="370"/>
      <c r="AC229" s="373"/>
      <c r="AD229" s="373"/>
      <c r="AE229" s="378"/>
      <c r="AF229" s="386"/>
      <c r="AG229" s="385">
        <v>0.15</v>
      </c>
      <c r="AH229" s="385">
        <v>0.6</v>
      </c>
      <c r="AI229" s="385">
        <f>AG229*AH229</f>
        <v>0.09</v>
      </c>
      <c r="AJ229" s="387">
        <f>AG229+AH229</f>
        <v>0.75</v>
      </c>
      <c r="AK229" s="385"/>
      <c r="AL229" s="385">
        <v>0.6</v>
      </c>
    </row>
    <row r="230" spans="1:39" x14ac:dyDescent="0.25">
      <c r="A230" s="238"/>
      <c r="B230" s="249"/>
      <c r="C230" s="293">
        <v>4</v>
      </c>
      <c r="D230" s="83" t="s">
        <v>363</v>
      </c>
      <c r="E230" s="242">
        <v>7</v>
      </c>
      <c r="F230" s="242">
        <v>7</v>
      </c>
      <c r="G230" s="77" t="s">
        <v>28</v>
      </c>
      <c r="H230" s="74"/>
      <c r="I230" s="74">
        <f t="shared" si="231"/>
        <v>0</v>
      </c>
      <c r="J230" s="74">
        <v>1200</v>
      </c>
      <c r="K230" s="74">
        <f t="shared" si="232"/>
        <v>8400</v>
      </c>
      <c r="L230" s="72">
        <f t="shared" si="233"/>
        <v>8400</v>
      </c>
      <c r="M230" s="74" t="s">
        <v>469</v>
      </c>
      <c r="N230" s="74">
        <f t="shared" si="234"/>
        <v>1648.0350063840572</v>
      </c>
      <c r="O230" s="72">
        <f t="shared" si="237"/>
        <v>1648.0350063840572</v>
      </c>
      <c r="P230" s="203">
        <f t="shared" si="235"/>
        <v>11536.2450446884</v>
      </c>
      <c r="Q230" s="272">
        <f t="shared" si="219"/>
        <v>11536.245044688401</v>
      </c>
      <c r="R230" s="439">
        <f t="shared" si="236"/>
        <v>0</v>
      </c>
      <c r="V230" s="287"/>
      <c r="W230" s="496" t="s">
        <v>10</v>
      </c>
      <c r="X230" s="379" t="s">
        <v>387</v>
      </c>
      <c r="Y230" s="380">
        <f>AI234</f>
        <v>1.29</v>
      </c>
      <c r="Z230" s="370" t="s">
        <v>383</v>
      </c>
      <c r="AA230" s="371" t="s">
        <v>384</v>
      </c>
      <c r="AB230" s="372">
        <v>400</v>
      </c>
      <c r="AC230" s="370" t="s">
        <v>385</v>
      </c>
      <c r="AD230" s="373" t="s">
        <v>384</v>
      </c>
      <c r="AE230" s="378">
        <f t="shared" ref="AE230:AE234" si="238">Y230*AB230</f>
        <v>516</v>
      </c>
      <c r="AF230" s="386"/>
      <c r="AG230" s="385">
        <v>0.2</v>
      </c>
      <c r="AH230" s="385">
        <v>1.8</v>
      </c>
      <c r="AI230" s="385">
        <f>AG230*AH230</f>
        <v>0.36000000000000004</v>
      </c>
      <c r="AJ230" s="387">
        <f>AG230+AH230</f>
        <v>2</v>
      </c>
      <c r="AK230" s="385"/>
      <c r="AL230" s="385">
        <v>0.2</v>
      </c>
    </row>
    <row r="231" spans="1:39" x14ac:dyDescent="0.25">
      <c r="A231" s="238"/>
      <c r="B231" s="249"/>
      <c r="C231" s="293">
        <v>5</v>
      </c>
      <c r="D231" s="83" t="s">
        <v>364</v>
      </c>
      <c r="E231" s="242">
        <v>2</v>
      </c>
      <c r="F231" s="242">
        <v>2</v>
      </c>
      <c r="G231" s="77" t="s">
        <v>283</v>
      </c>
      <c r="H231" s="74"/>
      <c r="I231" s="74">
        <f t="shared" si="231"/>
        <v>0</v>
      </c>
      <c r="J231" s="74">
        <f>350+100</f>
        <v>450</v>
      </c>
      <c r="K231" s="74">
        <f t="shared" si="232"/>
        <v>900</v>
      </c>
      <c r="L231" s="72">
        <f t="shared" si="233"/>
        <v>900</v>
      </c>
      <c r="M231" s="74" t="s">
        <v>469</v>
      </c>
      <c r="N231" s="74">
        <f t="shared" si="234"/>
        <v>618.01312739402147</v>
      </c>
      <c r="O231" s="72">
        <f t="shared" si="237"/>
        <v>618.01312739402147</v>
      </c>
      <c r="P231" s="203">
        <f t="shared" si="235"/>
        <v>1236.0262547880429</v>
      </c>
      <c r="Q231" s="272">
        <f t="shared" si="219"/>
        <v>1236.0262547880429</v>
      </c>
      <c r="R231" s="439">
        <f t="shared" si="236"/>
        <v>0</v>
      </c>
      <c r="V231" s="287"/>
      <c r="W231" s="496"/>
      <c r="X231" s="379" t="s">
        <v>388</v>
      </c>
      <c r="Y231" s="380">
        <f>AJ234</f>
        <v>6.25</v>
      </c>
      <c r="Z231" s="370" t="s">
        <v>383</v>
      </c>
      <c r="AA231" s="371"/>
      <c r="AB231" s="372">
        <v>100</v>
      </c>
      <c r="AC231" s="370" t="s">
        <v>385</v>
      </c>
      <c r="AD231" s="373"/>
      <c r="AE231" s="378">
        <f t="shared" si="238"/>
        <v>625</v>
      </c>
      <c r="AF231" s="386"/>
      <c r="AG231" s="385"/>
      <c r="AH231" s="385"/>
      <c r="AI231" s="385"/>
      <c r="AJ231" s="387"/>
      <c r="AK231" s="385"/>
      <c r="AL231" s="385"/>
    </row>
    <row r="232" spans="1:39" x14ac:dyDescent="0.25">
      <c r="A232" s="238"/>
      <c r="B232" s="249"/>
      <c r="C232" s="293">
        <v>6</v>
      </c>
      <c r="D232" s="83" t="s">
        <v>365</v>
      </c>
      <c r="E232" s="242">
        <v>2</v>
      </c>
      <c r="F232" s="242">
        <v>2</v>
      </c>
      <c r="G232" s="77" t="s">
        <v>283</v>
      </c>
      <c r="H232" s="74"/>
      <c r="I232" s="74">
        <f t="shared" si="231"/>
        <v>0</v>
      </c>
      <c r="J232" s="74">
        <f>350+100</f>
        <v>450</v>
      </c>
      <c r="K232" s="74">
        <f t="shared" si="232"/>
        <v>900</v>
      </c>
      <c r="L232" s="72">
        <f t="shared" si="233"/>
        <v>900</v>
      </c>
      <c r="M232" s="74" t="s">
        <v>469</v>
      </c>
      <c r="N232" s="74">
        <f t="shared" si="234"/>
        <v>618.01312739402147</v>
      </c>
      <c r="O232" s="72">
        <f t="shared" si="237"/>
        <v>618.01312739402147</v>
      </c>
      <c r="P232" s="203">
        <f t="shared" si="235"/>
        <v>1236.0262547880429</v>
      </c>
      <c r="Q232" s="272">
        <f t="shared" si="219"/>
        <v>1236.0262547880429</v>
      </c>
      <c r="R232" s="439">
        <f t="shared" si="236"/>
        <v>0</v>
      </c>
      <c r="V232" s="287"/>
      <c r="W232" s="496"/>
      <c r="X232" s="379" t="s">
        <v>389</v>
      </c>
      <c r="Y232" s="380">
        <f>AK234</f>
        <v>1.75</v>
      </c>
      <c r="Z232" s="370" t="s">
        <v>100</v>
      </c>
      <c r="AA232" s="371"/>
      <c r="AB232" s="372">
        <v>400</v>
      </c>
      <c r="AC232" s="381" t="s">
        <v>390</v>
      </c>
      <c r="AD232" s="373"/>
      <c r="AE232" s="378">
        <f t="shared" si="238"/>
        <v>700</v>
      </c>
      <c r="AF232" s="386"/>
      <c r="AG232" s="385"/>
      <c r="AH232" s="385"/>
      <c r="AI232" s="385"/>
      <c r="AJ232" s="387"/>
      <c r="AK232" s="385"/>
      <c r="AL232" s="385"/>
    </row>
    <row r="233" spans="1:39" x14ac:dyDescent="0.25">
      <c r="A233" s="238"/>
      <c r="B233" s="249"/>
      <c r="C233" s="293">
        <v>7</v>
      </c>
      <c r="D233" s="83" t="s">
        <v>360</v>
      </c>
      <c r="E233" s="242">
        <f>35.04+6</f>
        <v>41.04</v>
      </c>
      <c r="F233" s="242">
        <v>42</v>
      </c>
      <c r="G233" s="77" t="s">
        <v>100</v>
      </c>
      <c r="H233" s="74">
        <f>(480/2.4)/1.075</f>
        <v>186.04651162790699</v>
      </c>
      <c r="I233" s="74">
        <f t="shared" si="231"/>
        <v>7813.9534883720935</v>
      </c>
      <c r="J233" s="74">
        <f>65+100</f>
        <v>165</v>
      </c>
      <c r="K233" s="74">
        <f t="shared" si="232"/>
        <v>6930</v>
      </c>
      <c r="L233" s="72">
        <f t="shared" si="233"/>
        <v>14743.953488372093</v>
      </c>
      <c r="M233" s="74">
        <f>H233/$P$255*$P$263</f>
        <v>255.50930331535778</v>
      </c>
      <c r="N233" s="74">
        <f t="shared" si="234"/>
        <v>226.60481337780789</v>
      </c>
      <c r="O233" s="72">
        <f t="shared" ref="O233:O234" si="239">N233+M233</f>
        <v>482.11411669316567</v>
      </c>
      <c r="P233" s="203">
        <f t="shared" si="235"/>
        <v>20248.79290111296</v>
      </c>
      <c r="Q233" s="272">
        <f t="shared" si="219"/>
        <v>20248.792901112956</v>
      </c>
      <c r="R233" s="439">
        <f t="shared" si="236"/>
        <v>0</v>
      </c>
      <c r="V233" s="287"/>
      <c r="W233" s="496"/>
      <c r="X233" s="379" t="s">
        <v>391</v>
      </c>
      <c r="Y233" s="380">
        <f>AL234</f>
        <v>2.5500000000000003</v>
      </c>
      <c r="Z233" s="370" t="s">
        <v>100</v>
      </c>
      <c r="AA233" s="371"/>
      <c r="AB233" s="372">
        <v>400</v>
      </c>
      <c r="AC233" s="381" t="s">
        <v>390</v>
      </c>
      <c r="AD233" s="373"/>
      <c r="AE233" s="378">
        <f t="shared" si="238"/>
        <v>1020.0000000000001</v>
      </c>
      <c r="AF233" s="386"/>
      <c r="AG233" s="385"/>
      <c r="AH233" s="385"/>
      <c r="AI233" s="385"/>
      <c r="AJ233" s="387"/>
      <c r="AK233" s="385"/>
      <c r="AL233" s="385"/>
    </row>
    <row r="234" spans="1:39" x14ac:dyDescent="0.25">
      <c r="A234" s="238"/>
      <c r="B234" s="249"/>
      <c r="C234" s="293">
        <v>8</v>
      </c>
      <c r="D234" s="83" t="s">
        <v>411</v>
      </c>
      <c r="E234" s="242">
        <f>0.6*2</f>
        <v>1.2</v>
      </c>
      <c r="F234" s="242">
        <v>2.4</v>
      </c>
      <c r="G234" s="73" t="s">
        <v>100</v>
      </c>
      <c r="H234" s="67">
        <f>1850/1.075</f>
        <v>1720.9302325581396</v>
      </c>
      <c r="I234" s="67">
        <f t="shared" si="231"/>
        <v>4130.2325581395344</v>
      </c>
      <c r="J234" s="67">
        <f>160+100</f>
        <v>260</v>
      </c>
      <c r="K234" s="67">
        <f t="shared" si="232"/>
        <v>624</v>
      </c>
      <c r="L234" s="72">
        <f t="shared" si="233"/>
        <v>4754.2325581395344</v>
      </c>
      <c r="M234" s="67">
        <f>H234/$P$255*$P$263</f>
        <v>2363.4610556670591</v>
      </c>
      <c r="N234" s="67">
        <f t="shared" si="234"/>
        <v>357.07425138321241</v>
      </c>
      <c r="O234" s="72">
        <f t="shared" si="239"/>
        <v>2720.5353070502715</v>
      </c>
      <c r="P234" s="203">
        <f t="shared" si="235"/>
        <v>6529.2847369206511</v>
      </c>
      <c r="Q234" s="272">
        <f t="shared" si="219"/>
        <v>6529.2847369206502</v>
      </c>
      <c r="R234" s="439">
        <f t="shared" si="236"/>
        <v>0</v>
      </c>
      <c r="V234" s="287"/>
      <c r="W234" s="496"/>
      <c r="X234" s="379" t="s">
        <v>392</v>
      </c>
      <c r="Y234" s="382">
        <v>1</v>
      </c>
      <c r="Z234" s="370" t="s">
        <v>393</v>
      </c>
      <c r="AA234" s="373"/>
      <c r="AB234" s="372">
        <v>500</v>
      </c>
      <c r="AC234" s="381" t="s">
        <v>394</v>
      </c>
      <c r="AD234" s="373"/>
      <c r="AE234" s="374">
        <f t="shared" si="238"/>
        <v>500</v>
      </c>
      <c r="AF234" s="386"/>
      <c r="AG234" s="385"/>
      <c r="AH234" s="385"/>
      <c r="AI234" s="388">
        <f>SUM(AI225:AI230)</f>
        <v>1.29</v>
      </c>
      <c r="AJ234" s="388">
        <f>SUM(AJ225:AJ230)</f>
        <v>6.25</v>
      </c>
      <c r="AK234" s="388">
        <f>SUM(AK225:AK229)</f>
        <v>1.75</v>
      </c>
      <c r="AL234" s="388">
        <f>SUM(AL225:AL230)</f>
        <v>2.5500000000000003</v>
      </c>
    </row>
    <row r="235" spans="1:39" ht="15.75" thickBot="1" x14ac:dyDescent="0.3">
      <c r="A235" s="238"/>
      <c r="B235" s="249"/>
      <c r="C235" s="293"/>
      <c r="D235" s="83"/>
      <c r="E235" s="242"/>
      <c r="F235" s="242"/>
      <c r="G235" s="73"/>
      <c r="H235" s="67"/>
      <c r="I235" s="67"/>
      <c r="J235" s="67"/>
      <c r="K235" s="67"/>
      <c r="L235" s="72"/>
      <c r="M235" s="67"/>
      <c r="N235" s="67"/>
      <c r="O235" s="72"/>
      <c r="P235" s="203"/>
      <c r="Q235" s="272">
        <f t="shared" si="219"/>
        <v>0</v>
      </c>
      <c r="R235" s="439"/>
      <c r="V235" s="27"/>
      <c r="W235" s="375"/>
      <c r="X235" s="376"/>
      <c r="Y235" s="370"/>
      <c r="Z235" s="370"/>
      <c r="AA235" s="373"/>
      <c r="AB235" s="370"/>
      <c r="AC235" s="373" t="s">
        <v>395</v>
      </c>
      <c r="AD235" s="373" t="s">
        <v>384</v>
      </c>
      <c r="AE235" s="377">
        <f>SUM(AE230:AE234)</f>
        <v>3361</v>
      </c>
      <c r="AF235" s="386"/>
      <c r="AG235" s="385"/>
      <c r="AH235" s="385"/>
      <c r="AI235" s="385"/>
      <c r="AJ235" s="387"/>
      <c r="AK235" s="385"/>
      <c r="AL235" s="385"/>
    </row>
    <row r="236" spans="1:39" s="234" customFormat="1" ht="15.75" thickBot="1" x14ac:dyDescent="0.3">
      <c r="A236" s="308"/>
      <c r="B236" s="910" t="s">
        <v>348</v>
      </c>
      <c r="C236" s="911"/>
      <c r="D236" s="912"/>
      <c r="E236" s="309"/>
      <c r="F236" s="310"/>
      <c r="G236" s="311"/>
      <c r="H236" s="312"/>
      <c r="I236" s="313">
        <f>SUM(I212:I235)</f>
        <v>39658.471760797336</v>
      </c>
      <c r="J236" s="312"/>
      <c r="K236" s="313">
        <f>SUM(K212:K235)</f>
        <v>57804</v>
      </c>
      <c r="L236" s="313">
        <f>SUM(L212:L235)</f>
        <v>97462.471760797343</v>
      </c>
      <c r="M236" s="312"/>
      <c r="N236" s="312"/>
      <c r="O236" s="313"/>
      <c r="P236" s="315">
        <f>SUM(P212:P235)</f>
        <v>133851.30439209304</v>
      </c>
      <c r="Q236" s="272">
        <f t="shared" si="219"/>
        <v>133851.30439209304</v>
      </c>
      <c r="R236" s="439">
        <f t="shared" ref="R236" si="240">P236-Q236</f>
        <v>0</v>
      </c>
      <c r="T236" s="443"/>
      <c r="U236" s="275"/>
      <c r="V236" s="402"/>
      <c r="W236" s="375"/>
      <c r="X236" s="376"/>
      <c r="Y236" s="370"/>
      <c r="Z236" s="370"/>
      <c r="AA236" s="373"/>
      <c r="AB236" s="370"/>
      <c r="AC236" s="373" t="s">
        <v>396</v>
      </c>
      <c r="AD236" s="373" t="s">
        <v>384</v>
      </c>
      <c r="AE236" s="383">
        <f>AE228+AE235</f>
        <v>6921.4</v>
      </c>
      <c r="AF236" s="386"/>
      <c r="AG236" s="385"/>
      <c r="AH236" s="385"/>
      <c r="AI236" s="385"/>
      <c r="AJ236" s="387"/>
      <c r="AK236" s="385"/>
      <c r="AL236" s="385"/>
      <c r="AM236" s="282"/>
    </row>
    <row r="237" spans="1:39" s="1" customFormat="1" x14ac:dyDescent="0.25">
      <c r="A237" s="500"/>
      <c r="B237" s="501"/>
      <c r="C237" s="293"/>
      <c r="D237" s="502"/>
      <c r="E237" s="503"/>
      <c r="F237" s="504"/>
      <c r="G237" s="504"/>
      <c r="H237" s="504"/>
      <c r="I237" s="504"/>
      <c r="J237" s="504"/>
      <c r="K237" s="504"/>
      <c r="L237" s="504">
        <f>SUM(L236,L211,L150,L35)</f>
        <v>8628457.4932664856</v>
      </c>
      <c r="M237" s="504"/>
      <c r="N237" s="504"/>
      <c r="O237" s="504"/>
      <c r="P237" s="505"/>
      <c r="Q237" s="272">
        <f t="shared" si="219"/>
        <v>11850000</v>
      </c>
      <c r="R237" s="439"/>
      <c r="V237" s="211"/>
      <c r="W237" s="506"/>
      <c r="X237" s="507"/>
      <c r="Y237" s="508"/>
      <c r="Z237" s="508"/>
      <c r="AA237" s="509"/>
      <c r="AB237" s="508"/>
      <c r="AC237" s="510"/>
      <c r="AD237" s="510"/>
      <c r="AE237" s="511"/>
      <c r="AF237" s="508"/>
      <c r="AG237" s="512"/>
      <c r="AH237" s="512"/>
      <c r="AI237" s="512"/>
      <c r="AJ237" s="512"/>
      <c r="AK237" s="512"/>
      <c r="AL237" s="512"/>
    </row>
    <row r="238" spans="1:39" s="287" customFormat="1" ht="20.25" customHeight="1" thickBot="1" x14ac:dyDescent="0.3">
      <c r="A238" s="329"/>
      <c r="B238" s="901" t="s">
        <v>347</v>
      </c>
      <c r="C238" s="902"/>
      <c r="D238" s="903"/>
      <c r="E238" s="330"/>
      <c r="F238" s="331"/>
      <c r="G238" s="332"/>
      <c r="H238" s="492"/>
      <c r="I238" s="492">
        <f>I236+I211+I150+I35</f>
        <v>6526756.9893229902</v>
      </c>
      <c r="J238" s="492"/>
      <c r="K238" s="492">
        <f>K236+K211+K150+K35</f>
        <v>2101700.5039434964</v>
      </c>
      <c r="L238" s="492">
        <f>L236+L211+L150+L35</f>
        <v>8628457.4932664856</v>
      </c>
      <c r="M238" s="922">
        <f>P236+P211+P150+P35</f>
        <v>11850000.000000004</v>
      </c>
      <c r="N238" s="922"/>
      <c r="O238" s="922"/>
      <c r="P238" s="923"/>
      <c r="Q238" s="272">
        <f t="shared" si="219"/>
        <v>11850000</v>
      </c>
      <c r="R238" s="439">
        <f>M238-Q238</f>
        <v>0</v>
      </c>
      <c r="T238" s="443"/>
      <c r="V238" s="446"/>
      <c r="W238" s="447"/>
      <c r="X238" s="448"/>
      <c r="Y238" s="448"/>
      <c r="Z238" s="448"/>
      <c r="AA238" s="448"/>
      <c r="AB238" s="448"/>
      <c r="AC238" s="448"/>
      <c r="AD238" s="448"/>
      <c r="AE238" s="448"/>
      <c r="AF238" s="449"/>
      <c r="AG238" s="449"/>
      <c r="AH238" s="450"/>
      <c r="AI238" s="451"/>
      <c r="AJ238" s="450"/>
      <c r="AK238" s="451"/>
      <c r="AL238" s="451"/>
    </row>
    <row r="239" spans="1:39" s="528" customFormat="1" x14ac:dyDescent="0.25">
      <c r="A239" s="521"/>
      <c r="B239" s="526"/>
      <c r="C239" s="527"/>
      <c r="E239" s="529"/>
      <c r="F239" s="530"/>
      <c r="G239" s="521"/>
      <c r="H239" s="522"/>
      <c r="I239" s="522"/>
      <c r="J239" s="522"/>
      <c r="K239" s="522"/>
      <c r="L239" s="522"/>
      <c r="M239" s="523"/>
      <c r="N239" s="523"/>
      <c r="O239" s="523"/>
      <c r="P239" s="523"/>
      <c r="Q239" s="523"/>
      <c r="R239" s="523"/>
      <c r="T239" s="523"/>
      <c r="V239" s="531"/>
      <c r="W239" s="495" t="s">
        <v>4</v>
      </c>
      <c r="X239" s="495" t="s">
        <v>7</v>
      </c>
      <c r="Y239" s="495" t="s">
        <v>6</v>
      </c>
      <c r="Z239" s="495" t="s">
        <v>5</v>
      </c>
      <c r="AA239" s="896" t="s">
        <v>380</v>
      </c>
      <c r="AB239" s="896"/>
      <c r="AC239" s="896"/>
      <c r="AD239" s="896" t="s">
        <v>381</v>
      </c>
      <c r="AE239" s="896"/>
      <c r="AF239" s="453"/>
      <c r="AG239" s="454"/>
      <c r="AH239" s="454"/>
      <c r="AI239" s="454"/>
      <c r="AJ239" s="454"/>
      <c r="AK239" s="454" t="s">
        <v>397</v>
      </c>
      <c r="AL239" s="454" t="s">
        <v>398</v>
      </c>
    </row>
    <row r="240" spans="1:39" s="528" customFormat="1" x14ac:dyDescent="0.25">
      <c r="A240" s="521"/>
      <c r="B240" s="526"/>
      <c r="C240" s="527"/>
      <c r="E240" s="529"/>
      <c r="F240" s="530"/>
      <c r="G240" s="521"/>
      <c r="H240" s="522"/>
      <c r="I240" s="522"/>
      <c r="J240" s="522"/>
      <c r="K240" s="522"/>
      <c r="L240" s="522"/>
      <c r="M240" s="523"/>
      <c r="N240" s="523"/>
      <c r="O240" s="523"/>
      <c r="P240" s="523"/>
      <c r="Q240" s="523"/>
      <c r="R240" s="523"/>
      <c r="T240" s="523"/>
      <c r="V240" s="531"/>
      <c r="W240" s="455" t="s">
        <v>401</v>
      </c>
      <c r="X240" s="495"/>
      <c r="Y240" s="495"/>
      <c r="Z240" s="495"/>
      <c r="AA240" s="495"/>
      <c r="AB240" s="495"/>
      <c r="AC240" s="495"/>
      <c r="AD240" s="495"/>
      <c r="AE240" s="495"/>
      <c r="AF240" s="456"/>
      <c r="AG240" s="456">
        <v>0.6</v>
      </c>
      <c r="AH240" s="457">
        <v>2.25</v>
      </c>
      <c r="AI240" s="454">
        <f>AG240*AH240</f>
        <v>1.3499999999999999</v>
      </c>
      <c r="AJ240" s="457">
        <f>AG240+AH240</f>
        <v>2.85</v>
      </c>
      <c r="AK240" s="454">
        <v>0.6</v>
      </c>
      <c r="AL240" s="454">
        <v>0.1</v>
      </c>
    </row>
    <row r="241" spans="1:38" s="528" customFormat="1" x14ac:dyDescent="0.25">
      <c r="A241" s="521"/>
      <c r="B241" s="526"/>
      <c r="C241" s="527"/>
      <c r="E241" s="529"/>
      <c r="F241" s="530"/>
      <c r="G241" s="518"/>
      <c r="H241" s="519"/>
      <c r="I241" s="519"/>
      <c r="J241" s="519"/>
      <c r="K241" s="519"/>
      <c r="L241" s="519"/>
      <c r="M241" s="520"/>
      <c r="N241" s="520"/>
      <c r="O241" s="520"/>
      <c r="P241" s="520"/>
      <c r="Q241" s="523"/>
      <c r="R241" s="523"/>
      <c r="T241" s="523"/>
      <c r="V241" s="531"/>
      <c r="W241" s="495" t="s">
        <v>9</v>
      </c>
      <c r="X241" s="495" t="s">
        <v>382</v>
      </c>
      <c r="Y241" s="458">
        <f>+Y244*1.2</f>
        <v>2.2094999999999998</v>
      </c>
      <c r="Z241" s="459" t="s">
        <v>383</v>
      </c>
      <c r="AA241" s="460" t="s">
        <v>384</v>
      </c>
      <c r="AB241" s="461">
        <v>2300</v>
      </c>
      <c r="AC241" s="459" t="s">
        <v>385</v>
      </c>
      <c r="AD241" s="462" t="s">
        <v>384</v>
      </c>
      <c r="AE241" s="463">
        <f>Y241*AB241</f>
        <v>5081.8499999999995</v>
      </c>
      <c r="AF241" s="456"/>
      <c r="AG241" s="454">
        <v>0.1</v>
      </c>
      <c r="AH241" s="454">
        <v>2.25</v>
      </c>
      <c r="AI241" s="454">
        <f>AG241*AH241</f>
        <v>0.22500000000000001</v>
      </c>
      <c r="AJ241" s="457">
        <f t="shared" ref="AJ241" si="241">AG241+AH241</f>
        <v>2.35</v>
      </c>
      <c r="AK241" s="454">
        <v>2.25</v>
      </c>
      <c r="AL241" s="454">
        <v>0.6</v>
      </c>
    </row>
    <row r="242" spans="1:38" s="528" customFormat="1" x14ac:dyDescent="0.25">
      <c r="A242" s="521"/>
      <c r="B242" s="526"/>
      <c r="C242" s="527"/>
      <c r="E242" s="529"/>
      <c r="F242" s="530"/>
      <c r="G242" s="518"/>
      <c r="H242" s="519"/>
      <c r="Q242" s="523"/>
      <c r="R242" s="523"/>
      <c r="T242" s="523"/>
      <c r="V242" s="531"/>
      <c r="W242" s="464"/>
      <c r="X242" s="465"/>
      <c r="Y242" s="459"/>
      <c r="Z242" s="459"/>
      <c r="AA242" s="460"/>
      <c r="AB242" s="459"/>
      <c r="AC242" s="462" t="s">
        <v>386</v>
      </c>
      <c r="AD242" s="462" t="s">
        <v>384</v>
      </c>
      <c r="AE242" s="466">
        <f>SUM(AE241:AE241)</f>
        <v>5081.8499999999995</v>
      </c>
      <c r="AF242" s="456"/>
      <c r="AG242" s="454">
        <v>0.1</v>
      </c>
      <c r="AH242" s="454">
        <v>0.6</v>
      </c>
      <c r="AI242" s="454">
        <f>AG242*AH242</f>
        <v>0.06</v>
      </c>
      <c r="AJ242" s="457">
        <f>AG242+AH242</f>
        <v>0.7</v>
      </c>
      <c r="AK242" s="454">
        <v>0.1</v>
      </c>
      <c r="AL242" s="454">
        <v>2.25</v>
      </c>
    </row>
    <row r="243" spans="1:38" s="528" customFormat="1" ht="15.75" x14ac:dyDescent="0.25">
      <c r="A243" s="532" t="s">
        <v>18</v>
      </c>
      <c r="B243" s="533"/>
      <c r="C243" s="534"/>
      <c r="D243" s="535"/>
      <c r="E243" s="529"/>
      <c r="F243" s="530"/>
      <c r="G243" s="521"/>
      <c r="H243" s="522"/>
      <c r="Q243" s="523"/>
      <c r="R243" s="523"/>
      <c r="T243" s="523"/>
      <c r="V243" s="531"/>
      <c r="W243" s="464"/>
      <c r="X243" s="465"/>
      <c r="Y243" s="459"/>
      <c r="Z243" s="459"/>
      <c r="AA243" s="460"/>
      <c r="AB243" s="459"/>
      <c r="AC243" s="462"/>
      <c r="AD243" s="462"/>
      <c r="AE243" s="467"/>
      <c r="AF243" s="456"/>
      <c r="AG243" s="454">
        <v>0.1</v>
      </c>
      <c r="AH243" s="454">
        <v>0.6</v>
      </c>
      <c r="AI243" s="454">
        <f>AG243*AH243</f>
        <v>0.06</v>
      </c>
      <c r="AJ243" s="457">
        <f>AG243+AH243</f>
        <v>0.7</v>
      </c>
      <c r="AK243" s="454"/>
      <c r="AL243" s="454">
        <v>0.6</v>
      </c>
    </row>
    <row r="244" spans="1:38" s="522" customFormat="1" ht="15.75" x14ac:dyDescent="0.25">
      <c r="A244" s="536"/>
      <c r="B244" s="533"/>
      <c r="C244" s="534"/>
      <c r="D244" s="537"/>
      <c r="V244" s="538"/>
      <c r="W244" s="495" t="s">
        <v>10</v>
      </c>
      <c r="X244" s="469" t="s">
        <v>387</v>
      </c>
      <c r="Y244" s="470">
        <f>AI248</f>
        <v>1.8412500000000001</v>
      </c>
      <c r="Z244" s="459" t="s">
        <v>383</v>
      </c>
      <c r="AA244" s="460" t="s">
        <v>384</v>
      </c>
      <c r="AB244" s="461">
        <v>400</v>
      </c>
      <c r="AC244" s="459" t="s">
        <v>385</v>
      </c>
      <c r="AD244" s="462" t="s">
        <v>384</v>
      </c>
      <c r="AE244" s="467">
        <f t="shared" ref="AE244:AE248" si="242">Y244*AB244</f>
        <v>736.5</v>
      </c>
      <c r="AF244" s="456"/>
      <c r="AG244" s="454">
        <v>6.5000000000000002E-2</v>
      </c>
      <c r="AH244" s="454">
        <v>2.25</v>
      </c>
      <c r="AI244" s="454">
        <f>AG244*AH244</f>
        <v>0.14624999999999999</v>
      </c>
      <c r="AJ244" s="457">
        <f>AG244+AH244</f>
        <v>2.3149999999999999</v>
      </c>
      <c r="AK244" s="454"/>
      <c r="AL244" s="454">
        <v>0.1</v>
      </c>
    </row>
    <row r="245" spans="1:38" s="522" customFormat="1" ht="15.75" x14ac:dyDescent="0.25">
      <c r="A245" s="532" t="s">
        <v>19</v>
      </c>
      <c r="B245" s="533"/>
      <c r="C245" s="534"/>
      <c r="D245" s="535"/>
      <c r="V245" s="538"/>
      <c r="W245" s="495"/>
      <c r="X245" s="469" t="s">
        <v>388</v>
      </c>
      <c r="Y245" s="470">
        <f>AJ248</f>
        <v>8.9150000000000009</v>
      </c>
      <c r="Z245" s="459" t="s">
        <v>383</v>
      </c>
      <c r="AA245" s="460"/>
      <c r="AB245" s="461">
        <v>100</v>
      </c>
      <c r="AC245" s="459" t="s">
        <v>385</v>
      </c>
      <c r="AD245" s="462"/>
      <c r="AE245" s="467">
        <f t="shared" si="242"/>
        <v>891.50000000000011</v>
      </c>
      <c r="AF245" s="456"/>
      <c r="AG245" s="454"/>
      <c r="AH245" s="454"/>
      <c r="AI245" s="454"/>
      <c r="AJ245" s="457"/>
      <c r="AK245" s="454"/>
      <c r="AL245" s="454"/>
    </row>
    <row r="246" spans="1:38" s="522" customFormat="1" ht="15.75" x14ac:dyDescent="0.25">
      <c r="A246" s="536"/>
      <c r="B246" s="533"/>
      <c r="C246" s="534"/>
      <c r="D246" s="535"/>
      <c r="V246" s="538"/>
      <c r="W246" s="495"/>
      <c r="X246" s="469" t="s">
        <v>389</v>
      </c>
      <c r="Y246" s="470">
        <f>AK248</f>
        <v>2.95</v>
      </c>
      <c r="Z246" s="459" t="s">
        <v>100</v>
      </c>
      <c r="AA246" s="460"/>
      <c r="AB246" s="461">
        <v>400</v>
      </c>
      <c r="AC246" s="471" t="s">
        <v>390</v>
      </c>
      <c r="AD246" s="462"/>
      <c r="AE246" s="467">
        <f t="shared" si="242"/>
        <v>1180</v>
      </c>
      <c r="AF246" s="456"/>
      <c r="AG246" s="454"/>
      <c r="AH246" s="454"/>
      <c r="AI246" s="454"/>
      <c r="AJ246" s="457"/>
      <c r="AK246" s="454"/>
      <c r="AL246" s="454"/>
    </row>
    <row r="247" spans="1:38" s="522" customFormat="1" ht="15.75" x14ac:dyDescent="0.25">
      <c r="A247" s="536"/>
      <c r="B247" s="533"/>
      <c r="C247" s="534"/>
      <c r="D247" s="535"/>
      <c r="V247" s="538"/>
      <c r="W247" s="495"/>
      <c r="X247" s="469" t="s">
        <v>391</v>
      </c>
      <c r="Y247" s="470">
        <f>AL248</f>
        <v>3.6500000000000004</v>
      </c>
      <c r="Z247" s="459" t="s">
        <v>100</v>
      </c>
      <c r="AA247" s="460"/>
      <c r="AB247" s="461">
        <v>400</v>
      </c>
      <c r="AC247" s="471" t="s">
        <v>390</v>
      </c>
      <c r="AD247" s="462"/>
      <c r="AE247" s="467">
        <f t="shared" si="242"/>
        <v>1460.0000000000002</v>
      </c>
      <c r="AF247" s="456"/>
      <c r="AG247" s="454"/>
      <c r="AH247" s="454"/>
      <c r="AI247" s="454"/>
      <c r="AJ247" s="457"/>
      <c r="AK247" s="454"/>
      <c r="AL247" s="454"/>
    </row>
    <row r="248" spans="1:38" s="522" customFormat="1" ht="15.75" x14ac:dyDescent="0.25">
      <c r="A248" s="532" t="s">
        <v>20</v>
      </c>
      <c r="B248" s="533"/>
      <c r="C248" s="534"/>
      <c r="D248" s="535"/>
      <c r="V248" s="538"/>
      <c r="W248" s="495"/>
      <c r="X248" s="469" t="s">
        <v>392</v>
      </c>
      <c r="Y248" s="472">
        <v>1</v>
      </c>
      <c r="Z248" s="459" t="s">
        <v>393</v>
      </c>
      <c r="AA248" s="462"/>
      <c r="AB248" s="461">
        <v>500</v>
      </c>
      <c r="AC248" s="471" t="s">
        <v>394</v>
      </c>
      <c r="AD248" s="462"/>
      <c r="AE248" s="463">
        <f t="shared" si="242"/>
        <v>500</v>
      </c>
      <c r="AF248" s="456"/>
      <c r="AG248" s="454"/>
      <c r="AH248" s="454"/>
      <c r="AI248" s="473">
        <f>SUM(AI240:AI244)</f>
        <v>1.8412500000000001</v>
      </c>
      <c r="AJ248" s="473">
        <f>SUM(AJ240:AJ244)</f>
        <v>8.9150000000000009</v>
      </c>
      <c r="AK248" s="473">
        <f>SUM(AK240:AK243)</f>
        <v>2.95</v>
      </c>
      <c r="AL248" s="473">
        <f>SUM(AL240:AL244)</f>
        <v>3.6500000000000004</v>
      </c>
    </row>
    <row r="249" spans="1:38" s="522" customFormat="1" ht="15.75" x14ac:dyDescent="0.25">
      <c r="A249" s="532" t="s">
        <v>349</v>
      </c>
      <c r="B249" s="533"/>
      <c r="C249" s="534"/>
      <c r="D249" s="535"/>
      <c r="V249" s="538"/>
      <c r="W249" s="464"/>
      <c r="X249" s="465"/>
      <c r="Y249" s="459"/>
      <c r="Z249" s="459"/>
      <c r="AA249" s="462"/>
      <c r="AB249" s="459"/>
      <c r="AC249" s="462" t="s">
        <v>395</v>
      </c>
      <c r="AD249" s="462" t="s">
        <v>384</v>
      </c>
      <c r="AE249" s="466">
        <f>SUM(AE244:AE248)</f>
        <v>4768</v>
      </c>
      <c r="AF249" s="456"/>
      <c r="AG249" s="454"/>
      <c r="AH249" s="454"/>
      <c r="AI249" s="454"/>
      <c r="AJ249" s="457"/>
      <c r="AK249" s="454"/>
      <c r="AL249" s="454"/>
    </row>
    <row r="250" spans="1:38" s="528" customFormat="1" ht="15.75" thickBot="1" x14ac:dyDescent="0.3">
      <c r="A250" s="521"/>
      <c r="B250" s="526"/>
      <c r="C250" s="527"/>
      <c r="E250" s="529"/>
      <c r="F250" s="530"/>
      <c r="G250" s="541"/>
      <c r="H250" s="542"/>
      <c r="Q250" s="523"/>
      <c r="R250" s="523"/>
      <c r="T250" s="523"/>
      <c r="V250" s="531"/>
      <c r="W250" s="464"/>
      <c r="X250" s="465"/>
      <c r="Y250" s="459"/>
      <c r="Z250" s="459"/>
      <c r="AA250" s="462"/>
      <c r="AB250" s="459"/>
      <c r="AC250" s="462" t="s">
        <v>396</v>
      </c>
      <c r="AD250" s="462" t="s">
        <v>384</v>
      </c>
      <c r="AE250" s="474">
        <f>AE242+AE249</f>
        <v>9849.8499999999985</v>
      </c>
      <c r="AF250" s="456"/>
      <c r="AG250" s="454"/>
      <c r="AH250" s="454"/>
      <c r="AI250" s="454"/>
      <c r="AJ250" s="457"/>
      <c r="AK250" s="454"/>
      <c r="AL250" s="454"/>
    </row>
    <row r="251" spans="1:38" s="528" customFormat="1" ht="16.5" thickTop="1" x14ac:dyDescent="0.25">
      <c r="A251" s="521"/>
      <c r="B251" s="526"/>
      <c r="C251" s="527"/>
      <c r="E251" s="529"/>
      <c r="F251" s="530"/>
      <c r="G251" s="541"/>
      <c r="H251" s="542"/>
      <c r="I251" s="542"/>
      <c r="J251" s="543"/>
      <c r="K251" s="543"/>
      <c r="L251" s="429"/>
      <c r="M251" s="428"/>
      <c r="N251" s="426"/>
      <c r="O251" s="422"/>
      <c r="P251" s="422"/>
      <c r="Q251" s="523"/>
      <c r="R251" s="789">
        <f>P263/P255</f>
        <v>1.3733625053200478</v>
      </c>
      <c r="T251" s="523"/>
      <c r="V251" s="531"/>
      <c r="W251" s="464"/>
      <c r="X251" s="465"/>
      <c r="Y251" s="459"/>
      <c r="Z251" s="459"/>
      <c r="AA251" s="462"/>
      <c r="AB251" s="459"/>
      <c r="AC251" s="462"/>
      <c r="AD251" s="462"/>
      <c r="AE251" s="467"/>
      <c r="AF251" s="456"/>
      <c r="AG251" s="454"/>
      <c r="AH251" s="454"/>
      <c r="AI251" s="454"/>
      <c r="AJ251" s="457"/>
      <c r="AK251" s="454"/>
      <c r="AL251" s="454"/>
    </row>
    <row r="252" spans="1:38" s="528" customFormat="1" ht="15.75" x14ac:dyDescent="0.25">
      <c r="A252" s="521"/>
      <c r="B252" s="526"/>
      <c r="C252" s="527"/>
      <c r="E252" s="529"/>
      <c r="F252" s="530"/>
      <c r="G252" s="541"/>
      <c r="H252" s="542"/>
      <c r="I252" s="542"/>
      <c r="J252" s="543"/>
      <c r="K252" s="543"/>
      <c r="L252" s="429"/>
      <c r="M252" s="428"/>
      <c r="N252" s="426"/>
      <c r="O252" s="422"/>
      <c r="P252" s="422"/>
      <c r="Q252" s="523"/>
      <c r="R252" s="523"/>
      <c r="T252" s="523"/>
      <c r="V252" s="531"/>
      <c r="W252" s="464"/>
      <c r="X252" s="465"/>
      <c r="Y252" s="459"/>
      <c r="Z252" s="459"/>
      <c r="AA252" s="462"/>
      <c r="AB252" s="459"/>
      <c r="AC252" s="462"/>
      <c r="AD252" s="462"/>
      <c r="AE252" s="467"/>
      <c r="AF252" s="456"/>
      <c r="AG252" s="454"/>
      <c r="AH252" s="454"/>
      <c r="AI252" s="454"/>
      <c r="AJ252" s="457"/>
      <c r="AK252" s="454"/>
      <c r="AL252" s="454"/>
    </row>
    <row r="253" spans="1:38" s="528" customFormat="1" ht="15.75" x14ac:dyDescent="0.25">
      <c r="A253" s="521"/>
      <c r="B253" s="526"/>
      <c r="C253" s="527"/>
      <c r="E253" s="529"/>
      <c r="F253" s="530"/>
      <c r="G253" s="541"/>
      <c r="H253" s="542"/>
      <c r="I253" s="542"/>
      <c r="J253" s="543"/>
      <c r="K253" s="543"/>
      <c r="L253" s="429"/>
      <c r="M253" s="428"/>
      <c r="N253" s="426"/>
      <c r="O253" s="422"/>
      <c r="P253" s="422"/>
      <c r="Q253" s="523"/>
      <c r="R253" s="523"/>
      <c r="T253" s="523"/>
      <c r="V253" s="531"/>
      <c r="W253" s="495" t="s">
        <v>4</v>
      </c>
      <c r="X253" s="495" t="s">
        <v>7</v>
      </c>
      <c r="Y253" s="495" t="s">
        <v>6</v>
      </c>
      <c r="Z253" s="495" t="s">
        <v>5</v>
      </c>
      <c r="AA253" s="896" t="s">
        <v>380</v>
      </c>
      <c r="AB253" s="896"/>
      <c r="AC253" s="896"/>
      <c r="AD253" s="896" t="s">
        <v>381</v>
      </c>
      <c r="AE253" s="896"/>
      <c r="AF253" s="453"/>
      <c r="AG253" s="454"/>
      <c r="AH253" s="454"/>
      <c r="AI253" s="454"/>
      <c r="AJ253" s="454"/>
      <c r="AK253" s="454" t="s">
        <v>397</v>
      </c>
      <c r="AL253" s="454" t="s">
        <v>398</v>
      </c>
    </row>
    <row r="254" spans="1:38" s="528" customFormat="1" x14ac:dyDescent="0.25">
      <c r="A254" s="521"/>
      <c r="B254" s="526"/>
      <c r="C254" s="527"/>
      <c r="E254" s="529"/>
      <c r="F254" s="530"/>
      <c r="G254" s="541"/>
      <c r="H254" s="542"/>
      <c r="I254" s="519"/>
      <c r="J254" s="519"/>
      <c r="K254" s="519"/>
      <c r="L254" s="519"/>
      <c r="M254" s="520"/>
      <c r="N254" s="520"/>
      <c r="O254" s="520"/>
      <c r="P254" s="520"/>
      <c r="Q254" s="523"/>
      <c r="R254" s="523"/>
      <c r="T254" s="523"/>
      <c r="V254" s="531"/>
      <c r="W254" s="455" t="s">
        <v>402</v>
      </c>
      <c r="X254" s="495"/>
      <c r="Y254" s="495"/>
      <c r="Z254" s="495"/>
      <c r="AA254" s="495"/>
      <c r="AB254" s="495"/>
      <c r="AC254" s="495"/>
      <c r="AD254" s="495"/>
      <c r="AE254" s="495"/>
      <c r="AF254" s="456"/>
      <c r="AG254" s="456">
        <v>0.6</v>
      </c>
      <c r="AH254" s="457">
        <v>3.2</v>
      </c>
      <c r="AI254" s="454">
        <f>AG254*AH254</f>
        <v>1.92</v>
      </c>
      <c r="AJ254" s="457">
        <f>AG254+AH254</f>
        <v>3.8000000000000003</v>
      </c>
      <c r="AK254" s="454">
        <v>0.6</v>
      </c>
      <c r="AL254" s="454">
        <v>0.1</v>
      </c>
    </row>
    <row r="255" spans="1:38" s="528" customFormat="1" ht="15.75" x14ac:dyDescent="0.25">
      <c r="A255" s="521"/>
      <c r="B255" s="526"/>
      <c r="C255" s="527"/>
      <c r="E255" s="529"/>
      <c r="F255" s="530"/>
      <c r="G255" s="541"/>
      <c r="H255" s="542"/>
      <c r="I255" s="522"/>
      <c r="J255" s="417"/>
      <c r="K255" s="417"/>
      <c r="L255" s="418"/>
      <c r="M255" s="419"/>
      <c r="N255" s="420" t="s">
        <v>178</v>
      </c>
      <c r="O255" s="420"/>
      <c r="P255" s="420">
        <f>L238</f>
        <v>8628457.4932664856</v>
      </c>
      <c r="Q255" s="523"/>
      <c r="R255" s="523"/>
      <c r="T255" s="523"/>
      <c r="V255" s="531"/>
      <c r="W255" s="495" t="s">
        <v>9</v>
      </c>
      <c r="X255" s="495" t="s">
        <v>382</v>
      </c>
      <c r="Y255" s="458">
        <f>+Y258*1.2</f>
        <v>3.0816000000000003</v>
      </c>
      <c r="Z255" s="459" t="s">
        <v>383</v>
      </c>
      <c r="AA255" s="460" t="s">
        <v>384</v>
      </c>
      <c r="AB255" s="461">
        <v>2300</v>
      </c>
      <c r="AC255" s="459" t="s">
        <v>385</v>
      </c>
      <c r="AD255" s="462" t="s">
        <v>384</v>
      </c>
      <c r="AE255" s="463">
        <f>Y255*AB255</f>
        <v>7087.6800000000012</v>
      </c>
      <c r="AF255" s="456"/>
      <c r="AG255" s="454">
        <v>0.1</v>
      </c>
      <c r="AH255" s="454">
        <v>3.2</v>
      </c>
      <c r="AI255" s="454">
        <f>AG255*AH255</f>
        <v>0.32000000000000006</v>
      </c>
      <c r="AJ255" s="457">
        <f t="shared" ref="AJ255" si="243">AG255+AH255</f>
        <v>3.3000000000000003</v>
      </c>
      <c r="AK255" s="454">
        <v>3.2</v>
      </c>
      <c r="AL255" s="454">
        <v>0.6</v>
      </c>
    </row>
    <row r="256" spans="1:38" s="528" customFormat="1" ht="15.75" x14ac:dyDescent="0.25">
      <c r="A256" s="521"/>
      <c r="B256" s="526"/>
      <c r="C256" s="527"/>
      <c r="E256" s="529"/>
      <c r="F256" s="530"/>
      <c r="G256" s="541"/>
      <c r="H256" s="542"/>
      <c r="I256" s="522"/>
      <c r="J256" s="421"/>
      <c r="K256" s="421"/>
      <c r="L256" s="418"/>
      <c r="M256" s="420"/>
      <c r="N256" s="422"/>
      <c r="O256" s="422"/>
      <c r="P256" s="422"/>
      <c r="Q256" s="523"/>
      <c r="R256" s="523"/>
      <c r="T256" s="523"/>
      <c r="V256" s="531"/>
      <c r="W256" s="464"/>
      <c r="X256" s="465"/>
      <c r="Y256" s="459"/>
      <c r="Z256" s="459"/>
      <c r="AA256" s="460"/>
      <c r="AB256" s="459"/>
      <c r="AC256" s="462" t="s">
        <v>386</v>
      </c>
      <c r="AD256" s="462" t="s">
        <v>384</v>
      </c>
      <c r="AE256" s="466">
        <f>SUM(AE255:AE255)</f>
        <v>7087.6800000000012</v>
      </c>
      <c r="AF256" s="456"/>
      <c r="AG256" s="454">
        <v>0.1</v>
      </c>
      <c r="AH256" s="454">
        <v>0.6</v>
      </c>
      <c r="AI256" s="454">
        <f>AG256*AH256</f>
        <v>0.06</v>
      </c>
      <c r="AJ256" s="457">
        <f>AG256+AH256</f>
        <v>0.7</v>
      </c>
      <c r="AK256" s="454">
        <v>0.1</v>
      </c>
      <c r="AL256" s="454">
        <v>3.2</v>
      </c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22"/>
      <c r="J257" s="921" t="s">
        <v>179</v>
      </c>
      <c r="K257" s="921"/>
      <c r="L257" s="423" t="s">
        <v>180</v>
      </c>
      <c r="M257" s="420" t="s">
        <v>181</v>
      </c>
      <c r="N257" s="424">
        <f>P255*0.03</f>
        <v>258853.72479799457</v>
      </c>
      <c r="O257" s="422"/>
      <c r="P257" s="422">
        <f>N257+P255</f>
        <v>8887311.2180644795</v>
      </c>
      <c r="Q257" s="523"/>
      <c r="R257" s="523"/>
      <c r="T257" s="523"/>
      <c r="V257" s="531"/>
      <c r="W257" s="464"/>
      <c r="X257" s="465"/>
      <c r="Y257" s="459"/>
      <c r="Z257" s="459"/>
      <c r="AA257" s="460"/>
      <c r="AB257" s="459"/>
      <c r="AC257" s="462"/>
      <c r="AD257" s="462"/>
      <c r="AE257" s="467"/>
      <c r="AF257" s="456"/>
      <c r="AG257" s="454">
        <v>0.1</v>
      </c>
      <c r="AH257" s="454">
        <v>0.6</v>
      </c>
      <c r="AI257" s="454">
        <f>AG257*AH257</f>
        <v>0.06</v>
      </c>
      <c r="AJ257" s="457">
        <f>AG257+AH257</f>
        <v>0.7</v>
      </c>
      <c r="AK257" s="454"/>
      <c r="AL257" s="454">
        <v>0.6</v>
      </c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22"/>
      <c r="J258" s="921" t="s">
        <v>182</v>
      </c>
      <c r="K258" s="921"/>
      <c r="L258" s="423" t="s">
        <v>180</v>
      </c>
      <c r="M258" s="420" t="s">
        <v>183</v>
      </c>
      <c r="N258" s="424">
        <f>SUM(L257:L305)</f>
        <v>328828.34994462901</v>
      </c>
      <c r="O258" s="422"/>
      <c r="P258" s="422">
        <f>P257+N258</f>
        <v>9216139.5680091083</v>
      </c>
      <c r="Q258" s="523"/>
      <c r="R258" s="523"/>
      <c r="T258" s="523"/>
      <c r="V258" s="531"/>
      <c r="W258" s="495" t="s">
        <v>10</v>
      </c>
      <c r="X258" s="469" t="s">
        <v>387</v>
      </c>
      <c r="Y258" s="470">
        <f>AI262</f>
        <v>2.5680000000000005</v>
      </c>
      <c r="Z258" s="459" t="s">
        <v>383</v>
      </c>
      <c r="AA258" s="460" t="s">
        <v>384</v>
      </c>
      <c r="AB258" s="461">
        <v>400</v>
      </c>
      <c r="AC258" s="459" t="s">
        <v>385</v>
      </c>
      <c r="AD258" s="462" t="s">
        <v>384</v>
      </c>
      <c r="AE258" s="467">
        <f t="shared" ref="AE258:AE262" si="244">Y258*AB258</f>
        <v>1027.2000000000003</v>
      </c>
      <c r="AF258" s="456"/>
      <c r="AG258" s="454">
        <v>6.5000000000000002E-2</v>
      </c>
      <c r="AH258" s="454">
        <v>3.2</v>
      </c>
      <c r="AI258" s="454">
        <f>AG258*AH258</f>
        <v>0.20800000000000002</v>
      </c>
      <c r="AJ258" s="457">
        <f>AG258+AH258</f>
        <v>3.2650000000000001</v>
      </c>
      <c r="AK258" s="454"/>
      <c r="AL258" s="454">
        <v>0.1</v>
      </c>
    </row>
    <row r="259" spans="1:38" s="528" customFormat="1" ht="15.75" x14ac:dyDescent="0.25">
      <c r="A259" s="521"/>
      <c r="B259" s="526"/>
      <c r="C259" s="527"/>
      <c r="E259" s="529"/>
      <c r="F259" s="530"/>
      <c r="G259" s="541"/>
      <c r="H259" s="542"/>
      <c r="I259" s="522"/>
      <c r="J259" s="921" t="s">
        <v>184</v>
      </c>
      <c r="K259" s="921"/>
      <c r="L259" s="423" t="s">
        <v>161</v>
      </c>
      <c r="M259" s="420" t="s">
        <v>185</v>
      </c>
      <c r="N259" s="424"/>
      <c r="O259" s="422"/>
      <c r="P259" s="422">
        <f>P258+N259</f>
        <v>9216139.5680091083</v>
      </c>
      <c r="Q259" s="523"/>
      <c r="R259" s="523"/>
      <c r="T259" s="523"/>
      <c r="V259" s="531"/>
      <c r="W259" s="495"/>
      <c r="X259" s="469" t="s">
        <v>388</v>
      </c>
      <c r="Y259" s="470">
        <f>AJ262</f>
        <v>11.765000000000001</v>
      </c>
      <c r="Z259" s="459" t="s">
        <v>383</v>
      </c>
      <c r="AA259" s="460"/>
      <c r="AB259" s="461">
        <v>100</v>
      </c>
      <c r="AC259" s="459" t="s">
        <v>385</v>
      </c>
      <c r="AD259" s="462"/>
      <c r="AE259" s="467">
        <f t="shared" si="244"/>
        <v>1176.5</v>
      </c>
      <c r="AF259" s="456"/>
      <c r="AG259" s="454"/>
      <c r="AH259" s="454"/>
      <c r="AI259" s="454"/>
      <c r="AJ259" s="457"/>
      <c r="AK259" s="454"/>
      <c r="AL259" s="454"/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22"/>
      <c r="J260" s="921" t="s">
        <v>186</v>
      </c>
      <c r="K260" s="921"/>
      <c r="L260" s="423" t="s">
        <v>161</v>
      </c>
      <c r="M260" s="420" t="s">
        <v>187</v>
      </c>
      <c r="N260" s="424">
        <f>P259*0.15</f>
        <v>1382420.9352013662</v>
      </c>
      <c r="O260" s="422"/>
      <c r="P260" s="422">
        <f>P259+N260</f>
        <v>10598560.503210474</v>
      </c>
      <c r="Q260" s="523"/>
      <c r="R260" s="523"/>
      <c r="T260" s="523"/>
      <c r="V260" s="531"/>
      <c r="W260" s="495"/>
      <c r="X260" s="469" t="s">
        <v>389</v>
      </c>
      <c r="Y260" s="470">
        <f>AK262</f>
        <v>3.9000000000000004</v>
      </c>
      <c r="Z260" s="459" t="s">
        <v>100</v>
      </c>
      <c r="AA260" s="460"/>
      <c r="AB260" s="461">
        <v>400</v>
      </c>
      <c r="AC260" s="471" t="s">
        <v>390</v>
      </c>
      <c r="AD260" s="462"/>
      <c r="AE260" s="467">
        <f t="shared" si="244"/>
        <v>1560.0000000000002</v>
      </c>
      <c r="AF260" s="456"/>
      <c r="AG260" s="454"/>
      <c r="AH260" s="454"/>
      <c r="AI260" s="454"/>
      <c r="AJ260" s="457"/>
      <c r="AK260" s="454"/>
      <c r="AL260" s="454"/>
    </row>
    <row r="261" spans="1:38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22" t="s">
        <v>495</v>
      </c>
      <c r="J261" s="921" t="s">
        <v>188</v>
      </c>
      <c r="K261" s="921"/>
      <c r="L261" s="425"/>
      <c r="M261" s="420" t="s">
        <v>190</v>
      </c>
      <c r="N261" s="424">
        <f>P260*0.1</f>
        <v>1059856.0503210474</v>
      </c>
      <c r="O261" s="422"/>
      <c r="P261" s="422">
        <f>P260+N261</f>
        <v>11658416.553531522</v>
      </c>
      <c r="Q261" s="523"/>
      <c r="R261" s="523"/>
      <c r="T261" s="523"/>
      <c r="V261" s="531"/>
      <c r="W261" s="495"/>
      <c r="X261" s="469" t="s">
        <v>391</v>
      </c>
      <c r="Y261" s="470">
        <f>AL262</f>
        <v>4.5999999999999996</v>
      </c>
      <c r="Z261" s="459" t="s">
        <v>100</v>
      </c>
      <c r="AA261" s="460"/>
      <c r="AB261" s="461">
        <v>400</v>
      </c>
      <c r="AC261" s="471" t="s">
        <v>390</v>
      </c>
      <c r="AD261" s="462"/>
      <c r="AE261" s="467">
        <f t="shared" si="244"/>
        <v>1839.9999999999998</v>
      </c>
      <c r="AF261" s="456"/>
      <c r="AG261" s="454"/>
      <c r="AH261" s="454"/>
      <c r="AI261" s="454"/>
      <c r="AJ261" s="457"/>
      <c r="AK261" s="454"/>
      <c r="AL261" s="454"/>
    </row>
    <row r="262" spans="1:38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42"/>
      <c r="J262" s="924" t="s">
        <v>191</v>
      </c>
      <c r="K262" s="924"/>
      <c r="L262" s="429" t="s">
        <v>180</v>
      </c>
      <c r="M262" s="428"/>
      <c r="N262" s="426"/>
      <c r="O262" s="422"/>
      <c r="P262" s="422"/>
      <c r="Q262" s="523"/>
      <c r="R262" s="523"/>
      <c r="T262" s="523"/>
      <c r="V262" s="531"/>
      <c r="W262" s="495"/>
      <c r="X262" s="469" t="s">
        <v>392</v>
      </c>
      <c r="Y262" s="472">
        <v>1</v>
      </c>
      <c r="Z262" s="459" t="s">
        <v>393</v>
      </c>
      <c r="AA262" s="462"/>
      <c r="AB262" s="461">
        <v>500</v>
      </c>
      <c r="AC262" s="471" t="s">
        <v>394</v>
      </c>
      <c r="AD262" s="462"/>
      <c r="AE262" s="463">
        <f t="shared" si="244"/>
        <v>500</v>
      </c>
      <c r="AF262" s="456"/>
      <c r="AG262" s="454"/>
      <c r="AH262" s="454"/>
      <c r="AI262" s="473">
        <f>SUM(AI254:AI258)</f>
        <v>2.5680000000000005</v>
      </c>
      <c r="AJ262" s="473">
        <f>SUM(AJ254:AJ258)</f>
        <v>11.765000000000001</v>
      </c>
      <c r="AK262" s="473">
        <f>SUM(AK254:AK257)</f>
        <v>3.9000000000000004</v>
      </c>
      <c r="AL262" s="473">
        <f>SUM(AL254:AL258)</f>
        <v>4.5999999999999996</v>
      </c>
    </row>
    <row r="263" spans="1:38" s="528" customFormat="1" ht="15.75" x14ac:dyDescent="0.25">
      <c r="A263" s="521"/>
      <c r="B263" s="526"/>
      <c r="C263" s="527"/>
      <c r="E263" s="529"/>
      <c r="F263" s="530"/>
      <c r="G263" s="541"/>
      <c r="H263" s="542"/>
      <c r="I263" s="542"/>
      <c r="J263" s="924" t="s">
        <v>472</v>
      </c>
      <c r="K263" s="924"/>
      <c r="L263" s="429">
        <f>4*17000/1.05</f>
        <v>64761.904761904756</v>
      </c>
      <c r="M263" s="428" t="s">
        <v>193</v>
      </c>
      <c r="N263" s="426">
        <f>SUM(N257:N261)</f>
        <v>3029959.0602650372</v>
      </c>
      <c r="O263" s="427"/>
      <c r="P263" s="428">
        <v>11850000</v>
      </c>
      <c r="Q263" s="523"/>
      <c r="R263" s="523"/>
      <c r="T263" s="523"/>
      <c r="V263" s="531"/>
      <c r="W263" s="464"/>
      <c r="X263" s="465"/>
      <c r="Y263" s="459"/>
      <c r="Z263" s="459"/>
      <c r="AA263" s="462"/>
      <c r="AB263" s="459"/>
      <c r="AC263" s="462" t="s">
        <v>395</v>
      </c>
      <c r="AD263" s="462" t="s">
        <v>384</v>
      </c>
      <c r="AE263" s="466">
        <f>SUM(AE258:AE262)</f>
        <v>6103.7000000000007</v>
      </c>
      <c r="AF263" s="456"/>
      <c r="AG263" s="454"/>
      <c r="AH263" s="454"/>
      <c r="AI263" s="454"/>
      <c r="AJ263" s="457"/>
      <c r="AK263" s="454"/>
      <c r="AL263" s="454"/>
    </row>
    <row r="264" spans="1:38" s="528" customFormat="1" ht="16.5" thickBot="1" x14ac:dyDescent="0.3">
      <c r="A264" s="521"/>
      <c r="B264" s="526"/>
      <c r="C264" s="527"/>
      <c r="E264" s="529"/>
      <c r="F264" s="530"/>
      <c r="G264" s="541"/>
      <c r="H264" s="542"/>
      <c r="I264" s="542"/>
      <c r="J264" s="924" t="s">
        <v>194</v>
      </c>
      <c r="K264" s="924"/>
      <c r="L264" s="429">
        <v>30000</v>
      </c>
      <c r="M264" s="428" t="s">
        <v>195</v>
      </c>
      <c r="N264" s="426">
        <f>SUM(N257:N262)</f>
        <v>3029959.0602650372</v>
      </c>
      <c r="O264" s="427"/>
      <c r="P264" s="428">
        <f>P263-P261</f>
        <v>191583.44646847807</v>
      </c>
      <c r="Q264" s="523"/>
      <c r="R264" s="520"/>
      <c r="S264" s="770">
        <f>N258/P255</f>
        <v>3.8109749071747939E-2</v>
      </c>
      <c r="T264" s="523"/>
      <c r="V264" s="531"/>
      <c r="W264" s="464"/>
      <c r="X264" s="465"/>
      <c r="Y264" s="459"/>
      <c r="Z264" s="459"/>
      <c r="AA264" s="462"/>
      <c r="AB264" s="459"/>
      <c r="AC264" s="462" t="s">
        <v>396</v>
      </c>
      <c r="AD264" s="462" t="s">
        <v>384</v>
      </c>
      <c r="AE264" s="474">
        <f>AE256+AE263</f>
        <v>13191.380000000001</v>
      </c>
      <c r="AF264" s="456"/>
      <c r="AG264" s="454"/>
      <c r="AH264" s="454"/>
      <c r="AI264" s="454"/>
      <c r="AJ264" s="457"/>
      <c r="AK264" s="454"/>
      <c r="AL264" s="454"/>
    </row>
    <row r="265" spans="1:38" s="528" customFormat="1" ht="16.5" thickTop="1" x14ac:dyDescent="0.25">
      <c r="A265" s="521"/>
      <c r="B265" s="526"/>
      <c r="C265" s="527"/>
      <c r="E265" s="529"/>
      <c r="F265" s="530"/>
      <c r="G265" s="541"/>
      <c r="H265" s="542"/>
      <c r="I265" s="542"/>
      <c r="J265" s="924" t="s">
        <v>196</v>
      </c>
      <c r="K265" s="924"/>
      <c r="L265" s="429">
        <v>15000</v>
      </c>
      <c r="M265" s="428"/>
      <c r="N265" s="427"/>
      <c r="O265" s="422"/>
      <c r="P265" s="420"/>
      <c r="Q265" s="523"/>
      <c r="R265" s="520"/>
      <c r="T265" s="523"/>
      <c r="V265" s="531"/>
    </row>
    <row r="266" spans="1:38" s="528" customFormat="1" ht="15.75" x14ac:dyDescent="0.25">
      <c r="A266" s="521"/>
      <c r="B266" s="526"/>
      <c r="C266" s="527"/>
      <c r="E266" s="529"/>
      <c r="F266" s="530"/>
      <c r="G266" s="521"/>
      <c r="H266" s="522"/>
      <c r="I266" s="522"/>
      <c r="J266" s="921" t="s">
        <v>197</v>
      </c>
      <c r="K266" s="921"/>
      <c r="L266" s="423">
        <v>18000</v>
      </c>
      <c r="M266" s="428"/>
      <c r="N266" s="422"/>
      <c r="O266" s="422"/>
      <c r="P266" s="422"/>
      <c r="Q266" s="523"/>
      <c r="R266" s="520"/>
      <c r="T266" s="523"/>
      <c r="V266" s="531"/>
    </row>
    <row r="267" spans="1:38" s="528" customFormat="1" ht="15.75" x14ac:dyDescent="0.25">
      <c r="A267" s="521"/>
      <c r="B267" s="526"/>
      <c r="C267" s="527"/>
      <c r="E267" s="529"/>
      <c r="F267" s="530"/>
      <c r="G267" s="521"/>
      <c r="H267" s="522"/>
      <c r="I267" s="522"/>
      <c r="J267" s="921" t="s">
        <v>198</v>
      </c>
      <c r="K267" s="921"/>
      <c r="L267" s="423">
        <f>3*6000</f>
        <v>18000</v>
      </c>
      <c r="M267" s="422"/>
      <c r="N267" s="422"/>
      <c r="O267" s="422"/>
      <c r="P267" s="422"/>
      <c r="Q267" s="523"/>
      <c r="R267" s="520"/>
      <c r="T267" s="523"/>
      <c r="V267" s="531"/>
    </row>
    <row r="268" spans="1:38" ht="15.75" x14ac:dyDescent="0.25">
      <c r="D268" s="528"/>
      <c r="E268" s="529"/>
      <c r="F268" s="530"/>
      <c r="G268" s="521"/>
      <c r="H268" s="522"/>
      <c r="I268" s="522" t="s">
        <v>494</v>
      </c>
      <c r="J268" s="921" t="s">
        <v>199</v>
      </c>
      <c r="K268" s="921"/>
      <c r="L268" s="482"/>
      <c r="M268" s="422"/>
      <c r="N268" s="422"/>
      <c r="O268" s="422"/>
      <c r="P268" s="422"/>
      <c r="Q268" s="523"/>
      <c r="R268" s="520"/>
      <c r="V268" s="446"/>
      <c r="AD268" s="18"/>
      <c r="AF268" s="18"/>
    </row>
    <row r="269" spans="1:38" ht="15.75" x14ac:dyDescent="0.25">
      <c r="D269" s="528"/>
      <c r="E269" s="529"/>
      <c r="F269" s="530"/>
      <c r="G269" s="521"/>
      <c r="H269" s="522"/>
      <c r="I269" s="522"/>
      <c r="J269" s="921" t="s">
        <v>200</v>
      </c>
      <c r="K269" s="921"/>
      <c r="L269" s="425">
        <f>4*10000/1.075</f>
        <v>37209.302325581397</v>
      </c>
      <c r="M269" s="422"/>
      <c r="N269" s="422"/>
      <c r="O269" s="422"/>
      <c r="P269" s="422"/>
      <c r="Q269" s="523"/>
      <c r="R269" s="520"/>
      <c r="V269" s="446"/>
      <c r="AD269" s="18"/>
      <c r="AF269" s="18"/>
    </row>
    <row r="270" spans="1:38" ht="15.75" x14ac:dyDescent="0.25">
      <c r="D270" s="528"/>
      <c r="E270" s="529"/>
      <c r="F270" s="530"/>
      <c r="G270" s="521"/>
      <c r="H270" s="522"/>
      <c r="I270" s="522"/>
      <c r="J270" s="921" t="s">
        <v>201</v>
      </c>
      <c r="K270" s="921"/>
      <c r="L270" s="423" t="s">
        <v>180</v>
      </c>
      <c r="M270" s="422"/>
      <c r="N270" s="422"/>
      <c r="O270" s="422"/>
      <c r="P270" s="422"/>
      <c r="Q270" s="523"/>
      <c r="V270" s="446"/>
      <c r="AD270" s="18"/>
      <c r="AF270" s="18"/>
    </row>
    <row r="271" spans="1:38" ht="15.75" x14ac:dyDescent="0.25">
      <c r="D271" s="528"/>
      <c r="E271" s="529"/>
      <c r="F271" s="530"/>
      <c r="G271" s="521"/>
      <c r="H271" s="522"/>
      <c r="I271" s="522" t="s">
        <v>494</v>
      </c>
      <c r="J271" s="921" t="s">
        <v>202</v>
      </c>
      <c r="K271" s="921"/>
      <c r="L271" s="482"/>
      <c r="M271" s="422"/>
      <c r="N271" s="422"/>
      <c r="O271" s="422"/>
      <c r="P271" s="422"/>
      <c r="Q271" s="523"/>
      <c r="V271" s="446"/>
      <c r="AD271" s="18"/>
      <c r="AF271" s="18"/>
    </row>
    <row r="272" spans="1:38" ht="15.75" x14ac:dyDescent="0.25">
      <c r="D272" s="528"/>
      <c r="E272" s="529"/>
      <c r="F272" s="530"/>
      <c r="G272" s="521"/>
      <c r="H272" s="522"/>
      <c r="I272" s="522"/>
      <c r="J272" s="921" t="s">
        <v>203</v>
      </c>
      <c r="K272" s="921"/>
      <c r="L272" s="423">
        <v>16000</v>
      </c>
      <c r="M272" s="422"/>
      <c r="N272" s="422"/>
      <c r="O272" s="422"/>
      <c r="P272" s="422"/>
      <c r="Q272" s="523"/>
      <c r="V272" s="446"/>
      <c r="AD272" s="18"/>
      <c r="AF272" s="18"/>
    </row>
    <row r="273" spans="9:38" ht="15.75" x14ac:dyDescent="0.25">
      <c r="J273" s="894" t="s">
        <v>204</v>
      </c>
      <c r="K273" s="894"/>
      <c r="L273" s="423" t="s">
        <v>180</v>
      </c>
      <c r="M273" s="422"/>
      <c r="N273" s="422"/>
      <c r="O273" s="422"/>
      <c r="P273" s="422"/>
      <c r="V273" s="446"/>
      <c r="AD273" s="18"/>
      <c r="AF273" s="18"/>
    </row>
    <row r="274" spans="9:38" ht="15.75" x14ac:dyDescent="0.25">
      <c r="I274" s="2" t="s">
        <v>494</v>
      </c>
      <c r="J274" s="894" t="s">
        <v>205</v>
      </c>
      <c r="K274" s="894"/>
      <c r="L274" s="482"/>
      <c r="M274" s="422"/>
      <c r="N274" s="422"/>
      <c r="O274" s="422"/>
      <c r="P274" s="422"/>
      <c r="V274" s="446"/>
      <c r="AD274" s="18"/>
      <c r="AF274" s="18"/>
    </row>
    <row r="275" spans="9:38" ht="15.75" x14ac:dyDescent="0.25">
      <c r="I275" s="2" t="s">
        <v>494</v>
      </c>
      <c r="J275" s="894" t="s">
        <v>206</v>
      </c>
      <c r="K275" s="894"/>
      <c r="L275" s="482"/>
      <c r="M275" s="422"/>
      <c r="N275" s="422"/>
      <c r="O275" s="422"/>
      <c r="P275" s="422"/>
      <c r="V275" s="446"/>
      <c r="AD275" s="18"/>
      <c r="AF275" s="18"/>
    </row>
    <row r="276" spans="9:38" ht="15.75" x14ac:dyDescent="0.25">
      <c r="I276" s="2" t="s">
        <v>494</v>
      </c>
      <c r="J276" s="894" t="s">
        <v>473</v>
      </c>
      <c r="K276" s="894"/>
      <c r="L276" s="482"/>
      <c r="M276" s="422"/>
      <c r="N276" s="422"/>
      <c r="O276" s="422"/>
      <c r="P276" s="422"/>
      <c r="V276" s="446"/>
      <c r="AD276" s="18"/>
      <c r="AF276" s="18"/>
    </row>
    <row r="277" spans="9:38" ht="15.75" x14ac:dyDescent="0.25">
      <c r="I277" s="2" t="s">
        <v>494</v>
      </c>
      <c r="J277" s="894" t="s">
        <v>208</v>
      </c>
      <c r="K277" s="894"/>
      <c r="L277" s="482"/>
      <c r="M277" s="422"/>
      <c r="N277" s="422"/>
      <c r="O277" s="422"/>
      <c r="P277" s="422"/>
      <c r="V277" s="27"/>
    </row>
    <row r="278" spans="9:38" ht="15.75" x14ac:dyDescent="0.25">
      <c r="I278" s="2" t="s">
        <v>496</v>
      </c>
      <c r="J278" s="894" t="s">
        <v>209</v>
      </c>
      <c r="K278" s="894"/>
      <c r="L278" s="482"/>
      <c r="M278" s="422"/>
      <c r="N278" s="422"/>
      <c r="O278" s="422"/>
      <c r="P278" s="422"/>
      <c r="V278" s="27"/>
    </row>
    <row r="279" spans="9:38" ht="15.75" x14ac:dyDescent="0.25">
      <c r="J279" s="894" t="s">
        <v>474</v>
      </c>
      <c r="K279" s="894"/>
      <c r="L279" s="423">
        <v>15000</v>
      </c>
      <c r="M279" s="422"/>
      <c r="N279" s="422"/>
      <c r="O279" s="422"/>
      <c r="P279" s="422"/>
      <c r="V279" s="27"/>
    </row>
    <row r="280" spans="9:38" ht="15.75" x14ac:dyDescent="0.25">
      <c r="I280" s="2" t="s">
        <v>494</v>
      </c>
      <c r="J280" s="894" t="s">
        <v>211</v>
      </c>
      <c r="K280" s="894"/>
      <c r="L280" s="482"/>
      <c r="M280" s="422"/>
      <c r="N280" s="422"/>
      <c r="O280" s="422"/>
      <c r="P280" s="422"/>
      <c r="V280" s="27"/>
    </row>
    <row r="281" spans="9:38" ht="15.75" x14ac:dyDescent="0.25">
      <c r="J281" s="894" t="s">
        <v>212</v>
      </c>
      <c r="K281" s="894"/>
      <c r="L281" s="423">
        <v>15000</v>
      </c>
      <c r="M281" s="422"/>
      <c r="N281" s="422"/>
      <c r="O281" s="422"/>
      <c r="P281" s="422"/>
      <c r="V281" s="27"/>
    </row>
    <row r="282" spans="9:38" ht="15.75" x14ac:dyDescent="0.25">
      <c r="J282" s="894" t="s">
        <v>475</v>
      </c>
      <c r="K282" s="894"/>
      <c r="L282" s="423">
        <f>4*12000/1.12</f>
        <v>42857.142857142855</v>
      </c>
      <c r="M282" s="422"/>
      <c r="N282" s="422"/>
      <c r="O282" s="422"/>
      <c r="P282" s="422"/>
      <c r="V282" s="27"/>
    </row>
    <row r="283" spans="9:38" ht="15.75" x14ac:dyDescent="0.25">
      <c r="J283" s="894" t="s">
        <v>214</v>
      </c>
      <c r="K283" s="894"/>
      <c r="L283" s="423" t="s">
        <v>189</v>
      </c>
      <c r="M283" s="422"/>
      <c r="N283" s="422"/>
      <c r="O283" s="422"/>
      <c r="P283" s="422"/>
      <c r="V283" s="27"/>
      <c r="W283" s="397"/>
      <c r="X283" s="400"/>
      <c r="Y283" s="401"/>
      <c r="Z283" s="391"/>
      <c r="AA283" s="398"/>
      <c r="AB283" s="399"/>
      <c r="AC283" s="403"/>
      <c r="AD283" s="392"/>
      <c r="AE283" s="378"/>
      <c r="AF283" s="393"/>
      <c r="AG283" s="394"/>
      <c r="AH283" s="394"/>
      <c r="AI283" s="394"/>
      <c r="AJ283" s="395"/>
      <c r="AK283" s="394"/>
      <c r="AL283" s="394"/>
    </row>
    <row r="284" spans="9:38" ht="15.75" x14ac:dyDescent="0.25">
      <c r="J284" s="894" t="s">
        <v>476</v>
      </c>
      <c r="K284" s="894"/>
      <c r="L284" s="423">
        <v>10000</v>
      </c>
      <c r="M284" s="422"/>
      <c r="N284" s="422"/>
      <c r="O284" s="422"/>
      <c r="P284" s="422"/>
      <c r="V284" s="27"/>
      <c r="W284" s="397"/>
      <c r="X284" s="400"/>
      <c r="Y284" s="401"/>
      <c r="Z284" s="391"/>
      <c r="AA284" s="398"/>
      <c r="AB284" s="399"/>
      <c r="AC284" s="403"/>
      <c r="AD284" s="392"/>
      <c r="AE284" s="378"/>
      <c r="AF284" s="393"/>
      <c r="AG284" s="394"/>
      <c r="AH284" s="394"/>
      <c r="AI284" s="394"/>
      <c r="AJ284" s="395"/>
      <c r="AK284" s="394"/>
      <c r="AL284" s="394"/>
    </row>
    <row r="285" spans="9:38" ht="15.75" x14ac:dyDescent="0.25">
      <c r="J285" s="894" t="s">
        <v>477</v>
      </c>
      <c r="K285" s="894"/>
      <c r="L285" s="429"/>
      <c r="M285" s="422"/>
      <c r="N285" s="422"/>
      <c r="O285" s="422"/>
      <c r="P285" s="422"/>
      <c r="V285" s="27"/>
      <c r="W285" s="397"/>
      <c r="X285" s="400"/>
      <c r="Y285" s="404"/>
      <c r="Z285" s="391"/>
      <c r="AA285" s="392"/>
      <c r="AB285" s="399"/>
      <c r="AC285" s="403"/>
      <c r="AD285" s="392"/>
      <c r="AE285" s="378"/>
      <c r="AF285" s="393"/>
      <c r="AG285" s="394"/>
      <c r="AH285" s="394"/>
      <c r="AI285" s="405"/>
      <c r="AJ285" s="405"/>
      <c r="AK285" s="405"/>
      <c r="AL285" s="405"/>
    </row>
    <row r="286" spans="9:38" ht="15.75" x14ac:dyDescent="0.25">
      <c r="J286" s="894" t="s">
        <v>217</v>
      </c>
      <c r="K286" s="894"/>
      <c r="L286" s="429" t="s">
        <v>180</v>
      </c>
      <c r="M286" s="422"/>
      <c r="N286" s="422"/>
      <c r="O286" s="422"/>
      <c r="P286" s="422"/>
      <c r="V286" s="27"/>
      <c r="W286" s="389"/>
      <c r="X286" s="390"/>
      <c r="Y286" s="391"/>
      <c r="Z286" s="391"/>
      <c r="AA286" s="392"/>
      <c r="AB286" s="391"/>
      <c r="AC286" s="392"/>
      <c r="AD286" s="392"/>
      <c r="AE286" s="378"/>
      <c r="AF286" s="393"/>
      <c r="AG286" s="394"/>
      <c r="AH286" s="394"/>
      <c r="AI286" s="394"/>
      <c r="AJ286" s="395"/>
      <c r="AK286" s="394"/>
      <c r="AL286" s="394"/>
    </row>
    <row r="287" spans="9:38" ht="15.75" x14ac:dyDescent="0.25">
      <c r="J287" s="894" t="s">
        <v>478</v>
      </c>
      <c r="K287" s="894"/>
      <c r="L287" s="429">
        <v>3500</v>
      </c>
      <c r="M287" s="422"/>
      <c r="N287" s="422"/>
      <c r="O287" s="422"/>
      <c r="P287" s="422"/>
      <c r="V287" s="27"/>
      <c r="W287" s="389"/>
      <c r="X287" s="390"/>
      <c r="Y287" s="391"/>
      <c r="Z287" s="391"/>
      <c r="AA287" s="392"/>
      <c r="AB287" s="391"/>
      <c r="AC287" s="392"/>
      <c r="AD287" s="392"/>
      <c r="AE287" s="378"/>
      <c r="AF287" s="393"/>
      <c r="AG287" s="394"/>
      <c r="AH287" s="394"/>
      <c r="AI287" s="394"/>
      <c r="AJ287" s="395"/>
      <c r="AK287" s="394"/>
      <c r="AL287" s="394"/>
    </row>
    <row r="288" spans="9:38" ht="15.75" x14ac:dyDescent="0.25">
      <c r="J288" s="894" t="s">
        <v>219</v>
      </c>
      <c r="K288" s="894"/>
      <c r="L288" s="429" t="s">
        <v>180</v>
      </c>
      <c r="M288" s="422"/>
      <c r="N288" s="422"/>
      <c r="O288" s="422"/>
      <c r="P288" s="422"/>
      <c r="V288" s="27"/>
      <c r="W288" s="273"/>
      <c r="X288" s="273"/>
      <c r="Y288" s="273"/>
      <c r="Z288" s="273"/>
      <c r="AA288" s="273"/>
      <c r="AB288" s="273"/>
      <c r="AC288" s="273"/>
      <c r="AD288" s="224"/>
      <c r="AE288" s="273"/>
      <c r="AF288" s="224"/>
      <c r="AG288" s="1"/>
      <c r="AH288" s="1"/>
      <c r="AI288" s="1"/>
      <c r="AJ288" s="1"/>
      <c r="AK288" s="1"/>
      <c r="AL288" s="1"/>
    </row>
    <row r="289" spans="9:16" ht="15.75" x14ac:dyDescent="0.25">
      <c r="J289" s="894" t="s">
        <v>220</v>
      </c>
      <c r="K289" s="894"/>
      <c r="L289" s="429">
        <v>3500</v>
      </c>
      <c r="M289" s="422"/>
      <c r="N289" s="422"/>
      <c r="O289" s="422"/>
      <c r="P289" s="422"/>
    </row>
    <row r="290" spans="9:16" ht="15.75" x14ac:dyDescent="0.25">
      <c r="J290" s="894" t="s">
        <v>221</v>
      </c>
      <c r="K290" s="894"/>
      <c r="L290" s="429">
        <v>3500</v>
      </c>
      <c r="M290" s="422"/>
      <c r="N290" s="422"/>
      <c r="O290" s="422"/>
      <c r="P290" s="422"/>
    </row>
    <row r="291" spans="9:16" ht="15.75" x14ac:dyDescent="0.25">
      <c r="J291" s="894" t="s">
        <v>479</v>
      </c>
      <c r="K291" s="894"/>
      <c r="L291" s="423">
        <v>0</v>
      </c>
      <c r="M291" s="422"/>
      <c r="N291" s="422"/>
      <c r="O291" s="422"/>
      <c r="P291" s="422"/>
    </row>
    <row r="292" spans="9:16" ht="15.75" x14ac:dyDescent="0.25">
      <c r="J292" s="894" t="s">
        <v>223</v>
      </c>
      <c r="K292" s="894"/>
      <c r="L292" s="423">
        <v>12000</v>
      </c>
      <c r="M292" s="430"/>
      <c r="N292" s="422"/>
      <c r="O292" s="422"/>
      <c r="P292" s="422"/>
    </row>
    <row r="293" spans="9:16" ht="15.75" x14ac:dyDescent="0.25">
      <c r="J293" s="894" t="s">
        <v>480</v>
      </c>
      <c r="K293" s="894"/>
      <c r="L293" s="423" t="s">
        <v>189</v>
      </c>
      <c r="M293" s="431"/>
      <c r="N293" s="431"/>
      <c r="O293" s="431"/>
      <c r="P293" s="431"/>
    </row>
    <row r="294" spans="9:16" ht="15.75" x14ac:dyDescent="0.25">
      <c r="J294" s="893" t="s">
        <v>481</v>
      </c>
      <c r="K294" s="893"/>
      <c r="L294" s="432">
        <v>8500</v>
      </c>
      <c r="M294" s="431"/>
      <c r="N294" s="431"/>
      <c r="O294" s="431"/>
      <c r="P294" s="431"/>
    </row>
    <row r="295" spans="9:16" ht="15.75" x14ac:dyDescent="0.25">
      <c r="J295" s="894" t="s">
        <v>482</v>
      </c>
      <c r="K295" s="894"/>
      <c r="L295" s="423">
        <v>8500</v>
      </c>
      <c r="M295" s="431"/>
      <c r="N295" s="431"/>
      <c r="O295" s="431"/>
      <c r="P295" s="431"/>
    </row>
    <row r="296" spans="9:16" ht="15.75" x14ac:dyDescent="0.25">
      <c r="J296" s="895" t="s">
        <v>483</v>
      </c>
      <c r="K296" s="895"/>
      <c r="L296" s="498" t="s">
        <v>189</v>
      </c>
      <c r="M296" s="434"/>
      <c r="N296" s="434"/>
      <c r="O296" s="434"/>
      <c r="P296" s="434"/>
    </row>
    <row r="297" spans="9:16" ht="15.75" x14ac:dyDescent="0.25">
      <c r="I297" s="2" t="s">
        <v>494</v>
      </c>
      <c r="J297" s="895" t="s">
        <v>484</v>
      </c>
      <c r="K297" s="895"/>
      <c r="L297" s="485"/>
      <c r="M297" s="434"/>
      <c r="N297" s="434"/>
      <c r="O297" s="434"/>
      <c r="P297" s="434"/>
    </row>
    <row r="298" spans="9:16" ht="15.75" x14ac:dyDescent="0.25">
      <c r="J298" s="895" t="s">
        <v>485</v>
      </c>
      <c r="K298" s="895"/>
      <c r="L298" s="498" t="s">
        <v>189</v>
      </c>
      <c r="M298" s="434"/>
      <c r="N298" s="434"/>
      <c r="O298" s="434"/>
      <c r="P298" s="434"/>
    </row>
    <row r="299" spans="9:16" ht="15.75" x14ac:dyDescent="0.25">
      <c r="J299" s="895" t="s">
        <v>486</v>
      </c>
      <c r="K299" s="895"/>
      <c r="L299" s="498" t="s">
        <v>189</v>
      </c>
      <c r="M299" s="434"/>
      <c r="N299" s="434"/>
      <c r="O299" s="434"/>
      <c r="P299" s="434"/>
    </row>
    <row r="300" spans="9:16" ht="15.75" x14ac:dyDescent="0.25">
      <c r="J300" s="892" t="s">
        <v>222</v>
      </c>
      <c r="K300" s="892"/>
      <c r="L300" s="498">
        <v>7500</v>
      </c>
      <c r="M300" s="434"/>
      <c r="N300" s="434"/>
      <c r="O300" s="434"/>
      <c r="P300" s="434"/>
    </row>
    <row r="301" spans="9:16" ht="15.75" x14ac:dyDescent="0.25">
      <c r="J301" s="892" t="s">
        <v>487</v>
      </c>
      <c r="K301" s="892"/>
      <c r="L301" s="498"/>
      <c r="M301" s="434"/>
      <c r="N301" s="434"/>
      <c r="O301" s="434"/>
      <c r="P301" s="434"/>
    </row>
    <row r="302" spans="9:16" ht="15.75" x14ac:dyDescent="0.25">
      <c r="J302" s="892" t="s">
        <v>213</v>
      </c>
      <c r="K302" s="892"/>
      <c r="L302" s="498" t="s">
        <v>161</v>
      </c>
      <c r="M302" s="434"/>
      <c r="N302" s="434"/>
      <c r="O302" s="434"/>
      <c r="P302" s="434"/>
    </row>
    <row r="303" spans="9:16" ht="15.75" x14ac:dyDescent="0.25">
      <c r="I303" s="2" t="s">
        <v>494</v>
      </c>
      <c r="J303" s="892" t="s">
        <v>488</v>
      </c>
      <c r="K303" s="892"/>
      <c r="L303" s="485"/>
      <c r="M303" s="434"/>
      <c r="N303" s="434"/>
      <c r="O303" s="434"/>
      <c r="P303" s="434"/>
    </row>
    <row r="304" spans="9:16" ht="15.75" x14ac:dyDescent="0.25">
      <c r="J304" s="892" t="s">
        <v>489</v>
      </c>
      <c r="K304" s="892"/>
      <c r="L304" s="498"/>
      <c r="M304" s="434"/>
      <c r="N304" s="434"/>
      <c r="O304" s="434"/>
      <c r="P304" s="434"/>
    </row>
  </sheetData>
  <mergeCells count="142">
    <mergeCell ref="J301:K301"/>
    <mergeCell ref="J302:K302"/>
    <mergeCell ref="J303:K303"/>
    <mergeCell ref="J304:K304"/>
    <mergeCell ref="J295:K295"/>
    <mergeCell ref="J296:K296"/>
    <mergeCell ref="J297:K297"/>
    <mergeCell ref="J298:K298"/>
    <mergeCell ref="J299:K299"/>
    <mergeCell ref="J300:K300"/>
    <mergeCell ref="J289:K289"/>
    <mergeCell ref="J290:K290"/>
    <mergeCell ref="J291:K291"/>
    <mergeCell ref="J292:K292"/>
    <mergeCell ref="J293:K293"/>
    <mergeCell ref="J294:K294"/>
    <mergeCell ref="J283:K283"/>
    <mergeCell ref="J284:K284"/>
    <mergeCell ref="J285:K285"/>
    <mergeCell ref="J286:K286"/>
    <mergeCell ref="J287:K287"/>
    <mergeCell ref="J288:K288"/>
    <mergeCell ref="J277:K277"/>
    <mergeCell ref="J278:K278"/>
    <mergeCell ref="J279:K279"/>
    <mergeCell ref="J280:K280"/>
    <mergeCell ref="J281:K281"/>
    <mergeCell ref="J282:K282"/>
    <mergeCell ref="J271:K271"/>
    <mergeCell ref="J272:K272"/>
    <mergeCell ref="J273:K273"/>
    <mergeCell ref="J274:K274"/>
    <mergeCell ref="J275:K275"/>
    <mergeCell ref="J276:K276"/>
    <mergeCell ref="J266:K266"/>
    <mergeCell ref="J267:K267"/>
    <mergeCell ref="J268:K268"/>
    <mergeCell ref="J269:K269"/>
    <mergeCell ref="J270:K270"/>
    <mergeCell ref="J261:K261"/>
    <mergeCell ref="J262:K262"/>
    <mergeCell ref="J263:K263"/>
    <mergeCell ref="J264:K264"/>
    <mergeCell ref="J265:K265"/>
    <mergeCell ref="AA239:AC239"/>
    <mergeCell ref="AD239:AE239"/>
    <mergeCell ref="J257:K257"/>
    <mergeCell ref="J258:K258"/>
    <mergeCell ref="J259:K259"/>
    <mergeCell ref="J260:K260"/>
    <mergeCell ref="B211:D211"/>
    <mergeCell ref="AA224:AC224"/>
    <mergeCell ref="AD224:AE224"/>
    <mergeCell ref="B236:D236"/>
    <mergeCell ref="B238:D238"/>
    <mergeCell ref="M238:P238"/>
    <mergeCell ref="AD253:AE253"/>
    <mergeCell ref="AA253:AC253"/>
    <mergeCell ref="W141:Y141"/>
    <mergeCell ref="W142:Y142"/>
    <mergeCell ref="W143:Y143"/>
    <mergeCell ref="B150:D150"/>
    <mergeCell ref="AA209:AC209"/>
    <mergeCell ref="AD209:AE209"/>
    <mergeCell ref="W135:Y135"/>
    <mergeCell ref="T136:Y136"/>
    <mergeCell ref="W137:Y137"/>
    <mergeCell ref="W138:Y138"/>
    <mergeCell ref="W139:Y139"/>
    <mergeCell ref="W140:Y140"/>
    <mergeCell ref="W125:X125"/>
    <mergeCell ref="W129:Y129"/>
    <mergeCell ref="W131:Y131"/>
    <mergeCell ref="W132:Y132"/>
    <mergeCell ref="W133:Y133"/>
    <mergeCell ref="W134:Y134"/>
    <mergeCell ref="W119:X119"/>
    <mergeCell ref="W120:X120"/>
    <mergeCell ref="W121:X121"/>
    <mergeCell ref="W122:X122"/>
    <mergeCell ref="W123:X123"/>
    <mergeCell ref="W124:X124"/>
    <mergeCell ref="W106:X106"/>
    <mergeCell ref="W107:X107"/>
    <mergeCell ref="W110:X110"/>
    <mergeCell ref="W116:X116"/>
    <mergeCell ref="W117:X117"/>
    <mergeCell ref="W118:X118"/>
    <mergeCell ref="W95:Y95"/>
    <mergeCell ref="W99:Y99"/>
    <mergeCell ref="W100:Y100"/>
    <mergeCell ref="W101:Y101"/>
    <mergeCell ref="W102:Y102"/>
    <mergeCell ref="W103:Y103"/>
    <mergeCell ref="W86:Y86"/>
    <mergeCell ref="W87:Y87"/>
    <mergeCell ref="W91:Y91"/>
    <mergeCell ref="W92:Y92"/>
    <mergeCell ref="W93:Y93"/>
    <mergeCell ref="W94:Y94"/>
    <mergeCell ref="W78:Y78"/>
    <mergeCell ref="W79:Y79"/>
    <mergeCell ref="W80:Y80"/>
    <mergeCell ref="W83:Y83"/>
    <mergeCell ref="W84:Y84"/>
    <mergeCell ref="W85:Y85"/>
    <mergeCell ref="W70:Y70"/>
    <mergeCell ref="W71:Y71"/>
    <mergeCell ref="W72:Y72"/>
    <mergeCell ref="W73:Y73"/>
    <mergeCell ref="W76:Y76"/>
    <mergeCell ref="W77:Y77"/>
    <mergeCell ref="W58:Y58"/>
    <mergeCell ref="W59:Y59"/>
    <mergeCell ref="W60:Y60"/>
    <mergeCell ref="W61:Y61"/>
    <mergeCell ref="W62:Y62"/>
    <mergeCell ref="W69:Y69"/>
    <mergeCell ref="W50:Y50"/>
    <mergeCell ref="W51:Y51"/>
    <mergeCell ref="W52:Y52"/>
    <mergeCell ref="W53:Y53"/>
    <mergeCell ref="W54:Y54"/>
    <mergeCell ref="W57:Y57"/>
    <mergeCell ref="B35:D35"/>
    <mergeCell ref="W42:Y42"/>
    <mergeCell ref="W43:Y43"/>
    <mergeCell ref="W44:Y44"/>
    <mergeCell ref="W45:Y45"/>
    <mergeCell ref="W46:Y46"/>
    <mergeCell ref="I14:I15"/>
    <mergeCell ref="J14:J15"/>
    <mergeCell ref="K14:K15"/>
    <mergeCell ref="L14:L15"/>
    <mergeCell ref="M14:O14"/>
    <mergeCell ref="P14:P15"/>
    <mergeCell ref="A14:A15"/>
    <mergeCell ref="B14:D15"/>
    <mergeCell ref="E14:E15"/>
    <mergeCell ref="F14:F15"/>
    <mergeCell ref="G14:G15"/>
    <mergeCell ref="H14:H15"/>
  </mergeCells>
  <printOptions horizontalCentered="1"/>
  <pageMargins left="0.25" right="0.25" top="0.75" bottom="0.5" header="0.3" footer="0.3"/>
  <pageSetup paperSize="197" scale="54" orientation="portrait" r:id="rId1"/>
  <headerFooter>
    <oddFooter>Page &amp;P of &amp;N</oddFooter>
  </headerFooter>
  <rowBreaks count="2" manualBreakCount="2">
    <brk id="108" max="15" man="1"/>
    <brk id="215" max="15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7:AU306"/>
  <sheetViews>
    <sheetView showGridLines="0" view="pageBreakPreview" topLeftCell="E203" zoomScale="80" zoomScaleNormal="85" zoomScaleSheetLayoutView="80" workbookViewId="0">
      <selection activeCell="L25" sqref="L25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3.42578125" style="1" customWidth="1"/>
    <col min="33" max="33" width="10.7109375" style="18" customWidth="1"/>
    <col min="34" max="34" width="13.140625" style="18" customWidth="1"/>
    <col min="35" max="41" width="9.140625" style="18"/>
    <col min="42" max="42" width="12" style="18" customWidth="1"/>
    <col min="43" max="43" width="9.140625" style="18"/>
    <col min="44" max="44" width="14.28515625" style="18" customWidth="1"/>
    <col min="45" max="45" width="11.7109375" style="18" customWidth="1"/>
    <col min="46" max="16384" width="9.140625" style="18"/>
  </cols>
  <sheetData>
    <row r="7" spans="1:44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44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44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44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44" ht="15.75" x14ac:dyDescent="0.25">
      <c r="A11" s="235"/>
      <c r="D11" s="21"/>
      <c r="E11" s="181"/>
      <c r="AL11" s="288" t="s">
        <v>317</v>
      </c>
      <c r="AM11" s="227"/>
      <c r="AN11" s="228"/>
      <c r="AO11" s="228"/>
      <c r="AP11" s="232">
        <f>9500000*0.3</f>
        <v>2850000</v>
      </c>
      <c r="AQ11" s="228"/>
      <c r="AR11" s="227"/>
    </row>
    <row r="12" spans="1:44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27" t="s">
        <v>310</v>
      </c>
      <c r="AM12" s="227"/>
      <c r="AN12" s="228"/>
      <c r="AO12" s="228"/>
      <c r="AP12" s="228"/>
      <c r="AQ12" s="228"/>
      <c r="AR12" s="229">
        <f>AP11*0.006</f>
        <v>17100</v>
      </c>
    </row>
    <row r="13" spans="1:44" ht="15.75" thickBot="1" x14ac:dyDescent="0.3">
      <c r="T13" s="224"/>
      <c r="U13" s="273"/>
      <c r="V13" s="273"/>
      <c r="AK13" s="273"/>
      <c r="AL13" s="227" t="s">
        <v>312</v>
      </c>
      <c r="AM13" s="227"/>
      <c r="AN13" s="228"/>
      <c r="AO13" s="228"/>
      <c r="AP13" s="228"/>
      <c r="AQ13" s="228"/>
      <c r="AR13" s="229">
        <f>(AR12*0.125)+30</f>
        <v>2167.5</v>
      </c>
    </row>
    <row r="14" spans="1:44" s="19" customFormat="1" x14ac:dyDescent="0.25">
      <c r="A14" s="906" t="s">
        <v>4</v>
      </c>
      <c r="B14" s="864" t="s">
        <v>7</v>
      </c>
      <c r="C14" s="908"/>
      <c r="D14" s="865"/>
      <c r="E14" s="915" t="s">
        <v>81</v>
      </c>
      <c r="F14" s="917" t="s">
        <v>6</v>
      </c>
      <c r="G14" s="868" t="s">
        <v>5</v>
      </c>
      <c r="H14" s="870" t="s">
        <v>174</v>
      </c>
      <c r="I14" s="870" t="s">
        <v>175</v>
      </c>
      <c r="J14" s="870" t="s">
        <v>176</v>
      </c>
      <c r="K14" s="870" t="s">
        <v>177</v>
      </c>
      <c r="L14" s="870" t="s">
        <v>178</v>
      </c>
      <c r="M14" s="872" t="s">
        <v>8</v>
      </c>
      <c r="N14" s="873"/>
      <c r="O14" s="874"/>
      <c r="P14" s="919" t="s">
        <v>11</v>
      </c>
      <c r="Q14" s="2"/>
      <c r="R14" s="2"/>
      <c r="T14" s="441"/>
      <c r="U14" s="274"/>
      <c r="V14" s="274"/>
      <c r="AK14" s="274"/>
      <c r="AL14" s="227" t="s">
        <v>314</v>
      </c>
      <c r="AM14" s="227"/>
      <c r="AN14" s="228"/>
      <c r="AO14" s="228"/>
      <c r="AP14" s="228"/>
      <c r="AQ14" s="228"/>
      <c r="AR14" s="229">
        <f>AR12*0.12</f>
        <v>2052</v>
      </c>
    </row>
    <row r="15" spans="1:44" s="19" customFormat="1" ht="15.75" thickBot="1" x14ac:dyDescent="0.3">
      <c r="A15" s="907"/>
      <c r="B15" s="866"/>
      <c r="C15" s="909"/>
      <c r="D15" s="867"/>
      <c r="E15" s="916"/>
      <c r="F15" s="918"/>
      <c r="G15" s="869"/>
      <c r="H15" s="871"/>
      <c r="I15" s="871"/>
      <c r="J15" s="871"/>
      <c r="K15" s="871"/>
      <c r="L15" s="871"/>
      <c r="M15" s="54" t="s">
        <v>9</v>
      </c>
      <c r="N15" s="54" t="s">
        <v>10</v>
      </c>
      <c r="O15" s="54" t="s">
        <v>230</v>
      </c>
      <c r="P15" s="920"/>
      <c r="Q15" s="2"/>
      <c r="R15" s="2"/>
      <c r="T15" s="441"/>
      <c r="U15" s="274"/>
      <c r="V15" s="274"/>
      <c r="AK15" s="274"/>
      <c r="AL15" s="227" t="s">
        <v>299</v>
      </c>
      <c r="AM15" s="227"/>
      <c r="AN15" s="228"/>
      <c r="AO15" s="228"/>
      <c r="AP15" s="228"/>
      <c r="AQ15" s="228"/>
      <c r="AR15" s="229">
        <f>AR12*0.002</f>
        <v>34.200000000000003</v>
      </c>
    </row>
    <row r="16" spans="1:44" s="226" customFormat="1" ht="15.75" x14ac:dyDescent="0.25">
      <c r="A16" s="322" t="s">
        <v>80</v>
      </c>
      <c r="B16" s="251" t="s">
        <v>315</v>
      </c>
      <c r="C16" s="295"/>
      <c r="D16" s="259"/>
      <c r="E16" s="70"/>
      <c r="F16" s="301"/>
      <c r="G16" s="260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27" t="s">
        <v>302</v>
      </c>
      <c r="AM16" s="227"/>
      <c r="AN16" s="228"/>
      <c r="AO16" s="228"/>
      <c r="AP16" s="228"/>
      <c r="AQ16" s="228"/>
      <c r="AR16" s="229">
        <v>200</v>
      </c>
    </row>
    <row r="17" spans="1:44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72">
        <v>10000</v>
      </c>
      <c r="I17" s="72">
        <f>H17*F17</f>
        <v>10000</v>
      </c>
      <c r="J17" s="72">
        <v>10000</v>
      </c>
      <c r="K17" s="72">
        <f>J17*F17</f>
        <v>10000</v>
      </c>
      <c r="L17" s="72">
        <f>I17+K17</f>
        <v>20000</v>
      </c>
      <c r="M17" s="74">
        <v>13733.625053200478</v>
      </c>
      <c r="N17" s="74">
        <v>13733.625053200478</v>
      </c>
      <c r="O17" s="72">
        <f t="shared" ref="O17:O33" si="0">N17+M17</f>
        <v>27467.250106400956</v>
      </c>
      <c r="P17" s="205">
        <f t="shared" ref="P17:P33" si="1">O17*F17</f>
        <v>27467.250106400956</v>
      </c>
      <c r="Q17" s="272">
        <f t="shared" ref="Q17:Q50" si="2">L17/$P$257*$P$265</f>
        <v>27804.561663598732</v>
      </c>
      <c r="R17" s="439">
        <f t="shared" ref="R17:R81" si="3">P17-Q17</f>
        <v>-337.31155719777598</v>
      </c>
      <c r="S17" s="230"/>
      <c r="T17" s="439"/>
      <c r="U17" s="275"/>
      <c r="V17" s="276"/>
      <c r="AK17" s="278"/>
      <c r="AL17" s="285" t="s">
        <v>304</v>
      </c>
      <c r="AM17" s="285"/>
      <c r="AN17" s="286"/>
      <c r="AO17" s="286"/>
      <c r="AP17" s="286"/>
      <c r="AQ17" s="286"/>
      <c r="AR17" s="690">
        <f>SUM(AR12:AR16)</f>
        <v>21553.7</v>
      </c>
    </row>
    <row r="18" spans="1:44" s="226" customFormat="1" x14ac:dyDescent="0.25">
      <c r="A18" s="263"/>
      <c r="B18" s="261"/>
      <c r="C18" s="293">
        <v>2</v>
      </c>
      <c r="D18" s="259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33" si="4">H18*F18</f>
        <v>10000</v>
      </c>
      <c r="J18" s="72">
        <v>8000</v>
      </c>
      <c r="K18" s="72">
        <f t="shared" ref="K18:K33" si="5">J18*F18</f>
        <v>8000</v>
      </c>
      <c r="L18" s="72">
        <f t="shared" ref="L18:L33" si="6">I18+K18</f>
        <v>18000</v>
      </c>
      <c r="M18" s="67">
        <v>13733.625053200478</v>
      </c>
      <c r="N18" s="67">
        <v>10986.900042560383</v>
      </c>
      <c r="O18" s="72">
        <f t="shared" si="0"/>
        <v>24720.525095760859</v>
      </c>
      <c r="P18" s="203">
        <f t="shared" si="1"/>
        <v>24720.525095760859</v>
      </c>
      <c r="Q18" s="272">
        <f t="shared" si="2"/>
        <v>25024.105497238859</v>
      </c>
      <c r="R18" s="439">
        <f t="shared" si="3"/>
        <v>-303.58040147800057</v>
      </c>
      <c r="S18" s="230"/>
      <c r="T18" s="439"/>
      <c r="U18" s="275"/>
      <c r="V18" s="276"/>
      <c r="AK18" s="279"/>
      <c r="AL18" s="227" t="s">
        <v>306</v>
      </c>
      <c r="AM18" s="227"/>
      <c r="AN18" s="228"/>
      <c r="AO18" s="228"/>
      <c r="AP18" s="228"/>
      <c r="AQ18" s="228"/>
      <c r="AR18" s="229"/>
    </row>
    <row r="19" spans="1:44" s="226" customFormat="1" x14ac:dyDescent="0.25">
      <c r="A19" s="263"/>
      <c r="B19" s="261"/>
      <c r="C19" s="293">
        <v>3</v>
      </c>
      <c r="D19" s="259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4"/>
        <v>5000</v>
      </c>
      <c r="J19" s="72">
        <v>10000</v>
      </c>
      <c r="K19" s="72">
        <f t="shared" si="5"/>
        <v>10000</v>
      </c>
      <c r="L19" s="72">
        <f t="shared" si="6"/>
        <v>15000</v>
      </c>
      <c r="M19" s="67">
        <v>6866.8125266002389</v>
      </c>
      <c r="N19" s="67">
        <v>13733.625053200478</v>
      </c>
      <c r="O19" s="72">
        <f t="shared" si="0"/>
        <v>20600.437579800717</v>
      </c>
      <c r="P19" s="203">
        <f t="shared" si="1"/>
        <v>20600.437579800717</v>
      </c>
      <c r="Q19" s="272">
        <f t="shared" si="2"/>
        <v>20853.421247699051</v>
      </c>
      <c r="R19" s="439">
        <f t="shared" si="3"/>
        <v>-252.98366789833381</v>
      </c>
      <c r="S19" s="230"/>
      <c r="T19" s="439"/>
      <c r="U19" s="275"/>
      <c r="V19" s="264"/>
      <c r="AK19" s="278"/>
      <c r="AL19" s="227"/>
      <c r="AM19" s="227"/>
      <c r="AN19" s="228"/>
      <c r="AO19" s="228"/>
      <c r="AP19" s="228"/>
      <c r="AQ19" s="228"/>
      <c r="AR19" s="229"/>
    </row>
    <row r="20" spans="1:44" s="226" customFormat="1" ht="15.75" x14ac:dyDescent="0.25">
      <c r="A20" s="263"/>
      <c r="B20" s="261"/>
      <c r="C20" s="293">
        <v>4</v>
      </c>
      <c r="D20" s="481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4"/>
        <v>0</v>
      </c>
      <c r="J20" s="74">
        <f>4*(24000+16000+16000)/1.05</f>
        <v>213333.33333333331</v>
      </c>
      <c r="K20" s="72">
        <f t="shared" si="5"/>
        <v>213333.33333333331</v>
      </c>
      <c r="L20" s="72">
        <f t="shared" si="6"/>
        <v>213333.33333333331</v>
      </c>
      <c r="M20" s="67">
        <v>0</v>
      </c>
      <c r="N20" s="67">
        <v>292984.00113494351</v>
      </c>
      <c r="O20" s="72">
        <f t="shared" si="0"/>
        <v>292984.00113494351</v>
      </c>
      <c r="P20" s="203">
        <f t="shared" si="1"/>
        <v>292984.00113494351</v>
      </c>
      <c r="Q20" s="272">
        <f t="shared" si="2"/>
        <v>296581.99107838643</v>
      </c>
      <c r="R20" s="439">
        <f t="shared" si="3"/>
        <v>-3597.9899434429244</v>
      </c>
      <c r="S20" s="230"/>
      <c r="T20" s="439"/>
      <c r="U20" s="275"/>
      <c r="V20" s="280"/>
      <c r="AK20" s="278"/>
      <c r="AL20" s="233" t="s">
        <v>308</v>
      </c>
      <c r="AM20" s="227"/>
      <c r="AN20" s="228"/>
      <c r="AO20" s="228"/>
      <c r="AP20" s="232">
        <f>9500000*0.3</f>
        <v>2850000</v>
      </c>
      <c r="AQ20" s="228"/>
      <c r="AR20" s="229"/>
    </row>
    <row r="21" spans="1:44" s="226" customFormat="1" x14ac:dyDescent="0.25">
      <c r="A21" s="263"/>
      <c r="B21" s="261"/>
      <c r="C21" s="293">
        <v>5</v>
      </c>
      <c r="D21" s="259" t="s">
        <v>307</v>
      </c>
      <c r="E21" s="71">
        <v>1</v>
      </c>
      <c r="F21" s="302">
        <v>1</v>
      </c>
      <c r="G21" s="262" t="s">
        <v>301</v>
      </c>
      <c r="H21" s="72">
        <f>(AR17+AR26+AR33)/1.07</f>
        <v>55233.808411214952</v>
      </c>
      <c r="I21" s="72">
        <f t="shared" si="4"/>
        <v>55233.808411214952</v>
      </c>
      <c r="J21" s="72">
        <v>2500</v>
      </c>
      <c r="K21" s="72">
        <f t="shared" si="5"/>
        <v>2500</v>
      </c>
      <c r="L21" s="72">
        <f t="shared" si="6"/>
        <v>57733.808411214952</v>
      </c>
      <c r="M21" s="67">
        <v>91701.436018486769</v>
      </c>
      <c r="N21" s="67">
        <v>3433.4062633001195</v>
      </c>
      <c r="O21" s="72">
        <f t="shared" si="0"/>
        <v>95134.842281786885</v>
      </c>
      <c r="P21" s="203">
        <f t="shared" si="1"/>
        <v>95134.842281786885</v>
      </c>
      <c r="Q21" s="272">
        <f t="shared" si="2"/>
        <v>80263.161802201066</v>
      </c>
      <c r="R21" s="439">
        <f t="shared" si="3"/>
        <v>14871.680479585819</v>
      </c>
      <c r="S21" s="230"/>
      <c r="T21" s="439"/>
      <c r="U21" s="275"/>
      <c r="V21" s="281"/>
      <c r="AK21" s="278"/>
      <c r="AL21" s="227" t="s">
        <v>310</v>
      </c>
      <c r="AM21" s="227"/>
      <c r="AN21" s="228"/>
      <c r="AO21" s="228"/>
      <c r="AP21" s="228"/>
      <c r="AQ21" s="228"/>
      <c r="AR21" s="229">
        <f>AP20*0.0055</f>
        <v>15675</v>
      </c>
    </row>
    <row r="22" spans="1:44" s="226" customFormat="1" x14ac:dyDescent="0.25">
      <c r="A22" s="263"/>
      <c r="B22" s="261"/>
      <c r="C22" s="293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4"/>
        <v>35000</v>
      </c>
      <c r="J22" s="72">
        <v>5000</v>
      </c>
      <c r="K22" s="72">
        <f t="shared" si="5"/>
        <v>5000</v>
      </c>
      <c r="L22" s="72">
        <f t="shared" si="6"/>
        <v>40000</v>
      </c>
      <c r="M22" s="67">
        <v>48067.687686201672</v>
      </c>
      <c r="N22" s="67">
        <v>6866.8125266002389</v>
      </c>
      <c r="O22" s="72">
        <f t="shared" si="0"/>
        <v>54934.500212801911</v>
      </c>
      <c r="P22" s="203">
        <f t="shared" si="1"/>
        <v>54934.500212801911</v>
      </c>
      <c r="Q22" s="272">
        <f t="shared" si="2"/>
        <v>55609.123327197463</v>
      </c>
      <c r="R22" s="439">
        <f t="shared" si="3"/>
        <v>-674.62311439555197</v>
      </c>
      <c r="S22" s="230"/>
      <c r="T22" s="442"/>
      <c r="U22" s="275"/>
      <c r="V22" s="276"/>
      <c r="AK22" s="278"/>
      <c r="AL22" s="227" t="s">
        <v>312</v>
      </c>
      <c r="AM22" s="227"/>
      <c r="AN22" s="228"/>
      <c r="AO22" s="228"/>
      <c r="AP22" s="228"/>
      <c r="AQ22" s="228"/>
      <c r="AR22" s="229">
        <f>(AR21*0.125)+30</f>
        <v>1989.375</v>
      </c>
    </row>
    <row r="23" spans="1:44" s="226" customFormat="1" x14ac:dyDescent="0.25">
      <c r="A23" s="263"/>
      <c r="B23" s="261"/>
      <c r="C23" s="293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4"/>
        <v>108000</v>
      </c>
      <c r="J23" s="72"/>
      <c r="K23" s="72">
        <f t="shared" si="5"/>
        <v>0</v>
      </c>
      <c r="L23" s="72">
        <f t="shared" si="6"/>
        <v>108000</v>
      </c>
      <c r="M23" s="67">
        <v>148323.15057456514</v>
      </c>
      <c r="N23" s="67">
        <v>0</v>
      </c>
      <c r="O23" s="72">
        <f t="shared" si="0"/>
        <v>148323.15057456514</v>
      </c>
      <c r="P23" s="203">
        <f t="shared" si="1"/>
        <v>148323.15057456514</v>
      </c>
      <c r="Q23" s="272">
        <f t="shared" si="2"/>
        <v>150144.63298343317</v>
      </c>
      <c r="R23" s="439">
        <f t="shared" si="3"/>
        <v>-1821.4824088680325</v>
      </c>
      <c r="S23" s="230"/>
      <c r="T23" s="442"/>
      <c r="U23" s="275"/>
      <c r="V23" s="276"/>
      <c r="AK23" s="278"/>
      <c r="AL23" s="227" t="s">
        <v>314</v>
      </c>
      <c r="AM23" s="227"/>
      <c r="AN23" s="228"/>
      <c r="AO23" s="228"/>
      <c r="AP23" s="228"/>
      <c r="AQ23" s="228"/>
      <c r="AR23" s="229">
        <f>AR21*0.12</f>
        <v>1881</v>
      </c>
    </row>
    <row r="24" spans="1:44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4"/>
        <v>0</v>
      </c>
      <c r="J24" s="72"/>
      <c r="K24" s="72">
        <f t="shared" si="5"/>
        <v>0</v>
      </c>
      <c r="L24" s="72">
        <f t="shared" si="6"/>
        <v>0</v>
      </c>
      <c r="M24" s="74">
        <f>H24/$P$257*$P$265</f>
        <v>0</v>
      </c>
      <c r="N24" s="74">
        <f>J24/$P$257*$P$265</f>
        <v>0</v>
      </c>
      <c r="O24" s="72">
        <f t="shared" si="0"/>
        <v>0</v>
      </c>
      <c r="P24" s="305" t="s">
        <v>333</v>
      </c>
      <c r="Q24" s="272">
        <f t="shared" si="2"/>
        <v>0</v>
      </c>
      <c r="R24" s="439" t="e">
        <f t="shared" si="3"/>
        <v>#VALUE!</v>
      </c>
      <c r="S24" s="230"/>
      <c r="T24" s="442"/>
      <c r="U24" s="275"/>
      <c r="V24" s="276"/>
      <c r="AK24" s="278"/>
      <c r="AL24" s="285" t="s">
        <v>299</v>
      </c>
      <c r="AM24" s="285"/>
      <c r="AN24" s="286"/>
      <c r="AO24" s="286"/>
      <c r="AP24" s="286"/>
      <c r="AQ24" s="286"/>
      <c r="AR24" s="127">
        <f>AR21*0.002</f>
        <v>31.35</v>
      </c>
    </row>
    <row r="25" spans="1:44" s="226" customFormat="1" x14ac:dyDescent="0.25">
      <c r="A25" s="263"/>
      <c r="B25" s="261"/>
      <c r="C25" s="293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486">
        <f>155+47*5</f>
        <v>390</v>
      </c>
      <c r="I25" s="72">
        <f t="shared" si="4"/>
        <v>514800</v>
      </c>
      <c r="J25" s="72">
        <v>76</v>
      </c>
      <c r="K25" s="72">
        <f t="shared" si="5"/>
        <v>100320</v>
      </c>
      <c r="L25" s="72">
        <f t="shared" si="6"/>
        <v>615120</v>
      </c>
      <c r="M25" s="67">
        <v>535.61137707481862</v>
      </c>
      <c r="N25" s="67">
        <v>104.37555040432363</v>
      </c>
      <c r="O25" s="72">
        <f t="shared" si="0"/>
        <v>639.9869274791422</v>
      </c>
      <c r="P25" s="203">
        <f t="shared" si="1"/>
        <v>844782.74427246768</v>
      </c>
      <c r="Q25" s="272">
        <f t="shared" si="2"/>
        <v>855157.09852564265</v>
      </c>
      <c r="R25" s="439">
        <f t="shared" si="3"/>
        <v>-10374.35425317497</v>
      </c>
      <c r="S25" s="230"/>
      <c r="T25" s="442"/>
      <c r="U25" s="275"/>
      <c r="V25" s="276"/>
      <c r="AK25" s="278"/>
      <c r="AL25" s="590" t="s">
        <v>302</v>
      </c>
      <c r="AM25" s="590"/>
      <c r="AN25" s="591"/>
      <c r="AO25" s="591"/>
      <c r="AP25" s="591"/>
      <c r="AQ25" s="591"/>
      <c r="AR25" s="592">
        <v>200</v>
      </c>
    </row>
    <row r="26" spans="1:44" s="226" customFormat="1" x14ac:dyDescent="0.25">
      <c r="A26" s="263"/>
      <c r="B26" s="261"/>
      <c r="C26" s="293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4"/>
        <v>46601.941747572811</v>
      </c>
      <c r="J26" s="72">
        <v>4000</v>
      </c>
      <c r="K26" s="72">
        <f t="shared" si="5"/>
        <v>4000</v>
      </c>
      <c r="L26" s="72">
        <f t="shared" si="6"/>
        <v>50601.941747572811</v>
      </c>
      <c r="M26" s="67">
        <v>64001.359471225522</v>
      </c>
      <c r="N26" s="67">
        <v>5493.4500212801913</v>
      </c>
      <c r="O26" s="72">
        <f t="shared" si="0"/>
        <v>69494.809492505708</v>
      </c>
      <c r="P26" s="203">
        <f t="shared" si="1"/>
        <v>69494.809492505708</v>
      </c>
      <c r="Q26" s="272">
        <f t="shared" si="2"/>
        <v>70348.240480910972</v>
      </c>
      <c r="R26" s="439">
        <f t="shared" si="3"/>
        <v>-853.43098840526363</v>
      </c>
      <c r="S26" s="230"/>
      <c r="T26" s="442"/>
      <c r="U26" s="275"/>
      <c r="V26" s="276"/>
      <c r="AK26" s="278"/>
      <c r="AL26" s="590" t="s">
        <v>304</v>
      </c>
      <c r="AM26" s="590"/>
      <c r="AN26" s="591"/>
      <c r="AO26" s="591"/>
      <c r="AP26" s="591"/>
      <c r="AQ26" s="591"/>
      <c r="AR26" s="596">
        <f>SUM(AR20:AR25)</f>
        <v>19776.724999999999</v>
      </c>
    </row>
    <row r="27" spans="1:44" s="573" customFormat="1" x14ac:dyDescent="0.25">
      <c r="A27" s="577"/>
      <c r="B27" s="578"/>
      <c r="C27" s="560">
        <v>11</v>
      </c>
      <c r="D27" s="561" t="s">
        <v>311</v>
      </c>
      <c r="E27" s="562">
        <v>1</v>
      </c>
      <c r="F27" s="563">
        <v>1</v>
      </c>
      <c r="G27" s="564" t="s">
        <v>301</v>
      </c>
      <c r="H27" s="565"/>
      <c r="I27" s="565">
        <f t="shared" si="4"/>
        <v>0</v>
      </c>
      <c r="J27" s="565"/>
      <c r="K27" s="565">
        <f t="shared" si="5"/>
        <v>0</v>
      </c>
      <c r="L27" s="565">
        <f t="shared" si="6"/>
        <v>0</v>
      </c>
      <c r="M27" s="566">
        <f>H27/$P$257*$P$265</f>
        <v>0</v>
      </c>
      <c r="N27" s="566">
        <f>J27/$P$257*$P$265</f>
        <v>0</v>
      </c>
      <c r="O27" s="565">
        <f t="shared" si="0"/>
        <v>0</v>
      </c>
      <c r="P27" s="567">
        <f t="shared" si="1"/>
        <v>0</v>
      </c>
      <c r="Q27" s="568">
        <f t="shared" si="2"/>
        <v>0</v>
      </c>
      <c r="R27" s="569">
        <f t="shared" si="3"/>
        <v>0</v>
      </c>
      <c r="T27" s="579"/>
      <c r="U27" s="571"/>
      <c r="V27" s="572"/>
      <c r="AK27" s="574"/>
      <c r="AL27" s="227"/>
      <c r="AM27" s="227"/>
      <c r="AN27" s="228"/>
      <c r="AO27" s="228"/>
      <c r="AP27" s="228"/>
      <c r="AQ27" s="228"/>
      <c r="AR27" s="229"/>
    </row>
    <row r="28" spans="1:44" s="226" customFormat="1" ht="15.75" x14ac:dyDescent="0.25">
      <c r="A28" s="265"/>
      <c r="B28" s="258"/>
      <c r="C28" s="293">
        <v>12</v>
      </c>
      <c r="D28" s="259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4"/>
        <v>10000</v>
      </c>
      <c r="J28" s="72">
        <v>15000</v>
      </c>
      <c r="K28" s="72">
        <f t="shared" si="5"/>
        <v>15000</v>
      </c>
      <c r="L28" s="72">
        <f t="shared" si="6"/>
        <v>25000</v>
      </c>
      <c r="M28" s="67">
        <v>13733.625053200478</v>
      </c>
      <c r="N28" s="67">
        <v>20600.437579800717</v>
      </c>
      <c r="O28" s="72">
        <f t="shared" si="0"/>
        <v>34334.062633001195</v>
      </c>
      <c r="P28" s="203">
        <f t="shared" si="1"/>
        <v>34334.062633001195</v>
      </c>
      <c r="Q28" s="272">
        <f t="shared" si="2"/>
        <v>34755.702079498413</v>
      </c>
      <c r="R28" s="439">
        <f t="shared" si="3"/>
        <v>-421.63944649721816</v>
      </c>
      <c r="T28" s="224"/>
      <c r="U28" s="275"/>
      <c r="V28" s="276"/>
      <c r="AK28" s="278"/>
      <c r="AL28" s="288" t="s">
        <v>318</v>
      </c>
      <c r="AM28" s="227"/>
      <c r="AN28" s="228"/>
      <c r="AO28" s="228"/>
      <c r="AP28" s="232">
        <f>9500000</f>
        <v>9500000</v>
      </c>
      <c r="AQ28" s="228"/>
      <c r="AR28" s="229"/>
    </row>
    <row r="29" spans="1:44" s="226" customFormat="1" x14ac:dyDescent="0.25">
      <c r="A29" s="263"/>
      <c r="B29" s="261"/>
      <c r="C29" s="293">
        <v>13</v>
      </c>
      <c r="D29" s="481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4"/>
        <v>45000</v>
      </c>
      <c r="J29" s="72"/>
      <c r="K29" s="72">
        <f t="shared" si="5"/>
        <v>0</v>
      </c>
      <c r="L29" s="72">
        <f t="shared" si="6"/>
        <v>45000</v>
      </c>
      <c r="M29" s="67">
        <v>61801.31273940215</v>
      </c>
      <c r="N29" s="67">
        <v>0</v>
      </c>
      <c r="O29" s="72">
        <f t="shared" si="0"/>
        <v>61801.31273940215</v>
      </c>
      <c r="P29" s="203">
        <f t="shared" si="1"/>
        <v>61801.31273940215</v>
      </c>
      <c r="Q29" s="272">
        <f t="shared" si="2"/>
        <v>62560.263743097152</v>
      </c>
      <c r="R29" s="439">
        <f t="shared" si="3"/>
        <v>-758.95100369500142</v>
      </c>
      <c r="S29" s="230"/>
      <c r="T29" s="439"/>
      <c r="U29" s="275"/>
      <c r="V29" s="281"/>
      <c r="AK29" s="278"/>
      <c r="AL29" s="227" t="s">
        <v>310</v>
      </c>
      <c r="AM29" s="227"/>
      <c r="AN29" s="228"/>
      <c r="AO29" s="228"/>
      <c r="AP29" s="228"/>
      <c r="AQ29" s="228"/>
      <c r="AR29" s="229">
        <f>AP28*0.0015</f>
        <v>14250</v>
      </c>
    </row>
    <row r="30" spans="1:44" s="226" customFormat="1" x14ac:dyDescent="0.25">
      <c r="A30" s="263"/>
      <c r="B30" s="261"/>
      <c r="C30" s="293">
        <v>14</v>
      </c>
      <c r="D30" s="481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4"/>
        <v>32380.952380952378</v>
      </c>
      <c r="J30" s="72">
        <v>2000</v>
      </c>
      <c r="K30" s="72">
        <f t="shared" si="5"/>
        <v>2000</v>
      </c>
      <c r="L30" s="72">
        <f t="shared" si="6"/>
        <v>34380.952380952382</v>
      </c>
      <c r="M30" s="67">
        <v>44470.785886553924</v>
      </c>
      <c r="N30" s="67">
        <v>2746.7250106400957</v>
      </c>
      <c r="O30" s="72">
        <f t="shared" si="0"/>
        <v>47217.510897194021</v>
      </c>
      <c r="P30" s="203">
        <f t="shared" si="1"/>
        <v>47217.510897194021</v>
      </c>
      <c r="Q30" s="272">
        <f t="shared" si="2"/>
        <v>47797.365526472102</v>
      </c>
      <c r="R30" s="439">
        <f t="shared" si="3"/>
        <v>-579.85462927808112</v>
      </c>
      <c r="S30" s="230"/>
      <c r="T30" s="442"/>
      <c r="U30" s="275"/>
      <c r="V30" s="276"/>
      <c r="AK30" s="278"/>
      <c r="AL30" s="590" t="s">
        <v>312</v>
      </c>
      <c r="AM30" s="590"/>
      <c r="AN30" s="591"/>
      <c r="AO30" s="591"/>
      <c r="AP30" s="591"/>
      <c r="AQ30" s="591"/>
      <c r="AR30" s="592">
        <f>AR29*0.125</f>
        <v>1781.25</v>
      </c>
    </row>
    <row r="31" spans="1:44" s="226" customFormat="1" x14ac:dyDescent="0.25">
      <c r="A31" s="265"/>
      <c r="B31" s="258"/>
      <c r="C31" s="293">
        <v>15</v>
      </c>
      <c r="D31" s="481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4"/>
        <v>51650.485436893199</v>
      </c>
      <c r="J31" s="483">
        <f>(4*14000/1.03+20000/1.03)*0.3</f>
        <v>22135.922330097088</v>
      </c>
      <c r="K31" s="72">
        <f t="shared" si="5"/>
        <v>22135.922330097088</v>
      </c>
      <c r="L31" s="72">
        <f t="shared" si="6"/>
        <v>73786.407766990291</v>
      </c>
      <c r="M31" s="67">
        <v>70934.840080608294</v>
      </c>
      <c r="N31" s="67">
        <v>30400.645748832125</v>
      </c>
      <c r="O31" s="72">
        <f t="shared" si="0"/>
        <v>101335.48582944041</v>
      </c>
      <c r="P31" s="203">
        <f t="shared" si="1"/>
        <v>101335.48582944041</v>
      </c>
      <c r="Q31" s="272">
        <f t="shared" si="2"/>
        <v>102579.9362346361</v>
      </c>
      <c r="R31" s="439">
        <f t="shared" si="3"/>
        <v>-1244.4504051956901</v>
      </c>
      <c r="T31" s="224"/>
      <c r="U31" s="275"/>
      <c r="V31" s="276"/>
      <c r="AK31" s="278"/>
      <c r="AL31" s="590" t="s">
        <v>314</v>
      </c>
      <c r="AM31" s="590"/>
      <c r="AN31" s="591"/>
      <c r="AO31" s="591"/>
      <c r="AP31" s="591"/>
      <c r="AQ31" s="591"/>
      <c r="AR31" s="592">
        <f>AR29*0.12</f>
        <v>1710</v>
      </c>
    </row>
    <row r="32" spans="1:44" s="226" customFormat="1" x14ac:dyDescent="0.25">
      <c r="A32" s="265"/>
      <c r="B32" s="258"/>
      <c r="C32" s="293">
        <v>16</v>
      </c>
      <c r="D32" s="481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4"/>
        <v>15000</v>
      </c>
      <c r="J32" s="72">
        <f>1700*5</f>
        <v>8500</v>
      </c>
      <c r="K32" s="72">
        <f t="shared" si="5"/>
        <v>8500</v>
      </c>
      <c r="L32" s="72">
        <f t="shared" si="6"/>
        <v>23500</v>
      </c>
      <c r="M32" s="67">
        <v>20600.437579800717</v>
      </c>
      <c r="N32" s="67">
        <v>11673.581295220407</v>
      </c>
      <c r="O32" s="72">
        <f t="shared" si="0"/>
        <v>32274.018875021124</v>
      </c>
      <c r="P32" s="203">
        <f t="shared" si="1"/>
        <v>32274.018875021124</v>
      </c>
      <c r="Q32" s="272">
        <f t="shared" si="2"/>
        <v>32670.359954728512</v>
      </c>
      <c r="R32" s="439">
        <f t="shared" si="3"/>
        <v>-396.34107970738842</v>
      </c>
      <c r="T32" s="224"/>
      <c r="U32" s="275"/>
      <c r="V32" s="276"/>
      <c r="AK32" s="278"/>
      <c r="AL32" s="590" t="s">
        <v>299</v>
      </c>
      <c r="AM32" s="590"/>
      <c r="AN32" s="591"/>
      <c r="AO32" s="591"/>
      <c r="AP32" s="591"/>
      <c r="AQ32" s="591"/>
      <c r="AR32" s="592">
        <f>AR29*0.002</f>
        <v>28.5</v>
      </c>
    </row>
    <row r="33" spans="1:44" s="226" customFormat="1" x14ac:dyDescent="0.25">
      <c r="A33" s="265"/>
      <c r="B33" s="258"/>
      <c r="C33" s="293">
        <v>17</v>
      </c>
      <c r="D33" s="481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4"/>
        <v>10000</v>
      </c>
      <c r="J33" s="72">
        <v>5000</v>
      </c>
      <c r="K33" s="72">
        <f t="shared" si="5"/>
        <v>5000</v>
      </c>
      <c r="L33" s="72">
        <f t="shared" si="6"/>
        <v>15000</v>
      </c>
      <c r="M33" s="67">
        <v>13733.625053200478</v>
      </c>
      <c r="N33" s="67">
        <v>6866.8125266002389</v>
      </c>
      <c r="O33" s="72">
        <f t="shared" si="0"/>
        <v>20600.437579800717</v>
      </c>
      <c r="P33" s="203">
        <f t="shared" si="1"/>
        <v>20600.437579800717</v>
      </c>
      <c r="Q33" s="272">
        <f t="shared" si="2"/>
        <v>20853.421247699051</v>
      </c>
      <c r="R33" s="439">
        <f t="shared" si="3"/>
        <v>-252.98366789833381</v>
      </c>
      <c r="T33" s="224"/>
      <c r="U33" s="275"/>
      <c r="V33" s="276"/>
      <c r="AK33" s="278"/>
      <c r="AL33" s="590" t="s">
        <v>304</v>
      </c>
      <c r="AM33" s="590"/>
      <c r="AN33" s="591"/>
      <c r="AO33" s="591"/>
      <c r="AP33" s="591"/>
      <c r="AQ33" s="591"/>
      <c r="AR33" s="596">
        <f>SUM(AR28:AR32)</f>
        <v>17769.75</v>
      </c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2"/>
        <v>0</v>
      </c>
      <c r="R34" s="439">
        <f t="shared" si="3"/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948667.18797663343</v>
      </c>
      <c r="J35" s="312"/>
      <c r="K35" s="313">
        <f>SUM(K16:K34)</f>
        <v>405789.25566343038</v>
      </c>
      <c r="L35" s="313">
        <f>SUM(L16:L34)</f>
        <v>1354456.4436400637</v>
      </c>
      <c r="M35" s="312"/>
      <c r="N35" s="312"/>
      <c r="O35" s="313"/>
      <c r="P35" s="314">
        <f>SUM(P16:P34)</f>
        <v>1876005.0893048926</v>
      </c>
      <c r="Q35" s="272">
        <f t="shared" si="2"/>
        <v>1883003.3853924398</v>
      </c>
      <c r="R35" s="439">
        <f t="shared" si="3"/>
        <v>-6998.2960875472054</v>
      </c>
      <c r="T35" s="443"/>
      <c r="U35" s="275"/>
      <c r="V35" s="276"/>
      <c r="W35" s="925" t="s">
        <v>292</v>
      </c>
      <c r="X35" s="925"/>
      <c r="Y35" s="925"/>
      <c r="Z35" s="586" t="s">
        <v>243</v>
      </c>
      <c r="AA35" s="586" t="s">
        <v>244</v>
      </c>
      <c r="AB35" s="586" t="s">
        <v>245</v>
      </c>
      <c r="AC35" s="587" t="s">
        <v>246</v>
      </c>
      <c r="AD35" s="588" t="s">
        <v>247</v>
      </c>
      <c r="AE35" s="586" t="s">
        <v>248</v>
      </c>
      <c r="AF35" s="589" t="s">
        <v>249</v>
      </c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2"/>
        <v>0</v>
      </c>
      <c r="R36" s="439">
        <f t="shared" si="3"/>
        <v>0</v>
      </c>
      <c r="T36" s="224"/>
      <c r="U36" s="283"/>
      <c r="V36" s="284"/>
      <c r="W36" s="926" t="s">
        <v>260</v>
      </c>
      <c r="X36" s="926"/>
      <c r="Y36" s="926"/>
      <c r="Z36" s="593" t="s">
        <v>251</v>
      </c>
      <c r="AA36" s="594">
        <v>4.93</v>
      </c>
      <c r="AB36" s="594">
        <v>5.15</v>
      </c>
      <c r="AC36" s="587">
        <f>154/1.06</f>
        <v>145.28301886792451</v>
      </c>
      <c r="AD36" s="588">
        <f>AC36*AB36</f>
        <v>748.20754716981128</v>
      </c>
      <c r="AE36" s="594">
        <v>18</v>
      </c>
      <c r="AF36" s="595">
        <f>AE36*AB36</f>
        <v>92.7</v>
      </c>
      <c r="AK36" s="127"/>
    </row>
    <row r="37" spans="1:44" x14ac:dyDescent="0.25">
      <c r="A37" s="237"/>
      <c r="B37" s="290" t="s">
        <v>319</v>
      </c>
      <c r="C37" s="291" t="s">
        <v>25</v>
      </c>
      <c r="D37" s="166"/>
      <c r="E37" s="239"/>
      <c r="F37" s="301"/>
      <c r="G37" s="68"/>
      <c r="H37" s="67"/>
      <c r="I37" s="67"/>
      <c r="J37" s="67"/>
      <c r="K37" s="67"/>
      <c r="L37" s="67"/>
      <c r="M37" s="69"/>
      <c r="N37" s="69"/>
      <c r="O37" s="69"/>
      <c r="P37" s="203"/>
      <c r="Q37" s="272">
        <f t="shared" si="2"/>
        <v>0</v>
      </c>
      <c r="R37" s="439"/>
      <c r="W37" s="878" t="s">
        <v>261</v>
      </c>
      <c r="X37" s="878"/>
      <c r="Y37" s="878"/>
      <c r="Z37" s="124" t="s">
        <v>262</v>
      </c>
      <c r="AA37" s="545">
        <v>4.9299999999999997E-2</v>
      </c>
      <c r="AB37" s="545">
        <v>0.05</v>
      </c>
      <c r="AC37" s="123">
        <f>580/1.05</f>
        <v>552.38095238095241</v>
      </c>
      <c r="AD37" s="196">
        <f>AC37*AB37</f>
        <v>27.61904761904762</v>
      </c>
      <c r="AE37" s="545"/>
      <c r="AF37" s="219">
        <f>AE37*AB37</f>
        <v>0</v>
      </c>
    </row>
    <row r="38" spans="1:44" x14ac:dyDescent="0.25">
      <c r="A38" s="237"/>
      <c r="B38" s="246"/>
      <c r="C38" s="293">
        <v>1</v>
      </c>
      <c r="D38" s="81" t="s">
        <v>289</v>
      </c>
      <c r="E38" s="239">
        <f>491+3.8</f>
        <v>494.8</v>
      </c>
      <c r="F38" s="301">
        <v>498</v>
      </c>
      <c r="G38" s="68" t="s">
        <v>16</v>
      </c>
      <c r="H38" s="67">
        <f>AD47</f>
        <v>845.47169811320759</v>
      </c>
      <c r="I38" s="67">
        <f>F38*H38</f>
        <v>421044.90566037741</v>
      </c>
      <c r="J38" s="74">
        <f>AF47</f>
        <v>214.6</v>
      </c>
      <c r="K38" s="67">
        <f>F38*J38</f>
        <v>106870.8</v>
      </c>
      <c r="L38" s="67">
        <f>K38+I38</f>
        <v>527915.7056603774</v>
      </c>
      <c r="M38" s="67">
        <v>1161.1391294979499</v>
      </c>
      <c r="N38" s="67">
        <v>294.72359364168227</v>
      </c>
      <c r="O38" s="72">
        <f t="shared" ref="O38:O42" si="7">N38+M38</f>
        <v>1455.8627231396322</v>
      </c>
      <c r="P38" s="203">
        <f t="shared" ref="P38:P42" si="8">O38*F38</f>
        <v>725019.63612353685</v>
      </c>
      <c r="Q38" s="272">
        <f t="shared" si="2"/>
        <v>733923.23956081003</v>
      </c>
      <c r="R38" s="439">
        <f t="shared" ref="R38:R42" si="9">P38-Q38</f>
        <v>-8903.603437273181</v>
      </c>
      <c r="W38" s="878" t="str">
        <f>W61</f>
        <v>mortar (topping) included @ other item</v>
      </c>
      <c r="X38" s="878"/>
      <c r="Y38" s="878"/>
      <c r="Z38" s="124" t="s">
        <v>257</v>
      </c>
      <c r="AA38" s="545">
        <v>1</v>
      </c>
      <c r="AB38" s="545">
        <v>1</v>
      </c>
      <c r="AC38" s="123">
        <f>AC62</f>
        <v>0</v>
      </c>
      <c r="AD38" s="196">
        <f>AC38*AB38</f>
        <v>0</v>
      </c>
      <c r="AE38" s="545">
        <f>AE46</f>
        <v>0</v>
      </c>
      <c r="AF38" s="219">
        <f>AE38*AB38</f>
        <v>0</v>
      </c>
    </row>
    <row r="39" spans="1:44" x14ac:dyDescent="0.25">
      <c r="A39" s="238"/>
      <c r="B39" s="246"/>
      <c r="C39" s="293">
        <v>2</v>
      </c>
      <c r="D39" s="81" t="s">
        <v>270</v>
      </c>
      <c r="E39" s="239">
        <f>262</f>
        <v>262</v>
      </c>
      <c r="F39" s="301">
        <v>265</v>
      </c>
      <c r="G39" s="68" t="s">
        <v>16</v>
      </c>
      <c r="H39" s="67">
        <f>AD39</f>
        <v>775.82659478885887</v>
      </c>
      <c r="I39" s="67">
        <f>F39*H39</f>
        <v>205594.0476190476</v>
      </c>
      <c r="J39" s="74">
        <v>75</v>
      </c>
      <c r="K39" s="67">
        <f t="shared" ref="K39:K45" si="10">F39*J39</f>
        <v>19875</v>
      </c>
      <c r="L39" s="67">
        <f t="shared" ref="L39:L45" si="11">K39+I39</f>
        <v>225469.0476190476</v>
      </c>
      <c r="M39" s="67">
        <v>1065.4911559131488</v>
      </c>
      <c r="N39" s="67">
        <v>103.00218789900357</v>
      </c>
      <c r="O39" s="72">
        <f t="shared" si="7"/>
        <v>1168.4933438121523</v>
      </c>
      <c r="P39" s="203">
        <f t="shared" si="8"/>
        <v>309650.73611022037</v>
      </c>
      <c r="Q39" s="272">
        <f t="shared" si="2"/>
        <v>313453.40188783442</v>
      </c>
      <c r="R39" s="439">
        <f t="shared" si="9"/>
        <v>-3802.6657776140491</v>
      </c>
      <c r="W39" s="878"/>
      <c r="X39" s="878"/>
      <c r="Y39" s="878"/>
      <c r="Z39" s="124"/>
      <c r="AA39" s="545"/>
      <c r="AB39" s="545"/>
      <c r="AC39" s="123"/>
      <c r="AD39" s="212">
        <f>SUM(AD36:AD38)</f>
        <v>775.82659478885887</v>
      </c>
      <c r="AE39" s="545"/>
      <c r="AF39" s="212">
        <f>SUM(AF36:AF38)</f>
        <v>92.7</v>
      </c>
    </row>
    <row r="40" spans="1:44" x14ac:dyDescent="0.25">
      <c r="A40" s="238"/>
      <c r="B40" s="246"/>
      <c r="C40" s="293">
        <v>3</v>
      </c>
      <c r="D40" s="81" t="s">
        <v>290</v>
      </c>
      <c r="E40" s="239">
        <f>23.6</f>
        <v>23.6</v>
      </c>
      <c r="F40" s="301">
        <v>26</v>
      </c>
      <c r="G40" s="68" t="s">
        <v>16</v>
      </c>
      <c r="H40" s="67">
        <f>AD63</f>
        <v>799.43396226415098</v>
      </c>
      <c r="I40" s="67">
        <f t="shared" ref="I40:I45" si="12">F40*H40</f>
        <v>20785.283018867925</v>
      </c>
      <c r="J40" s="74">
        <f>AF63</f>
        <v>216</v>
      </c>
      <c r="K40" s="67">
        <f t="shared" si="10"/>
        <v>5616</v>
      </c>
      <c r="L40" s="67">
        <f t="shared" si="11"/>
        <v>26401.283018867925</v>
      </c>
      <c r="M40" s="67">
        <v>1097.9126292530268</v>
      </c>
      <c r="N40" s="67">
        <v>296.64630114913035</v>
      </c>
      <c r="O40" s="72">
        <f t="shared" si="7"/>
        <v>1394.5589304021571</v>
      </c>
      <c r="P40" s="203">
        <f t="shared" si="8"/>
        <v>36258.532190456084</v>
      </c>
      <c r="Q40" s="272">
        <f t="shared" si="2"/>
        <v>36703.805084811764</v>
      </c>
      <c r="R40" s="439">
        <f t="shared" si="9"/>
        <v>-445.27289435567945</v>
      </c>
      <c r="W40" s="585"/>
      <c r="X40" s="585"/>
      <c r="Y40" s="585"/>
      <c r="Z40" s="585"/>
      <c r="AA40" s="585"/>
      <c r="AB40" s="585"/>
      <c r="AC40" s="585"/>
      <c r="AD40" s="579"/>
      <c r="AE40" s="585"/>
      <c r="AF40" s="579"/>
    </row>
    <row r="41" spans="1:44" x14ac:dyDescent="0.25">
      <c r="A41" s="238"/>
      <c r="B41" s="246"/>
      <c r="C41" s="293">
        <v>4</v>
      </c>
      <c r="D41" s="81" t="s">
        <v>241</v>
      </c>
      <c r="E41" s="239">
        <v>12</v>
      </c>
      <c r="F41" s="301">
        <v>14</v>
      </c>
      <c r="G41" s="68" t="s">
        <v>16</v>
      </c>
      <c r="H41" s="67">
        <f>AD125</f>
        <v>1281.3207547169811</v>
      </c>
      <c r="I41" s="67">
        <f>F41*H41</f>
        <v>17938.490566037737</v>
      </c>
      <c r="J41" s="74">
        <f>AF125</f>
        <v>214.5</v>
      </c>
      <c r="K41" s="67">
        <f t="shared" si="10"/>
        <v>3003</v>
      </c>
      <c r="L41" s="67">
        <f t="shared" si="11"/>
        <v>20941.490566037737</v>
      </c>
      <c r="M41" s="67">
        <v>1759.7178818166876</v>
      </c>
      <c r="N41" s="67">
        <v>294.58625739115024</v>
      </c>
      <c r="O41" s="72">
        <f t="shared" si="7"/>
        <v>2054.304139207838</v>
      </c>
      <c r="P41" s="203">
        <f t="shared" si="8"/>
        <v>28760.257948909733</v>
      </c>
      <c r="Q41" s="272">
        <f t="shared" si="2"/>
        <v>29113.448288553369</v>
      </c>
      <c r="R41" s="439">
        <f t="shared" si="9"/>
        <v>-353.19033964363553</v>
      </c>
    </row>
    <row r="42" spans="1:44" x14ac:dyDescent="0.25">
      <c r="A42" s="238"/>
      <c r="B42" s="246"/>
      <c r="C42" s="293">
        <v>5</v>
      </c>
      <c r="D42" s="81" t="s">
        <v>242</v>
      </c>
      <c r="E42" s="239">
        <v>28.5</v>
      </c>
      <c r="F42" s="301">
        <v>31</v>
      </c>
      <c r="G42" s="68" t="s">
        <v>16</v>
      </c>
      <c r="H42" s="67">
        <f>AD132</f>
        <v>1293.5849056603774</v>
      </c>
      <c r="I42" s="67">
        <f t="shared" si="12"/>
        <v>40101.132075471702</v>
      </c>
      <c r="J42" s="74">
        <f>AF132</f>
        <v>215.1</v>
      </c>
      <c r="K42" s="67">
        <f t="shared" si="10"/>
        <v>6668.0999999999995</v>
      </c>
      <c r="L42" s="67">
        <f t="shared" si="11"/>
        <v>46769.2320754717</v>
      </c>
      <c r="M42" s="67">
        <v>1776.5610068819337</v>
      </c>
      <c r="N42" s="67">
        <v>295.41027489434231</v>
      </c>
      <c r="O42" s="72">
        <f t="shared" si="7"/>
        <v>2071.9712817762761</v>
      </c>
      <c r="P42" s="203">
        <f t="shared" si="8"/>
        <v>64231.109735064558</v>
      </c>
      <c r="Q42" s="272">
        <f t="shared" si="2"/>
        <v>65019.89986008063</v>
      </c>
      <c r="R42" s="439">
        <f t="shared" si="9"/>
        <v>-788.79012501607212</v>
      </c>
      <c r="W42" s="904" t="s">
        <v>291</v>
      </c>
      <c r="X42" s="904"/>
      <c r="Y42" s="904"/>
      <c r="Z42" s="546" t="s">
        <v>243</v>
      </c>
      <c r="AA42" s="546" t="s">
        <v>244</v>
      </c>
      <c r="AB42" s="546" t="s">
        <v>245</v>
      </c>
      <c r="AC42" s="123" t="s">
        <v>246</v>
      </c>
      <c r="AD42" s="196" t="s">
        <v>247</v>
      </c>
      <c r="AE42" s="546" t="s">
        <v>248</v>
      </c>
      <c r="AF42" s="212" t="s">
        <v>249</v>
      </c>
    </row>
    <row r="43" spans="1:44" x14ac:dyDescent="0.25">
      <c r="A43" s="238"/>
      <c r="B43" s="246"/>
      <c r="C43" s="293">
        <v>6</v>
      </c>
      <c r="D43" s="81" t="s">
        <v>44</v>
      </c>
      <c r="E43" s="239">
        <v>45.86</v>
      </c>
      <c r="F43" s="301">
        <v>48</v>
      </c>
      <c r="G43" s="68" t="s">
        <v>16</v>
      </c>
      <c r="H43" s="67"/>
      <c r="I43" s="67">
        <f t="shared" si="12"/>
        <v>0</v>
      </c>
      <c r="J43" s="74"/>
      <c r="K43" s="67">
        <f t="shared" si="10"/>
        <v>0</v>
      </c>
      <c r="L43" s="67">
        <f t="shared" si="11"/>
        <v>0</v>
      </c>
      <c r="M43" s="67">
        <v>0</v>
      </c>
      <c r="N43" s="67">
        <v>0</v>
      </c>
      <c r="O43" s="72">
        <f>N43*F43</f>
        <v>0</v>
      </c>
      <c r="P43" s="221" t="s">
        <v>296</v>
      </c>
      <c r="Q43" s="272">
        <f t="shared" si="2"/>
        <v>0</v>
      </c>
      <c r="R43" s="439" t="e">
        <f t="shared" si="3"/>
        <v>#VALUE!</v>
      </c>
      <c r="W43" s="878" t="s">
        <v>250</v>
      </c>
      <c r="X43" s="878"/>
      <c r="Y43" s="878"/>
      <c r="Z43" s="124" t="s">
        <v>251</v>
      </c>
      <c r="AA43" s="545">
        <v>2.77</v>
      </c>
      <c r="AB43" s="545">
        <v>2.9</v>
      </c>
      <c r="AC43" s="123">
        <f>280/1.06</f>
        <v>264.15094339622641</v>
      </c>
      <c r="AD43" s="196">
        <f>AC43*AB43</f>
        <v>766.03773584905662</v>
      </c>
      <c r="AE43" s="545">
        <v>74</v>
      </c>
      <c r="AF43" s="219">
        <f>AE43*AB43</f>
        <v>214.6</v>
      </c>
    </row>
    <row r="44" spans="1:44" x14ac:dyDescent="0.25">
      <c r="A44" s="238"/>
      <c r="B44" s="246"/>
      <c r="C44" s="293">
        <v>7</v>
      </c>
      <c r="D44" s="83" t="s">
        <v>162</v>
      </c>
      <c r="E44" s="239">
        <v>238.71</v>
      </c>
      <c r="F44" s="301">
        <v>242</v>
      </c>
      <c r="G44" s="68" t="s">
        <v>16</v>
      </c>
      <c r="H44" s="67">
        <f>AS167</f>
        <v>1060.7423734791041</v>
      </c>
      <c r="I44" s="67">
        <f t="shared" si="12"/>
        <v>256699.6543819432</v>
      </c>
      <c r="J44" s="74">
        <f>AU167</f>
        <v>215.10000000000002</v>
      </c>
      <c r="K44" s="67">
        <f t="shared" si="10"/>
        <v>52054.200000000004</v>
      </c>
      <c r="L44" s="67">
        <f t="shared" si="11"/>
        <v>308753.85438194318</v>
      </c>
      <c r="M44" s="67">
        <v>1456.7838035403961</v>
      </c>
      <c r="N44" s="67">
        <v>295.41027489434231</v>
      </c>
      <c r="O44" s="72">
        <f t="shared" ref="O44" si="13">N44+M44</f>
        <v>1752.1940784347385</v>
      </c>
      <c r="P44" s="203">
        <f t="shared" ref="P44" si="14">O44*F44</f>
        <v>424030.96698120673</v>
      </c>
      <c r="Q44" s="272">
        <f t="shared" si="2"/>
        <v>429238.27915182617</v>
      </c>
      <c r="R44" s="439">
        <f t="shared" si="3"/>
        <v>-5207.3121706194361</v>
      </c>
      <c r="W44" s="878" t="s">
        <v>252</v>
      </c>
      <c r="X44" s="878"/>
      <c r="Y44" s="878"/>
      <c r="Z44" s="124" t="s">
        <v>253</v>
      </c>
      <c r="AA44" s="545">
        <v>0.25</v>
      </c>
      <c r="AB44" s="545">
        <v>0.25</v>
      </c>
      <c r="AC44" s="123">
        <f>AC129</f>
        <v>268.8679245283019</v>
      </c>
      <c r="AD44" s="196">
        <f>AC44*AB44</f>
        <v>67.216981132075475</v>
      </c>
      <c r="AE44" s="545"/>
      <c r="AF44" s="219">
        <f>AE44*AB44</f>
        <v>0</v>
      </c>
    </row>
    <row r="45" spans="1:44" x14ac:dyDescent="0.25">
      <c r="A45" s="238"/>
      <c r="B45" s="247"/>
      <c r="C45" s="293">
        <v>8</v>
      </c>
      <c r="D45" s="175" t="s">
        <v>287</v>
      </c>
      <c r="E45" s="240">
        <f>96.84+64.56+11.89</f>
        <v>173.29000000000002</v>
      </c>
      <c r="F45" s="177">
        <v>0</v>
      </c>
      <c r="G45" s="178" t="s">
        <v>16</v>
      </c>
      <c r="H45" s="191"/>
      <c r="I45" s="191">
        <f t="shared" si="12"/>
        <v>0</v>
      </c>
      <c r="J45" s="192"/>
      <c r="K45" s="191">
        <f t="shared" si="10"/>
        <v>0</v>
      </c>
      <c r="L45" s="191">
        <f t="shared" si="11"/>
        <v>0</v>
      </c>
      <c r="M45" s="67">
        <v>0</v>
      </c>
      <c r="N45" s="67">
        <v>0</v>
      </c>
      <c r="O45" s="192">
        <f>N45*F45</f>
        <v>0</v>
      </c>
      <c r="P45" s="204" t="s">
        <v>288</v>
      </c>
      <c r="Q45" s="272">
        <f t="shared" si="2"/>
        <v>0</v>
      </c>
      <c r="R45" s="439" t="e">
        <f t="shared" si="3"/>
        <v>#VALUE!</v>
      </c>
      <c r="W45" s="878" t="s">
        <v>254</v>
      </c>
      <c r="X45" s="878"/>
      <c r="Y45" s="878"/>
      <c r="Z45" s="124" t="s">
        <v>255</v>
      </c>
      <c r="AA45" s="545">
        <v>0.25</v>
      </c>
      <c r="AB45" s="545">
        <v>0.35</v>
      </c>
      <c r="AC45" s="123">
        <f>37/1.06</f>
        <v>34.905660377358487</v>
      </c>
      <c r="AD45" s="196">
        <f>AC45*AB45</f>
        <v>12.216981132075469</v>
      </c>
      <c r="AE45" s="545"/>
      <c r="AF45" s="219">
        <f>AE45*AB45</f>
        <v>0</v>
      </c>
    </row>
    <row r="46" spans="1:44" x14ac:dyDescent="0.25">
      <c r="A46" s="238"/>
      <c r="B46" s="246"/>
      <c r="C46" s="293"/>
      <c r="D46" s="81"/>
      <c r="E46" s="239"/>
      <c r="F46" s="301"/>
      <c r="G46" s="67"/>
      <c r="H46" s="67"/>
      <c r="I46" s="67"/>
      <c r="J46" s="74"/>
      <c r="K46" s="67"/>
      <c r="L46" s="67"/>
      <c r="M46" s="72"/>
      <c r="N46" s="72"/>
      <c r="O46" s="74"/>
      <c r="P46" s="100"/>
      <c r="Q46" s="272">
        <f t="shared" si="2"/>
        <v>0</v>
      </c>
      <c r="R46" s="439">
        <f t="shared" si="3"/>
        <v>0</v>
      </c>
      <c r="V46" s="273"/>
      <c r="W46" s="878" t="s">
        <v>256</v>
      </c>
      <c r="X46" s="878"/>
      <c r="Y46" s="878"/>
      <c r="Z46" s="124" t="s">
        <v>257</v>
      </c>
      <c r="AA46" s="545">
        <v>1</v>
      </c>
      <c r="AB46" s="545">
        <v>1</v>
      </c>
      <c r="AC46" s="123">
        <v>0</v>
      </c>
      <c r="AD46" s="196">
        <f>AC46*AB46</f>
        <v>0</v>
      </c>
      <c r="AE46" s="545">
        <v>0</v>
      </c>
      <c r="AF46" s="219">
        <f>AE46*AB46</f>
        <v>0</v>
      </c>
    </row>
    <row r="47" spans="1:44" x14ac:dyDescent="0.25">
      <c r="A47" s="237"/>
      <c r="B47" s="290" t="s">
        <v>320</v>
      </c>
      <c r="C47" s="291" t="s">
        <v>83</v>
      </c>
      <c r="D47" s="166"/>
      <c r="E47" s="239"/>
      <c r="F47" s="301"/>
      <c r="G47" s="68"/>
      <c r="H47" s="67"/>
      <c r="I47" s="67"/>
      <c r="J47" s="74"/>
      <c r="K47" s="67"/>
      <c r="L47" s="67"/>
      <c r="M47" s="69"/>
      <c r="N47" s="69"/>
      <c r="O47" s="69"/>
      <c r="P47" s="203"/>
      <c r="Q47" s="272">
        <f t="shared" si="2"/>
        <v>0</v>
      </c>
      <c r="R47" s="439"/>
      <c r="V47" s="273"/>
      <c r="W47" s="126"/>
      <c r="X47" s="126"/>
      <c r="Y47" s="126"/>
      <c r="Z47" s="126"/>
      <c r="AA47" s="545"/>
      <c r="AB47" s="545"/>
      <c r="AC47" s="123"/>
      <c r="AD47" s="212">
        <f>SUM(AD43:AD46)</f>
        <v>845.47169811320759</v>
      </c>
      <c r="AE47" s="546"/>
      <c r="AF47" s="212">
        <f>SUM(AF43:AF46)</f>
        <v>214.6</v>
      </c>
    </row>
    <row r="48" spans="1:44" x14ac:dyDescent="0.25">
      <c r="A48" s="237"/>
      <c r="B48" s="246"/>
      <c r="C48" s="293">
        <v>1</v>
      </c>
      <c r="D48" s="81" t="s">
        <v>84</v>
      </c>
      <c r="E48" s="239">
        <v>16.22</v>
      </c>
      <c r="F48" s="301">
        <v>18</v>
      </c>
      <c r="G48" s="73" t="s">
        <v>101</v>
      </c>
      <c r="H48" s="67">
        <f>AS175</f>
        <v>1177.3113207547169</v>
      </c>
      <c r="I48" s="67">
        <f>F48*H48</f>
        <v>21191.603773584906</v>
      </c>
      <c r="J48" s="74">
        <f>AU175</f>
        <v>215.1</v>
      </c>
      <c r="K48" s="67">
        <f>F48*J48</f>
        <v>3871.7999999999997</v>
      </c>
      <c r="L48" s="67">
        <f>K48+I48</f>
        <v>25063.403773584905</v>
      </c>
      <c r="M48" s="67">
        <v>1616.8752250133525</v>
      </c>
      <c r="N48" s="67">
        <v>295.41027489434231</v>
      </c>
      <c r="O48" s="72">
        <f t="shared" ref="O48:O49" si="15">N48+M48</f>
        <v>1912.2854999076949</v>
      </c>
      <c r="P48" s="203">
        <f t="shared" ref="P48:P49" si="16">O48*F48</f>
        <v>34421.138998338509</v>
      </c>
      <c r="Q48" s="272">
        <f t="shared" si="2"/>
        <v>34843.847786115737</v>
      </c>
      <c r="R48" s="439">
        <f t="shared" ref="R48:R49" si="17">P48-Q48</f>
        <v>-422.70878777722828</v>
      </c>
      <c r="V48" s="273"/>
    </row>
    <row r="49" spans="1:44" x14ac:dyDescent="0.25">
      <c r="A49" s="237"/>
      <c r="B49" s="246"/>
      <c r="C49" s="293">
        <v>2</v>
      </c>
      <c r="D49" s="81" t="s">
        <v>85</v>
      </c>
      <c r="E49" s="239">
        <v>44.33</v>
      </c>
      <c r="F49" s="301">
        <v>46</v>
      </c>
      <c r="G49" s="73" t="s">
        <v>101</v>
      </c>
      <c r="H49" s="67">
        <f>AS183</f>
        <v>1287.6886792452831</v>
      </c>
      <c r="I49" s="67">
        <f t="shared" ref="I49" si="18">F49*H49</f>
        <v>59233.67924528302</v>
      </c>
      <c r="J49" s="74">
        <f>AU183</f>
        <v>215.1</v>
      </c>
      <c r="K49" s="67">
        <f t="shared" ref="K49" si="19">F49*J49</f>
        <v>9894.6</v>
      </c>
      <c r="L49" s="67">
        <f t="shared" ref="L49" si="20">K49+I49</f>
        <v>69128.279245283018</v>
      </c>
      <c r="M49" s="67">
        <v>1768.4633506005655</v>
      </c>
      <c r="N49" s="67">
        <v>295.41027489434231</v>
      </c>
      <c r="O49" s="72">
        <f t="shared" si="15"/>
        <v>2063.8736254949076</v>
      </c>
      <c r="P49" s="203">
        <f t="shared" si="16"/>
        <v>94938.186772765752</v>
      </c>
      <c r="Q49" s="272">
        <f t="shared" si="2"/>
        <v>96104.075148697215</v>
      </c>
      <c r="R49" s="439">
        <f t="shared" si="17"/>
        <v>-1165.8883759314631</v>
      </c>
    </row>
    <row r="50" spans="1:44" s="585" customFormat="1" x14ac:dyDescent="0.25">
      <c r="A50" s="580"/>
      <c r="B50" s="581"/>
      <c r="C50" s="560">
        <v>1</v>
      </c>
      <c r="D50" s="582" t="s">
        <v>490</v>
      </c>
      <c r="E50" s="583">
        <f>1350+85</f>
        <v>1435</v>
      </c>
      <c r="F50" s="563">
        <v>1450</v>
      </c>
      <c r="G50" s="584" t="s">
        <v>101</v>
      </c>
      <c r="H50" s="658">
        <f>165-5</f>
        <v>160</v>
      </c>
      <c r="I50" s="566">
        <f>F50*H50</f>
        <v>232000</v>
      </c>
      <c r="J50" s="658">
        <f>165-5</f>
        <v>160</v>
      </c>
      <c r="K50" s="566">
        <f>F50*J50</f>
        <v>232000</v>
      </c>
      <c r="L50" s="566">
        <f>K50+I50</f>
        <v>464000</v>
      </c>
      <c r="M50" s="566">
        <f>H50/$P$257*$P$265</f>
        <v>222.43649330878986</v>
      </c>
      <c r="N50" s="566">
        <f>J50/$P$257*$P$265</f>
        <v>222.43649330878986</v>
      </c>
      <c r="O50" s="565">
        <f>N50+M50</f>
        <v>444.87298661757973</v>
      </c>
      <c r="P50" s="567">
        <f>O50*F50</f>
        <v>645065.83059549064</v>
      </c>
      <c r="Q50" s="568">
        <f t="shared" si="2"/>
        <v>645065.83059549064</v>
      </c>
      <c r="R50" s="569">
        <f>P50-Q50</f>
        <v>0</v>
      </c>
    </row>
    <row r="51" spans="1:44" s="585" customFormat="1" x14ac:dyDescent="0.25">
      <c r="A51" s="580"/>
      <c r="B51" s="581"/>
      <c r="C51" s="560">
        <v>2</v>
      </c>
      <c r="D51" s="582" t="s">
        <v>491</v>
      </c>
      <c r="E51" s="583">
        <f>685+46</f>
        <v>731</v>
      </c>
      <c r="F51" s="563">
        <v>744</v>
      </c>
      <c r="G51" s="584" t="s">
        <v>101</v>
      </c>
      <c r="H51" s="658">
        <f>180-10</f>
        <v>170</v>
      </c>
      <c r="I51" s="566">
        <f>F51*H51</f>
        <v>126480</v>
      </c>
      <c r="J51" s="658">
        <f>190-5</f>
        <v>185</v>
      </c>
      <c r="K51" s="566">
        <f>F51*J51</f>
        <v>137640</v>
      </c>
      <c r="L51" s="566">
        <f>K51+I51</f>
        <v>264120</v>
      </c>
      <c r="M51" s="566">
        <f>H51/$P$257*$P$265</f>
        <v>236.33877414058924</v>
      </c>
      <c r="N51" s="566">
        <f>J51/$P$257*$P$265</f>
        <v>257.19219538828827</v>
      </c>
      <c r="O51" s="565">
        <f>N51+M51</f>
        <v>493.53096952887751</v>
      </c>
      <c r="P51" s="567">
        <f>O51*F51</f>
        <v>367187.04132948484</v>
      </c>
      <c r="Q51" s="568">
        <f t="shared" ref="Q51" si="21">L51/$P$257*$P$265</f>
        <v>367187.0413294849</v>
      </c>
      <c r="R51" s="569">
        <f>P51-Q51</f>
        <v>0</v>
      </c>
    </row>
    <row r="52" spans="1:44" x14ac:dyDescent="0.25">
      <c r="A52" s="237"/>
      <c r="B52" s="246"/>
      <c r="C52" s="293">
        <v>3</v>
      </c>
      <c r="D52" s="81" t="s">
        <v>334</v>
      </c>
      <c r="E52" s="307" t="s">
        <v>39</v>
      </c>
      <c r="F52" s="301">
        <v>0</v>
      </c>
      <c r="G52" s="73"/>
      <c r="H52" s="67"/>
      <c r="I52" s="67"/>
      <c r="J52" s="67"/>
      <c r="K52" s="67"/>
      <c r="L52" s="67"/>
      <c r="M52" s="69"/>
      <c r="N52" s="69"/>
      <c r="O52" s="69"/>
      <c r="P52" s="438" t="s">
        <v>288</v>
      </c>
      <c r="Q52" s="272">
        <f>L52/$P$257*$P$265</f>
        <v>0</v>
      </c>
      <c r="R52" s="439" t="e">
        <f t="shared" si="3"/>
        <v>#VALUE!</v>
      </c>
    </row>
    <row r="53" spans="1:44" x14ac:dyDescent="0.25">
      <c r="A53" s="237"/>
      <c r="B53" s="246"/>
      <c r="C53" s="293"/>
      <c r="D53" s="79"/>
      <c r="E53" s="239"/>
      <c r="F53" s="301"/>
      <c r="G53" s="68"/>
      <c r="H53" s="67"/>
      <c r="I53" s="67"/>
      <c r="J53" s="67"/>
      <c r="K53" s="67"/>
      <c r="L53" s="67"/>
      <c r="M53" s="69"/>
      <c r="N53" s="69"/>
      <c r="O53" s="69"/>
      <c r="P53" s="203"/>
      <c r="Q53" s="272">
        <f>L53/$P$257*$P$265</f>
        <v>0</v>
      </c>
      <c r="R53" s="439">
        <f t="shared" si="3"/>
        <v>0</v>
      </c>
    </row>
    <row r="54" spans="1:44" x14ac:dyDescent="0.25">
      <c r="A54" s="237"/>
      <c r="B54" s="290" t="s">
        <v>321</v>
      </c>
      <c r="C54" s="291" t="s">
        <v>87</v>
      </c>
      <c r="D54" s="79"/>
      <c r="E54" s="239"/>
      <c r="F54" s="301"/>
      <c r="G54" s="68"/>
      <c r="H54" s="74"/>
      <c r="I54" s="67"/>
      <c r="J54" s="67"/>
      <c r="K54" s="67"/>
      <c r="L54" s="67"/>
      <c r="M54" s="69"/>
      <c r="N54" s="69"/>
      <c r="O54" s="69"/>
      <c r="P54" s="203"/>
      <c r="Q54" s="272">
        <f>L54/$P$257*$P$265</f>
        <v>0</v>
      </c>
      <c r="R54" s="439">
        <f t="shared" si="3"/>
        <v>0</v>
      </c>
    </row>
    <row r="55" spans="1:44" s="273" customFormat="1" x14ac:dyDescent="0.25">
      <c r="A55" s="411"/>
      <c r="B55" s="689"/>
      <c r="C55" s="318">
        <v>1</v>
      </c>
      <c r="D55" s="83" t="s">
        <v>322</v>
      </c>
      <c r="E55" s="242">
        <v>269</v>
      </c>
      <c r="F55" s="302">
        <v>273</v>
      </c>
      <c r="G55" s="77" t="s">
        <v>101</v>
      </c>
      <c r="H55" s="347">
        <v>430</v>
      </c>
      <c r="I55" s="74">
        <f>F55*H55</f>
        <v>117390</v>
      </c>
      <c r="J55" s="74">
        <v>375</v>
      </c>
      <c r="K55" s="74">
        <f t="shared" ref="K55:K56" si="22">F55*J55</f>
        <v>102375</v>
      </c>
      <c r="L55" s="72">
        <f t="shared" ref="L55:L56" si="23">I55+K55</f>
        <v>219765</v>
      </c>
      <c r="M55" s="74">
        <f>590.545877287621*0.98</f>
        <v>578.73495974186858</v>
      </c>
      <c r="N55" s="74">
        <f>515.010939495018*0.98</f>
        <v>504.71072070511758</v>
      </c>
      <c r="O55" s="72">
        <f t="shared" ref="O55:O58" si="24">N55+M55</f>
        <v>1083.4456804469862</v>
      </c>
      <c r="P55" s="205">
        <f t="shared" ref="P55:P56" si="25">O55*F55</f>
        <v>295780.67076202726</v>
      </c>
      <c r="Q55" s="272">
        <f t="shared" ref="Q55" si="26">L55/$P$257*$P$265</f>
        <v>305523.47470003879</v>
      </c>
      <c r="R55" s="439">
        <f t="shared" si="3"/>
        <v>-9742.8039380115224</v>
      </c>
      <c r="T55" s="224"/>
    </row>
    <row r="56" spans="1:44" s="273" customFormat="1" ht="15" customHeight="1" x14ac:dyDescent="0.25">
      <c r="A56" s="411"/>
      <c r="B56" s="689"/>
      <c r="C56" s="318">
        <v>2</v>
      </c>
      <c r="D56" s="83" t="s">
        <v>90</v>
      </c>
      <c r="E56" s="242">
        <v>36.700000000000003</v>
      </c>
      <c r="F56" s="302">
        <v>39</v>
      </c>
      <c r="G56" s="77" t="s">
        <v>101</v>
      </c>
      <c r="H56" s="347">
        <f>(167+175)+150</f>
        <v>492</v>
      </c>
      <c r="I56" s="74">
        <f>F56*H56</f>
        <v>19188</v>
      </c>
      <c r="J56" s="74">
        <f>225+150</f>
        <v>375</v>
      </c>
      <c r="K56" s="74">
        <f t="shared" si="22"/>
        <v>14625</v>
      </c>
      <c r="L56" s="72">
        <f t="shared" si="23"/>
        <v>33813</v>
      </c>
      <c r="M56" s="74">
        <v>675.69435261746355</v>
      </c>
      <c r="N56" s="74">
        <v>515.01093949501785</v>
      </c>
      <c r="O56" s="72">
        <f t="shared" si="24"/>
        <v>1190.7052921124814</v>
      </c>
      <c r="P56" s="205">
        <f t="shared" si="25"/>
        <v>46437.506392386771</v>
      </c>
      <c r="Q56" s="272">
        <f>L56/$P$257*$P$265</f>
        <v>47007.782176563196</v>
      </c>
      <c r="R56" s="439">
        <f t="shared" ref="R56" si="27">P56-Q56</f>
        <v>-570.27578417642508</v>
      </c>
      <c r="T56" s="224"/>
      <c r="AD56" s="224"/>
      <c r="AF56" s="224"/>
      <c r="AL56" s="285" t="s">
        <v>314</v>
      </c>
      <c r="AM56" s="285"/>
      <c r="AN56" s="286"/>
      <c r="AO56" s="286"/>
      <c r="AP56" s="286"/>
      <c r="AQ56" s="286"/>
      <c r="AR56" s="127">
        <f>AR54*0.12</f>
        <v>0</v>
      </c>
    </row>
    <row r="57" spans="1:44" ht="15" customHeight="1" x14ac:dyDescent="0.25">
      <c r="A57" s="237"/>
      <c r="B57" s="246"/>
      <c r="C57" s="293"/>
      <c r="D57" s="81" t="s">
        <v>155</v>
      </c>
      <c r="E57" s="239"/>
      <c r="F57" s="301"/>
      <c r="G57" s="68"/>
      <c r="H57" s="347"/>
      <c r="I57" s="67"/>
      <c r="J57" s="67"/>
      <c r="K57" s="67"/>
      <c r="L57" s="67"/>
      <c r="M57" s="69"/>
      <c r="N57" s="69"/>
      <c r="O57" s="69"/>
      <c r="P57" s="203"/>
      <c r="Q57" s="272"/>
      <c r="R57" s="439"/>
      <c r="W57" s="904" t="s">
        <v>293</v>
      </c>
      <c r="X57" s="904"/>
      <c r="Y57" s="904"/>
      <c r="Z57" s="662" t="s">
        <v>243</v>
      </c>
      <c r="AA57" s="662" t="s">
        <v>244</v>
      </c>
      <c r="AB57" s="662" t="s">
        <v>245</v>
      </c>
      <c r="AC57" s="123" t="s">
        <v>246</v>
      </c>
      <c r="AD57" s="196" t="s">
        <v>247</v>
      </c>
      <c r="AE57" s="662" t="s">
        <v>248</v>
      </c>
      <c r="AF57" s="212" t="s">
        <v>249</v>
      </c>
      <c r="AL57" s="227" t="s">
        <v>299</v>
      </c>
      <c r="AM57" s="227"/>
      <c r="AN57" s="228"/>
      <c r="AO57" s="228"/>
      <c r="AP57" s="228"/>
      <c r="AQ57" s="228"/>
      <c r="AR57" s="229">
        <f>AR54*0.002</f>
        <v>0</v>
      </c>
    </row>
    <row r="58" spans="1:44" s="273" customFormat="1" x14ac:dyDescent="0.25">
      <c r="A58" s="411"/>
      <c r="B58" s="689"/>
      <c r="C58" s="318">
        <v>3</v>
      </c>
      <c r="D58" s="83" t="s">
        <v>92</v>
      </c>
      <c r="E58" s="242">
        <v>62</v>
      </c>
      <c r="F58" s="302">
        <v>64</v>
      </c>
      <c r="G58" s="77" t="s">
        <v>101</v>
      </c>
      <c r="H58" s="347">
        <f>(177+155)+150</f>
        <v>482</v>
      </c>
      <c r="I58" s="74">
        <f>F58*H58</f>
        <v>30848</v>
      </c>
      <c r="J58" s="74">
        <f>225+150</f>
        <v>375</v>
      </c>
      <c r="K58" s="74">
        <f t="shared" ref="K58" si="28">F58*J58</f>
        <v>24000</v>
      </c>
      <c r="L58" s="72">
        <f t="shared" ref="L58" si="29">I58+K58</f>
        <v>54848</v>
      </c>
      <c r="M58" s="74">
        <f>661.960727564263*0.98</f>
        <v>648.72151301297777</v>
      </c>
      <c r="N58" s="74">
        <f>515.010939495018*0.98</f>
        <v>504.71072070511758</v>
      </c>
      <c r="O58" s="72">
        <f t="shared" si="24"/>
        <v>1153.4322337180954</v>
      </c>
      <c r="P58" s="205">
        <f t="shared" ref="P58" si="30">O58*F58</f>
        <v>73819.662957958106</v>
      </c>
      <c r="Q58" s="272">
        <f t="shared" ref="Q58:Q71" si="31">L58/$P$257*$P$265</f>
        <v>76251.229906253167</v>
      </c>
      <c r="R58" s="439">
        <f t="shared" ref="R58" si="32">P58-Q58</f>
        <v>-2431.5669482950616</v>
      </c>
      <c r="T58" s="224"/>
      <c r="W58" s="878" t="s">
        <v>258</v>
      </c>
      <c r="X58" s="878"/>
      <c r="Y58" s="878"/>
      <c r="Z58" s="124" t="s">
        <v>251</v>
      </c>
      <c r="AA58" s="661">
        <v>11.11</v>
      </c>
      <c r="AB58" s="661">
        <v>12</v>
      </c>
      <c r="AC58" s="123">
        <f>63/1.05</f>
        <v>60</v>
      </c>
      <c r="AD58" s="196">
        <f>AC58*AB58</f>
        <v>720</v>
      </c>
      <c r="AE58" s="661">
        <v>18</v>
      </c>
      <c r="AF58" s="219">
        <f>AE58*AB58</f>
        <v>216</v>
      </c>
      <c r="AL58" s="285" t="s">
        <v>304</v>
      </c>
      <c r="AM58" s="285"/>
      <c r="AN58" s="286"/>
      <c r="AO58" s="286"/>
      <c r="AP58" s="286"/>
      <c r="AQ58" s="286"/>
      <c r="AR58" s="690">
        <f>SUM(AR53:AR57)</f>
        <v>0</v>
      </c>
    </row>
    <row r="59" spans="1:44" x14ac:dyDescent="0.25">
      <c r="A59" s="237"/>
      <c r="B59" s="248"/>
      <c r="C59" s="298"/>
      <c r="D59" s="81" t="s">
        <v>154</v>
      </c>
      <c r="E59" s="239"/>
      <c r="F59" s="301"/>
      <c r="G59" s="68"/>
      <c r="H59" s="74"/>
      <c r="I59" s="67"/>
      <c r="J59" s="67"/>
      <c r="K59" s="67"/>
      <c r="L59" s="67"/>
      <c r="M59" s="69"/>
      <c r="N59" s="69"/>
      <c r="O59" s="69"/>
      <c r="P59" s="203"/>
      <c r="Q59" s="272">
        <f t="shared" si="31"/>
        <v>0</v>
      </c>
      <c r="R59" s="439">
        <f t="shared" si="3"/>
        <v>0</v>
      </c>
      <c r="W59" s="878" t="s">
        <v>252</v>
      </c>
      <c r="X59" s="878"/>
      <c r="Y59" s="878"/>
      <c r="Z59" s="124" t="s">
        <v>253</v>
      </c>
      <c r="AA59" s="545">
        <v>0.25</v>
      </c>
      <c r="AB59" s="545">
        <v>0.25</v>
      </c>
      <c r="AC59" s="123">
        <f>AC129</f>
        <v>268.8679245283019</v>
      </c>
      <c r="AD59" s="196">
        <f>AC59*AB59</f>
        <v>67.216981132075475</v>
      </c>
      <c r="AE59" s="545"/>
      <c r="AF59" s="219">
        <f t="shared" ref="AF59:AF61" si="33">AE59*AB59</f>
        <v>0</v>
      </c>
    </row>
    <row r="60" spans="1:44" x14ac:dyDescent="0.25">
      <c r="A60" s="237"/>
      <c r="B60" s="246"/>
      <c r="C60" s="293">
        <v>4</v>
      </c>
      <c r="D60" s="81" t="s">
        <v>93</v>
      </c>
      <c r="E60" s="239">
        <v>252</v>
      </c>
      <c r="F60" s="301">
        <v>255</v>
      </c>
      <c r="G60" s="73" t="s">
        <v>101</v>
      </c>
      <c r="H60" s="74">
        <f>(230+160)</f>
        <v>390</v>
      </c>
      <c r="I60" s="67">
        <f>F60*H60</f>
        <v>99450</v>
      </c>
      <c r="J60" s="67">
        <v>225</v>
      </c>
      <c r="K60" s="67">
        <f t="shared" ref="K60" si="34">F60*J60</f>
        <v>57375</v>
      </c>
      <c r="L60" s="72">
        <f t="shared" ref="L60" si="35">I60+K60</f>
        <v>156825</v>
      </c>
      <c r="M60" s="67">
        <v>535.61137707481862</v>
      </c>
      <c r="N60" s="67">
        <v>309.00656369701073</v>
      </c>
      <c r="O60" s="72">
        <f t="shared" ref="O60" si="36">N60+M60</f>
        <v>844.61794077182935</v>
      </c>
      <c r="P60" s="203">
        <f t="shared" ref="P60" si="37">O60*F60</f>
        <v>215377.57489681648</v>
      </c>
      <c r="Q60" s="272">
        <f t="shared" si="31"/>
        <v>218022.51914469356</v>
      </c>
      <c r="R60" s="439">
        <f t="shared" si="3"/>
        <v>-2644.9442478770798</v>
      </c>
      <c r="W60" s="878" t="s">
        <v>254</v>
      </c>
      <c r="X60" s="878"/>
      <c r="Y60" s="878"/>
      <c r="Z60" s="124" t="s">
        <v>255</v>
      </c>
      <c r="AA60" s="545">
        <v>0.25</v>
      </c>
      <c r="AB60" s="545">
        <v>0.35</v>
      </c>
      <c r="AC60" s="123">
        <f>AC45</f>
        <v>34.905660377358487</v>
      </c>
      <c r="AD60" s="196">
        <f t="shared" ref="AD60:AD61" si="38">AC60*AB60</f>
        <v>12.216981132075469</v>
      </c>
      <c r="AE60" s="545"/>
      <c r="AF60" s="219">
        <f t="shared" si="33"/>
        <v>0</v>
      </c>
    </row>
    <row r="61" spans="1:44" x14ac:dyDescent="0.25">
      <c r="A61" s="237"/>
      <c r="B61" s="248"/>
      <c r="C61" s="298"/>
      <c r="D61" s="81" t="s">
        <v>94</v>
      </c>
      <c r="E61" s="239"/>
      <c r="F61" s="301"/>
      <c r="G61" s="68"/>
      <c r="H61" s="74"/>
      <c r="I61" s="67"/>
      <c r="J61" s="67"/>
      <c r="K61" s="67"/>
      <c r="L61" s="67"/>
      <c r="M61" s="69"/>
      <c r="N61" s="69"/>
      <c r="O61" s="69"/>
      <c r="P61" s="203"/>
      <c r="Q61" s="272">
        <f t="shared" si="31"/>
        <v>0</v>
      </c>
      <c r="R61" s="439">
        <f t="shared" si="3"/>
        <v>0</v>
      </c>
      <c r="W61" s="878" t="str">
        <f>W46</f>
        <v>mortar (topping) included @ other item</v>
      </c>
      <c r="X61" s="878"/>
      <c r="Y61" s="878"/>
      <c r="Z61" s="124" t="s">
        <v>257</v>
      </c>
      <c r="AA61" s="545">
        <v>1</v>
      </c>
      <c r="AB61" s="545">
        <v>1</v>
      </c>
      <c r="AC61" s="123">
        <f>AC46</f>
        <v>0</v>
      </c>
      <c r="AD61" s="196">
        <f t="shared" si="38"/>
        <v>0</v>
      </c>
      <c r="AE61" s="545">
        <f>AE46</f>
        <v>0</v>
      </c>
      <c r="AF61" s="219">
        <f t="shared" si="33"/>
        <v>0</v>
      </c>
    </row>
    <row r="62" spans="1:44" x14ac:dyDescent="0.25">
      <c r="A62" s="237"/>
      <c r="B62" s="246"/>
      <c r="C62" s="293">
        <v>5</v>
      </c>
      <c r="D62" s="81" t="s">
        <v>160</v>
      </c>
      <c r="E62" s="348">
        <f>29.2+51.05</f>
        <v>80.25</v>
      </c>
      <c r="F62" s="349">
        <v>82</v>
      </c>
      <c r="G62" s="73" t="s">
        <v>101</v>
      </c>
      <c r="H62" s="74"/>
      <c r="I62" s="67">
        <f>F62*H62</f>
        <v>0</v>
      </c>
      <c r="J62" s="67"/>
      <c r="K62" s="67">
        <f t="shared" ref="K62:K65" si="39">F62*J62</f>
        <v>0</v>
      </c>
      <c r="L62" s="72">
        <f t="shared" ref="L62:L63" si="40">I62+K62</f>
        <v>0</v>
      </c>
      <c r="M62" s="67">
        <v>0</v>
      </c>
      <c r="N62" s="67">
        <v>0</v>
      </c>
      <c r="O62" s="72">
        <f>N62*F62</f>
        <v>0</v>
      </c>
      <c r="P62" s="221" t="s">
        <v>296</v>
      </c>
      <c r="Q62" s="272">
        <f t="shared" si="31"/>
        <v>0</v>
      </c>
      <c r="R62" s="439" t="e">
        <f t="shared" si="3"/>
        <v>#VALUE!</v>
      </c>
      <c r="W62" s="878" t="s">
        <v>259</v>
      </c>
      <c r="X62" s="878"/>
      <c r="Y62" s="878"/>
      <c r="Z62" s="124" t="s">
        <v>257</v>
      </c>
      <c r="AA62" s="545">
        <v>1</v>
      </c>
      <c r="AB62" s="545">
        <v>1</v>
      </c>
      <c r="AC62" s="123">
        <f>AC46</f>
        <v>0</v>
      </c>
      <c r="AD62" s="196">
        <f>AC62*AB62</f>
        <v>0</v>
      </c>
      <c r="AE62" s="545">
        <f>AE46</f>
        <v>0</v>
      </c>
      <c r="AF62" s="219">
        <f>AE62*AB62</f>
        <v>0</v>
      </c>
    </row>
    <row r="63" spans="1:44" x14ac:dyDescent="0.25">
      <c r="A63" s="237"/>
      <c r="B63" s="246"/>
      <c r="C63" s="293">
        <v>6</v>
      </c>
      <c r="D63" s="81" t="s">
        <v>492</v>
      </c>
      <c r="E63" s="239">
        <v>61.7</v>
      </c>
      <c r="F63" s="301">
        <v>63</v>
      </c>
      <c r="G63" s="73" t="s">
        <v>100</v>
      </c>
      <c r="H63" s="74">
        <v>130</v>
      </c>
      <c r="I63" s="67">
        <f>F63*H63</f>
        <v>8190</v>
      </c>
      <c r="J63" s="67">
        <v>120</v>
      </c>
      <c r="K63" s="67">
        <f t="shared" si="39"/>
        <v>7560</v>
      </c>
      <c r="L63" s="72">
        <f t="shared" si="40"/>
        <v>15750</v>
      </c>
      <c r="M63" s="67">
        <v>178.53712569160621</v>
      </c>
      <c r="N63" s="67">
        <v>164.80350063840572</v>
      </c>
      <c r="O63" s="72">
        <f t="shared" ref="O63" si="41">N63+M63</f>
        <v>343.3406263300119</v>
      </c>
      <c r="P63" s="203">
        <f t="shared" ref="P63" si="42">O63*F63</f>
        <v>21630.459458790749</v>
      </c>
      <c r="Q63" s="272">
        <f t="shared" si="31"/>
        <v>21896.092310084001</v>
      </c>
      <c r="R63" s="439">
        <f t="shared" si="3"/>
        <v>-265.63285129325232</v>
      </c>
      <c r="W63" s="126"/>
      <c r="X63" s="126"/>
      <c r="Y63" s="126"/>
      <c r="Z63" s="126"/>
      <c r="AA63" s="545"/>
      <c r="AB63" s="545"/>
      <c r="AC63" s="123"/>
      <c r="AD63" s="212">
        <f>SUM(AD58:AD62)</f>
        <v>799.43396226415098</v>
      </c>
      <c r="AE63" s="546"/>
      <c r="AF63" s="212">
        <f>SUM(AF58:AF62)</f>
        <v>216</v>
      </c>
    </row>
    <row r="64" spans="1:44" hidden="1" x14ac:dyDescent="0.25">
      <c r="A64" s="237"/>
      <c r="B64" s="246"/>
      <c r="C64" s="293"/>
      <c r="D64" s="81"/>
      <c r="E64" s="239"/>
      <c r="F64" s="301"/>
      <c r="G64" s="68"/>
      <c r="H64" s="74"/>
      <c r="I64" s="67"/>
      <c r="J64" s="67"/>
      <c r="K64" s="67"/>
      <c r="L64" s="67"/>
      <c r="M64" s="69"/>
      <c r="N64" s="69"/>
      <c r="O64" s="69"/>
      <c r="P64" s="203"/>
      <c r="Q64" s="272">
        <f t="shared" si="31"/>
        <v>0</v>
      </c>
      <c r="R64" s="439"/>
    </row>
    <row r="65" spans="1:32" x14ac:dyDescent="0.25">
      <c r="A65" s="237"/>
      <c r="B65" s="246"/>
      <c r="C65" s="293">
        <v>7</v>
      </c>
      <c r="D65" s="81" t="s">
        <v>357</v>
      </c>
      <c r="E65" s="239">
        <v>152.9</v>
      </c>
      <c r="F65" s="301">
        <v>154</v>
      </c>
      <c r="G65" s="73" t="s">
        <v>101</v>
      </c>
      <c r="H65" s="74"/>
      <c r="I65" s="67">
        <f>F65*H65</f>
        <v>0</v>
      </c>
      <c r="J65" s="67"/>
      <c r="K65" s="67">
        <f t="shared" si="39"/>
        <v>0</v>
      </c>
      <c r="L65" s="72">
        <f t="shared" ref="L65" si="43">I65+K65</f>
        <v>0</v>
      </c>
      <c r="M65" s="67">
        <v>0</v>
      </c>
      <c r="N65" s="67">
        <v>0</v>
      </c>
      <c r="O65" s="72">
        <f>N65*F65</f>
        <v>0</v>
      </c>
      <c r="P65" s="221" t="s">
        <v>288</v>
      </c>
      <c r="Q65" s="272">
        <f t="shared" si="31"/>
        <v>0</v>
      </c>
      <c r="R65" s="439" t="e">
        <f t="shared" ref="R65" si="44">P65-Q65</f>
        <v>#VALUE!</v>
      </c>
    </row>
    <row r="66" spans="1:32" x14ac:dyDescent="0.25">
      <c r="A66" s="237"/>
      <c r="B66" s="248"/>
      <c r="C66" s="298"/>
      <c r="D66" s="81"/>
      <c r="E66" s="239"/>
      <c r="F66" s="301"/>
      <c r="G66" s="68"/>
      <c r="H66" s="74"/>
      <c r="I66" s="67"/>
      <c r="J66" s="67"/>
      <c r="K66" s="67"/>
      <c r="L66" s="67"/>
      <c r="M66" s="69"/>
      <c r="N66" s="69"/>
      <c r="O66" s="69"/>
      <c r="P66" s="203"/>
      <c r="Q66" s="272">
        <f t="shared" si="31"/>
        <v>0</v>
      </c>
      <c r="R66" s="439">
        <f t="shared" si="3"/>
        <v>0</v>
      </c>
    </row>
    <row r="67" spans="1:32" x14ac:dyDescent="0.25">
      <c r="A67" s="237"/>
      <c r="B67" s="290" t="s">
        <v>323</v>
      </c>
      <c r="C67" s="291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76"/>
      <c r="N67" s="69"/>
      <c r="O67" s="69"/>
      <c r="P67" s="203"/>
      <c r="Q67" s="272">
        <f t="shared" si="31"/>
        <v>0</v>
      </c>
      <c r="R67" s="439">
        <f t="shared" si="3"/>
        <v>0</v>
      </c>
    </row>
    <row r="68" spans="1:32" s="585" customFormat="1" hidden="1" x14ac:dyDescent="0.25">
      <c r="A68" s="600"/>
      <c r="B68" s="601"/>
      <c r="C68" s="560">
        <v>1</v>
      </c>
      <c r="D68" s="582" t="s">
        <v>104</v>
      </c>
      <c r="E68" s="583">
        <v>3</v>
      </c>
      <c r="F68" s="563">
        <v>3</v>
      </c>
      <c r="G68" s="584" t="s">
        <v>28</v>
      </c>
      <c r="H68" s="566"/>
      <c r="I68" s="566">
        <f>F68*H68</f>
        <v>0</v>
      </c>
      <c r="J68" s="566"/>
      <c r="K68" s="566">
        <f t="shared" ref="K68" si="45">F68*J68</f>
        <v>0</v>
      </c>
      <c r="L68" s="565">
        <f t="shared" ref="L68" si="46">I68+K68</f>
        <v>0</v>
      </c>
      <c r="M68" s="566">
        <f>H68/$P$257*$P$265</f>
        <v>0</v>
      </c>
      <c r="N68" s="566">
        <f>J68/$P$257*$P$265</f>
        <v>0</v>
      </c>
      <c r="O68" s="565">
        <f t="shared" ref="O68" si="47">N68+M68</f>
        <v>0</v>
      </c>
      <c r="P68" s="567">
        <f t="shared" ref="P68" si="48">O68*F68</f>
        <v>0</v>
      </c>
      <c r="Q68" s="568">
        <f t="shared" si="31"/>
        <v>0</v>
      </c>
      <c r="R68" s="569">
        <f t="shared" si="3"/>
        <v>0</v>
      </c>
      <c r="T68" s="579"/>
      <c r="AD68" s="579"/>
      <c r="AF68" s="579"/>
    </row>
    <row r="69" spans="1:32" s="585" customFormat="1" hidden="1" x14ac:dyDescent="0.25">
      <c r="A69" s="600"/>
      <c r="B69" s="602"/>
      <c r="C69" s="560"/>
      <c r="D69" s="582" t="s">
        <v>324</v>
      </c>
      <c r="E69" s="583"/>
      <c r="F69" s="563"/>
      <c r="G69" s="598"/>
      <c r="H69" s="566"/>
      <c r="I69" s="566"/>
      <c r="J69" s="566"/>
      <c r="K69" s="566"/>
      <c r="L69" s="566"/>
      <c r="M69" s="565"/>
      <c r="N69" s="565"/>
      <c r="O69" s="565"/>
      <c r="P69" s="567"/>
      <c r="Q69" s="568">
        <f t="shared" si="31"/>
        <v>0</v>
      </c>
      <c r="R69" s="569">
        <f t="shared" si="3"/>
        <v>0</v>
      </c>
      <c r="T69" s="579"/>
    </row>
    <row r="70" spans="1:32" s="585" customFormat="1" hidden="1" x14ac:dyDescent="0.25">
      <c r="A70" s="600"/>
      <c r="B70" s="601"/>
      <c r="C70" s="560">
        <v>2</v>
      </c>
      <c r="D70" s="582" t="s">
        <v>105</v>
      </c>
      <c r="E70" s="583">
        <v>1</v>
      </c>
      <c r="F70" s="563">
        <v>1</v>
      </c>
      <c r="G70" s="584" t="s">
        <v>55</v>
      </c>
      <c r="H70" s="566"/>
      <c r="I70" s="566">
        <f>F70*H70</f>
        <v>0</v>
      </c>
      <c r="J70" s="566"/>
      <c r="K70" s="566">
        <f t="shared" ref="K70" si="49">F70*J70</f>
        <v>0</v>
      </c>
      <c r="L70" s="565">
        <f t="shared" ref="L70" si="50">I70+K70</f>
        <v>0</v>
      </c>
      <c r="M70" s="566">
        <f>H70/$P$257*$P$265</f>
        <v>0</v>
      </c>
      <c r="N70" s="566">
        <f>J70/$P$257*$P$265</f>
        <v>0</v>
      </c>
      <c r="O70" s="565">
        <f t="shared" ref="O70" si="51">N70+M70</f>
        <v>0</v>
      </c>
      <c r="P70" s="567">
        <f t="shared" ref="P70" si="52">O70*F70</f>
        <v>0</v>
      </c>
      <c r="Q70" s="568">
        <f t="shared" si="31"/>
        <v>0</v>
      </c>
      <c r="R70" s="569">
        <f t="shared" si="3"/>
        <v>0</v>
      </c>
      <c r="T70" s="579"/>
    </row>
    <row r="71" spans="1:32" hidden="1" x14ac:dyDescent="0.25">
      <c r="A71" s="350"/>
      <c r="B71" s="319"/>
      <c r="C71" s="318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72"/>
      <c r="N71" s="72"/>
      <c r="O71" s="72"/>
      <c r="P71" s="203"/>
      <c r="Q71" s="272">
        <f t="shared" si="31"/>
        <v>0</v>
      </c>
      <c r="R71" s="439">
        <f t="shared" si="3"/>
        <v>0</v>
      </c>
    </row>
    <row r="72" spans="1:32" s="273" customFormat="1" x14ac:dyDescent="0.25">
      <c r="A72" s="350"/>
      <c r="B72" s="317"/>
      <c r="C72" s="318">
        <v>3</v>
      </c>
      <c r="D72" s="8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53">F72*H72</f>
        <v>13106.796116504855</v>
      </c>
      <c r="J72" s="74">
        <v>700</v>
      </c>
      <c r="K72" s="74">
        <f t="shared" ref="K72:K77" si="54">F72*J72</f>
        <v>1400</v>
      </c>
      <c r="L72" s="72">
        <f t="shared" ref="L72:L77" si="55">I72+K72</f>
        <v>14506.796116504855</v>
      </c>
      <c r="M72" s="67">
        <v>9000.19117564109</v>
      </c>
      <c r="N72" s="67">
        <v>961.35375372403348</v>
      </c>
      <c r="O72" s="72">
        <v>9961.5449293651236</v>
      </c>
      <c r="P72" s="203">
        <v>19923.089858730247</v>
      </c>
      <c r="Q72" s="272">
        <v>19923.089858730247</v>
      </c>
      <c r="R72" s="439">
        <v>0</v>
      </c>
      <c r="T72" s="224"/>
      <c r="W72" s="878" t="s">
        <v>254</v>
      </c>
      <c r="X72" s="878"/>
      <c r="Y72" s="878"/>
      <c r="Z72" s="124" t="s">
        <v>255</v>
      </c>
      <c r="AA72" s="661">
        <v>0.25</v>
      </c>
      <c r="AB72" s="661">
        <v>0.35</v>
      </c>
      <c r="AC72" s="123">
        <f>37/1.06</f>
        <v>34.905660377358487</v>
      </c>
      <c r="AD72" s="196">
        <f>AC72*AB72</f>
        <v>12.216981132075469</v>
      </c>
      <c r="AE72" s="661"/>
      <c r="AF72" s="219">
        <f>AE72*AB72</f>
        <v>0</v>
      </c>
    </row>
    <row r="73" spans="1:32" s="273" customFormat="1" x14ac:dyDescent="0.25">
      <c r="A73" s="350"/>
      <c r="B73" s="317"/>
      <c r="C73" s="318">
        <v>4</v>
      </c>
      <c r="D73" s="8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53"/>
        <v>26213.592233009709</v>
      </c>
      <c r="J73" s="74">
        <f>J72</f>
        <v>700</v>
      </c>
      <c r="K73" s="74">
        <f t="shared" si="54"/>
        <v>2800</v>
      </c>
      <c r="L73" s="72">
        <f t="shared" si="55"/>
        <v>29013.592233009709</v>
      </c>
      <c r="M73" s="67">
        <v>9000.19117564109</v>
      </c>
      <c r="N73" s="67">
        <v>961.35375372403348</v>
      </c>
      <c r="O73" s="72">
        <v>9961.5449293651236</v>
      </c>
      <c r="P73" s="203">
        <v>39846.179717460494</v>
      </c>
      <c r="Q73" s="272">
        <v>39846.179717460494</v>
      </c>
      <c r="R73" s="439">
        <v>0</v>
      </c>
      <c r="T73" s="224"/>
      <c r="W73" s="878" t="s">
        <v>256</v>
      </c>
      <c r="X73" s="878"/>
      <c r="Y73" s="878"/>
      <c r="Z73" s="124" t="s">
        <v>257</v>
      </c>
      <c r="AA73" s="661">
        <v>1</v>
      </c>
      <c r="AB73" s="661">
        <v>1</v>
      </c>
      <c r="AC73" s="123">
        <f>AN64</f>
        <v>0</v>
      </c>
      <c r="AD73" s="196">
        <f>AC73*AB73</f>
        <v>0</v>
      </c>
      <c r="AE73" s="661"/>
      <c r="AF73" s="219">
        <f>AE73*AB73</f>
        <v>0</v>
      </c>
    </row>
    <row r="74" spans="1:32" s="273" customFormat="1" x14ac:dyDescent="0.25">
      <c r="A74" s="350"/>
      <c r="B74" s="317"/>
      <c r="C74" s="318">
        <v>5</v>
      </c>
      <c r="D74" s="8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53"/>
        <v>59466.01941747572</v>
      </c>
      <c r="J74" s="74">
        <f>J73</f>
        <v>700</v>
      </c>
      <c r="K74" s="74">
        <f t="shared" si="54"/>
        <v>4900</v>
      </c>
      <c r="L74" s="72">
        <f t="shared" si="55"/>
        <v>64366.01941747572</v>
      </c>
      <c r="M74" s="67">
        <v>11666.914486942153</v>
      </c>
      <c r="N74" s="67">
        <v>961.35375372403348</v>
      </c>
      <c r="O74" s="72">
        <v>12628.268240666186</v>
      </c>
      <c r="P74" s="203">
        <v>88397.877684663297</v>
      </c>
      <c r="Q74" s="272">
        <v>88397.877684663297</v>
      </c>
      <c r="R74" s="439">
        <v>0</v>
      </c>
      <c r="T74" s="224"/>
      <c r="W74" s="126"/>
      <c r="X74" s="126"/>
      <c r="Y74" s="126"/>
      <c r="Z74" s="126"/>
      <c r="AA74" s="661"/>
      <c r="AB74" s="661"/>
      <c r="AC74" s="123"/>
      <c r="AD74" s="212">
        <f>SUM(AD70:AD73)</f>
        <v>12.216981132075469</v>
      </c>
      <c r="AE74" s="662"/>
      <c r="AF74" s="212">
        <f>SUM(AF70:AF73)</f>
        <v>0</v>
      </c>
    </row>
    <row r="75" spans="1:32" s="273" customFormat="1" x14ac:dyDescent="0.25">
      <c r="A75" s="350"/>
      <c r="B75" s="317"/>
      <c r="C75" s="318">
        <v>6</v>
      </c>
      <c r="D75" s="8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53"/>
        <v>8495.1456310679605</v>
      </c>
      <c r="J75" s="74">
        <f>J74</f>
        <v>700</v>
      </c>
      <c r="K75" s="74">
        <f t="shared" si="54"/>
        <v>700</v>
      </c>
      <c r="L75" s="72">
        <f t="shared" si="55"/>
        <v>9195.1456310679605</v>
      </c>
      <c r="M75" s="67">
        <v>11666.914486942153</v>
      </c>
      <c r="N75" s="67">
        <v>961.35375372403348</v>
      </c>
      <c r="O75" s="72">
        <v>12628.268240666186</v>
      </c>
      <c r="P75" s="203">
        <v>12628.268240666186</v>
      </c>
      <c r="Q75" s="272">
        <v>12628.268240666184</v>
      </c>
      <c r="R75" s="439">
        <v>0</v>
      </c>
      <c r="T75" s="224"/>
      <c r="AD75" s="224"/>
      <c r="AF75" s="224"/>
    </row>
    <row r="76" spans="1:32" s="273" customFormat="1" x14ac:dyDescent="0.25">
      <c r="A76" s="350"/>
      <c r="B76" s="317"/>
      <c r="C76" s="318">
        <v>7</v>
      </c>
      <c r="D76" s="8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53"/>
        <v>14660.194174757282</v>
      </c>
      <c r="J76" s="74">
        <v>650</v>
      </c>
      <c r="K76" s="74">
        <f t="shared" si="54"/>
        <v>1300</v>
      </c>
      <c r="L76" s="72">
        <f t="shared" si="55"/>
        <v>15960.194174757282</v>
      </c>
      <c r="M76" s="67">
        <v>10066.880500161515</v>
      </c>
      <c r="N76" s="67">
        <v>892.68562845803103</v>
      </c>
      <c r="O76" s="72">
        <v>10959.566128619546</v>
      </c>
      <c r="P76" s="203">
        <v>21919.132257239093</v>
      </c>
      <c r="Q76" s="272">
        <v>21919.132257239093</v>
      </c>
      <c r="R76" s="439">
        <v>0</v>
      </c>
      <c r="T76" s="224"/>
      <c r="W76" s="904" t="s">
        <v>295</v>
      </c>
      <c r="X76" s="904"/>
      <c r="Y76" s="904"/>
      <c r="Z76" s="662" t="s">
        <v>243</v>
      </c>
      <c r="AA76" s="662" t="s">
        <v>244</v>
      </c>
      <c r="AB76" s="662" t="s">
        <v>245</v>
      </c>
      <c r="AC76" s="123" t="s">
        <v>246</v>
      </c>
      <c r="AD76" s="196" t="s">
        <v>247</v>
      </c>
      <c r="AE76" s="662" t="s">
        <v>248</v>
      </c>
      <c r="AF76" s="212" t="s">
        <v>249</v>
      </c>
    </row>
    <row r="77" spans="1:32" x14ac:dyDescent="0.25">
      <c r="A77" s="350"/>
      <c r="B77" s="317"/>
      <c r="C77" s="318">
        <v>8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67">
        <f t="shared" si="53"/>
        <v>23632.07547169811</v>
      </c>
      <c r="J77" s="74">
        <v>700</v>
      </c>
      <c r="K77" s="67">
        <f t="shared" si="54"/>
        <v>2100</v>
      </c>
      <c r="L77" s="72">
        <f t="shared" si="55"/>
        <v>25732.07547169811</v>
      </c>
      <c r="M77" s="67">
        <v>10818.468791907922</v>
      </c>
      <c r="N77" s="67">
        <v>961.35375372403348</v>
      </c>
      <c r="O77" s="72">
        <v>11779.822545631956</v>
      </c>
      <c r="P77" s="203">
        <v>35339.467636895868</v>
      </c>
      <c r="Q77" s="272">
        <v>35339.467636895868</v>
      </c>
      <c r="R77" s="439">
        <v>0</v>
      </c>
      <c r="W77" s="878" t="s">
        <v>271</v>
      </c>
      <c r="X77" s="878"/>
      <c r="Y77" s="878"/>
      <c r="Z77" s="124" t="s">
        <v>251</v>
      </c>
      <c r="AA77" s="661">
        <v>8.33</v>
      </c>
      <c r="AB77" s="661">
        <v>9</v>
      </c>
      <c r="AC77" s="123">
        <f>143/1.06</f>
        <v>134.90566037735849</v>
      </c>
      <c r="AD77" s="196">
        <f>AC77*AB77</f>
        <v>1214.1509433962265</v>
      </c>
      <c r="AE77" s="661">
        <v>23.9</v>
      </c>
      <c r="AF77" s="219">
        <f>AE77*AB77</f>
        <v>215.1</v>
      </c>
    </row>
    <row r="78" spans="1:32" x14ac:dyDescent="0.25">
      <c r="A78" s="350"/>
      <c r="B78" s="319"/>
      <c r="C78" s="318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72"/>
      <c r="N78" s="72"/>
      <c r="O78" s="72"/>
      <c r="P78" s="205"/>
      <c r="Q78" s="272">
        <v>0</v>
      </c>
      <c r="R78" s="439">
        <v>0</v>
      </c>
      <c r="W78" s="878" t="s">
        <v>252</v>
      </c>
      <c r="X78" s="878"/>
      <c r="Y78" s="878"/>
      <c r="Z78" s="124" t="s">
        <v>253</v>
      </c>
      <c r="AA78" s="661">
        <v>0.25</v>
      </c>
      <c r="AB78" s="661">
        <v>0.25</v>
      </c>
      <c r="AC78" s="123">
        <f>AC71</f>
        <v>0</v>
      </c>
      <c r="AD78" s="196">
        <f>AC78*AB78</f>
        <v>0</v>
      </c>
      <c r="AE78" s="661"/>
      <c r="AF78" s="219">
        <f>AE78*AB78</f>
        <v>0</v>
      </c>
    </row>
    <row r="79" spans="1:32" x14ac:dyDescent="0.25">
      <c r="A79" s="350"/>
      <c r="B79" s="317"/>
      <c r="C79" s="318">
        <v>9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67">
        <f>F79*H79</f>
        <v>8584.9056603773588</v>
      </c>
      <c r="J79" s="74">
        <f>J77</f>
        <v>700</v>
      </c>
      <c r="K79" s="67">
        <f t="shared" ref="K79" si="56">F79*J79</f>
        <v>700</v>
      </c>
      <c r="L79" s="72">
        <f t="shared" ref="L79" si="57">I79+K79</f>
        <v>9284.9056603773588</v>
      </c>
      <c r="M79" s="67">
        <v>11790.187545672108</v>
      </c>
      <c r="N79" s="67">
        <v>961.35375372403348</v>
      </c>
      <c r="O79" s="72">
        <v>12751.541299396142</v>
      </c>
      <c r="P79" s="203">
        <v>12751.541299396142</v>
      </c>
      <c r="Q79" s="272">
        <v>12751.541299396144</v>
      </c>
      <c r="R79" s="439">
        <v>0</v>
      </c>
      <c r="W79" s="878" t="s">
        <v>254</v>
      </c>
      <c r="X79" s="878"/>
      <c r="Y79" s="878"/>
      <c r="Z79" s="124" t="s">
        <v>255</v>
      </c>
      <c r="AA79" s="661">
        <v>0.25</v>
      </c>
      <c r="AB79" s="661">
        <v>0.35</v>
      </c>
      <c r="AC79" s="123">
        <f>37/1.06</f>
        <v>34.905660377358487</v>
      </c>
      <c r="AD79" s="196">
        <f>AC79*AB79</f>
        <v>12.216981132075469</v>
      </c>
      <c r="AE79" s="661"/>
      <c r="AF79" s="219">
        <f>AE79*AB79</f>
        <v>0</v>
      </c>
    </row>
    <row r="80" spans="1:32" x14ac:dyDescent="0.25">
      <c r="A80" s="350"/>
      <c r="B80" s="319"/>
      <c r="C80" s="318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72"/>
      <c r="N80" s="72"/>
      <c r="O80" s="72"/>
      <c r="P80" s="205"/>
      <c r="Q80" s="272"/>
      <c r="R80" s="439"/>
      <c r="W80" s="878" t="s">
        <v>256</v>
      </c>
      <c r="X80" s="878"/>
      <c r="Y80" s="878"/>
      <c r="Z80" s="124" t="s">
        <v>257</v>
      </c>
      <c r="AA80" s="661">
        <v>1</v>
      </c>
      <c r="AB80" s="661">
        <v>1</v>
      </c>
      <c r="AC80" s="123">
        <v>0</v>
      </c>
      <c r="AD80" s="196">
        <f>AC80*AB80</f>
        <v>0</v>
      </c>
      <c r="AE80" s="661">
        <v>0</v>
      </c>
      <c r="AF80" s="219">
        <f>AE80*AB80</f>
        <v>0</v>
      </c>
    </row>
    <row r="81" spans="1:20" x14ac:dyDescent="0.25">
      <c r="A81" s="350"/>
      <c r="B81" s="319"/>
      <c r="C81" s="318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72"/>
      <c r="N81" s="72"/>
      <c r="O81" s="72"/>
      <c r="P81" s="205"/>
      <c r="Q81" s="272">
        <f>L81/$P$257*$P$265</f>
        <v>0</v>
      </c>
      <c r="R81" s="439">
        <f t="shared" si="3"/>
        <v>0</v>
      </c>
    </row>
    <row r="82" spans="1:20" x14ac:dyDescent="0.25">
      <c r="A82" s="237"/>
      <c r="B82" s="290" t="s">
        <v>329</v>
      </c>
      <c r="C82" s="291" t="s">
        <v>510</v>
      </c>
      <c r="D82" s="82"/>
      <c r="E82" s="242"/>
      <c r="F82" s="302"/>
      <c r="G82" s="75"/>
      <c r="H82" s="74"/>
      <c r="I82" s="74"/>
      <c r="J82" s="74"/>
      <c r="K82" s="74"/>
      <c r="L82" s="74"/>
      <c r="M82" s="72"/>
      <c r="N82" s="72"/>
      <c r="O82" s="72"/>
      <c r="P82" s="205"/>
      <c r="Q82" s="272">
        <f>L82/$P$257*$P$265</f>
        <v>0</v>
      </c>
      <c r="R82" s="439">
        <f t="shared" ref="R82:R149" si="58">P82-Q82</f>
        <v>0</v>
      </c>
    </row>
    <row r="83" spans="1:20" s="585" customFormat="1" ht="15" hidden="1" customHeight="1" x14ac:dyDescent="0.25">
      <c r="A83" s="600"/>
      <c r="B83" s="601"/>
      <c r="C83" s="560">
        <v>1</v>
      </c>
      <c r="D83" s="603" t="s">
        <v>113</v>
      </c>
      <c r="E83" s="604">
        <v>1</v>
      </c>
      <c r="F83" s="563">
        <v>1</v>
      </c>
      <c r="G83" s="584" t="s">
        <v>55</v>
      </c>
      <c r="H83" s="565"/>
      <c r="I83" s="566">
        <f>F83*H83</f>
        <v>0</v>
      </c>
      <c r="J83" s="565"/>
      <c r="K83" s="566">
        <f t="shared" ref="K83" si="59">F83*J83</f>
        <v>0</v>
      </c>
      <c r="L83" s="565">
        <f t="shared" ref="L83" si="60">I83+K83</f>
        <v>0</v>
      </c>
      <c r="M83" s="566">
        <f>H83/$P$257*$P$265</f>
        <v>0</v>
      </c>
      <c r="N83" s="566">
        <f>J83/$P$257*$P$265</f>
        <v>0</v>
      </c>
      <c r="O83" s="565">
        <f t="shared" ref="O83" si="61">N83+M83</f>
        <v>0</v>
      </c>
      <c r="P83" s="567">
        <f t="shared" ref="P83" si="62">O83*F83</f>
        <v>0</v>
      </c>
      <c r="Q83" s="568">
        <f t="shared" ref="Q83:Q116" si="63">L83/$P$257*$P$265</f>
        <v>0</v>
      </c>
      <c r="R83" s="569">
        <f t="shared" si="58"/>
        <v>0</v>
      </c>
      <c r="S83" s="565">
        <f>278766*0.85</f>
        <v>236951.1</v>
      </c>
      <c r="T83" s="565">
        <f>278766*0.15</f>
        <v>41814.9</v>
      </c>
    </row>
    <row r="84" spans="1:20" s="585" customFormat="1" ht="15" hidden="1" customHeight="1" x14ac:dyDescent="0.25">
      <c r="A84" s="600"/>
      <c r="B84" s="602"/>
      <c r="C84" s="560"/>
      <c r="D84" s="603" t="s">
        <v>54</v>
      </c>
      <c r="E84" s="604"/>
      <c r="F84" s="563"/>
      <c r="G84" s="584"/>
      <c r="H84" s="566"/>
      <c r="I84" s="566"/>
      <c r="J84" s="566"/>
      <c r="K84" s="566"/>
      <c r="L84" s="566"/>
      <c r="M84" s="565"/>
      <c r="N84" s="565"/>
      <c r="O84" s="565"/>
      <c r="P84" s="567"/>
      <c r="Q84" s="568">
        <f t="shared" si="63"/>
        <v>0</v>
      </c>
      <c r="R84" s="569">
        <f t="shared" si="58"/>
        <v>0</v>
      </c>
      <c r="S84" s="566"/>
      <c r="T84" s="566"/>
    </row>
    <row r="85" spans="1:20" s="585" customFormat="1" ht="15" hidden="1" customHeight="1" x14ac:dyDescent="0.25">
      <c r="A85" s="600"/>
      <c r="B85" s="601"/>
      <c r="C85" s="560">
        <v>2</v>
      </c>
      <c r="D85" s="603" t="s">
        <v>114</v>
      </c>
      <c r="E85" s="604">
        <v>1</v>
      </c>
      <c r="F85" s="563">
        <v>1</v>
      </c>
      <c r="G85" s="584" t="s">
        <v>55</v>
      </c>
      <c r="H85" s="565"/>
      <c r="I85" s="566">
        <f>F85*H85</f>
        <v>0</v>
      </c>
      <c r="J85" s="565"/>
      <c r="K85" s="566">
        <f t="shared" ref="K85" si="64">F85*J85</f>
        <v>0</v>
      </c>
      <c r="L85" s="565">
        <f t="shared" ref="L85" si="65">I85+K85</f>
        <v>0</v>
      </c>
      <c r="M85" s="566">
        <f>H85/$P$257*$P$265</f>
        <v>0</v>
      </c>
      <c r="N85" s="566">
        <f>J85/$P$257*$P$265</f>
        <v>0</v>
      </c>
      <c r="O85" s="565">
        <f t="shared" ref="O85" si="66">N85+M85</f>
        <v>0</v>
      </c>
      <c r="P85" s="567">
        <f t="shared" ref="P85" si="67">O85*F85</f>
        <v>0</v>
      </c>
      <c r="Q85" s="568">
        <f t="shared" si="63"/>
        <v>0</v>
      </c>
      <c r="R85" s="569">
        <f t="shared" si="58"/>
        <v>0</v>
      </c>
      <c r="S85" s="565">
        <f>120447*0.85</f>
        <v>102379.95</v>
      </c>
      <c r="T85" s="565">
        <f>120447*0.15</f>
        <v>18067.05</v>
      </c>
    </row>
    <row r="86" spans="1:20" s="585" customFormat="1" ht="15" hidden="1" customHeight="1" x14ac:dyDescent="0.25">
      <c r="A86" s="600"/>
      <c r="B86" s="602"/>
      <c r="C86" s="560"/>
      <c r="D86" s="603" t="s">
        <v>37</v>
      </c>
      <c r="E86" s="604"/>
      <c r="F86" s="563"/>
      <c r="G86" s="584"/>
      <c r="H86" s="566"/>
      <c r="I86" s="566"/>
      <c r="J86" s="566"/>
      <c r="K86" s="566"/>
      <c r="L86" s="566"/>
      <c r="M86" s="565"/>
      <c r="N86" s="565"/>
      <c r="O86" s="565"/>
      <c r="P86" s="567"/>
      <c r="Q86" s="568">
        <f t="shared" si="63"/>
        <v>0</v>
      </c>
      <c r="R86" s="569">
        <f t="shared" si="58"/>
        <v>0</v>
      </c>
      <c r="S86" s="566"/>
      <c r="T86" s="566"/>
    </row>
    <row r="87" spans="1:20" s="585" customFormat="1" ht="15" hidden="1" customHeight="1" x14ac:dyDescent="0.25">
      <c r="A87" s="600"/>
      <c r="B87" s="601"/>
      <c r="C87" s="560">
        <v>3</v>
      </c>
      <c r="D87" s="603" t="s">
        <v>115</v>
      </c>
      <c r="E87" s="604">
        <v>1</v>
      </c>
      <c r="F87" s="563">
        <v>1</v>
      </c>
      <c r="G87" s="584" t="s">
        <v>55</v>
      </c>
      <c r="H87" s="565"/>
      <c r="I87" s="566">
        <f>F87*H87</f>
        <v>0</v>
      </c>
      <c r="J87" s="565"/>
      <c r="K87" s="566">
        <f t="shared" ref="K87" si="68">F87*J87</f>
        <v>0</v>
      </c>
      <c r="L87" s="565">
        <f t="shared" ref="L87" si="69">I87+K87</f>
        <v>0</v>
      </c>
      <c r="M87" s="566">
        <f>H87/$P$257*$P$265</f>
        <v>0</v>
      </c>
      <c r="N87" s="566">
        <f>J87/$P$257*$P$265</f>
        <v>0</v>
      </c>
      <c r="O87" s="565">
        <f t="shared" ref="O87" si="70">N87+M87</f>
        <v>0</v>
      </c>
      <c r="P87" s="567">
        <f t="shared" ref="P87" si="71">O87*F87</f>
        <v>0</v>
      </c>
      <c r="Q87" s="568">
        <f t="shared" si="63"/>
        <v>0</v>
      </c>
      <c r="R87" s="569">
        <f t="shared" si="58"/>
        <v>0</v>
      </c>
      <c r="S87" s="565">
        <f>95427.5*0.85</f>
        <v>81113.375</v>
      </c>
      <c r="T87" s="565">
        <f>95427.5*0.15</f>
        <v>14314.125</v>
      </c>
    </row>
    <row r="88" spans="1:20" s="585" customFormat="1" ht="15" hidden="1" customHeight="1" x14ac:dyDescent="0.25">
      <c r="A88" s="600"/>
      <c r="B88" s="602"/>
      <c r="C88" s="560"/>
      <c r="D88" s="603" t="s">
        <v>37</v>
      </c>
      <c r="E88" s="604"/>
      <c r="F88" s="563"/>
      <c r="G88" s="584"/>
      <c r="H88" s="566"/>
      <c r="I88" s="566"/>
      <c r="J88" s="566"/>
      <c r="K88" s="566"/>
      <c r="L88" s="566"/>
      <c r="M88" s="565"/>
      <c r="N88" s="565"/>
      <c r="O88" s="565"/>
      <c r="P88" s="567"/>
      <c r="Q88" s="568">
        <f t="shared" si="63"/>
        <v>0</v>
      </c>
      <c r="R88" s="569">
        <f t="shared" si="58"/>
        <v>0</v>
      </c>
      <c r="S88" s="566"/>
      <c r="T88" s="566"/>
    </row>
    <row r="89" spans="1:20" s="585" customFormat="1" ht="15" hidden="1" customHeight="1" x14ac:dyDescent="0.25">
      <c r="A89" s="600"/>
      <c r="B89" s="601"/>
      <c r="C89" s="560">
        <v>4</v>
      </c>
      <c r="D89" s="603" t="s">
        <v>116</v>
      </c>
      <c r="E89" s="604">
        <v>1</v>
      </c>
      <c r="F89" s="563">
        <v>1</v>
      </c>
      <c r="G89" s="584" t="s">
        <v>55</v>
      </c>
      <c r="H89" s="565"/>
      <c r="I89" s="566">
        <f>F89*H89</f>
        <v>0</v>
      </c>
      <c r="J89" s="565"/>
      <c r="K89" s="566">
        <f t="shared" ref="K89" si="72">F89*J89</f>
        <v>0</v>
      </c>
      <c r="L89" s="565">
        <f t="shared" ref="L89" si="73">I89+K89</f>
        <v>0</v>
      </c>
      <c r="M89" s="566">
        <f>H89/$P$257*$P$265</f>
        <v>0</v>
      </c>
      <c r="N89" s="566">
        <f>J89/$P$257*$P$265</f>
        <v>0</v>
      </c>
      <c r="O89" s="565">
        <f t="shared" ref="O89" si="74">N89+M89</f>
        <v>0</v>
      </c>
      <c r="P89" s="567">
        <f t="shared" ref="P89" si="75">O89*F89</f>
        <v>0</v>
      </c>
      <c r="Q89" s="568">
        <f t="shared" si="63"/>
        <v>0</v>
      </c>
      <c r="R89" s="569">
        <f t="shared" si="58"/>
        <v>0</v>
      </c>
      <c r="S89" s="565">
        <f>45342*0.85</f>
        <v>38540.699999999997</v>
      </c>
      <c r="T89" s="565">
        <f>45342*0.15</f>
        <v>6801.3</v>
      </c>
    </row>
    <row r="90" spans="1:20" s="585" customFormat="1" ht="15" hidden="1" customHeight="1" x14ac:dyDescent="0.25">
      <c r="A90" s="600"/>
      <c r="B90" s="602"/>
      <c r="C90" s="560"/>
      <c r="D90" s="603" t="s">
        <v>37</v>
      </c>
      <c r="E90" s="604"/>
      <c r="F90" s="563"/>
      <c r="G90" s="584"/>
      <c r="H90" s="566"/>
      <c r="I90" s="566"/>
      <c r="J90" s="566"/>
      <c r="K90" s="566"/>
      <c r="L90" s="566"/>
      <c r="M90" s="565"/>
      <c r="N90" s="565"/>
      <c r="O90" s="565"/>
      <c r="P90" s="567"/>
      <c r="Q90" s="568">
        <f t="shared" si="63"/>
        <v>0</v>
      </c>
      <c r="R90" s="569">
        <f t="shared" si="58"/>
        <v>0</v>
      </c>
      <c r="S90" s="566"/>
      <c r="T90" s="566"/>
    </row>
    <row r="91" spans="1:20" s="585" customFormat="1" ht="15" hidden="1" customHeight="1" x14ac:dyDescent="0.25">
      <c r="A91" s="600"/>
      <c r="B91" s="601"/>
      <c r="C91" s="560">
        <v>5</v>
      </c>
      <c r="D91" s="603" t="s">
        <v>117</v>
      </c>
      <c r="E91" s="604">
        <v>2</v>
      </c>
      <c r="F91" s="563">
        <v>2</v>
      </c>
      <c r="G91" s="584" t="s">
        <v>28</v>
      </c>
      <c r="H91" s="565"/>
      <c r="I91" s="566">
        <f>F91*H91</f>
        <v>0</v>
      </c>
      <c r="J91" s="565"/>
      <c r="K91" s="566">
        <f t="shared" ref="K91" si="76">F91*J91</f>
        <v>0</v>
      </c>
      <c r="L91" s="565">
        <f t="shared" ref="L91" si="77">I91+K91</f>
        <v>0</v>
      </c>
      <c r="M91" s="566">
        <f>H91/$P$257*$P$265</f>
        <v>0</v>
      </c>
      <c r="N91" s="566">
        <f>J91/$P$257*$P$265</f>
        <v>0</v>
      </c>
      <c r="O91" s="565">
        <f t="shared" ref="O91" si="78">N91+M91</f>
        <v>0</v>
      </c>
      <c r="P91" s="567">
        <f t="shared" ref="P91" si="79">O91*F91</f>
        <v>0</v>
      </c>
      <c r="Q91" s="568">
        <f t="shared" si="63"/>
        <v>0</v>
      </c>
      <c r="R91" s="569">
        <f t="shared" si="58"/>
        <v>0</v>
      </c>
      <c r="S91" s="566">
        <f>14025*0.85*0.9</f>
        <v>10729.125</v>
      </c>
      <c r="T91" s="566">
        <f>14025*0.15*0.9</f>
        <v>1893.375</v>
      </c>
    </row>
    <row r="92" spans="1:20" s="585" customFormat="1" ht="15" hidden="1" customHeight="1" x14ac:dyDescent="0.25">
      <c r="A92" s="600"/>
      <c r="B92" s="602"/>
      <c r="C92" s="560"/>
      <c r="D92" s="603" t="s">
        <v>38</v>
      </c>
      <c r="E92" s="604"/>
      <c r="F92" s="563"/>
      <c r="G92" s="598"/>
      <c r="H92" s="566"/>
      <c r="I92" s="566"/>
      <c r="J92" s="566"/>
      <c r="K92" s="566"/>
      <c r="L92" s="566"/>
      <c r="M92" s="565"/>
      <c r="N92" s="565"/>
      <c r="O92" s="565"/>
      <c r="P92" s="567"/>
      <c r="Q92" s="568">
        <f t="shared" si="63"/>
        <v>0</v>
      </c>
      <c r="R92" s="569">
        <f t="shared" si="58"/>
        <v>0</v>
      </c>
      <c r="S92" s="566"/>
      <c r="T92" s="566"/>
    </row>
    <row r="93" spans="1:20" s="585" customFormat="1" ht="15" hidden="1" customHeight="1" x14ac:dyDescent="0.25">
      <c r="A93" s="600"/>
      <c r="B93" s="601"/>
      <c r="C93" s="560">
        <v>6</v>
      </c>
      <c r="D93" s="582" t="s">
        <v>118</v>
      </c>
      <c r="E93" s="583">
        <v>2</v>
      </c>
      <c r="F93" s="563">
        <v>2</v>
      </c>
      <c r="G93" s="584" t="s">
        <v>28</v>
      </c>
      <c r="H93" s="565"/>
      <c r="I93" s="566">
        <f>F93*H93</f>
        <v>0</v>
      </c>
      <c r="J93" s="565"/>
      <c r="K93" s="566">
        <f t="shared" ref="K93" si="80">F93*J93</f>
        <v>0</v>
      </c>
      <c r="L93" s="565">
        <f t="shared" ref="L93" si="81">I93+K93</f>
        <v>0</v>
      </c>
      <c r="M93" s="566">
        <f>H93/$P$257*$P$265</f>
        <v>0</v>
      </c>
      <c r="N93" s="566">
        <f>J93/$P$257*$P$265</f>
        <v>0</v>
      </c>
      <c r="O93" s="565">
        <f t="shared" ref="O93" si="82">N93+M93</f>
        <v>0</v>
      </c>
      <c r="P93" s="567">
        <f t="shared" ref="P93" si="83">O93*F93</f>
        <v>0</v>
      </c>
      <c r="Q93" s="568">
        <f t="shared" si="63"/>
        <v>0</v>
      </c>
      <c r="R93" s="569">
        <f t="shared" si="58"/>
        <v>0</v>
      </c>
      <c r="S93" s="566">
        <f>18105*0.85*0.9</f>
        <v>13850.325000000001</v>
      </c>
      <c r="T93" s="566">
        <f>18105*0.15*0.9</f>
        <v>2444.1750000000002</v>
      </c>
    </row>
    <row r="94" spans="1:20" s="585" customFormat="1" ht="15" hidden="1" customHeight="1" x14ac:dyDescent="0.25">
      <c r="A94" s="600"/>
      <c r="B94" s="602"/>
      <c r="C94" s="560"/>
      <c r="D94" s="582" t="s">
        <v>51</v>
      </c>
      <c r="E94" s="583"/>
      <c r="F94" s="563"/>
      <c r="G94" s="598"/>
      <c r="H94" s="566"/>
      <c r="I94" s="566"/>
      <c r="J94" s="566"/>
      <c r="K94" s="566"/>
      <c r="L94" s="566"/>
      <c r="M94" s="565"/>
      <c r="N94" s="565"/>
      <c r="O94" s="565"/>
      <c r="P94" s="567"/>
      <c r="Q94" s="568">
        <f t="shared" si="63"/>
        <v>0</v>
      </c>
      <c r="R94" s="569">
        <f t="shared" si="58"/>
        <v>0</v>
      </c>
      <c r="S94" s="566"/>
      <c r="T94" s="566"/>
    </row>
    <row r="95" spans="1:20" s="585" customFormat="1" ht="15" hidden="1" customHeight="1" x14ac:dyDescent="0.25">
      <c r="A95" s="600"/>
      <c r="B95" s="601"/>
      <c r="C95" s="560">
        <v>7</v>
      </c>
      <c r="D95" s="582" t="s">
        <v>119</v>
      </c>
      <c r="E95" s="583">
        <v>4</v>
      </c>
      <c r="F95" s="563">
        <v>4</v>
      </c>
      <c r="G95" s="584" t="s">
        <v>28</v>
      </c>
      <c r="H95" s="565"/>
      <c r="I95" s="566">
        <f>F95*H95</f>
        <v>0</v>
      </c>
      <c r="J95" s="565"/>
      <c r="K95" s="566">
        <f t="shared" ref="K95" si="84">F95*J95</f>
        <v>0</v>
      </c>
      <c r="L95" s="565">
        <f t="shared" ref="L95" si="85">I95+K95</f>
        <v>0</v>
      </c>
      <c r="M95" s="566">
        <f>H95/$P$257*$P$265</f>
        <v>0</v>
      </c>
      <c r="N95" s="566">
        <f>J95/$P$257*$P$265</f>
        <v>0</v>
      </c>
      <c r="O95" s="565">
        <f t="shared" ref="O95" si="86">N95+M95</f>
        <v>0</v>
      </c>
      <c r="P95" s="567">
        <f t="shared" ref="P95" si="87">O95*F95</f>
        <v>0</v>
      </c>
      <c r="Q95" s="568">
        <f t="shared" si="63"/>
        <v>0</v>
      </c>
      <c r="R95" s="569">
        <f t="shared" si="58"/>
        <v>0</v>
      </c>
      <c r="S95" s="566">
        <f>9180*0.85*0.9</f>
        <v>7022.7</v>
      </c>
      <c r="T95" s="566">
        <f>9180*0.15*0.9</f>
        <v>1239.3</v>
      </c>
    </row>
    <row r="96" spans="1:20" s="585" customFormat="1" ht="15" hidden="1" customHeight="1" x14ac:dyDescent="0.25">
      <c r="A96" s="600"/>
      <c r="B96" s="602"/>
      <c r="C96" s="560"/>
      <c r="D96" s="582" t="s">
        <v>38</v>
      </c>
      <c r="E96" s="583"/>
      <c r="F96" s="563"/>
      <c r="G96" s="598"/>
      <c r="H96" s="566"/>
      <c r="I96" s="566"/>
      <c r="J96" s="566"/>
      <c r="K96" s="566"/>
      <c r="L96" s="566"/>
      <c r="M96" s="565"/>
      <c r="N96" s="565"/>
      <c r="O96" s="565"/>
      <c r="P96" s="567"/>
      <c r="Q96" s="568">
        <f t="shared" si="63"/>
        <v>0</v>
      </c>
      <c r="R96" s="569">
        <f t="shared" si="58"/>
        <v>0</v>
      </c>
      <c r="S96" s="566"/>
      <c r="T96" s="566"/>
    </row>
    <row r="97" spans="1:20" s="585" customFormat="1" ht="15" hidden="1" customHeight="1" x14ac:dyDescent="0.25">
      <c r="A97" s="600"/>
      <c r="B97" s="601"/>
      <c r="C97" s="560">
        <v>8</v>
      </c>
      <c r="D97" s="582" t="s">
        <v>120</v>
      </c>
      <c r="E97" s="583">
        <v>1</v>
      </c>
      <c r="F97" s="563">
        <v>1</v>
      </c>
      <c r="G97" s="584" t="s">
        <v>55</v>
      </c>
      <c r="H97" s="565"/>
      <c r="I97" s="566">
        <f>F97*H97</f>
        <v>0</v>
      </c>
      <c r="J97" s="565"/>
      <c r="K97" s="566">
        <f t="shared" ref="K97" si="88">F97*J97</f>
        <v>0</v>
      </c>
      <c r="L97" s="565">
        <f t="shared" ref="L97" si="89">I97+K97</f>
        <v>0</v>
      </c>
      <c r="M97" s="566">
        <f>H97/$P$257*$P$265</f>
        <v>0</v>
      </c>
      <c r="N97" s="566">
        <f>J97/$P$257*$P$265</f>
        <v>0</v>
      </c>
      <c r="O97" s="565">
        <f t="shared" ref="O97" si="90">N97+M97</f>
        <v>0</v>
      </c>
      <c r="P97" s="567">
        <f t="shared" ref="P97" si="91">O97*F97</f>
        <v>0</v>
      </c>
      <c r="Q97" s="568">
        <f t="shared" si="63"/>
        <v>0</v>
      </c>
      <c r="R97" s="569">
        <f t="shared" si="58"/>
        <v>0</v>
      </c>
      <c r="S97" s="566">
        <f>4590*0.85*0.9</f>
        <v>3511.35</v>
      </c>
      <c r="T97" s="566">
        <f>4590*0.15*0.9</f>
        <v>619.65</v>
      </c>
    </row>
    <row r="98" spans="1:20" s="585" customFormat="1" ht="15" hidden="1" customHeight="1" x14ac:dyDescent="0.25">
      <c r="A98" s="600"/>
      <c r="B98" s="602"/>
      <c r="C98" s="560"/>
      <c r="D98" s="582" t="s">
        <v>51</v>
      </c>
      <c r="E98" s="583"/>
      <c r="F98" s="563"/>
      <c r="G98" s="598"/>
      <c r="H98" s="566"/>
      <c r="I98" s="566"/>
      <c r="J98" s="566"/>
      <c r="K98" s="566"/>
      <c r="L98" s="566"/>
      <c r="M98" s="565"/>
      <c r="N98" s="565"/>
      <c r="O98" s="565"/>
      <c r="P98" s="567"/>
      <c r="Q98" s="568">
        <f t="shared" si="63"/>
        <v>0</v>
      </c>
      <c r="R98" s="569">
        <f t="shared" si="58"/>
        <v>0</v>
      </c>
      <c r="S98" s="566"/>
      <c r="T98" s="566"/>
    </row>
    <row r="99" spans="1:20" s="585" customFormat="1" ht="15" hidden="1" customHeight="1" x14ac:dyDescent="0.25">
      <c r="A99" s="600"/>
      <c r="B99" s="601"/>
      <c r="C99" s="560">
        <v>9</v>
      </c>
      <c r="D99" s="582" t="s">
        <v>121</v>
      </c>
      <c r="E99" s="583">
        <v>1</v>
      </c>
      <c r="F99" s="563">
        <v>1</v>
      </c>
      <c r="G99" s="584" t="s">
        <v>55</v>
      </c>
      <c r="H99" s="565"/>
      <c r="I99" s="566">
        <f>F99*H99</f>
        <v>0</v>
      </c>
      <c r="J99" s="565"/>
      <c r="K99" s="566">
        <f t="shared" ref="K99" si="92">F99*J99</f>
        <v>0</v>
      </c>
      <c r="L99" s="565">
        <f t="shared" ref="L99" si="93">I99+K99</f>
        <v>0</v>
      </c>
      <c r="M99" s="566">
        <f>H99/$P$257*$P$265</f>
        <v>0</v>
      </c>
      <c r="N99" s="566">
        <f>J99/$P$257*$P$265</f>
        <v>0</v>
      </c>
      <c r="O99" s="565">
        <f t="shared" ref="O99" si="94">N99+M99</f>
        <v>0</v>
      </c>
      <c r="P99" s="567">
        <f t="shared" ref="P99" si="95">O99*F99</f>
        <v>0</v>
      </c>
      <c r="Q99" s="568">
        <f t="shared" si="63"/>
        <v>0</v>
      </c>
      <c r="R99" s="569">
        <f t="shared" si="58"/>
        <v>0</v>
      </c>
      <c r="S99" s="565">
        <f>183816*0.85</f>
        <v>156243.6</v>
      </c>
      <c r="T99" s="565">
        <f>183816*0.15</f>
        <v>27572.399999999998</v>
      </c>
    </row>
    <row r="100" spans="1:20" s="585" customFormat="1" ht="15" hidden="1" customHeight="1" x14ac:dyDescent="0.25">
      <c r="A100" s="600"/>
      <c r="B100" s="602"/>
      <c r="C100" s="560"/>
      <c r="D100" s="582" t="s">
        <v>54</v>
      </c>
      <c r="E100" s="583"/>
      <c r="F100" s="563"/>
      <c r="G100" s="584"/>
      <c r="H100" s="566"/>
      <c r="I100" s="566"/>
      <c r="J100" s="566"/>
      <c r="K100" s="566"/>
      <c r="L100" s="565"/>
      <c r="M100" s="565"/>
      <c r="N100" s="565"/>
      <c r="O100" s="565"/>
      <c r="P100" s="567"/>
      <c r="Q100" s="568">
        <f t="shared" si="63"/>
        <v>0</v>
      </c>
      <c r="R100" s="569">
        <f t="shared" si="58"/>
        <v>0</v>
      </c>
      <c r="S100" s="566"/>
      <c r="T100" s="566"/>
    </row>
    <row r="101" spans="1:20" s="585" customFormat="1" ht="15" hidden="1" customHeight="1" x14ac:dyDescent="0.25">
      <c r="A101" s="600"/>
      <c r="B101" s="601"/>
      <c r="C101" s="560">
        <v>10</v>
      </c>
      <c r="D101" s="582" t="s">
        <v>122</v>
      </c>
      <c r="E101" s="583">
        <v>1</v>
      </c>
      <c r="F101" s="563">
        <v>1</v>
      </c>
      <c r="G101" s="584" t="s">
        <v>55</v>
      </c>
      <c r="H101" s="565"/>
      <c r="I101" s="566">
        <f>F101*H101</f>
        <v>0</v>
      </c>
      <c r="J101" s="565"/>
      <c r="K101" s="566">
        <f t="shared" ref="K101" si="96">F101*J101</f>
        <v>0</v>
      </c>
      <c r="L101" s="565">
        <f t="shared" ref="L101" si="97">I101+K101</f>
        <v>0</v>
      </c>
      <c r="M101" s="566">
        <f>H101/$P$257*$P$265</f>
        <v>0</v>
      </c>
      <c r="N101" s="566">
        <f>J101/$P$257*$P$265</f>
        <v>0</v>
      </c>
      <c r="O101" s="565">
        <f t="shared" ref="O101" si="98">N101+M101</f>
        <v>0</v>
      </c>
      <c r="P101" s="567">
        <f t="shared" ref="P101" si="99">O101*F101</f>
        <v>0</v>
      </c>
      <c r="Q101" s="568">
        <f t="shared" si="63"/>
        <v>0</v>
      </c>
      <c r="R101" s="569">
        <f t="shared" si="58"/>
        <v>0</v>
      </c>
      <c r="S101" s="565">
        <f>200214*0.85</f>
        <v>170181.9</v>
      </c>
      <c r="T101" s="565">
        <f>200214*0.15</f>
        <v>30032.1</v>
      </c>
    </row>
    <row r="102" spans="1:20" s="585" customFormat="1" ht="15" hidden="1" customHeight="1" x14ac:dyDescent="0.25">
      <c r="A102" s="600"/>
      <c r="B102" s="602"/>
      <c r="C102" s="560"/>
      <c r="D102" s="582" t="s">
        <v>37</v>
      </c>
      <c r="E102" s="583"/>
      <c r="F102" s="563"/>
      <c r="G102" s="584"/>
      <c r="H102" s="566"/>
      <c r="I102" s="566"/>
      <c r="J102" s="566"/>
      <c r="K102" s="566"/>
      <c r="L102" s="565"/>
      <c r="M102" s="565"/>
      <c r="N102" s="565"/>
      <c r="O102" s="565"/>
      <c r="P102" s="567"/>
      <c r="Q102" s="568">
        <f t="shared" si="63"/>
        <v>0</v>
      </c>
      <c r="R102" s="569">
        <f t="shared" si="58"/>
        <v>0</v>
      </c>
      <c r="S102" s="566"/>
      <c r="T102" s="566"/>
    </row>
    <row r="103" spans="1:20" s="585" customFormat="1" ht="15" hidden="1" customHeight="1" x14ac:dyDescent="0.25">
      <c r="A103" s="600"/>
      <c r="B103" s="601"/>
      <c r="C103" s="560">
        <v>11</v>
      </c>
      <c r="D103" s="582" t="s">
        <v>123</v>
      </c>
      <c r="E103" s="583">
        <v>24</v>
      </c>
      <c r="F103" s="563">
        <v>24</v>
      </c>
      <c r="G103" s="584" t="s">
        <v>28</v>
      </c>
      <c r="H103" s="565"/>
      <c r="I103" s="566">
        <f>F103*H103</f>
        <v>0</v>
      </c>
      <c r="J103" s="565"/>
      <c r="K103" s="566">
        <f t="shared" ref="K103" si="100">F103*J103</f>
        <v>0</v>
      </c>
      <c r="L103" s="565">
        <f t="shared" ref="L103" si="101">I103+K103</f>
        <v>0</v>
      </c>
      <c r="M103" s="566">
        <f>H103/$P$257*$P$265</f>
        <v>0</v>
      </c>
      <c r="N103" s="566">
        <f>J103/$P$257*$P$265</f>
        <v>0</v>
      </c>
      <c r="O103" s="565">
        <f t="shared" ref="O103" si="102">N103+M103</f>
        <v>0</v>
      </c>
      <c r="P103" s="567">
        <f t="shared" ref="P103" si="103">O103*F103</f>
        <v>0</v>
      </c>
      <c r="Q103" s="568">
        <f t="shared" si="63"/>
        <v>0</v>
      </c>
      <c r="R103" s="569">
        <f t="shared" si="58"/>
        <v>0</v>
      </c>
      <c r="S103" s="565">
        <f>18360*0.85</f>
        <v>15606</v>
      </c>
      <c r="T103" s="565">
        <f>18360*0.15</f>
        <v>2754</v>
      </c>
    </row>
    <row r="104" spans="1:20" s="585" customFormat="1" ht="15" hidden="1" customHeight="1" x14ac:dyDescent="0.25">
      <c r="A104" s="600"/>
      <c r="B104" s="602"/>
      <c r="C104" s="560"/>
      <c r="D104" s="582" t="s">
        <v>52</v>
      </c>
      <c r="E104" s="583"/>
      <c r="F104" s="563"/>
      <c r="G104" s="598"/>
      <c r="H104" s="566"/>
      <c r="I104" s="566"/>
      <c r="J104" s="566"/>
      <c r="K104" s="566"/>
      <c r="L104" s="565"/>
      <c r="M104" s="565"/>
      <c r="N104" s="565"/>
      <c r="O104" s="565"/>
      <c r="P104" s="567"/>
      <c r="Q104" s="568">
        <f t="shared" si="63"/>
        <v>0</v>
      </c>
      <c r="R104" s="569">
        <f t="shared" si="58"/>
        <v>0</v>
      </c>
      <c r="S104" s="566"/>
      <c r="T104" s="566"/>
    </row>
    <row r="105" spans="1:20" s="585" customFormat="1" ht="15" hidden="1" customHeight="1" x14ac:dyDescent="0.25">
      <c r="A105" s="600"/>
      <c r="B105" s="602"/>
      <c r="C105" s="560"/>
      <c r="D105" s="582" t="s">
        <v>58</v>
      </c>
      <c r="E105" s="583"/>
      <c r="F105" s="563"/>
      <c r="G105" s="598"/>
      <c r="H105" s="566"/>
      <c r="I105" s="566"/>
      <c r="J105" s="566"/>
      <c r="K105" s="566"/>
      <c r="L105" s="565"/>
      <c r="M105" s="565"/>
      <c r="N105" s="565"/>
      <c r="O105" s="565"/>
      <c r="P105" s="567"/>
      <c r="Q105" s="568">
        <f t="shared" si="63"/>
        <v>0</v>
      </c>
      <c r="R105" s="569">
        <f t="shared" si="58"/>
        <v>0</v>
      </c>
      <c r="S105" s="566"/>
      <c r="T105" s="566"/>
    </row>
    <row r="106" spans="1:20" s="585" customFormat="1" ht="15" hidden="1" customHeight="1" x14ac:dyDescent="0.25">
      <c r="A106" s="600"/>
      <c r="B106" s="601"/>
      <c r="C106" s="560">
        <v>12</v>
      </c>
      <c r="D106" s="582" t="s">
        <v>124</v>
      </c>
      <c r="E106" s="583">
        <v>1</v>
      </c>
      <c r="F106" s="563">
        <v>1</v>
      </c>
      <c r="G106" s="584" t="s">
        <v>55</v>
      </c>
      <c r="H106" s="565"/>
      <c r="I106" s="566">
        <f>F106*H106</f>
        <v>0</v>
      </c>
      <c r="J106" s="565"/>
      <c r="K106" s="566">
        <f t="shared" ref="K106" si="104">F106*J106</f>
        <v>0</v>
      </c>
      <c r="L106" s="565">
        <f t="shared" ref="L106" si="105">I106+K106</f>
        <v>0</v>
      </c>
      <c r="M106" s="566">
        <f>H106/$P$257*$P$265</f>
        <v>0</v>
      </c>
      <c r="N106" s="566">
        <f>J106/$P$257*$P$265</f>
        <v>0</v>
      </c>
      <c r="O106" s="565">
        <f t="shared" ref="O106" si="106">N106+M106</f>
        <v>0</v>
      </c>
      <c r="P106" s="567">
        <f t="shared" ref="P106" si="107">O106*F106</f>
        <v>0</v>
      </c>
      <c r="Q106" s="568">
        <f t="shared" si="63"/>
        <v>0</v>
      </c>
      <c r="R106" s="569">
        <f t="shared" si="58"/>
        <v>0</v>
      </c>
      <c r="S106" s="565">
        <f>24480*0.85</f>
        <v>20808</v>
      </c>
      <c r="T106" s="565">
        <f>24480*0.15</f>
        <v>3672</v>
      </c>
    </row>
    <row r="107" spans="1:20" s="585" customFormat="1" ht="15" hidden="1" customHeight="1" x14ac:dyDescent="0.25">
      <c r="A107" s="600"/>
      <c r="B107" s="602"/>
      <c r="C107" s="560"/>
      <c r="D107" s="582" t="s">
        <v>53</v>
      </c>
      <c r="E107" s="583"/>
      <c r="F107" s="563"/>
      <c r="G107" s="598"/>
      <c r="H107" s="566"/>
      <c r="I107" s="566"/>
      <c r="J107" s="566"/>
      <c r="K107" s="566"/>
      <c r="L107" s="565"/>
      <c r="M107" s="565"/>
      <c r="N107" s="565"/>
      <c r="O107" s="565"/>
      <c r="P107" s="567"/>
      <c r="Q107" s="568">
        <f t="shared" si="63"/>
        <v>0</v>
      </c>
      <c r="R107" s="569">
        <f t="shared" si="58"/>
        <v>0</v>
      </c>
      <c r="S107" s="566"/>
      <c r="T107" s="566"/>
    </row>
    <row r="108" spans="1:20" s="585" customFormat="1" ht="15" hidden="1" customHeight="1" x14ac:dyDescent="0.25">
      <c r="A108" s="618"/>
      <c r="B108" s="602"/>
      <c r="C108" s="560"/>
      <c r="D108" s="582" t="s">
        <v>59</v>
      </c>
      <c r="E108" s="583"/>
      <c r="F108" s="563"/>
      <c r="G108" s="598"/>
      <c r="H108" s="566"/>
      <c r="I108" s="566"/>
      <c r="J108" s="566"/>
      <c r="K108" s="566"/>
      <c r="L108" s="565"/>
      <c r="M108" s="565"/>
      <c r="N108" s="565"/>
      <c r="O108" s="565"/>
      <c r="P108" s="567"/>
      <c r="Q108" s="568">
        <f t="shared" si="63"/>
        <v>0</v>
      </c>
      <c r="R108" s="569">
        <f t="shared" si="58"/>
        <v>0</v>
      </c>
      <c r="S108" s="566"/>
      <c r="T108" s="566"/>
    </row>
    <row r="109" spans="1:20" s="585" customFormat="1" ht="15" hidden="1" customHeight="1" x14ac:dyDescent="0.25">
      <c r="A109" s="620"/>
      <c r="B109" s="601"/>
      <c r="C109" s="560">
        <v>13</v>
      </c>
      <c r="D109" s="582" t="s">
        <v>125</v>
      </c>
      <c r="E109" s="583">
        <v>1</v>
      </c>
      <c r="F109" s="563">
        <v>1</v>
      </c>
      <c r="G109" s="584" t="s">
        <v>55</v>
      </c>
      <c r="H109" s="565"/>
      <c r="I109" s="566">
        <f>F109*H109</f>
        <v>0</v>
      </c>
      <c r="J109" s="565"/>
      <c r="K109" s="566">
        <f t="shared" ref="K109" si="108">F109*J109</f>
        <v>0</v>
      </c>
      <c r="L109" s="565">
        <f t="shared" ref="L109" si="109">I109+K109</f>
        <v>0</v>
      </c>
      <c r="M109" s="566">
        <f>H109/$P$257*$P$265</f>
        <v>0</v>
      </c>
      <c r="N109" s="566">
        <f>J109/$P$257*$P$265</f>
        <v>0</v>
      </c>
      <c r="O109" s="565">
        <f t="shared" ref="O109" si="110">N109+M109</f>
        <v>0</v>
      </c>
      <c r="P109" s="567">
        <f t="shared" ref="P109" si="111">O109*F109</f>
        <v>0</v>
      </c>
      <c r="Q109" s="568">
        <f t="shared" si="63"/>
        <v>0</v>
      </c>
      <c r="R109" s="569">
        <f t="shared" si="58"/>
        <v>0</v>
      </c>
      <c r="S109" s="565">
        <f>(65520+7560+5880)*0.85</f>
        <v>67116</v>
      </c>
      <c r="T109" s="565">
        <f>(65520+7560+5880)*0.15</f>
        <v>11844</v>
      </c>
    </row>
    <row r="110" spans="1:20" s="585" customFormat="1" ht="15" hidden="1" customHeight="1" x14ac:dyDescent="0.25">
      <c r="A110" s="600"/>
      <c r="B110" s="602"/>
      <c r="C110" s="560"/>
      <c r="D110" s="582" t="s">
        <v>164</v>
      </c>
      <c r="E110" s="583"/>
      <c r="F110" s="563"/>
      <c r="G110" s="598"/>
      <c r="H110" s="566"/>
      <c r="I110" s="566"/>
      <c r="J110" s="566"/>
      <c r="K110" s="566"/>
      <c r="L110" s="565"/>
      <c r="M110" s="565"/>
      <c r="N110" s="565"/>
      <c r="O110" s="565"/>
      <c r="P110" s="567"/>
      <c r="Q110" s="568">
        <f t="shared" si="63"/>
        <v>0</v>
      </c>
      <c r="R110" s="569">
        <f t="shared" si="58"/>
        <v>0</v>
      </c>
      <c r="S110" s="566"/>
      <c r="T110" s="566"/>
    </row>
    <row r="111" spans="1:20" s="585" customFormat="1" ht="15" hidden="1" customHeight="1" x14ac:dyDescent="0.25">
      <c r="A111" s="600"/>
      <c r="B111" s="601"/>
      <c r="C111" s="560">
        <v>14</v>
      </c>
      <c r="D111" s="582" t="s">
        <v>126</v>
      </c>
      <c r="E111" s="583">
        <v>1</v>
      </c>
      <c r="F111" s="563">
        <v>1</v>
      </c>
      <c r="G111" s="584" t="s">
        <v>55</v>
      </c>
      <c r="H111" s="565"/>
      <c r="I111" s="566">
        <f>F111*H111</f>
        <v>0</v>
      </c>
      <c r="J111" s="565"/>
      <c r="K111" s="566">
        <f t="shared" ref="K111" si="112">F111*J111</f>
        <v>0</v>
      </c>
      <c r="L111" s="565">
        <f t="shared" ref="L111" si="113">I111+K111</f>
        <v>0</v>
      </c>
      <c r="M111" s="566">
        <f>H111/$P$257*$P$265</f>
        <v>0</v>
      </c>
      <c r="N111" s="566">
        <f>J111/$P$257*$P$265</f>
        <v>0</v>
      </c>
      <c r="O111" s="565">
        <f t="shared" ref="O111" si="114">N111+M111</f>
        <v>0</v>
      </c>
      <c r="P111" s="567">
        <f t="shared" ref="P111" si="115">O111*F111</f>
        <v>0</v>
      </c>
      <c r="Q111" s="568">
        <f t="shared" si="63"/>
        <v>0</v>
      </c>
      <c r="R111" s="569">
        <f t="shared" si="58"/>
        <v>0</v>
      </c>
      <c r="S111" s="565">
        <f>151200*0.85</f>
        <v>128520</v>
      </c>
      <c r="T111" s="565">
        <f>151200*0.15</f>
        <v>22680</v>
      </c>
    </row>
    <row r="112" spans="1:20" s="585" customFormat="1" ht="15" hidden="1" customHeight="1" x14ac:dyDescent="0.25">
      <c r="A112" s="600"/>
      <c r="B112" s="602"/>
      <c r="C112" s="560"/>
      <c r="D112" s="582" t="s">
        <v>164</v>
      </c>
      <c r="E112" s="583"/>
      <c r="F112" s="563"/>
      <c r="G112" s="598"/>
      <c r="H112" s="566"/>
      <c r="I112" s="566"/>
      <c r="J112" s="566"/>
      <c r="K112" s="566"/>
      <c r="L112" s="565"/>
      <c r="M112" s="565"/>
      <c r="N112" s="565"/>
      <c r="O112" s="565"/>
      <c r="P112" s="567"/>
      <c r="Q112" s="568">
        <f t="shared" si="63"/>
        <v>0</v>
      </c>
      <c r="R112" s="569">
        <f t="shared" si="58"/>
        <v>0</v>
      </c>
      <c r="S112" s="566"/>
      <c r="T112" s="566"/>
    </row>
    <row r="113" spans="1:32" s="585" customFormat="1" ht="15" hidden="1" customHeight="1" x14ac:dyDescent="0.25">
      <c r="A113" s="600"/>
      <c r="B113" s="601"/>
      <c r="C113" s="560">
        <v>15</v>
      </c>
      <c r="D113" s="582" t="s">
        <v>127</v>
      </c>
      <c r="E113" s="583">
        <v>1</v>
      </c>
      <c r="F113" s="563">
        <v>1</v>
      </c>
      <c r="G113" s="584" t="s">
        <v>55</v>
      </c>
      <c r="H113" s="565"/>
      <c r="I113" s="566">
        <f>F113*H113</f>
        <v>0</v>
      </c>
      <c r="J113" s="565"/>
      <c r="K113" s="566">
        <f t="shared" ref="K113" si="116">F113*J113</f>
        <v>0</v>
      </c>
      <c r="L113" s="565">
        <f t="shared" ref="L113" si="117">I113+K113</f>
        <v>0</v>
      </c>
      <c r="M113" s="566">
        <f>H113/$P$257*$P$265</f>
        <v>0</v>
      </c>
      <c r="N113" s="566">
        <f>J113/$P$257*$P$265</f>
        <v>0</v>
      </c>
      <c r="O113" s="565">
        <f t="shared" ref="O113" si="118">N113+M113</f>
        <v>0</v>
      </c>
      <c r="P113" s="567">
        <f t="shared" ref="P113" si="119">O113*F113</f>
        <v>0</v>
      </c>
      <c r="Q113" s="568">
        <f t="shared" si="63"/>
        <v>0</v>
      </c>
      <c r="R113" s="569">
        <f t="shared" si="58"/>
        <v>0</v>
      </c>
      <c r="S113" s="565">
        <f>80640*0.85</f>
        <v>68544</v>
      </c>
      <c r="T113" s="565">
        <f>80640*0.15</f>
        <v>12096</v>
      </c>
    </row>
    <row r="114" spans="1:32" s="585" customFormat="1" ht="15" hidden="1" customHeight="1" x14ac:dyDescent="0.25">
      <c r="A114" s="600"/>
      <c r="B114" s="602"/>
      <c r="C114" s="560"/>
      <c r="D114" s="582" t="s">
        <v>164</v>
      </c>
      <c r="E114" s="583"/>
      <c r="F114" s="563"/>
      <c r="G114" s="598"/>
      <c r="H114" s="566"/>
      <c r="I114" s="566"/>
      <c r="J114" s="566"/>
      <c r="K114" s="566"/>
      <c r="L114" s="565"/>
      <c r="M114" s="565"/>
      <c r="N114" s="565"/>
      <c r="O114" s="565"/>
      <c r="P114" s="567"/>
      <c r="Q114" s="568">
        <f t="shared" si="63"/>
        <v>0</v>
      </c>
      <c r="R114" s="569">
        <f t="shared" si="58"/>
        <v>0</v>
      </c>
      <c r="S114" s="566"/>
      <c r="T114" s="566"/>
    </row>
    <row r="115" spans="1:32" s="585" customFormat="1" ht="15" hidden="1" customHeight="1" x14ac:dyDescent="0.25">
      <c r="A115" s="600"/>
      <c r="B115" s="601"/>
      <c r="C115" s="560">
        <v>16</v>
      </c>
      <c r="D115" s="582" t="s">
        <v>128</v>
      </c>
      <c r="E115" s="583">
        <v>1</v>
      </c>
      <c r="F115" s="563">
        <v>1</v>
      </c>
      <c r="G115" s="584" t="s">
        <v>55</v>
      </c>
      <c r="H115" s="565"/>
      <c r="I115" s="566">
        <f>F115*H115</f>
        <v>0</v>
      </c>
      <c r="J115" s="565"/>
      <c r="K115" s="566">
        <f t="shared" ref="K115" si="120">F115*J115</f>
        <v>0</v>
      </c>
      <c r="L115" s="565">
        <f t="shared" ref="L115" si="121">I115+K115</f>
        <v>0</v>
      </c>
      <c r="M115" s="566">
        <f>H115/$P$257*$P$265</f>
        <v>0</v>
      </c>
      <c r="N115" s="566">
        <f>J115/$P$257*$P$265</f>
        <v>0</v>
      </c>
      <c r="O115" s="565">
        <f t="shared" ref="O115" si="122">N115+M115</f>
        <v>0</v>
      </c>
      <c r="P115" s="567">
        <f t="shared" ref="P115" si="123">O115*F115</f>
        <v>0</v>
      </c>
      <c r="Q115" s="568">
        <f t="shared" si="63"/>
        <v>0</v>
      </c>
      <c r="R115" s="569">
        <f t="shared" si="58"/>
        <v>0</v>
      </c>
      <c r="S115" s="565">
        <f>(27888+33600)*0.85</f>
        <v>52264.799999999996</v>
      </c>
      <c r="T115" s="565">
        <f>(27888+33600)*0.15</f>
        <v>9223.1999999999989</v>
      </c>
    </row>
    <row r="116" spans="1:32" s="585" customFormat="1" ht="15" hidden="1" customHeight="1" x14ac:dyDescent="0.25">
      <c r="A116" s="600"/>
      <c r="B116" s="602"/>
      <c r="C116" s="560"/>
      <c r="D116" s="582" t="s">
        <v>164</v>
      </c>
      <c r="E116" s="583"/>
      <c r="F116" s="563"/>
      <c r="G116" s="598"/>
      <c r="H116" s="566"/>
      <c r="I116" s="566"/>
      <c r="J116" s="566"/>
      <c r="K116" s="566"/>
      <c r="L116" s="566"/>
      <c r="M116" s="565"/>
      <c r="N116" s="565"/>
      <c r="O116" s="565"/>
      <c r="P116" s="567"/>
      <c r="Q116" s="568">
        <f t="shared" si="63"/>
        <v>0</v>
      </c>
      <c r="R116" s="569"/>
      <c r="S116" s="566"/>
      <c r="T116" s="579"/>
    </row>
    <row r="117" spans="1:32" x14ac:dyDescent="0.25">
      <c r="A117" s="238"/>
      <c r="B117" s="245"/>
      <c r="C117" s="293"/>
      <c r="D117" s="83"/>
      <c r="E117" s="242"/>
      <c r="F117" s="302"/>
      <c r="G117" s="75"/>
      <c r="H117" s="74"/>
      <c r="I117" s="74"/>
      <c r="J117" s="74"/>
      <c r="K117" s="74"/>
      <c r="L117" s="74"/>
      <c r="M117" s="72"/>
      <c r="N117" s="72"/>
      <c r="O117" s="72"/>
      <c r="P117" s="205"/>
      <c r="Q117" s="272">
        <f t="shared" ref="Q117:Q139" si="124">L117/$P$257*$P$265</f>
        <v>0</v>
      </c>
      <c r="R117" s="439"/>
    </row>
    <row r="118" spans="1:32" x14ac:dyDescent="0.25">
      <c r="A118" s="238"/>
      <c r="B118" s="289" t="s">
        <v>330</v>
      </c>
      <c r="C118" s="300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72"/>
      <c r="N118" s="72"/>
      <c r="O118" s="72"/>
      <c r="P118" s="205"/>
      <c r="Q118" s="272">
        <f t="shared" si="124"/>
        <v>0</v>
      </c>
      <c r="R118" s="439"/>
    </row>
    <row r="119" spans="1:32" x14ac:dyDescent="0.25">
      <c r="A119" s="238"/>
      <c r="B119" s="249"/>
      <c r="C119" s="293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328">
        <f>2400/1.05</f>
        <v>2285.7142857142858</v>
      </c>
      <c r="I119" s="67">
        <f>F119*H119</f>
        <v>45714.285714285717</v>
      </c>
      <c r="J119" s="74">
        <v>350</v>
      </c>
      <c r="K119" s="67">
        <f t="shared" ref="K119:K120" si="125">F119*J119</f>
        <v>7000</v>
      </c>
      <c r="L119" s="72">
        <f t="shared" ref="L119:L120" si="126">I119+K119</f>
        <v>52714.285714285717</v>
      </c>
      <c r="M119" s="67">
        <v>3139.1142978743951</v>
      </c>
      <c r="N119" s="67">
        <v>480.67687686201674</v>
      </c>
      <c r="O119" s="72">
        <f t="shared" ref="O119:O120" si="127">N119+M119</f>
        <v>3619.7911747364119</v>
      </c>
      <c r="P119" s="203">
        <f t="shared" ref="P119:P120" si="128">O119*F119</f>
        <v>72395.823494728233</v>
      </c>
      <c r="Q119" s="272">
        <f t="shared" si="124"/>
        <v>73284.88038477095</v>
      </c>
      <c r="R119" s="439">
        <f t="shared" si="58"/>
        <v>-889.05689004271699</v>
      </c>
    </row>
    <row r="120" spans="1:32" x14ac:dyDescent="0.25">
      <c r="A120" s="238"/>
      <c r="B120" s="249"/>
      <c r="C120" s="293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328">
        <f>350/1.05</f>
        <v>333.33333333333331</v>
      </c>
      <c r="I120" s="67">
        <f>F120*H120</f>
        <v>16000</v>
      </c>
      <c r="J120" s="74">
        <v>75</v>
      </c>
      <c r="K120" s="67">
        <f t="shared" si="125"/>
        <v>3600</v>
      </c>
      <c r="L120" s="72">
        <f t="shared" si="126"/>
        <v>19600</v>
      </c>
      <c r="M120" s="67">
        <v>457.78750177334922</v>
      </c>
      <c r="N120" s="67">
        <v>103.00218789900357</v>
      </c>
      <c r="O120" s="72">
        <f t="shared" si="127"/>
        <v>560.78968967235278</v>
      </c>
      <c r="P120" s="203">
        <f t="shared" si="128"/>
        <v>26917.905104272933</v>
      </c>
      <c r="Q120" s="272">
        <f t="shared" si="124"/>
        <v>27248.470430326761</v>
      </c>
      <c r="R120" s="439">
        <f t="shared" si="58"/>
        <v>-330.56532605382745</v>
      </c>
      <c r="W120" s="925" t="s">
        <v>294</v>
      </c>
      <c r="X120" s="925"/>
      <c r="Y120" s="925"/>
      <c r="Z120" s="586" t="s">
        <v>243</v>
      </c>
      <c r="AA120" s="586" t="s">
        <v>244</v>
      </c>
      <c r="AB120" s="586" t="s">
        <v>245</v>
      </c>
      <c r="AC120" s="587" t="s">
        <v>246</v>
      </c>
      <c r="AD120" s="588" t="s">
        <v>247</v>
      </c>
      <c r="AE120" s="586" t="s">
        <v>248</v>
      </c>
      <c r="AF120" s="589" t="s">
        <v>249</v>
      </c>
    </row>
    <row r="121" spans="1:32" x14ac:dyDescent="0.25">
      <c r="A121" s="238"/>
      <c r="B121" s="245"/>
      <c r="C121" s="293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72"/>
      <c r="N121" s="72"/>
      <c r="O121" s="72"/>
      <c r="P121" s="205"/>
      <c r="Q121" s="272">
        <f t="shared" si="124"/>
        <v>0</v>
      </c>
      <c r="R121" s="439">
        <f t="shared" si="58"/>
        <v>0</v>
      </c>
      <c r="W121" s="926" t="s">
        <v>272</v>
      </c>
      <c r="X121" s="926"/>
      <c r="Y121" s="926"/>
      <c r="Z121" s="593" t="s">
        <v>251</v>
      </c>
      <c r="AA121" s="594">
        <v>12.5</v>
      </c>
      <c r="AB121" s="594">
        <v>13</v>
      </c>
      <c r="AC121" s="587">
        <f>98/1.06</f>
        <v>92.452830188679243</v>
      </c>
      <c r="AD121" s="588">
        <f>AC121*AB121</f>
        <v>1201.8867924528302</v>
      </c>
      <c r="AE121" s="594">
        <v>16.5</v>
      </c>
      <c r="AF121" s="595">
        <f>AE121*AB121</f>
        <v>214.5</v>
      </c>
    </row>
    <row r="122" spans="1:32" x14ac:dyDescent="0.25">
      <c r="A122" s="238"/>
      <c r="B122" s="249"/>
      <c r="C122" s="293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67">
        <f>F122*H122</f>
        <v>15238.095238095237</v>
      </c>
      <c r="J122" s="74">
        <v>400</v>
      </c>
      <c r="K122" s="67">
        <f t="shared" ref="K122:K123" si="129">F122*J122</f>
        <v>1600</v>
      </c>
      <c r="L122" s="72">
        <f t="shared" ref="L122:L123" si="130">I122+K122</f>
        <v>16838.095238095237</v>
      </c>
      <c r="M122" s="67">
        <v>5231.8571631239911</v>
      </c>
      <c r="N122" s="67">
        <v>549.34500212801913</v>
      </c>
      <c r="O122" s="72">
        <f t="shared" ref="O122:O123" si="131">N122+M122</f>
        <v>5781.2021652520107</v>
      </c>
      <c r="P122" s="203">
        <f t="shared" ref="P122:P123" si="132">O122*F122</f>
        <v>23124.808661008043</v>
      </c>
      <c r="Q122" s="272">
        <f t="shared" si="124"/>
        <v>23408.792867258362</v>
      </c>
      <c r="R122" s="439">
        <f t="shared" si="58"/>
        <v>-283.9842062503194</v>
      </c>
      <c r="W122" s="878" t="s">
        <v>252</v>
      </c>
      <c r="X122" s="878"/>
      <c r="Y122" s="878"/>
      <c r="Z122" s="124" t="s">
        <v>253</v>
      </c>
      <c r="AA122" s="545">
        <v>0.25</v>
      </c>
      <c r="AB122" s="545">
        <v>0.25</v>
      </c>
      <c r="AC122" s="123">
        <f>285/1.06</f>
        <v>268.8679245283019</v>
      </c>
      <c r="AD122" s="196">
        <f>AC122*AB122</f>
        <v>67.216981132075475</v>
      </c>
      <c r="AE122" s="545"/>
      <c r="AF122" s="219">
        <f>AE122*AB122</f>
        <v>0</v>
      </c>
    </row>
    <row r="123" spans="1:32" x14ac:dyDescent="0.25">
      <c r="A123" s="238"/>
      <c r="B123" s="249"/>
      <c r="C123" s="293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328">
        <f>750/1.05</f>
        <v>714.28571428571422</v>
      </c>
      <c r="I123" s="67">
        <f>F123*H123</f>
        <v>11428.571428571428</v>
      </c>
      <c r="J123" s="74">
        <v>75</v>
      </c>
      <c r="K123" s="67">
        <f t="shared" si="129"/>
        <v>1200</v>
      </c>
      <c r="L123" s="72">
        <f t="shared" si="130"/>
        <v>12628.571428571428</v>
      </c>
      <c r="M123" s="67">
        <v>980.97321808574827</v>
      </c>
      <c r="N123" s="67">
        <v>103.00218789900357</v>
      </c>
      <c r="O123" s="72">
        <f t="shared" si="131"/>
        <v>1083.9754059847519</v>
      </c>
      <c r="P123" s="203">
        <f t="shared" si="132"/>
        <v>17343.60649575603</v>
      </c>
      <c r="Q123" s="272">
        <f t="shared" si="124"/>
        <v>17556.594650443771</v>
      </c>
      <c r="R123" s="439">
        <f t="shared" si="58"/>
        <v>-212.98815468774046</v>
      </c>
      <c r="W123" s="878" t="s">
        <v>254</v>
      </c>
      <c r="X123" s="878"/>
      <c r="Y123" s="878"/>
      <c r="Z123" s="124" t="s">
        <v>255</v>
      </c>
      <c r="AA123" s="545">
        <v>0.25</v>
      </c>
      <c r="AB123" s="545">
        <v>0.35</v>
      </c>
      <c r="AC123" s="123">
        <f>37/1.06</f>
        <v>34.905660377358487</v>
      </c>
      <c r="AD123" s="196">
        <f>AC123*AB123</f>
        <v>12.216981132075469</v>
      </c>
      <c r="AE123" s="545"/>
      <c r="AF123" s="219">
        <f>AE123*AB123</f>
        <v>0</v>
      </c>
    </row>
    <row r="124" spans="1:32" x14ac:dyDescent="0.25">
      <c r="A124" s="238"/>
      <c r="B124" s="245"/>
      <c r="C124" s="293"/>
      <c r="D124" s="83"/>
      <c r="E124" s="242"/>
      <c r="F124" s="302"/>
      <c r="G124" s="75"/>
      <c r="H124" s="74"/>
      <c r="I124" s="74"/>
      <c r="J124" s="74"/>
      <c r="K124" s="74"/>
      <c r="L124" s="74"/>
      <c r="M124" s="72"/>
      <c r="N124" s="72"/>
      <c r="O124" s="72"/>
      <c r="P124" s="205"/>
      <c r="Q124" s="272">
        <f t="shared" si="124"/>
        <v>0</v>
      </c>
      <c r="R124" s="439"/>
      <c r="W124" s="878" t="s">
        <v>256</v>
      </c>
      <c r="X124" s="878"/>
      <c r="Y124" s="878"/>
      <c r="Z124" s="124" t="s">
        <v>257</v>
      </c>
      <c r="AA124" s="545">
        <v>1</v>
      </c>
      <c r="AB124" s="545">
        <v>1</v>
      </c>
      <c r="AC124" s="123">
        <f>AN64</f>
        <v>0</v>
      </c>
      <c r="AD124" s="196">
        <f>AC124*AB124</f>
        <v>0</v>
      </c>
      <c r="AE124" s="545"/>
      <c r="AF124" s="219">
        <f>AE124*AB124</f>
        <v>0</v>
      </c>
    </row>
    <row r="125" spans="1:32" x14ac:dyDescent="0.25">
      <c r="A125" s="238"/>
      <c r="B125" s="289" t="s">
        <v>332</v>
      </c>
      <c r="C125" s="300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72"/>
      <c r="N125" s="72"/>
      <c r="O125" s="72"/>
      <c r="P125" s="205"/>
      <c r="Q125" s="272">
        <f t="shared" si="124"/>
        <v>0</v>
      </c>
      <c r="R125" s="439"/>
      <c r="W125" s="126"/>
      <c r="X125" s="126"/>
      <c r="Y125" s="126"/>
      <c r="Z125" s="126"/>
      <c r="AA125" s="545"/>
      <c r="AB125" s="545"/>
      <c r="AC125" s="123"/>
      <c r="AD125" s="212">
        <f>SUM(AD121:AD124)</f>
        <v>1281.3207547169811</v>
      </c>
      <c r="AE125" s="546"/>
      <c r="AF125" s="212">
        <f>SUM(AF121:AF124)</f>
        <v>214.5</v>
      </c>
    </row>
    <row r="126" spans="1:32" x14ac:dyDescent="0.25">
      <c r="A126" s="238"/>
      <c r="B126" s="249"/>
      <c r="C126" s="293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67">
        <f t="shared" ref="I126:I132" si="133">F126*H126</f>
        <v>17160</v>
      </c>
      <c r="J126" s="74">
        <v>75</v>
      </c>
      <c r="K126" s="67">
        <f t="shared" ref="K126:K132" si="134">F126*J126</f>
        <v>5850</v>
      </c>
      <c r="L126" s="72">
        <f t="shared" ref="L126:L132" si="135">I126+K126</f>
        <v>23010</v>
      </c>
      <c r="M126" s="67">
        <v>302.13975117041048</v>
      </c>
      <c r="N126" s="67">
        <v>103.00218789900357</v>
      </c>
      <c r="O126" s="72">
        <f t="shared" ref="O126:O129" si="136">N126+M126</f>
        <v>405.14193906941404</v>
      </c>
      <c r="P126" s="203">
        <f t="shared" ref="P126:P129" si="137">O126*F126</f>
        <v>31601.071247414297</v>
      </c>
      <c r="Q126" s="272">
        <f t="shared" si="124"/>
        <v>31989.148193970341</v>
      </c>
      <c r="R126" s="439">
        <f t="shared" si="58"/>
        <v>-388.07694655604428</v>
      </c>
      <c r="W126" s="273"/>
      <c r="X126" s="273"/>
      <c r="Y126" s="273"/>
      <c r="Z126" s="273"/>
      <c r="AA126" s="273"/>
      <c r="AB126" s="273"/>
      <c r="AC126" s="273"/>
      <c r="AD126" s="224"/>
      <c r="AE126" s="273"/>
      <c r="AF126" s="224"/>
    </row>
    <row r="127" spans="1:32" x14ac:dyDescent="0.25">
      <c r="A127" s="238"/>
      <c r="B127" s="249"/>
      <c r="C127" s="293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67">
        <f t="shared" si="133"/>
        <v>7733.3333333333321</v>
      </c>
      <c r="J127" s="74">
        <v>75</v>
      </c>
      <c r="K127" s="67">
        <f t="shared" si="134"/>
        <v>4350</v>
      </c>
      <c r="L127" s="72">
        <f t="shared" si="135"/>
        <v>12083.333333333332</v>
      </c>
      <c r="M127" s="67">
        <v>183.11500070933968</v>
      </c>
      <c r="N127" s="67">
        <v>103.00218789900357</v>
      </c>
      <c r="O127" s="72">
        <f t="shared" si="136"/>
        <v>286.11718860834327</v>
      </c>
      <c r="P127" s="203">
        <f t="shared" si="137"/>
        <v>16594.796939283911</v>
      </c>
      <c r="Q127" s="272">
        <f t="shared" si="124"/>
        <v>16798.589338424234</v>
      </c>
      <c r="R127" s="439">
        <f t="shared" si="58"/>
        <v>-203.79239914032223</v>
      </c>
      <c r="W127" s="904" t="s">
        <v>295</v>
      </c>
      <c r="X127" s="904"/>
      <c r="Y127" s="904"/>
      <c r="Z127" s="546" t="s">
        <v>243</v>
      </c>
      <c r="AA127" s="546" t="s">
        <v>244</v>
      </c>
      <c r="AB127" s="546" t="s">
        <v>245</v>
      </c>
      <c r="AC127" s="123" t="s">
        <v>246</v>
      </c>
      <c r="AD127" s="196" t="s">
        <v>247</v>
      </c>
      <c r="AE127" s="546" t="s">
        <v>248</v>
      </c>
      <c r="AF127" s="212" t="s">
        <v>249</v>
      </c>
    </row>
    <row r="128" spans="1:32" x14ac:dyDescent="0.25">
      <c r="A128" s="238"/>
      <c r="B128" s="249"/>
      <c r="C128" s="293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67">
        <f t="shared" si="133"/>
        <v>15321.428571428571</v>
      </c>
      <c r="J128" s="74">
        <v>120</v>
      </c>
      <c r="K128" s="67">
        <f t="shared" si="134"/>
        <v>2340</v>
      </c>
      <c r="L128" s="72">
        <f t="shared" si="135"/>
        <v>17661.428571428572</v>
      </c>
      <c r="M128" s="67">
        <v>1079.0705398943232</v>
      </c>
      <c r="N128" s="67">
        <v>164.80350063840572</v>
      </c>
      <c r="O128" s="72">
        <f t="shared" si="136"/>
        <v>1243.8740405327289</v>
      </c>
      <c r="P128" s="203">
        <f t="shared" si="137"/>
        <v>24255.543790388216</v>
      </c>
      <c r="Q128" s="272">
        <f t="shared" si="124"/>
        <v>24553.413989076511</v>
      </c>
      <c r="R128" s="439">
        <f t="shared" si="58"/>
        <v>-297.8701986882952</v>
      </c>
      <c r="W128" s="878" t="s">
        <v>271</v>
      </c>
      <c r="X128" s="878"/>
      <c r="Y128" s="878"/>
      <c r="Z128" s="124" t="s">
        <v>251</v>
      </c>
      <c r="AA128" s="545">
        <v>8.33</v>
      </c>
      <c r="AB128" s="545">
        <v>9</v>
      </c>
      <c r="AC128" s="123">
        <f>143/1.06</f>
        <v>134.90566037735849</v>
      </c>
      <c r="AD128" s="196">
        <f>AC128*AB128</f>
        <v>1214.1509433962265</v>
      </c>
      <c r="AE128" s="545">
        <v>23.9</v>
      </c>
      <c r="AF128" s="219">
        <f>AE128*AB128</f>
        <v>215.1</v>
      </c>
    </row>
    <row r="129" spans="1:32" x14ac:dyDescent="0.25">
      <c r="A129" s="238"/>
      <c r="B129" s="249"/>
      <c r="C129" s="293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67">
        <f t="shared" si="133"/>
        <v>2285.7142857142858</v>
      </c>
      <c r="J129" s="74">
        <v>175</v>
      </c>
      <c r="K129" s="67">
        <f t="shared" si="134"/>
        <v>350</v>
      </c>
      <c r="L129" s="72">
        <f t="shared" si="135"/>
        <v>2635.7142857142858</v>
      </c>
      <c r="M129" s="67">
        <v>1569.5571489371976</v>
      </c>
      <c r="N129" s="67">
        <v>240.33843843100837</v>
      </c>
      <c r="O129" s="72">
        <f t="shared" si="136"/>
        <v>1809.895587368206</v>
      </c>
      <c r="P129" s="203">
        <f t="shared" si="137"/>
        <v>3619.7911747364119</v>
      </c>
      <c r="Q129" s="272">
        <f t="shared" si="124"/>
        <v>3664.2440192385475</v>
      </c>
      <c r="R129" s="439">
        <f t="shared" si="58"/>
        <v>-44.452844502135576</v>
      </c>
      <c r="W129" s="878" t="s">
        <v>252</v>
      </c>
      <c r="X129" s="878"/>
      <c r="Y129" s="878"/>
      <c r="Z129" s="124" t="s">
        <v>253</v>
      </c>
      <c r="AA129" s="545">
        <v>0.25</v>
      </c>
      <c r="AB129" s="545">
        <v>0.25</v>
      </c>
      <c r="AC129" s="123">
        <f>AC122</f>
        <v>268.8679245283019</v>
      </c>
      <c r="AD129" s="196">
        <f>AC129*AB129</f>
        <v>67.216981132075475</v>
      </c>
      <c r="AE129" s="545"/>
      <c r="AF129" s="219">
        <f>AE129*AB129</f>
        <v>0</v>
      </c>
    </row>
    <row r="130" spans="1:32" x14ac:dyDescent="0.25">
      <c r="A130" s="238"/>
      <c r="B130" s="249"/>
      <c r="C130" s="293">
        <v>5</v>
      </c>
      <c r="D130" s="83" t="s">
        <v>416</v>
      </c>
      <c r="E130" s="306" t="s">
        <v>39</v>
      </c>
      <c r="F130" s="302"/>
      <c r="G130" s="75"/>
      <c r="H130" s="74"/>
      <c r="I130" s="67">
        <f t="shared" si="133"/>
        <v>0</v>
      </c>
      <c r="J130" s="74"/>
      <c r="K130" s="67">
        <f t="shared" si="134"/>
        <v>0</v>
      </c>
      <c r="L130" s="72">
        <f t="shared" si="135"/>
        <v>0</v>
      </c>
      <c r="M130" s="67">
        <v>0</v>
      </c>
      <c r="N130" s="67">
        <v>0</v>
      </c>
      <c r="O130" s="72">
        <f>N130*F130</f>
        <v>0</v>
      </c>
      <c r="P130" s="305" t="s">
        <v>288</v>
      </c>
      <c r="Q130" s="272">
        <f t="shared" si="124"/>
        <v>0</v>
      </c>
      <c r="R130" s="439" t="e">
        <f t="shared" si="58"/>
        <v>#VALUE!</v>
      </c>
      <c r="W130" s="878" t="s">
        <v>254</v>
      </c>
      <c r="X130" s="878"/>
      <c r="Y130" s="878"/>
      <c r="Z130" s="124" t="s">
        <v>255</v>
      </c>
      <c r="AA130" s="545">
        <v>0.25</v>
      </c>
      <c r="AB130" s="545">
        <v>0.35</v>
      </c>
      <c r="AC130" s="123">
        <f>37/1.06</f>
        <v>34.905660377358487</v>
      </c>
      <c r="AD130" s="196">
        <f>AC130*AB130</f>
        <v>12.216981132075469</v>
      </c>
      <c r="AE130" s="545"/>
      <c r="AF130" s="219">
        <f>AE130*AB130</f>
        <v>0</v>
      </c>
    </row>
    <row r="131" spans="1:32" s="1" customFormat="1" x14ac:dyDescent="0.25">
      <c r="A131" s="238"/>
      <c r="B131" s="250"/>
      <c r="C131" s="293">
        <v>6</v>
      </c>
      <c r="D131" s="83" t="s">
        <v>159</v>
      </c>
      <c r="E131" s="306" t="s">
        <v>39</v>
      </c>
      <c r="F131" s="302"/>
      <c r="G131" s="75"/>
      <c r="H131" s="74"/>
      <c r="I131" s="67">
        <f t="shared" si="133"/>
        <v>0</v>
      </c>
      <c r="J131" s="74"/>
      <c r="K131" s="67">
        <f t="shared" si="134"/>
        <v>0</v>
      </c>
      <c r="L131" s="72">
        <f t="shared" si="135"/>
        <v>0</v>
      </c>
      <c r="M131" s="67">
        <v>0</v>
      </c>
      <c r="N131" s="67">
        <v>0</v>
      </c>
      <c r="O131" s="72">
        <f>N131*F131</f>
        <v>0</v>
      </c>
      <c r="P131" s="305" t="s">
        <v>288</v>
      </c>
      <c r="Q131" s="272">
        <f t="shared" si="124"/>
        <v>0</v>
      </c>
      <c r="R131" s="439" t="e">
        <f t="shared" si="58"/>
        <v>#VALUE!</v>
      </c>
      <c r="S131" s="18"/>
      <c r="W131" s="878" t="s">
        <v>256</v>
      </c>
      <c r="X131" s="878"/>
      <c r="Y131" s="878"/>
      <c r="Z131" s="124" t="s">
        <v>257</v>
      </c>
      <c r="AA131" s="545">
        <v>1</v>
      </c>
      <c r="AB131" s="545">
        <v>1</v>
      </c>
      <c r="AC131" s="123">
        <v>0</v>
      </c>
      <c r="AD131" s="196">
        <f>AC131*AB131</f>
        <v>0</v>
      </c>
      <c r="AE131" s="545">
        <v>0</v>
      </c>
      <c r="AF131" s="219">
        <f>AE131*AB131</f>
        <v>0</v>
      </c>
    </row>
    <row r="132" spans="1:32" s="1" customFormat="1" x14ac:dyDescent="0.25">
      <c r="A132" s="238"/>
      <c r="B132" s="250"/>
      <c r="C132" s="293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67">
        <f t="shared" si="133"/>
        <v>38806.213592233013</v>
      </c>
      <c r="J132" s="74">
        <f>5878*0.15/1.03</f>
        <v>856.01941747572812</v>
      </c>
      <c r="K132" s="67">
        <f t="shared" si="134"/>
        <v>6848.155339805825</v>
      </c>
      <c r="L132" s="72">
        <f t="shared" si="135"/>
        <v>45654.368932038837</v>
      </c>
      <c r="M132" s="67">
        <v>6661.874840126753</v>
      </c>
      <c r="N132" s="67">
        <v>1175.6249717870739</v>
      </c>
      <c r="O132" s="72">
        <f t="shared" ref="O132" si="138">N132+M132</f>
        <v>7837.4998119138272</v>
      </c>
      <c r="P132" s="203">
        <f t="shared" ref="P132" si="139">O132*F132</f>
        <v>62699.998495310618</v>
      </c>
      <c r="Q132" s="272">
        <f t="shared" si="124"/>
        <v>63469.985809178004</v>
      </c>
      <c r="R132" s="439">
        <f t="shared" si="58"/>
        <v>-769.98731386738655</v>
      </c>
      <c r="S132" s="18"/>
      <c r="W132" s="126"/>
      <c r="X132" s="126"/>
      <c r="Y132" s="126"/>
      <c r="Z132" s="126"/>
      <c r="AA132" s="545"/>
      <c r="AB132" s="545"/>
      <c r="AC132" s="123"/>
      <c r="AD132" s="212">
        <f>SUM(AD128:AD131)</f>
        <v>1293.5849056603774</v>
      </c>
      <c r="AE132" s="546"/>
      <c r="AF132" s="212">
        <f>SUM(AF128:AF131)</f>
        <v>215.1</v>
      </c>
    </row>
    <row r="133" spans="1:32" s="1" customFormat="1" ht="15" customHeight="1" x14ac:dyDescent="0.25">
      <c r="A133" s="238"/>
      <c r="B133" s="245"/>
      <c r="C133" s="293"/>
      <c r="D133" s="82"/>
      <c r="E133" s="242"/>
      <c r="F133" s="302"/>
      <c r="G133" s="75"/>
      <c r="H133" s="74"/>
      <c r="I133" s="74"/>
      <c r="J133" s="74"/>
      <c r="K133" s="74"/>
      <c r="L133" s="74"/>
      <c r="M133" s="72"/>
      <c r="N133" s="72"/>
      <c r="O133" s="72"/>
      <c r="P133" s="205"/>
      <c r="Q133" s="272">
        <f t="shared" si="124"/>
        <v>0</v>
      </c>
      <c r="R133" s="439"/>
      <c r="S133" s="18"/>
    </row>
    <row r="134" spans="1:32" x14ac:dyDescent="0.25">
      <c r="A134" s="238"/>
      <c r="B134" s="290" t="s">
        <v>335</v>
      </c>
      <c r="C134" s="291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72"/>
      <c r="N134" s="72"/>
      <c r="O134" s="72"/>
      <c r="P134" s="205"/>
      <c r="Q134" s="272">
        <f t="shared" si="124"/>
        <v>0</v>
      </c>
      <c r="R134" s="439"/>
      <c r="T134" s="18"/>
      <c r="AD134" s="18"/>
      <c r="AF134" s="18"/>
    </row>
    <row r="135" spans="1:32" s="585" customFormat="1" hidden="1" x14ac:dyDescent="0.25">
      <c r="A135" s="600"/>
      <c r="B135" s="601"/>
      <c r="C135" s="560">
        <v>1</v>
      </c>
      <c r="D135" s="582" t="s">
        <v>414</v>
      </c>
      <c r="E135" s="583">
        <v>15.7</v>
      </c>
      <c r="F135" s="563">
        <v>16.5</v>
      </c>
      <c r="G135" s="584" t="s">
        <v>100</v>
      </c>
      <c r="H135" s="566"/>
      <c r="I135" s="566">
        <f>F135*H135</f>
        <v>0</v>
      </c>
      <c r="J135" s="566"/>
      <c r="K135" s="566">
        <f t="shared" ref="K135:K138" si="140">F135*J135</f>
        <v>0</v>
      </c>
      <c r="L135" s="565">
        <f t="shared" ref="L135:L138" si="141">I135+K135</f>
        <v>0</v>
      </c>
      <c r="M135" s="566">
        <f>H135/$P$257*$P$265</f>
        <v>0</v>
      </c>
      <c r="N135" s="566">
        <f>J135/$P$257*$P$265</f>
        <v>0</v>
      </c>
      <c r="O135" s="565">
        <f t="shared" ref="O135:O138" si="142">N135+M135</f>
        <v>0</v>
      </c>
      <c r="P135" s="567">
        <f t="shared" ref="P135:P138" si="143">O135*F135</f>
        <v>0</v>
      </c>
      <c r="Q135" s="568">
        <f t="shared" si="124"/>
        <v>0</v>
      </c>
      <c r="R135" s="569">
        <f t="shared" ref="R135:R138" si="144">P135-Q135</f>
        <v>0</v>
      </c>
    </row>
    <row r="136" spans="1:32" s="585" customFormat="1" hidden="1" x14ac:dyDescent="0.25">
      <c r="A136" s="600"/>
      <c r="B136" s="601"/>
      <c r="C136" s="560">
        <v>2</v>
      </c>
      <c r="D136" s="582" t="s">
        <v>415</v>
      </c>
      <c r="E136" s="583">
        <v>8.5</v>
      </c>
      <c r="F136" s="563">
        <v>9</v>
      </c>
      <c r="G136" s="584" t="s">
        <v>100</v>
      </c>
      <c r="H136" s="566"/>
      <c r="I136" s="566">
        <f>F136*H136</f>
        <v>0</v>
      </c>
      <c r="J136" s="566"/>
      <c r="K136" s="566">
        <f t="shared" si="140"/>
        <v>0</v>
      </c>
      <c r="L136" s="565">
        <f t="shared" si="141"/>
        <v>0</v>
      </c>
      <c r="M136" s="566">
        <f>H136/$P$257*$P$265</f>
        <v>0</v>
      </c>
      <c r="N136" s="566">
        <f>J136/$P$257*$P$265</f>
        <v>0</v>
      </c>
      <c r="O136" s="565">
        <f t="shared" si="142"/>
        <v>0</v>
      </c>
      <c r="P136" s="567">
        <f t="shared" si="143"/>
        <v>0</v>
      </c>
      <c r="Q136" s="568">
        <f t="shared" si="124"/>
        <v>0</v>
      </c>
      <c r="R136" s="569">
        <f t="shared" si="144"/>
        <v>0</v>
      </c>
    </row>
    <row r="137" spans="1:32" x14ac:dyDescent="0.25">
      <c r="A137" s="238"/>
      <c r="B137" s="249"/>
      <c r="C137" s="293">
        <v>3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AR205/F137</f>
        <v>6348.8095238095229</v>
      </c>
      <c r="I137" s="67">
        <f>F137*H137</f>
        <v>25395.238095238092</v>
      </c>
      <c r="J137" s="74">
        <f>AT205/F137</f>
        <v>3225</v>
      </c>
      <c r="K137" s="67">
        <f t="shared" si="140"/>
        <v>12900</v>
      </c>
      <c r="L137" s="72">
        <f t="shared" si="141"/>
        <v>38295.238095238092</v>
      </c>
      <c r="M137" s="67">
        <v>8719.2169534188251</v>
      </c>
      <c r="N137" s="67">
        <v>4429.094079657154</v>
      </c>
      <c r="O137" s="72">
        <f t="shared" si="142"/>
        <v>13148.311033075979</v>
      </c>
      <c r="P137" s="203">
        <f t="shared" si="143"/>
        <v>52593.244132303917</v>
      </c>
      <c r="Q137" s="272">
        <f t="shared" si="124"/>
        <v>53239.115452062142</v>
      </c>
      <c r="R137" s="439">
        <f t="shared" si="144"/>
        <v>-645.87131975822558</v>
      </c>
    </row>
    <row r="138" spans="1:32" x14ac:dyDescent="0.25">
      <c r="A138" s="238"/>
      <c r="B138" s="249"/>
      <c r="C138" s="293">
        <v>4</v>
      </c>
      <c r="D138" s="83" t="s">
        <v>337</v>
      </c>
      <c r="E138" s="242">
        <v>56</v>
      </c>
      <c r="F138" s="302">
        <v>58</v>
      </c>
      <c r="G138" s="77" t="s">
        <v>101</v>
      </c>
      <c r="H138" s="328">
        <v>185</v>
      </c>
      <c r="I138" s="67">
        <f>F138*H138</f>
        <v>10730</v>
      </c>
      <c r="J138" s="74">
        <v>185</v>
      </c>
      <c r="K138" s="67">
        <f t="shared" si="140"/>
        <v>10730</v>
      </c>
      <c r="L138" s="72">
        <f t="shared" si="141"/>
        <v>21460</v>
      </c>
      <c r="M138" s="67">
        <v>254.07206348420883</v>
      </c>
      <c r="N138" s="67">
        <v>254.07206348420883</v>
      </c>
      <c r="O138" s="72">
        <f t="shared" si="142"/>
        <v>508.14412696841765</v>
      </c>
      <c r="P138" s="203">
        <f t="shared" si="143"/>
        <v>29472.359364168224</v>
      </c>
      <c r="Q138" s="272">
        <f t="shared" si="124"/>
        <v>29834.294665041438</v>
      </c>
      <c r="R138" s="439">
        <f t="shared" si="144"/>
        <v>-361.93530087321415</v>
      </c>
    </row>
    <row r="139" spans="1:32" x14ac:dyDescent="0.25">
      <c r="A139" s="238"/>
      <c r="B139" s="289"/>
      <c r="C139" s="300"/>
      <c r="D139" s="83"/>
      <c r="E139" s="242"/>
      <c r="F139" s="302"/>
      <c r="G139" s="75"/>
      <c r="H139" s="74"/>
      <c r="I139" s="74"/>
      <c r="J139" s="74"/>
      <c r="K139" s="74"/>
      <c r="L139" s="74"/>
      <c r="M139" s="72"/>
      <c r="N139" s="72"/>
      <c r="O139" s="72"/>
      <c r="P139" s="205"/>
      <c r="Q139" s="272">
        <f t="shared" si="124"/>
        <v>0</v>
      </c>
      <c r="R139" s="439"/>
      <c r="T139" s="18"/>
      <c r="AD139" s="18"/>
      <c r="AF139" s="18"/>
    </row>
    <row r="140" spans="1:32" s="273" customFormat="1" x14ac:dyDescent="0.25">
      <c r="A140" s="350"/>
      <c r="B140" s="317"/>
      <c r="C140" s="318"/>
      <c r="D140" s="83"/>
      <c r="E140" s="242"/>
      <c r="F140" s="302"/>
      <c r="G140" s="77"/>
      <c r="H140" s="74"/>
      <c r="I140" s="74"/>
      <c r="J140" s="74"/>
      <c r="K140" s="74"/>
      <c r="L140" s="72"/>
      <c r="M140" s="74"/>
      <c r="N140" s="74"/>
      <c r="O140" s="72"/>
      <c r="P140" s="205"/>
      <c r="Q140" s="272"/>
      <c r="R140" s="439"/>
    </row>
    <row r="141" spans="1:32" s="1" customFormat="1" x14ac:dyDescent="0.25">
      <c r="A141" s="237"/>
      <c r="B141" s="412" t="s">
        <v>338</v>
      </c>
      <c r="C141" s="413" t="s">
        <v>131</v>
      </c>
      <c r="D141" s="82"/>
      <c r="E141" s="242"/>
      <c r="F141" s="302"/>
      <c r="G141" s="77"/>
      <c r="H141" s="74"/>
      <c r="I141" s="74"/>
      <c r="J141" s="74"/>
      <c r="K141" s="67"/>
      <c r="L141" s="72"/>
      <c r="M141" s="67"/>
      <c r="N141" s="67"/>
      <c r="O141" s="72"/>
      <c r="P141" s="203"/>
      <c r="Q141" s="272">
        <f>L141/$P$257*$P$265</f>
        <v>0</v>
      </c>
      <c r="R141" s="439"/>
      <c r="S141" s="18"/>
    </row>
    <row r="142" spans="1:32" s="224" customFormat="1" x14ac:dyDescent="0.25">
      <c r="A142" s="411"/>
      <c r="B142" s="412"/>
      <c r="C142" s="413">
        <v>1</v>
      </c>
      <c r="D142" s="83" t="s">
        <v>456</v>
      </c>
      <c r="E142" s="242">
        <v>1</v>
      </c>
      <c r="F142" s="302">
        <v>1</v>
      </c>
      <c r="G142" s="77" t="s">
        <v>55</v>
      </c>
      <c r="H142" s="74">
        <f>(23600+74200)*0.85/1.3889/1.07</f>
        <v>55937.496425262238</v>
      </c>
      <c r="I142" s="74">
        <f t="shared" ref="I142:I144" si="145">F142*H142</f>
        <v>55937.496425262238</v>
      </c>
      <c r="J142" s="74">
        <f>(23600+74200)*0.15/1.3889/1.07</f>
        <v>9871.3228985756905</v>
      </c>
      <c r="K142" s="67">
        <f t="shared" ref="K142:K144" si="146">F142*J142</f>
        <v>9871.3228985756905</v>
      </c>
      <c r="L142" s="72">
        <f t="shared" ref="L142:L144" si="147">I142+K142</f>
        <v>65808.819323837932</v>
      </c>
      <c r="M142" s="67">
        <v>76822.460231929363</v>
      </c>
      <c r="N142" s="67">
        <v>13556.904746811068</v>
      </c>
      <c r="O142" s="72">
        <f t="shared" ref="O142:O144" si="148">N142+M142</f>
        <v>90379.364978740428</v>
      </c>
      <c r="P142" s="203">
        <f t="shared" ref="P142:P144" si="149">O142*F142</f>
        <v>90379.364978740428</v>
      </c>
      <c r="Q142" s="272">
        <f>L142/$P$257*$P$265</f>
        <v>91489.268744913978</v>
      </c>
      <c r="R142" s="439">
        <f t="shared" ref="R142:R144" si="150">P142-Q142</f>
        <v>-1109.9037661735492</v>
      </c>
      <c r="S142" s="273"/>
    </row>
    <row r="143" spans="1:32" s="224" customFormat="1" x14ac:dyDescent="0.25">
      <c r="A143" s="238"/>
      <c r="B143" s="412"/>
      <c r="C143" s="413">
        <v>2</v>
      </c>
      <c r="D143" s="83" t="s">
        <v>457</v>
      </c>
      <c r="E143" s="242">
        <v>1</v>
      </c>
      <c r="F143" s="302">
        <v>1</v>
      </c>
      <c r="G143" s="77" t="s">
        <v>55</v>
      </c>
      <c r="H143" s="74">
        <f>(58600+74200)*0.85/1.3889/1.07</f>
        <v>75956.027865795753</v>
      </c>
      <c r="I143" s="74">
        <f t="shared" si="145"/>
        <v>75956.027865795753</v>
      </c>
      <c r="J143" s="74">
        <f>(58600+74200)*0.15/1.3889/1.07</f>
        <v>13404.00491749337</v>
      </c>
      <c r="K143" s="67">
        <f t="shared" si="146"/>
        <v>13404.00491749337</v>
      </c>
      <c r="L143" s="72">
        <f t="shared" si="147"/>
        <v>89360.03278328912</v>
      </c>
      <c r="M143" s="67">
        <v>104315.16072392862</v>
      </c>
      <c r="N143" s="67">
        <v>18408.557774810935</v>
      </c>
      <c r="O143" s="72">
        <f t="shared" si="148"/>
        <v>122723.71849873956</v>
      </c>
      <c r="P143" s="203">
        <f t="shared" si="149"/>
        <v>122723.71849873956</v>
      </c>
      <c r="Q143" s="272">
        <f>L143/$P$257*$P$265</f>
        <v>124230.82708920834</v>
      </c>
      <c r="R143" s="439">
        <f t="shared" si="150"/>
        <v>-1507.1085904687789</v>
      </c>
      <c r="S143" s="273"/>
      <c r="T143" s="1"/>
      <c r="U143" s="226"/>
      <c r="V143" s="226"/>
    </row>
    <row r="144" spans="1:32" s="224" customFormat="1" x14ac:dyDescent="0.25">
      <c r="A144" s="411"/>
      <c r="B144" s="412"/>
      <c r="C144" s="413">
        <v>3</v>
      </c>
      <c r="D144" s="83" t="s">
        <v>418</v>
      </c>
      <c r="E144" s="242">
        <v>1</v>
      </c>
      <c r="F144" s="302">
        <v>1</v>
      </c>
      <c r="G144" s="77" t="s">
        <v>55</v>
      </c>
      <c r="H144" s="74">
        <f>5900*0.85/1.3889/1.03</f>
        <v>3505.6030231369796</v>
      </c>
      <c r="I144" s="74">
        <f t="shared" si="145"/>
        <v>3505.6030231369796</v>
      </c>
      <c r="J144" s="74">
        <f>5900*0.15/1.3889/1.03</f>
        <v>618.63582761240821</v>
      </c>
      <c r="K144" s="67">
        <f t="shared" si="146"/>
        <v>618.63582761240821</v>
      </c>
      <c r="L144" s="72">
        <f t="shared" si="147"/>
        <v>4124.2388507493879</v>
      </c>
      <c r="M144" s="67">
        <v>4814.4637505129358</v>
      </c>
      <c r="N144" s="67">
        <v>849.61125009051807</v>
      </c>
      <c r="O144" s="72">
        <f t="shared" si="148"/>
        <v>5664.0750006034541</v>
      </c>
      <c r="P144" s="203">
        <f t="shared" si="149"/>
        <v>5664.0750006034541</v>
      </c>
      <c r="Q144" s="272">
        <f>L144/$P$257*$P$265</f>
        <v>5733.6326720535471</v>
      </c>
      <c r="R144" s="439">
        <f t="shared" si="150"/>
        <v>-69.557671450093039</v>
      </c>
      <c r="S144" s="273"/>
      <c r="T144" s="1"/>
      <c r="U144" s="226"/>
      <c r="V144" s="226"/>
    </row>
    <row r="145" spans="1:39" s="1" customFormat="1" x14ac:dyDescent="0.25">
      <c r="A145" s="238"/>
      <c r="B145" s="248"/>
      <c r="C145" s="298"/>
      <c r="D145" s="82"/>
      <c r="E145" s="242"/>
      <c r="F145" s="302"/>
      <c r="G145" s="75"/>
      <c r="H145" s="74"/>
      <c r="I145" s="74"/>
      <c r="J145" s="74"/>
      <c r="K145" s="74"/>
      <c r="L145" s="74"/>
      <c r="M145" s="72"/>
      <c r="N145" s="72"/>
      <c r="O145" s="72"/>
      <c r="P145" s="205"/>
      <c r="Q145" s="272">
        <f>L145/$P$257*$P$265</f>
        <v>0</v>
      </c>
      <c r="R145" s="439"/>
      <c r="S145" s="18"/>
      <c r="U145" s="226"/>
      <c r="V145" s="226"/>
    </row>
    <row r="146" spans="1:39" x14ac:dyDescent="0.25">
      <c r="A146" s="238"/>
      <c r="B146" s="290" t="s">
        <v>339</v>
      </c>
      <c r="C146" s="291" t="s">
        <v>340</v>
      </c>
      <c r="D146" s="83"/>
      <c r="E146" s="242"/>
      <c r="F146" s="302"/>
      <c r="G146" s="75"/>
      <c r="H146" s="74"/>
      <c r="I146" s="74"/>
      <c r="J146" s="74"/>
      <c r="K146" s="74"/>
      <c r="L146" s="74"/>
      <c r="M146" s="72"/>
      <c r="N146" s="72"/>
      <c r="O146" s="72"/>
      <c r="P146" s="205"/>
      <c r="Q146" s="272">
        <f t="shared" ref="Q146:Q209" si="151">L146/$P$257*$P$265</f>
        <v>0</v>
      </c>
      <c r="R146" s="439"/>
    </row>
    <row r="147" spans="1:39" s="585" customFormat="1" x14ac:dyDescent="0.25">
      <c r="A147" s="600"/>
      <c r="B147" s="601"/>
      <c r="C147" s="560">
        <v>1</v>
      </c>
      <c r="D147" s="582" t="s">
        <v>341</v>
      </c>
      <c r="E147" s="583">
        <v>1</v>
      </c>
      <c r="F147" s="563">
        <v>1</v>
      </c>
      <c r="G147" s="584" t="s">
        <v>55</v>
      </c>
      <c r="H147" s="658">
        <f>79415.5*0.7/1.1</f>
        <v>50537.13636363636</v>
      </c>
      <c r="I147" s="566">
        <f>F147*H147</f>
        <v>50537.13636363636</v>
      </c>
      <c r="J147" s="658">
        <f>79415.5*0.3/1.1</f>
        <v>21658.772727272724</v>
      </c>
      <c r="K147" s="566">
        <f t="shared" ref="K147:K149" si="152">F147*J147</f>
        <v>21658.772727272724</v>
      </c>
      <c r="L147" s="565">
        <f t="shared" ref="L147:L149" si="153">I147+K147</f>
        <v>72195.909090909088</v>
      </c>
      <c r="M147" s="566">
        <f>H147/$P$257*$P$265</f>
        <v>70258.146216221256</v>
      </c>
      <c r="N147" s="566">
        <f>J147/$P$257*$P$265</f>
        <v>30110.634092666249</v>
      </c>
      <c r="O147" s="565">
        <f t="shared" ref="O147:O149" si="154">N147+M147</f>
        <v>100368.78030888751</v>
      </c>
      <c r="P147" s="567">
        <f t="shared" ref="P147:P149" si="155">O147*F147</f>
        <v>100368.78030888751</v>
      </c>
      <c r="Q147" s="568">
        <f t="shared" si="151"/>
        <v>100368.78030888751</v>
      </c>
      <c r="R147" s="569">
        <f t="shared" si="58"/>
        <v>0</v>
      </c>
      <c r="T147" s="579"/>
      <c r="V147" s="1"/>
      <c r="W147" s="226"/>
      <c r="X147" s="226"/>
      <c r="Y147" s="898" t="s">
        <v>366</v>
      </c>
      <c r="Z147" s="898"/>
      <c r="AA147" s="898"/>
      <c r="AB147" s="551"/>
      <c r="AC147" s="551"/>
      <c r="AD147" s="551"/>
      <c r="AE147" s="551"/>
      <c r="AF147" s="551"/>
      <c r="AG147" s="356"/>
      <c r="AH147" s="356"/>
    </row>
    <row r="148" spans="1:39" s="585" customFormat="1" x14ac:dyDescent="0.25">
      <c r="A148" s="600"/>
      <c r="B148" s="601"/>
      <c r="C148" s="560">
        <v>2</v>
      </c>
      <c r="D148" s="582" t="s">
        <v>342</v>
      </c>
      <c r="E148" s="583">
        <v>1</v>
      </c>
      <c r="F148" s="563">
        <v>1</v>
      </c>
      <c r="G148" s="584" t="s">
        <v>55</v>
      </c>
      <c r="H148" s="658">
        <f>120317.5*0.7/1.1</f>
        <v>76565.681818181809</v>
      </c>
      <c r="I148" s="566">
        <f>F148*H148</f>
        <v>76565.681818181809</v>
      </c>
      <c r="J148" s="658">
        <f>120317.5*0.3/1.1</f>
        <v>32813.863636363632</v>
      </c>
      <c r="K148" s="566">
        <f t="shared" si="152"/>
        <v>32813.863636363632</v>
      </c>
      <c r="L148" s="565">
        <f t="shared" si="153"/>
        <v>109379.54545454544</v>
      </c>
      <c r="M148" s="566">
        <f>H148/$P$257*$P$265</f>
        <v>106443.76107145583</v>
      </c>
      <c r="N148" s="566">
        <f>J148/$P$257*$P$265</f>
        <v>45618.754744909638</v>
      </c>
      <c r="O148" s="565">
        <f t="shared" si="154"/>
        <v>152062.51581636546</v>
      </c>
      <c r="P148" s="567">
        <f t="shared" si="155"/>
        <v>152062.51581636546</v>
      </c>
      <c r="Q148" s="568">
        <f t="shared" si="151"/>
        <v>152062.51581636546</v>
      </c>
      <c r="R148" s="569">
        <f t="shared" si="58"/>
        <v>0</v>
      </c>
      <c r="T148" s="579"/>
      <c r="V148" s="1"/>
      <c r="W148" s="226"/>
      <c r="X148" s="226"/>
      <c r="Y148" s="354"/>
      <c r="Z148" s="354"/>
      <c r="AA148" s="354"/>
      <c r="AB148" s="551" t="s">
        <v>81</v>
      </c>
      <c r="AC148" s="551" t="s">
        <v>6</v>
      </c>
      <c r="AD148" s="551" t="s">
        <v>5</v>
      </c>
      <c r="AE148" s="551" t="s">
        <v>174</v>
      </c>
      <c r="AF148" s="551" t="s">
        <v>175</v>
      </c>
      <c r="AG148" s="356" t="s">
        <v>176</v>
      </c>
      <c r="AH148" s="356" t="s">
        <v>177</v>
      </c>
    </row>
    <row r="149" spans="1:39" s="585" customFormat="1" x14ac:dyDescent="0.25">
      <c r="A149" s="600"/>
      <c r="B149" s="601"/>
      <c r="C149" s="560">
        <v>3</v>
      </c>
      <c r="D149" s="582" t="s">
        <v>359</v>
      </c>
      <c r="E149" s="583">
        <v>6.3</v>
      </c>
      <c r="F149" s="563">
        <v>6.5</v>
      </c>
      <c r="G149" s="584" t="s">
        <v>100</v>
      </c>
      <c r="H149" s="658">
        <f>(AE213*2+AE229*3)/F149/1.1</f>
        <v>2953.0069930069926</v>
      </c>
      <c r="I149" s="566">
        <f>F149*H149</f>
        <v>19194.545454545452</v>
      </c>
      <c r="J149" s="658">
        <f>(AE220*2+AE236*3)/F149/1.1</f>
        <v>2781.1188811188808</v>
      </c>
      <c r="K149" s="566">
        <f t="shared" si="152"/>
        <v>18077.272727272724</v>
      </c>
      <c r="L149" s="565">
        <f t="shared" si="153"/>
        <v>37271.818181818177</v>
      </c>
      <c r="M149" s="566">
        <f>H149/$P$257*$P$265</f>
        <v>4105.3532515050601</v>
      </c>
      <c r="N149" s="566">
        <f>J149/$P$257*$P$265</f>
        <v>3866.3895711934319</v>
      </c>
      <c r="O149" s="565">
        <f t="shared" si="154"/>
        <v>7971.7428226984921</v>
      </c>
      <c r="P149" s="567">
        <f t="shared" si="155"/>
        <v>51816.328347540199</v>
      </c>
      <c r="Q149" s="568">
        <f t="shared" si="151"/>
        <v>51816.328347540191</v>
      </c>
      <c r="R149" s="569">
        <f t="shared" si="58"/>
        <v>0</v>
      </c>
      <c r="T149" s="579"/>
      <c r="V149" s="224"/>
      <c r="W149" s="225"/>
      <c r="X149" s="225"/>
      <c r="Y149" s="899" t="s">
        <v>367</v>
      </c>
      <c r="Z149" s="899"/>
      <c r="AA149" s="899"/>
      <c r="AB149" s="357">
        <f>5.925*5.9</f>
        <v>34.957500000000003</v>
      </c>
      <c r="AC149" s="548">
        <v>35</v>
      </c>
      <c r="AD149" s="548" t="s">
        <v>101</v>
      </c>
      <c r="AE149" s="359">
        <f>4500/1.12</f>
        <v>4017.8571428571427</v>
      </c>
      <c r="AF149" s="360">
        <f>AE149*AC149</f>
        <v>140625</v>
      </c>
      <c r="AG149" s="361">
        <v>375</v>
      </c>
      <c r="AH149" s="362">
        <f>AG149*AC149</f>
        <v>13125</v>
      </c>
    </row>
    <row r="150" spans="1:39" ht="15.75" thickBot="1" x14ac:dyDescent="0.3">
      <c r="A150" s="238"/>
      <c r="B150" s="289"/>
      <c r="C150" s="300"/>
      <c r="D150" s="83"/>
      <c r="E150" s="242"/>
      <c r="F150" s="302"/>
      <c r="G150" s="75"/>
      <c r="H150" s="74"/>
      <c r="I150" s="74"/>
      <c r="J150" s="74"/>
      <c r="K150" s="74"/>
      <c r="L150" s="74"/>
      <c r="M150" s="72"/>
      <c r="N150" s="72"/>
      <c r="O150" s="72"/>
      <c r="P150" s="205"/>
      <c r="Q150" s="272">
        <f t="shared" si="151"/>
        <v>0</v>
      </c>
      <c r="R150" s="439"/>
      <c r="V150" s="224"/>
      <c r="W150" s="225"/>
      <c r="X150" s="225"/>
      <c r="Y150" s="899" t="s">
        <v>368</v>
      </c>
      <c r="Z150" s="899"/>
      <c r="AA150" s="899"/>
      <c r="AB150" s="548">
        <f>2*3.5</f>
        <v>7</v>
      </c>
      <c r="AC150" s="548">
        <v>12</v>
      </c>
      <c r="AD150" s="548" t="s">
        <v>100</v>
      </c>
      <c r="AE150" s="360">
        <f>7.4*50</f>
        <v>370</v>
      </c>
      <c r="AF150" s="360">
        <f>AE150*AC150</f>
        <v>4440</v>
      </c>
      <c r="AG150" s="362">
        <v>85</v>
      </c>
      <c r="AH150" s="362">
        <f>AG150*AC150</f>
        <v>1020</v>
      </c>
    </row>
    <row r="151" spans="1:39" s="234" customFormat="1" ht="15.75" thickBot="1" x14ac:dyDescent="0.3">
      <c r="A151" s="308"/>
      <c r="B151" s="910" t="s">
        <v>343</v>
      </c>
      <c r="C151" s="911"/>
      <c r="D151" s="912"/>
      <c r="E151" s="309"/>
      <c r="F151" s="310"/>
      <c r="G151" s="311"/>
      <c r="H151" s="312"/>
      <c r="I151" s="313">
        <f>SUM(I36:I150)</f>
        <v>2317802.8962549618</v>
      </c>
      <c r="J151" s="312"/>
      <c r="K151" s="313">
        <f>SUM(K36:K150)</f>
        <v>950540.52807439631</v>
      </c>
      <c r="L151" s="313">
        <f>SUM(L36:L150)</f>
        <v>3268343.4243293596</v>
      </c>
      <c r="M151" s="312"/>
      <c r="N151" s="312"/>
      <c r="O151" s="313"/>
      <c r="P151" s="315">
        <f>SUM(P36:P150)</f>
        <v>4497048.5997987529</v>
      </c>
      <c r="Q151" s="272">
        <f t="shared" si="151"/>
        <v>4543742.8139791554</v>
      </c>
      <c r="R151" s="439">
        <f t="shared" ref="R151" si="156">P151-Q151</f>
        <v>-46694.214180402458</v>
      </c>
      <c r="T151" s="211"/>
      <c r="V151" s="224"/>
      <c r="W151" s="225"/>
      <c r="X151" s="225"/>
      <c r="Y151" s="899" t="s">
        <v>369</v>
      </c>
      <c r="Z151" s="899"/>
      <c r="AA151" s="899"/>
      <c r="AB151" s="548">
        <v>11.8</v>
      </c>
      <c r="AC151" s="548">
        <v>12</v>
      </c>
      <c r="AD151" s="548" t="s">
        <v>100</v>
      </c>
      <c r="AE151" s="360">
        <f>47.1*36/1.12</f>
        <v>1513.9285714285713</v>
      </c>
      <c r="AF151" s="360">
        <f>AE151*AC151</f>
        <v>18167.142857142855</v>
      </c>
      <c r="AG151" s="362">
        <v>200</v>
      </c>
      <c r="AH151" s="362">
        <f>AG151*AC151</f>
        <v>2400</v>
      </c>
      <c r="AI151" s="277"/>
      <c r="AJ151" s="277"/>
      <c r="AK151" s="278"/>
      <c r="AL151" s="225"/>
      <c r="AM151" s="282"/>
    </row>
    <row r="152" spans="1:39" s="226" customFormat="1" ht="15.75" x14ac:dyDescent="0.25">
      <c r="A152" s="517" t="s">
        <v>86</v>
      </c>
      <c r="B152" s="513" t="s">
        <v>344</v>
      </c>
      <c r="C152" s="514"/>
      <c r="D152" s="515"/>
      <c r="E152" s="254"/>
      <c r="F152" s="304"/>
      <c r="G152" s="255"/>
      <c r="H152" s="256"/>
      <c r="I152" s="256"/>
      <c r="J152" s="256"/>
      <c r="K152" s="256"/>
      <c r="L152" s="256"/>
      <c r="M152" s="256"/>
      <c r="N152" s="256"/>
      <c r="O152" s="256"/>
      <c r="P152" s="257"/>
      <c r="Q152" s="272">
        <f t="shared" si="151"/>
        <v>0</v>
      </c>
      <c r="R152" s="439"/>
      <c r="T152" s="1"/>
      <c r="V152" s="1"/>
      <c r="Y152" s="899" t="s">
        <v>370</v>
      </c>
      <c r="Z152" s="899"/>
      <c r="AA152" s="899"/>
      <c r="AB152" s="363">
        <f>(5.825*7)+(5.9*2)</f>
        <v>52.575000000000003</v>
      </c>
      <c r="AC152" s="548">
        <v>54</v>
      </c>
      <c r="AD152" s="548" t="s">
        <v>100</v>
      </c>
      <c r="AE152" s="360">
        <f>33*36/1.12</f>
        <v>1060.7142857142856</v>
      </c>
      <c r="AF152" s="360">
        <f>AE152*AC152</f>
        <v>57278.57142857142</v>
      </c>
      <c r="AG152" s="362">
        <v>130</v>
      </c>
      <c r="AH152" s="362">
        <f>AG152*AC152</f>
        <v>7020</v>
      </c>
      <c r="AI152" s="286"/>
      <c r="AJ152" s="286"/>
      <c r="AK152" s="127"/>
      <c r="AL152" s="285"/>
      <c r="AM152" s="225"/>
    </row>
    <row r="153" spans="1:39" s="1" customFormat="1" x14ac:dyDescent="0.25">
      <c r="A153" s="238"/>
      <c r="B153" s="290" t="s">
        <v>319</v>
      </c>
      <c r="C153" s="291" t="s">
        <v>132</v>
      </c>
      <c r="D153" s="316"/>
      <c r="E153" s="244"/>
      <c r="F153" s="302"/>
      <c r="G153" s="75"/>
      <c r="H153" s="74"/>
      <c r="I153" s="74"/>
      <c r="J153" s="74"/>
      <c r="K153" s="74"/>
      <c r="L153" s="74"/>
      <c r="M153" s="72"/>
      <c r="N153" s="72"/>
      <c r="O153" s="72"/>
      <c r="P153" s="205"/>
      <c r="Q153" s="272">
        <f t="shared" si="151"/>
        <v>0</v>
      </c>
      <c r="R153" s="439"/>
      <c r="S153" s="18"/>
      <c r="V153" s="579"/>
      <c r="W153" s="573"/>
      <c r="X153" s="573"/>
      <c r="Y153" s="930" t="s">
        <v>371</v>
      </c>
      <c r="Z153" s="930"/>
      <c r="AA153" s="930"/>
      <c r="AB153" s="631">
        <f>(5.825*1)</f>
        <v>5.8250000000000002</v>
      </c>
      <c r="AC153" s="632">
        <v>6</v>
      </c>
      <c r="AD153" s="632" t="s">
        <v>100</v>
      </c>
      <c r="AE153" s="633">
        <f>9.42*36/1.075</f>
        <v>315.46046511627907</v>
      </c>
      <c r="AF153" s="633">
        <f>AE153*AC153</f>
        <v>1892.7627906976745</v>
      </c>
      <c r="AG153" s="634">
        <v>35</v>
      </c>
      <c r="AH153" s="634">
        <f>AG153*AC153</f>
        <v>210</v>
      </c>
    </row>
    <row r="154" spans="1:39" s="1" customFormat="1" x14ac:dyDescent="0.25">
      <c r="A154" s="238"/>
      <c r="B154" s="317"/>
      <c r="C154" s="318">
        <v>1</v>
      </c>
      <c r="D154" s="83" t="s">
        <v>419</v>
      </c>
      <c r="E154" s="242">
        <f>61+1+5</f>
        <v>67</v>
      </c>
      <c r="F154" s="242">
        <f>61+1+5</f>
        <v>67</v>
      </c>
      <c r="G154" s="73" t="s">
        <v>283</v>
      </c>
      <c r="H154" s="67">
        <f>360/1.05</f>
        <v>342.85714285714283</v>
      </c>
      <c r="I154" s="67">
        <f>F154*H154</f>
        <v>22971.428571428569</v>
      </c>
      <c r="J154" s="67">
        <v>130</v>
      </c>
      <c r="K154" s="67">
        <f t="shared" ref="K154:K157" si="157">F154*J154</f>
        <v>8710</v>
      </c>
      <c r="L154" s="72">
        <f t="shared" ref="L154:L157" si="158">I154+K154</f>
        <v>31681.428571428569</v>
      </c>
      <c r="M154" s="67">
        <v>470.86714468115923</v>
      </c>
      <c r="N154" s="67">
        <v>178.53712569160621</v>
      </c>
      <c r="O154" s="72">
        <f t="shared" ref="O154:O157" si="159">N154+M154</f>
        <v>649.4042703727655</v>
      </c>
      <c r="P154" s="203">
        <f t="shared" ref="P154:P157" si="160">O154*F154</f>
        <v>43510.086114975289</v>
      </c>
      <c r="Q154" s="272">
        <f t="shared" si="151"/>
        <v>44044.411715259215</v>
      </c>
      <c r="R154" s="439">
        <f t="shared" ref="R154:R160" si="161">P154-Q154</f>
        <v>-534.32560028392618</v>
      </c>
      <c r="S154" s="18"/>
      <c r="T154" s="67">
        <f>360/1.05</f>
        <v>342.85714285714283</v>
      </c>
      <c r="V154" s="930" t="s">
        <v>372</v>
      </c>
      <c r="W154" s="930"/>
      <c r="X154" s="930"/>
      <c r="Y154" s="930"/>
      <c r="Z154" s="930"/>
      <c r="AA154" s="930"/>
      <c r="AB154" s="635">
        <f>7*5.925</f>
        <v>41.475000000000001</v>
      </c>
      <c r="AC154" s="632">
        <v>42</v>
      </c>
      <c r="AD154" s="636" t="s">
        <v>100</v>
      </c>
      <c r="AE154" s="633">
        <f>4.7*70/1.12</f>
        <v>293.75</v>
      </c>
      <c r="AF154" s="633">
        <f t="shared" ref="AF154:AF157" si="162">AE154*AC154</f>
        <v>12337.5</v>
      </c>
      <c r="AG154" s="634">
        <v>60</v>
      </c>
      <c r="AH154" s="634">
        <f t="shared" ref="AH154:AH157" si="163">AG154*AC154</f>
        <v>2520</v>
      </c>
    </row>
    <row r="155" spans="1:39" s="1" customFormat="1" x14ac:dyDescent="0.25">
      <c r="A155" s="238"/>
      <c r="B155" s="317"/>
      <c r="C155" s="318">
        <v>2</v>
      </c>
      <c r="D155" s="83" t="s">
        <v>134</v>
      </c>
      <c r="E155" s="242">
        <v>88</v>
      </c>
      <c r="F155" s="242">
        <v>88</v>
      </c>
      <c r="G155" s="73" t="s">
        <v>283</v>
      </c>
      <c r="H155" s="67">
        <f>837/1.05</f>
        <v>797.14285714285711</v>
      </c>
      <c r="I155" s="67">
        <f>F155*H155</f>
        <v>70148.57142857142</v>
      </c>
      <c r="J155" s="67">
        <f>J154</f>
        <v>130</v>
      </c>
      <c r="K155" s="67">
        <f t="shared" si="157"/>
        <v>11440</v>
      </c>
      <c r="L155" s="72">
        <f t="shared" si="158"/>
        <v>81588.57142857142</v>
      </c>
      <c r="M155" s="67">
        <v>1094.766111383695</v>
      </c>
      <c r="N155" s="67">
        <v>178.53712569160621</v>
      </c>
      <c r="O155" s="72">
        <f t="shared" si="159"/>
        <v>1273.3032370753012</v>
      </c>
      <c r="P155" s="203">
        <f t="shared" si="160"/>
        <v>112050.68486262651</v>
      </c>
      <c r="Q155" s="272">
        <f t="shared" si="151"/>
        <v>113426.72326653219</v>
      </c>
      <c r="R155" s="439">
        <f t="shared" si="161"/>
        <v>-1376.0384039056808</v>
      </c>
      <c r="S155" s="18"/>
      <c r="T155" s="67">
        <f>837/1.05</f>
        <v>797.14285714285711</v>
      </c>
      <c r="W155" s="226"/>
      <c r="X155" s="226"/>
      <c r="Y155" s="899" t="s">
        <v>373</v>
      </c>
      <c r="Z155" s="899"/>
      <c r="AA155" s="899"/>
      <c r="AB155" s="357">
        <v>5.83</v>
      </c>
      <c r="AC155" s="548">
        <v>6</v>
      </c>
      <c r="AD155" s="364" t="s">
        <v>100</v>
      </c>
      <c r="AE155" s="360">
        <f>600/1.05</f>
        <v>571.42857142857144</v>
      </c>
      <c r="AF155" s="360">
        <f t="shared" si="162"/>
        <v>3428.5714285714284</v>
      </c>
      <c r="AG155" s="362">
        <v>150</v>
      </c>
      <c r="AH155" s="362">
        <f t="shared" si="163"/>
        <v>900</v>
      </c>
    </row>
    <row r="156" spans="1:39" s="1" customFormat="1" x14ac:dyDescent="0.25">
      <c r="A156" s="238"/>
      <c r="B156" s="317"/>
      <c r="C156" s="318">
        <v>3</v>
      </c>
      <c r="D156" s="83" t="s">
        <v>135</v>
      </c>
      <c r="E156" s="242">
        <f>3+1</f>
        <v>4</v>
      </c>
      <c r="F156" s="242">
        <f>3+1</f>
        <v>4</v>
      </c>
      <c r="G156" s="73" t="s">
        <v>283</v>
      </c>
      <c r="H156" s="67">
        <f>260/1.05</f>
        <v>247.61904761904762</v>
      </c>
      <c r="I156" s="67">
        <f>F156*H156</f>
        <v>990.47619047619048</v>
      </c>
      <c r="J156" s="67">
        <f>J154</f>
        <v>130</v>
      </c>
      <c r="K156" s="67">
        <f t="shared" si="157"/>
        <v>520</v>
      </c>
      <c r="L156" s="72">
        <f t="shared" si="158"/>
        <v>1510.4761904761904</v>
      </c>
      <c r="M156" s="67">
        <v>340.07071560305945</v>
      </c>
      <c r="N156" s="67">
        <v>178.53712569160621</v>
      </c>
      <c r="O156" s="72">
        <f t="shared" si="159"/>
        <v>518.6078412946656</v>
      </c>
      <c r="P156" s="203">
        <f t="shared" si="160"/>
        <v>2074.4313651786624</v>
      </c>
      <c r="Q156" s="272">
        <f t="shared" si="151"/>
        <v>2099.9064189746468</v>
      </c>
      <c r="R156" s="439">
        <f t="shared" si="161"/>
        <v>-25.475053795984422</v>
      </c>
      <c r="S156" s="18"/>
      <c r="T156" s="67">
        <f>260/1.05</f>
        <v>247.61904761904762</v>
      </c>
      <c r="U156" s="18"/>
      <c r="W156" s="226"/>
      <c r="X156" s="226"/>
      <c r="Y156" s="899" t="s">
        <v>374</v>
      </c>
      <c r="Z156" s="899"/>
      <c r="AA156" s="899"/>
      <c r="AB156" s="357">
        <v>2</v>
      </c>
      <c r="AC156" s="548">
        <v>2</v>
      </c>
      <c r="AD156" s="364" t="s">
        <v>283</v>
      </c>
      <c r="AE156" s="360">
        <f>14.13*60</f>
        <v>847.80000000000007</v>
      </c>
      <c r="AF156" s="360">
        <f t="shared" si="162"/>
        <v>1695.6000000000001</v>
      </c>
      <c r="AG156" s="362">
        <v>151</v>
      </c>
      <c r="AH156" s="362">
        <f t="shared" si="163"/>
        <v>302</v>
      </c>
    </row>
    <row r="157" spans="1:39" s="1" customFormat="1" x14ac:dyDescent="0.25">
      <c r="A157" s="238"/>
      <c r="B157" s="317"/>
      <c r="C157" s="318">
        <v>4</v>
      </c>
      <c r="D157" s="83" t="s">
        <v>136</v>
      </c>
      <c r="E157" s="242">
        <v>18</v>
      </c>
      <c r="F157" s="242">
        <v>18</v>
      </c>
      <c r="G157" s="73" t="s">
        <v>283</v>
      </c>
      <c r="H157" s="67">
        <f>1980/1.05</f>
        <v>1885.7142857142856</v>
      </c>
      <c r="I157" s="67">
        <f>F157*H157</f>
        <v>33942.857142857138</v>
      </c>
      <c r="J157" s="67">
        <v>210</v>
      </c>
      <c r="K157" s="67">
        <f t="shared" si="157"/>
        <v>3780</v>
      </c>
      <c r="L157" s="72">
        <f t="shared" si="158"/>
        <v>37722.857142857138</v>
      </c>
      <c r="M157" s="67">
        <v>2589.7692957463755</v>
      </c>
      <c r="N157" s="67">
        <v>288.40612611721002</v>
      </c>
      <c r="O157" s="72">
        <f t="shared" si="159"/>
        <v>2878.1754218635856</v>
      </c>
      <c r="P157" s="203">
        <f t="shared" si="160"/>
        <v>51807.157593544543</v>
      </c>
      <c r="Q157" s="272">
        <f t="shared" si="151"/>
        <v>52443.375377784861</v>
      </c>
      <c r="R157" s="439">
        <f t="shared" si="161"/>
        <v>-636.217784240318</v>
      </c>
      <c r="S157" s="18"/>
      <c r="T157" s="67">
        <f>1980/1.05</f>
        <v>1885.7142857142856</v>
      </c>
      <c r="U157" s="18"/>
      <c r="W157" s="226"/>
      <c r="X157" s="226"/>
      <c r="Y157" s="899" t="s">
        <v>375</v>
      </c>
      <c r="Z157" s="899"/>
      <c r="AA157" s="899"/>
      <c r="AB157" s="357">
        <v>2</v>
      </c>
      <c r="AC157" s="548">
        <v>2</v>
      </c>
      <c r="AD157" s="364" t="s">
        <v>283</v>
      </c>
      <c r="AE157" s="360">
        <f>24.72*60</f>
        <v>1483.1999999999998</v>
      </c>
      <c r="AF157" s="360">
        <f t="shared" si="162"/>
        <v>2966.3999999999996</v>
      </c>
      <c r="AG157" s="362">
        <v>152</v>
      </c>
      <c r="AH157" s="362">
        <f t="shared" si="163"/>
        <v>304</v>
      </c>
    </row>
    <row r="158" spans="1:39" s="1" customFormat="1" x14ac:dyDescent="0.25">
      <c r="A158" s="238"/>
      <c r="B158" s="319"/>
      <c r="C158" s="318"/>
      <c r="D158" s="83" t="s">
        <v>137</v>
      </c>
      <c r="E158" s="242"/>
      <c r="F158" s="242"/>
      <c r="G158" s="75"/>
      <c r="H158" s="74"/>
      <c r="I158" s="74"/>
      <c r="J158" s="74"/>
      <c r="K158" s="74"/>
      <c r="L158" s="74"/>
      <c r="M158" s="72"/>
      <c r="N158" s="72"/>
      <c r="O158" s="72"/>
      <c r="P158" s="205"/>
      <c r="Q158" s="272">
        <f t="shared" si="151"/>
        <v>0</v>
      </c>
      <c r="R158" s="439"/>
      <c r="S158" s="18"/>
      <c r="T158" s="74"/>
      <c r="U158" s="18"/>
      <c r="W158" s="226"/>
      <c r="X158" s="226"/>
      <c r="Y158" s="899" t="s">
        <v>370</v>
      </c>
      <c r="Z158" s="899"/>
      <c r="AA158" s="899"/>
      <c r="AB158" s="363">
        <f>(5.825*7)+(5.9*2)</f>
        <v>52.575000000000003</v>
      </c>
      <c r="AC158" s="548">
        <v>54</v>
      </c>
      <c r="AD158" s="548" t="s">
        <v>100</v>
      </c>
      <c r="AE158" s="360">
        <f>33*36/1.12</f>
        <v>1060.7142857142856</v>
      </c>
      <c r="AF158" s="360">
        <f>AE158*AC158</f>
        <v>57278.57142857142</v>
      </c>
      <c r="AG158" s="362">
        <v>130</v>
      </c>
      <c r="AH158" s="362">
        <f>AG158*AC158</f>
        <v>7020</v>
      </c>
    </row>
    <row r="159" spans="1:39" s="1" customFormat="1" x14ac:dyDescent="0.25">
      <c r="A159" s="238"/>
      <c r="B159" s="317"/>
      <c r="C159" s="318">
        <v>5</v>
      </c>
      <c r="D159" s="83" t="s">
        <v>138</v>
      </c>
      <c r="E159" s="242">
        <v>3</v>
      </c>
      <c r="F159" s="242">
        <v>3</v>
      </c>
      <c r="G159" s="73" t="s">
        <v>283</v>
      </c>
      <c r="H159" s="67">
        <f>1620/1.05</f>
        <v>1542.8571428571429</v>
      </c>
      <c r="I159" s="67">
        <f>F159*H159</f>
        <v>4628.5714285714284</v>
      </c>
      <c r="J159" s="67">
        <v>210</v>
      </c>
      <c r="K159" s="67">
        <f t="shared" ref="K159:K160" si="164">F159*J159</f>
        <v>630</v>
      </c>
      <c r="L159" s="72">
        <f t="shared" ref="L159:L160" si="165">I159+K159</f>
        <v>5258.5714285714284</v>
      </c>
      <c r="M159" s="67">
        <v>2118.9021510652165</v>
      </c>
      <c r="N159" s="67">
        <v>288.40612611721002</v>
      </c>
      <c r="O159" s="72">
        <f t="shared" ref="O159:O160" si="166">N159+M159</f>
        <v>2407.3082771824265</v>
      </c>
      <c r="P159" s="203">
        <f t="shared" ref="P159:P160" si="167">O159*F159</f>
        <v>7221.9248315472796</v>
      </c>
      <c r="Q159" s="272">
        <f t="shared" si="151"/>
        <v>7310.6136774076385</v>
      </c>
      <c r="R159" s="439">
        <f t="shared" si="161"/>
        <v>-88.688845860358924</v>
      </c>
      <c r="S159" s="18"/>
      <c r="T159" s="67">
        <f>1620/1.05</f>
        <v>1542.8571428571429</v>
      </c>
      <c r="U159" s="18"/>
      <c r="V159" s="579"/>
      <c r="W159" s="585"/>
      <c r="X159" s="585"/>
      <c r="Y159" s="899" t="s">
        <v>376</v>
      </c>
      <c r="Z159" s="899"/>
      <c r="AA159" s="899"/>
      <c r="AB159" s="357">
        <f>4*4</f>
        <v>16</v>
      </c>
      <c r="AC159" s="548">
        <v>16</v>
      </c>
      <c r="AD159" s="364" t="s">
        <v>283</v>
      </c>
      <c r="AE159" s="360">
        <v>160</v>
      </c>
      <c r="AF159" s="360">
        <f>AE159*AC159</f>
        <v>2560</v>
      </c>
      <c r="AG159" s="362">
        <v>35</v>
      </c>
      <c r="AH159" s="362">
        <f>AG159*AC159</f>
        <v>560</v>
      </c>
    </row>
    <row r="160" spans="1:39" s="1" customFormat="1" x14ac:dyDescent="0.25">
      <c r="A160" s="238"/>
      <c r="B160" s="290"/>
      <c r="C160" s="318">
        <v>6</v>
      </c>
      <c r="D160" s="83" t="s">
        <v>139</v>
      </c>
      <c r="E160" s="242">
        <v>44</v>
      </c>
      <c r="F160" s="242">
        <v>44</v>
      </c>
      <c r="G160" s="73" t="s">
        <v>283</v>
      </c>
      <c r="H160" s="74">
        <f>3500/1.05</f>
        <v>3333.333333333333</v>
      </c>
      <c r="I160" s="67">
        <f>F160*H160</f>
        <v>146666.66666666666</v>
      </c>
      <c r="J160" s="67">
        <v>210</v>
      </c>
      <c r="K160" s="67">
        <f t="shared" si="164"/>
        <v>9240</v>
      </c>
      <c r="L160" s="72">
        <f t="shared" si="165"/>
        <v>155906.66666666666</v>
      </c>
      <c r="M160" s="67">
        <v>4577.8750177334923</v>
      </c>
      <c r="N160" s="67">
        <v>288.40612611721002</v>
      </c>
      <c r="O160" s="72">
        <f t="shared" si="166"/>
        <v>4866.2811438507024</v>
      </c>
      <c r="P160" s="203">
        <f t="shared" si="167"/>
        <v>214116.37032943091</v>
      </c>
      <c r="Q160" s="272">
        <f t="shared" si="151"/>
        <v>216745.82635497331</v>
      </c>
      <c r="R160" s="439">
        <f t="shared" si="161"/>
        <v>-2629.4560255424003</v>
      </c>
      <c r="S160" s="18"/>
      <c r="T160" s="74">
        <f>3500/1.05</f>
        <v>3333.333333333333</v>
      </c>
      <c r="V160" s="579"/>
      <c r="W160" s="585"/>
      <c r="X160" s="585"/>
      <c r="Y160" s="899" t="s">
        <v>377</v>
      </c>
      <c r="Z160" s="899"/>
      <c r="AA160" s="899"/>
      <c r="AB160" s="357">
        <v>58</v>
      </c>
      <c r="AC160" s="548">
        <v>60</v>
      </c>
      <c r="AD160" s="364" t="s">
        <v>101</v>
      </c>
      <c r="AE160" s="360">
        <v>65</v>
      </c>
      <c r="AF160" s="360">
        <f>AE160*AC160</f>
        <v>3900</v>
      </c>
      <c r="AG160" s="362">
        <v>65</v>
      </c>
      <c r="AH160" s="362">
        <f>AG160*AC160</f>
        <v>3900</v>
      </c>
    </row>
    <row r="161" spans="1:47" s="1" customFormat="1" x14ac:dyDescent="0.25">
      <c r="A161" s="238"/>
      <c r="B161" s="317"/>
      <c r="C161" s="318"/>
      <c r="D161" s="83" t="s">
        <v>140</v>
      </c>
      <c r="E161" s="242"/>
      <c r="F161" s="242"/>
      <c r="G161" s="68"/>
      <c r="H161" s="67"/>
      <c r="I161" s="67"/>
      <c r="J161" s="67"/>
      <c r="K161" s="67"/>
      <c r="L161" s="72"/>
      <c r="M161" s="67"/>
      <c r="N161" s="67"/>
      <c r="O161" s="72"/>
      <c r="P161" s="203"/>
      <c r="Q161" s="272">
        <f t="shared" si="151"/>
        <v>0</v>
      </c>
      <c r="R161" s="439"/>
      <c r="S161" s="18"/>
      <c r="T161" s="67"/>
      <c r="V161" s="657"/>
      <c r="W161" s="657"/>
      <c r="X161" s="657"/>
      <c r="Y161" s="899" t="s">
        <v>378</v>
      </c>
      <c r="Z161" s="899"/>
      <c r="AA161" s="899"/>
      <c r="AB161" s="548">
        <v>1</v>
      </c>
      <c r="AC161" s="548">
        <v>1</v>
      </c>
      <c r="AD161" s="548" t="s">
        <v>301</v>
      </c>
      <c r="AE161" s="360">
        <v>2000</v>
      </c>
      <c r="AF161" s="360">
        <f>AE161*AC161</f>
        <v>2000</v>
      </c>
      <c r="AG161" s="362">
        <v>500</v>
      </c>
      <c r="AH161" s="362">
        <f>AG161*AC161</f>
        <v>500</v>
      </c>
    </row>
    <row r="162" spans="1:47" s="1" customFormat="1" x14ac:dyDescent="0.25">
      <c r="A162" s="238"/>
      <c r="B162" s="317"/>
      <c r="C162" s="318">
        <v>7</v>
      </c>
      <c r="D162" s="83" t="s">
        <v>412</v>
      </c>
      <c r="E162" s="242">
        <v>25</v>
      </c>
      <c r="F162" s="302">
        <v>25</v>
      </c>
      <c r="G162" s="73" t="s">
        <v>283</v>
      </c>
      <c r="H162" s="67">
        <f>3100/1.05</f>
        <v>2952.3809523809523</v>
      </c>
      <c r="I162" s="67">
        <f>F162*H162</f>
        <v>73809.523809523802</v>
      </c>
      <c r="J162" s="67">
        <v>210</v>
      </c>
      <c r="K162" s="67">
        <f t="shared" ref="K162:K175" si="168">F162*J162</f>
        <v>5250</v>
      </c>
      <c r="L162" s="72">
        <f t="shared" ref="L162:L175" si="169">I162+K162</f>
        <v>79059.523809523802</v>
      </c>
      <c r="M162" s="67">
        <v>4054.6893014210932</v>
      </c>
      <c r="N162" s="67">
        <v>288.40612611721002</v>
      </c>
      <c r="O162" s="72">
        <f t="shared" ref="O162:O175" si="170">N162+M162</f>
        <v>4343.0954275383028</v>
      </c>
      <c r="P162" s="203">
        <f t="shared" ref="P162:P175" si="171">O162*F162</f>
        <v>108577.38568845757</v>
      </c>
      <c r="Q162" s="272">
        <f t="shared" si="151"/>
        <v>109910.77024283283</v>
      </c>
      <c r="R162" s="439">
        <f t="shared" ref="R162:R175" si="172">P162-Q162</f>
        <v>-1333.3845543752686</v>
      </c>
      <c r="S162" s="18"/>
      <c r="T162" s="67">
        <f>3100/1.05</f>
        <v>2952.3809523809523</v>
      </c>
      <c r="W162" s="226"/>
      <c r="X162" s="226"/>
      <c r="Y162" s="899" t="s">
        <v>379</v>
      </c>
      <c r="Z162" s="899"/>
      <c r="AA162" s="899"/>
      <c r="AB162" s="548">
        <v>1</v>
      </c>
      <c r="AC162" s="548">
        <v>1</v>
      </c>
      <c r="AD162" s="548" t="s">
        <v>301</v>
      </c>
      <c r="AE162" s="360">
        <v>2000</v>
      </c>
      <c r="AF162" s="360">
        <f>AE162*AC162</f>
        <v>2000</v>
      </c>
      <c r="AG162" s="362">
        <v>1000</v>
      </c>
      <c r="AH162" s="362">
        <f>AG162*AC162</f>
        <v>1000</v>
      </c>
      <c r="AL162" s="925" t="s">
        <v>350</v>
      </c>
      <c r="AM162" s="925"/>
      <c r="AN162" s="925"/>
      <c r="AO162" s="586" t="s">
        <v>243</v>
      </c>
      <c r="AP162" s="586" t="s">
        <v>244</v>
      </c>
      <c r="AQ162" s="586" t="s">
        <v>245</v>
      </c>
      <c r="AR162" s="587" t="s">
        <v>246</v>
      </c>
      <c r="AS162" s="588" t="s">
        <v>247</v>
      </c>
      <c r="AT162" s="586" t="s">
        <v>248</v>
      </c>
      <c r="AU162" s="589" t="s">
        <v>249</v>
      </c>
    </row>
    <row r="163" spans="1:47" s="1" customFormat="1" x14ac:dyDescent="0.25">
      <c r="A163" s="238"/>
      <c r="B163" s="317"/>
      <c r="C163" s="318">
        <v>8</v>
      </c>
      <c r="D163" s="83" t="s">
        <v>286</v>
      </c>
      <c r="E163" s="242">
        <v>4</v>
      </c>
      <c r="F163" s="302">
        <v>4</v>
      </c>
      <c r="G163" s="73" t="s">
        <v>283</v>
      </c>
      <c r="H163" s="67">
        <f>2400/1.05</f>
        <v>2285.7142857142858</v>
      </c>
      <c r="I163" s="67">
        <f>F163*H163</f>
        <v>9142.8571428571431</v>
      </c>
      <c r="J163" s="67">
        <v>210</v>
      </c>
      <c r="K163" s="67">
        <f t="shared" si="168"/>
        <v>840</v>
      </c>
      <c r="L163" s="72">
        <f t="shared" si="169"/>
        <v>9982.8571428571431</v>
      </c>
      <c r="M163" s="67">
        <v>3139.1142978743951</v>
      </c>
      <c r="N163" s="67">
        <v>288.40612611721002</v>
      </c>
      <c r="O163" s="72">
        <f t="shared" si="170"/>
        <v>3427.5204239916052</v>
      </c>
      <c r="P163" s="203">
        <f t="shared" si="171"/>
        <v>13710.081695966421</v>
      </c>
      <c r="Q163" s="272">
        <f t="shared" si="151"/>
        <v>13878.448350373426</v>
      </c>
      <c r="R163" s="439">
        <f t="shared" si="172"/>
        <v>-168.36665440700563</v>
      </c>
      <c r="S163" s="18"/>
      <c r="T163" s="67">
        <f>2400/1.05</f>
        <v>2285.7142857142858</v>
      </c>
      <c r="W163" s="226"/>
      <c r="X163" s="226"/>
      <c r="Y163" s="226"/>
      <c r="Z163" s="226"/>
      <c r="AA163" s="226"/>
      <c r="AB163" s="226"/>
      <c r="AC163" s="226"/>
      <c r="AD163" s="226"/>
      <c r="AE163" s="226"/>
      <c r="AF163" s="365">
        <f>SUM(AF149:AF162)</f>
        <v>310570.11993355479</v>
      </c>
      <c r="AG163" s="60"/>
      <c r="AH163" s="366">
        <f>SUM(AH149:AH162)</f>
        <v>40781</v>
      </c>
      <c r="AL163" s="926" t="s">
        <v>250</v>
      </c>
      <c r="AM163" s="926"/>
      <c r="AN163" s="926"/>
      <c r="AO163" s="593" t="s">
        <v>251</v>
      </c>
      <c r="AP163" s="594">
        <v>2.77</v>
      </c>
      <c r="AQ163" s="594">
        <v>3</v>
      </c>
      <c r="AR163" s="587">
        <f>350/1.07</f>
        <v>327.10280373831773</v>
      </c>
      <c r="AS163" s="588">
        <f>AR163*AQ163</f>
        <v>981.30841121495314</v>
      </c>
      <c r="AT163" s="594">
        <v>71.7</v>
      </c>
      <c r="AU163" s="595">
        <f>AT163*AQ163</f>
        <v>215.10000000000002</v>
      </c>
    </row>
    <row r="164" spans="1:47" s="1" customFormat="1" x14ac:dyDescent="0.25">
      <c r="A164" s="238"/>
      <c r="B164" s="317"/>
      <c r="C164" s="318"/>
      <c r="D164" s="83"/>
      <c r="E164" s="242"/>
      <c r="F164" s="302"/>
      <c r="G164" s="73"/>
      <c r="H164" s="67"/>
      <c r="I164" s="67"/>
      <c r="J164" s="67"/>
      <c r="K164" s="67"/>
      <c r="L164" s="72"/>
      <c r="M164" s="67"/>
      <c r="N164" s="67"/>
      <c r="O164" s="72"/>
      <c r="P164" s="203"/>
      <c r="Q164" s="272">
        <f t="shared" si="151"/>
        <v>0</v>
      </c>
      <c r="R164" s="439"/>
      <c r="S164" s="18"/>
      <c r="AL164" s="926" t="s">
        <v>252</v>
      </c>
      <c r="AM164" s="926"/>
      <c r="AN164" s="926"/>
      <c r="AO164" s="593" t="s">
        <v>253</v>
      </c>
      <c r="AP164" s="594">
        <v>0.25</v>
      </c>
      <c r="AQ164" s="594">
        <v>0.25</v>
      </c>
      <c r="AR164" s="587">
        <f>AC44</f>
        <v>268.8679245283019</v>
      </c>
      <c r="AS164" s="588">
        <f>AR164*AQ164</f>
        <v>67.216981132075475</v>
      </c>
      <c r="AT164" s="594"/>
      <c r="AU164" s="595">
        <f>AT164*AQ164</f>
        <v>0</v>
      </c>
    </row>
    <row r="165" spans="1:47" s="1" customFormat="1" x14ac:dyDescent="0.25">
      <c r="A165" s="238"/>
      <c r="B165" s="290" t="s">
        <v>320</v>
      </c>
      <c r="C165" s="291" t="s">
        <v>420</v>
      </c>
      <c r="D165" s="316"/>
      <c r="E165" s="244"/>
      <c r="F165" s="302"/>
      <c r="G165" s="75"/>
      <c r="H165" s="440">
        <v>0.87</v>
      </c>
      <c r="I165" s="74"/>
      <c r="J165" s="440">
        <v>0.85</v>
      </c>
      <c r="K165" s="74"/>
      <c r="L165" s="74"/>
      <c r="M165" s="72"/>
      <c r="N165" s="72"/>
      <c r="O165" s="72"/>
      <c r="P165" s="205"/>
      <c r="Q165" s="272">
        <f t="shared" si="151"/>
        <v>0</v>
      </c>
      <c r="R165" s="439"/>
      <c r="S165" s="18"/>
      <c r="AL165" s="926" t="s">
        <v>254</v>
      </c>
      <c r="AM165" s="926"/>
      <c r="AN165" s="926"/>
      <c r="AO165" s="593" t="s">
        <v>255</v>
      </c>
      <c r="AP165" s="594">
        <v>0.25</v>
      </c>
      <c r="AQ165" s="594">
        <v>0.35</v>
      </c>
      <c r="AR165" s="587">
        <f>AC45</f>
        <v>34.905660377358487</v>
      </c>
      <c r="AS165" s="588">
        <f>AR165*AQ165</f>
        <v>12.216981132075469</v>
      </c>
      <c r="AT165" s="594"/>
      <c r="AU165" s="595">
        <f>AT165*AQ165</f>
        <v>0</v>
      </c>
    </row>
    <row r="166" spans="1:47" s="1" customFormat="1" x14ac:dyDescent="0.25">
      <c r="A166" s="238"/>
      <c r="B166" s="317"/>
      <c r="C166" s="318">
        <v>1</v>
      </c>
      <c r="D166" s="83" t="s">
        <v>421</v>
      </c>
      <c r="E166" s="539">
        <v>2284</v>
      </c>
      <c r="F166" s="242">
        <v>2450</v>
      </c>
      <c r="G166" s="73" t="s">
        <v>100</v>
      </c>
      <c r="H166" s="67">
        <f>T166/$H$165</f>
        <v>17.241379310344829</v>
      </c>
      <c r="I166" s="67">
        <f>F166*H166</f>
        <v>42241.379310344833</v>
      </c>
      <c r="J166" s="67">
        <f>W166/$J$165</f>
        <v>5.882352941176471</v>
      </c>
      <c r="K166" s="67">
        <f t="shared" si="168"/>
        <v>14411.764705882353</v>
      </c>
      <c r="L166" s="72">
        <f t="shared" si="169"/>
        <v>56653.14401622719</v>
      </c>
      <c r="M166" s="67">
        <v>23.678663884828413</v>
      </c>
      <c r="N166" s="67">
        <v>8.0786029724708701</v>
      </c>
      <c r="O166" s="72">
        <f t="shared" si="170"/>
        <v>31.757266857299285</v>
      </c>
      <c r="P166" s="203">
        <f t="shared" si="171"/>
        <v>77805.303800383248</v>
      </c>
      <c r="Q166" s="272">
        <f t="shared" si="151"/>
        <v>78760.791811796429</v>
      </c>
      <c r="R166" s="439">
        <f t="shared" si="172"/>
        <v>-955.48801141318108</v>
      </c>
      <c r="S166" s="18"/>
      <c r="T166" s="67">
        <v>15</v>
      </c>
      <c r="U166" s="18"/>
      <c r="V166" s="273"/>
      <c r="W166" s="67">
        <v>5</v>
      </c>
      <c r="X166" s="224"/>
      <c r="Y166" s="224"/>
      <c r="Z166" s="224"/>
      <c r="AA166" s="224"/>
      <c r="AB166" s="224"/>
      <c r="AC166" s="224"/>
      <c r="AD166" s="224"/>
      <c r="AE166" s="224"/>
      <c r="AF166" s="224"/>
      <c r="AL166" s="926" t="s">
        <v>256</v>
      </c>
      <c r="AM166" s="926"/>
      <c r="AN166" s="926"/>
      <c r="AO166" s="593" t="s">
        <v>257</v>
      </c>
      <c r="AP166" s="594">
        <v>1</v>
      </c>
      <c r="AQ166" s="594">
        <v>1</v>
      </c>
      <c r="AR166" s="587">
        <v>0</v>
      </c>
      <c r="AS166" s="588">
        <f>AR166*AQ166</f>
        <v>0</v>
      </c>
      <c r="AT166" s="594">
        <v>0</v>
      </c>
      <c r="AU166" s="595">
        <f>AT166*AQ166</f>
        <v>0</v>
      </c>
    </row>
    <row r="167" spans="1:47" s="1" customFormat="1" x14ac:dyDescent="0.25">
      <c r="A167" s="238"/>
      <c r="B167" s="317"/>
      <c r="C167" s="318">
        <v>2</v>
      </c>
      <c r="D167" s="83" t="s">
        <v>422</v>
      </c>
      <c r="E167" s="539">
        <v>6464</v>
      </c>
      <c r="F167" s="242">
        <v>6880</v>
      </c>
      <c r="G167" s="73" t="s">
        <v>100</v>
      </c>
      <c r="H167" s="67">
        <f>T167/$H$165</f>
        <v>25.287356321839081</v>
      </c>
      <c r="I167" s="67">
        <f t="shared" ref="I167:I175" si="173">F167*H167</f>
        <v>173977.01149425289</v>
      </c>
      <c r="J167" s="67">
        <f t="shared" ref="J167:J175" si="174">W167/$J$165</f>
        <v>8.2352941176470598</v>
      </c>
      <c r="K167" s="67">
        <f t="shared" si="168"/>
        <v>56658.823529411769</v>
      </c>
      <c r="L167" s="72">
        <f t="shared" si="169"/>
        <v>230635.83502366467</v>
      </c>
      <c r="M167" s="67">
        <v>34.728707031081669</v>
      </c>
      <c r="N167" s="67">
        <v>11.310044161459219</v>
      </c>
      <c r="O167" s="72">
        <f t="shared" si="170"/>
        <v>46.038751192540886</v>
      </c>
      <c r="P167" s="203">
        <f t="shared" si="171"/>
        <v>316746.60820468131</v>
      </c>
      <c r="Q167" s="272">
        <f t="shared" si="151"/>
        <v>320636.4148375534</v>
      </c>
      <c r="R167" s="439">
        <f t="shared" si="172"/>
        <v>-3889.8066328720888</v>
      </c>
      <c r="S167" s="18"/>
      <c r="T167" s="67">
        <v>22</v>
      </c>
      <c r="U167" s="18"/>
      <c r="V167" s="273"/>
      <c r="W167" s="67">
        <v>7</v>
      </c>
      <c r="X167" s="224"/>
      <c r="Y167" s="224"/>
      <c r="Z167" s="224"/>
      <c r="AA167" s="224"/>
      <c r="AB167" s="224"/>
      <c r="AC167" s="224"/>
      <c r="AD167" s="224"/>
      <c r="AE167" s="224"/>
      <c r="AF167" s="224"/>
      <c r="AL167" s="605"/>
      <c r="AM167" s="605"/>
      <c r="AN167" s="605"/>
      <c r="AO167" s="605"/>
      <c r="AP167" s="594"/>
      <c r="AQ167" s="594"/>
      <c r="AR167" s="587"/>
      <c r="AS167" s="589">
        <f>SUM(AS163:AS166)</f>
        <v>1060.7423734791041</v>
      </c>
      <c r="AT167" s="586"/>
      <c r="AU167" s="589">
        <f>SUM(AU163:AU166)</f>
        <v>215.10000000000002</v>
      </c>
    </row>
    <row r="168" spans="1:47" s="1" customFormat="1" x14ac:dyDescent="0.25">
      <c r="A168" s="238"/>
      <c r="B168" s="317"/>
      <c r="C168" s="318">
        <v>3</v>
      </c>
      <c r="D168" s="83" t="s">
        <v>423</v>
      </c>
      <c r="E168" s="539">
        <v>1087</v>
      </c>
      <c r="F168" s="242">
        <v>1215</v>
      </c>
      <c r="G168" s="73" t="s">
        <v>100</v>
      </c>
      <c r="H168" s="67">
        <f t="shared" ref="H168:H175" si="175">T168/$H$165</f>
        <v>37.931034482758619</v>
      </c>
      <c r="I168" s="67">
        <f t="shared" si="173"/>
        <v>46086.206896551725</v>
      </c>
      <c r="J168" s="67">
        <f t="shared" si="174"/>
        <v>18.823529411764707</v>
      </c>
      <c r="K168" s="67">
        <f t="shared" si="168"/>
        <v>22870.588235294119</v>
      </c>
      <c r="L168" s="72">
        <f t="shared" si="169"/>
        <v>68956.795131845836</v>
      </c>
      <c r="M168" s="67">
        <v>52.093060546622503</v>
      </c>
      <c r="N168" s="67">
        <v>25.851529511906783</v>
      </c>
      <c r="O168" s="72">
        <f t="shared" si="170"/>
        <v>77.944590058529286</v>
      </c>
      <c r="P168" s="203">
        <f t="shared" si="171"/>
        <v>94702.676921113089</v>
      </c>
      <c r="Q168" s="272">
        <f t="shared" si="151"/>
        <v>95865.673118377628</v>
      </c>
      <c r="R168" s="439">
        <f t="shared" si="172"/>
        <v>-1162.9961972645397</v>
      </c>
      <c r="S168" s="18"/>
      <c r="T168" s="67">
        <v>33</v>
      </c>
      <c r="U168" s="18"/>
      <c r="V168" s="273"/>
      <c r="W168" s="67">
        <v>16</v>
      </c>
      <c r="X168" s="224"/>
      <c r="Y168" s="224"/>
      <c r="Z168" s="224"/>
      <c r="AA168" s="224"/>
      <c r="AB168" s="224"/>
      <c r="AC168" s="224"/>
      <c r="AD168" s="224"/>
      <c r="AE168" s="224"/>
      <c r="AF168" s="224"/>
      <c r="AL168" s="585"/>
      <c r="AM168" s="585"/>
      <c r="AN168" s="585"/>
      <c r="AO168" s="585"/>
      <c r="AP168" s="585"/>
      <c r="AQ168" s="585"/>
      <c r="AR168" s="585"/>
      <c r="AS168" s="579"/>
      <c r="AT168" s="585"/>
      <c r="AU168" s="579"/>
    </row>
    <row r="169" spans="1:47" s="1" customFormat="1" x14ac:dyDescent="0.25">
      <c r="A169" s="238"/>
      <c r="B169" s="317"/>
      <c r="C169" s="318">
        <v>4</v>
      </c>
      <c r="D169" s="83" t="s">
        <v>430</v>
      </c>
      <c r="E169" s="539">
        <v>1771</v>
      </c>
      <c r="F169" s="242">
        <v>1880</v>
      </c>
      <c r="G169" s="73" t="s">
        <v>100</v>
      </c>
      <c r="H169" s="67">
        <f t="shared" si="175"/>
        <v>60.919540229885058</v>
      </c>
      <c r="I169" s="67">
        <f t="shared" si="173"/>
        <v>114528.7356321839</v>
      </c>
      <c r="J169" s="67">
        <f t="shared" si="174"/>
        <v>18.823529411764707</v>
      </c>
      <c r="K169" s="67">
        <f t="shared" si="168"/>
        <v>35388.23529411765</v>
      </c>
      <c r="L169" s="72">
        <f t="shared" si="169"/>
        <v>149916.97092630155</v>
      </c>
      <c r="M169" s="67">
        <v>83.664612393060381</v>
      </c>
      <c r="N169" s="67">
        <v>25.851529511906783</v>
      </c>
      <c r="O169" s="72">
        <f t="shared" si="170"/>
        <v>109.51614190496716</v>
      </c>
      <c r="P169" s="203">
        <f t="shared" si="171"/>
        <v>205890.34678133824</v>
      </c>
      <c r="Q169" s="272">
        <f t="shared" si="151"/>
        <v>208418.78312701453</v>
      </c>
      <c r="R169" s="439">
        <f t="shared" si="172"/>
        <v>-2528.4363456762803</v>
      </c>
      <c r="S169" s="18"/>
      <c r="T169" s="67">
        <v>53</v>
      </c>
      <c r="U169" s="18"/>
      <c r="V169" s="273"/>
      <c r="W169" s="67">
        <v>16</v>
      </c>
      <c r="X169" s="224"/>
      <c r="Y169" s="224"/>
      <c r="Z169" s="224"/>
      <c r="AA169" s="224"/>
      <c r="AB169" s="224"/>
      <c r="AC169" s="224"/>
      <c r="AD169" s="224"/>
      <c r="AE169" s="224"/>
      <c r="AF169" s="224"/>
      <c r="AL169" s="585"/>
      <c r="AM169" s="585"/>
      <c r="AN169" s="585"/>
      <c r="AO169" s="585"/>
      <c r="AP169" s="585"/>
      <c r="AQ169" s="585"/>
      <c r="AR169" s="585"/>
      <c r="AS169" s="579"/>
      <c r="AT169" s="585"/>
      <c r="AU169" s="579"/>
    </row>
    <row r="170" spans="1:47" s="1" customFormat="1" x14ac:dyDescent="0.25">
      <c r="A170" s="238"/>
      <c r="B170" s="317"/>
      <c r="C170" s="318">
        <v>5</v>
      </c>
      <c r="D170" s="83" t="s">
        <v>424</v>
      </c>
      <c r="E170" s="242">
        <v>21</v>
      </c>
      <c r="F170" s="242">
        <v>23</v>
      </c>
      <c r="G170" s="73" t="s">
        <v>100</v>
      </c>
      <c r="H170" s="67">
        <f t="shared" si="175"/>
        <v>95.402298850574709</v>
      </c>
      <c r="I170" s="67">
        <f t="shared" si="173"/>
        <v>2194.2528735632181</v>
      </c>
      <c r="J170" s="67">
        <f t="shared" si="174"/>
        <v>29.411764705882355</v>
      </c>
      <c r="K170" s="67">
        <f t="shared" si="168"/>
        <v>676.47058823529414</v>
      </c>
      <c r="L170" s="72">
        <f t="shared" si="169"/>
        <v>2870.7234617985123</v>
      </c>
      <c r="M170" s="67">
        <v>131.02194016271721</v>
      </c>
      <c r="N170" s="67">
        <v>40.393014862354349</v>
      </c>
      <c r="O170" s="72">
        <f t="shared" si="170"/>
        <v>171.41495502507155</v>
      </c>
      <c r="P170" s="203">
        <f t="shared" si="171"/>
        <v>3942.5439655766459</v>
      </c>
      <c r="Q170" s="272">
        <f t="shared" si="151"/>
        <v>3990.9603756358179</v>
      </c>
      <c r="R170" s="439">
        <f t="shared" si="172"/>
        <v>-48.416410059171994</v>
      </c>
      <c r="S170" s="18"/>
      <c r="T170" s="67">
        <v>83</v>
      </c>
      <c r="U170" s="18"/>
      <c r="V170" s="273"/>
      <c r="W170" s="67">
        <v>25</v>
      </c>
      <c r="AL170" s="927" t="s">
        <v>351</v>
      </c>
      <c r="AM170" s="927"/>
      <c r="AN170" s="927"/>
      <c r="AO170" s="586" t="s">
        <v>243</v>
      </c>
      <c r="AP170" s="586" t="s">
        <v>244</v>
      </c>
      <c r="AQ170" s="586" t="s">
        <v>245</v>
      </c>
      <c r="AR170" s="587" t="s">
        <v>246</v>
      </c>
      <c r="AS170" s="588" t="s">
        <v>247</v>
      </c>
      <c r="AT170" s="586" t="s">
        <v>248</v>
      </c>
      <c r="AU170" s="589" t="s">
        <v>249</v>
      </c>
    </row>
    <row r="171" spans="1:47" s="1" customFormat="1" x14ac:dyDescent="0.25">
      <c r="A171" s="238"/>
      <c r="B171" s="319"/>
      <c r="C171" s="318">
        <v>6</v>
      </c>
      <c r="D171" s="83" t="s">
        <v>425</v>
      </c>
      <c r="E171" s="242">
        <v>24</v>
      </c>
      <c r="F171" s="242">
        <v>27</v>
      </c>
      <c r="G171" s="73" t="s">
        <v>100</v>
      </c>
      <c r="H171" s="67">
        <f t="shared" si="175"/>
        <v>149.42528735632183</v>
      </c>
      <c r="I171" s="67">
        <f t="shared" si="173"/>
        <v>4034.4827586206893</v>
      </c>
      <c r="J171" s="67">
        <f t="shared" si="174"/>
        <v>45.882352941176471</v>
      </c>
      <c r="K171" s="67">
        <f t="shared" si="168"/>
        <v>1238.8235294117646</v>
      </c>
      <c r="L171" s="72">
        <f t="shared" si="169"/>
        <v>5273.3062880324542</v>
      </c>
      <c r="M171" s="67">
        <v>205.2150870018462</v>
      </c>
      <c r="N171" s="67">
        <v>63.013103185272776</v>
      </c>
      <c r="O171" s="72">
        <f t="shared" si="170"/>
        <v>268.22819018711897</v>
      </c>
      <c r="P171" s="203">
        <f t="shared" si="171"/>
        <v>7242.1611350522126</v>
      </c>
      <c r="Q171" s="272">
        <f t="shared" si="151"/>
        <v>7331.0984928320659</v>
      </c>
      <c r="R171" s="439">
        <f t="shared" si="172"/>
        <v>-88.937357779853301</v>
      </c>
      <c r="S171" s="18"/>
      <c r="T171" s="67">
        <v>130</v>
      </c>
      <c r="U171" s="18"/>
      <c r="V171" s="273"/>
      <c r="W171" s="67">
        <v>39</v>
      </c>
      <c r="X171" s="224"/>
      <c r="Y171" s="224"/>
      <c r="Z171" s="224"/>
      <c r="AA171" s="224"/>
      <c r="AB171" s="224"/>
      <c r="AC171" s="224"/>
      <c r="AD171" s="224"/>
      <c r="AE171" s="224"/>
      <c r="AF171" s="224"/>
      <c r="AL171" s="926" t="s">
        <v>352</v>
      </c>
      <c r="AM171" s="926"/>
      <c r="AN171" s="926"/>
      <c r="AO171" s="593" t="s">
        <v>251</v>
      </c>
      <c r="AP171" s="594">
        <v>8.33</v>
      </c>
      <c r="AQ171" s="594">
        <v>9</v>
      </c>
      <c r="AR171" s="587">
        <f>130/1.06</f>
        <v>122.64150943396226</v>
      </c>
      <c r="AS171" s="588">
        <f>AR171*AQ171</f>
        <v>1103.7735849056603</v>
      </c>
      <c r="AT171" s="594">
        <f>AE128</f>
        <v>23.9</v>
      </c>
      <c r="AU171" s="595">
        <f>AT171*AQ171</f>
        <v>215.1</v>
      </c>
    </row>
    <row r="172" spans="1:47" s="1" customFormat="1" x14ac:dyDescent="0.25">
      <c r="A172" s="238"/>
      <c r="B172" s="317"/>
      <c r="C172" s="318">
        <v>7</v>
      </c>
      <c r="D172" s="83" t="s">
        <v>426</v>
      </c>
      <c r="E172" s="242">
        <v>9</v>
      </c>
      <c r="F172" s="242">
        <v>11</v>
      </c>
      <c r="G172" s="73" t="s">
        <v>100</v>
      </c>
      <c r="H172" s="67">
        <f t="shared" si="175"/>
        <v>218.39080459770116</v>
      </c>
      <c r="I172" s="67">
        <f t="shared" si="173"/>
        <v>2402.2988505747126</v>
      </c>
      <c r="J172" s="67">
        <f t="shared" si="174"/>
        <v>67.058823529411768</v>
      </c>
      <c r="K172" s="67">
        <f t="shared" si="168"/>
        <v>737.64705882352951</v>
      </c>
      <c r="L172" s="72">
        <f t="shared" si="169"/>
        <v>3139.9459093982423</v>
      </c>
      <c r="M172" s="67">
        <v>299.9297425411599</v>
      </c>
      <c r="N172" s="67">
        <v>92.096073886167915</v>
      </c>
      <c r="O172" s="72">
        <f t="shared" si="170"/>
        <v>392.02581642732781</v>
      </c>
      <c r="P172" s="203">
        <f t="shared" si="171"/>
        <v>4312.2839807006058</v>
      </c>
      <c r="Q172" s="272">
        <f t="shared" si="151"/>
        <v>4365.2409829114013</v>
      </c>
      <c r="R172" s="439">
        <f t="shared" si="172"/>
        <v>-52.957002210795508</v>
      </c>
      <c r="S172" s="18"/>
      <c r="T172" s="67">
        <v>190</v>
      </c>
      <c r="U172" s="18"/>
      <c r="V172" s="273"/>
      <c r="W172" s="67">
        <v>57</v>
      </c>
      <c r="X172" s="224"/>
      <c r="Y172" s="224"/>
      <c r="Z172" s="224"/>
      <c r="AA172" s="224"/>
      <c r="AB172" s="224"/>
      <c r="AC172" s="224"/>
      <c r="AD172" s="224"/>
      <c r="AE172" s="224"/>
      <c r="AF172" s="224"/>
      <c r="AL172" s="926" t="s">
        <v>252</v>
      </c>
      <c r="AM172" s="926"/>
      <c r="AN172" s="926"/>
      <c r="AO172" s="593" t="s">
        <v>253</v>
      </c>
      <c r="AP172" s="594">
        <v>0.25</v>
      </c>
      <c r="AQ172" s="594">
        <v>0.25</v>
      </c>
      <c r="AR172" s="587">
        <f>260/1.06</f>
        <v>245.28301886792451</v>
      </c>
      <c r="AS172" s="588">
        <f>AR172*AQ172</f>
        <v>61.320754716981128</v>
      </c>
      <c r="AT172" s="594"/>
      <c r="AU172" s="595">
        <f>AT172*AQ172</f>
        <v>0</v>
      </c>
    </row>
    <row r="173" spans="1:47" s="1" customFormat="1" x14ac:dyDescent="0.25">
      <c r="A173" s="238"/>
      <c r="B173" s="317"/>
      <c r="C173" s="318">
        <v>8</v>
      </c>
      <c r="D173" s="83" t="s">
        <v>427</v>
      </c>
      <c r="E173" s="539">
        <v>34</v>
      </c>
      <c r="F173" s="242">
        <v>47</v>
      </c>
      <c r="G173" s="73" t="s">
        <v>100</v>
      </c>
      <c r="H173" s="67">
        <f t="shared" si="175"/>
        <v>356.32183908045977</v>
      </c>
      <c r="I173" s="67">
        <f t="shared" si="173"/>
        <v>16747.126436781607</v>
      </c>
      <c r="J173" s="67">
        <f t="shared" si="174"/>
        <v>109.41176470588236</v>
      </c>
      <c r="K173" s="67">
        <f t="shared" si="168"/>
        <v>5142.3529411764712</v>
      </c>
      <c r="L173" s="72">
        <f t="shared" si="169"/>
        <v>21889.47937795808</v>
      </c>
      <c r="M173" s="67">
        <v>489.35905361978712</v>
      </c>
      <c r="N173" s="67">
        <v>150.26201528795818</v>
      </c>
      <c r="O173" s="72">
        <f t="shared" si="170"/>
        <v>639.62106890774533</v>
      </c>
      <c r="P173" s="203">
        <f t="shared" si="171"/>
        <v>30062.190238664029</v>
      </c>
      <c r="Q173" s="272">
        <f t="shared" si="151"/>
        <v>30431.368957425413</v>
      </c>
      <c r="R173" s="439">
        <f t="shared" si="172"/>
        <v>-369.17871876138452</v>
      </c>
      <c r="S173" s="18"/>
      <c r="T173" s="67">
        <v>310</v>
      </c>
      <c r="U173" s="18"/>
      <c r="V173" s="273"/>
      <c r="W173" s="67">
        <v>93</v>
      </c>
      <c r="AL173" s="926" t="s">
        <v>254</v>
      </c>
      <c r="AM173" s="926"/>
      <c r="AN173" s="926"/>
      <c r="AO173" s="593" t="s">
        <v>255</v>
      </c>
      <c r="AP173" s="594">
        <v>0.25</v>
      </c>
      <c r="AQ173" s="594">
        <v>0.35</v>
      </c>
      <c r="AR173" s="587">
        <f>37/1.06</f>
        <v>34.905660377358487</v>
      </c>
      <c r="AS173" s="588">
        <f>AR173*AQ173</f>
        <v>12.216981132075469</v>
      </c>
      <c r="AT173" s="594"/>
      <c r="AU173" s="595">
        <f>AT173*AQ173</f>
        <v>0</v>
      </c>
    </row>
    <row r="174" spans="1:47" s="1" customFormat="1" x14ac:dyDescent="0.25">
      <c r="A174" s="238"/>
      <c r="B174" s="317"/>
      <c r="C174" s="318">
        <v>9</v>
      </c>
      <c r="D174" s="83" t="s">
        <v>428</v>
      </c>
      <c r="E174" s="539">
        <v>27</v>
      </c>
      <c r="F174" s="242">
        <v>37</v>
      </c>
      <c r="G174" s="73" t="s">
        <v>100</v>
      </c>
      <c r="H174" s="67">
        <f t="shared" si="175"/>
        <v>1018.3908045977012</v>
      </c>
      <c r="I174" s="67">
        <f t="shared" si="173"/>
        <v>37680.45977011494</v>
      </c>
      <c r="J174" s="67">
        <f t="shared" si="174"/>
        <v>311.76470588235293</v>
      </c>
      <c r="K174" s="67">
        <f t="shared" si="168"/>
        <v>11535.294117647058</v>
      </c>
      <c r="L174" s="72">
        <f t="shared" si="169"/>
        <v>49215.753887761995</v>
      </c>
      <c r="M174" s="67">
        <v>1398.6197467971981</v>
      </c>
      <c r="N174" s="67">
        <v>428.16595754095607</v>
      </c>
      <c r="O174" s="72">
        <f t="shared" si="170"/>
        <v>1826.7857043381541</v>
      </c>
      <c r="P174" s="203">
        <f t="shared" si="171"/>
        <v>67591.071060511706</v>
      </c>
      <c r="Q174" s="272">
        <f t="shared" si="151"/>
        <v>68421.123189638878</v>
      </c>
      <c r="R174" s="439">
        <f t="shared" si="172"/>
        <v>-830.05212912717252</v>
      </c>
      <c r="S174" s="18"/>
      <c r="T174" s="67">
        <v>886</v>
      </c>
      <c r="U174" s="18"/>
      <c r="V174" s="273"/>
      <c r="W174" s="67">
        <v>265</v>
      </c>
      <c r="AL174" s="926" t="s">
        <v>256</v>
      </c>
      <c r="AM174" s="926"/>
      <c r="AN174" s="926"/>
      <c r="AO174" s="593" t="s">
        <v>257</v>
      </c>
      <c r="AP174" s="594">
        <v>1</v>
      </c>
      <c r="AQ174" s="594">
        <v>1</v>
      </c>
      <c r="AR174" s="587">
        <v>0</v>
      </c>
      <c r="AS174" s="588">
        <f>AR174*AQ174</f>
        <v>0</v>
      </c>
      <c r="AT174" s="594">
        <v>0</v>
      </c>
      <c r="AU174" s="595">
        <f>AT174*AQ174</f>
        <v>0</v>
      </c>
    </row>
    <row r="175" spans="1:47" s="1" customFormat="1" x14ac:dyDescent="0.25">
      <c r="A175" s="238"/>
      <c r="B175" s="317"/>
      <c r="C175" s="318">
        <v>10</v>
      </c>
      <c r="D175" s="83" t="s">
        <v>429</v>
      </c>
      <c r="E175" s="539">
        <v>102</v>
      </c>
      <c r="F175" s="242">
        <v>125</v>
      </c>
      <c r="G175" s="73" t="s">
        <v>100</v>
      </c>
      <c r="H175" s="67">
        <f t="shared" si="175"/>
        <v>1650.5747126436781</v>
      </c>
      <c r="I175" s="67">
        <f t="shared" si="173"/>
        <v>206321.83908045976</v>
      </c>
      <c r="J175" s="67">
        <f t="shared" si="174"/>
        <v>505.88235294117646</v>
      </c>
      <c r="K175" s="67">
        <f t="shared" si="168"/>
        <v>63235.294117647056</v>
      </c>
      <c r="L175" s="72">
        <f t="shared" si="169"/>
        <v>269557.13319810684</v>
      </c>
      <c r="M175" s="67">
        <v>2266.8374225742396</v>
      </c>
      <c r="N175" s="67">
        <v>694.7598556324948</v>
      </c>
      <c r="O175" s="72">
        <f t="shared" si="170"/>
        <v>2961.5972782067342</v>
      </c>
      <c r="P175" s="203">
        <f t="shared" si="171"/>
        <v>370199.65977584181</v>
      </c>
      <c r="Q175" s="272">
        <f t="shared" si="151"/>
        <v>374745.89659348299</v>
      </c>
      <c r="R175" s="439">
        <f t="shared" si="172"/>
        <v>-4546.2368176411837</v>
      </c>
      <c r="S175" s="18"/>
      <c r="T175" s="67">
        <v>1436</v>
      </c>
      <c r="U175" s="18"/>
      <c r="V175" s="273"/>
      <c r="W175" s="67">
        <v>430</v>
      </c>
      <c r="AL175" s="605"/>
      <c r="AM175" s="605"/>
      <c r="AN175" s="605"/>
      <c r="AO175" s="605"/>
      <c r="AP175" s="594"/>
      <c r="AQ175" s="594"/>
      <c r="AR175" s="587"/>
      <c r="AS175" s="589">
        <f>SUM(AS171:AS174)</f>
        <v>1177.3113207547169</v>
      </c>
      <c r="AT175" s="586"/>
      <c r="AU175" s="589">
        <f>SUM(AU171:AU174)</f>
        <v>215.1</v>
      </c>
    </row>
    <row r="176" spans="1:47" s="1" customFormat="1" x14ac:dyDescent="0.25">
      <c r="A176" s="238"/>
      <c r="B176" s="317"/>
      <c r="C176" s="318"/>
      <c r="D176" s="83"/>
      <c r="E176" s="242"/>
      <c r="F176" s="242"/>
      <c r="G176" s="73"/>
      <c r="H176" s="67"/>
      <c r="I176" s="67"/>
      <c r="J176" s="67"/>
      <c r="K176" s="67"/>
      <c r="L176" s="72"/>
      <c r="M176" s="67"/>
      <c r="N176" s="67"/>
      <c r="O176" s="72"/>
      <c r="P176" s="203"/>
      <c r="Q176" s="272">
        <f t="shared" si="151"/>
        <v>0</v>
      </c>
      <c r="R176" s="439"/>
      <c r="S176" s="18"/>
      <c r="T176" s="67"/>
      <c r="U176" s="18"/>
      <c r="V176" s="273"/>
      <c r="W176" s="67"/>
      <c r="X176" s="550"/>
      <c r="Y176" s="550"/>
      <c r="Z176" s="550"/>
      <c r="AA176" s="550"/>
      <c r="AB176" s="550"/>
      <c r="AC176" s="550"/>
      <c r="AD176" s="550"/>
      <c r="AE176" s="550"/>
      <c r="AF176" s="384"/>
      <c r="AG176" s="385"/>
      <c r="AH176" s="385"/>
      <c r="AI176" s="385"/>
      <c r="AJ176" s="385"/>
      <c r="AK176" s="385"/>
      <c r="AL176" s="585"/>
      <c r="AM176" s="585"/>
      <c r="AN176" s="585"/>
      <c r="AO176" s="585"/>
      <c r="AP176" s="585"/>
      <c r="AQ176" s="585"/>
      <c r="AR176" s="585"/>
      <c r="AS176" s="579"/>
      <c r="AT176" s="585"/>
      <c r="AU176" s="579"/>
    </row>
    <row r="177" spans="1:47" s="1" customFormat="1" x14ac:dyDescent="0.25">
      <c r="A177" s="238"/>
      <c r="B177" s="290" t="s">
        <v>321</v>
      </c>
      <c r="C177" s="291" t="s">
        <v>431</v>
      </c>
      <c r="D177" s="316"/>
      <c r="E177" s="244"/>
      <c r="F177" s="302"/>
      <c r="G177" s="75"/>
      <c r="H177" s="74"/>
      <c r="I177" s="74"/>
      <c r="J177" s="74"/>
      <c r="K177" s="74"/>
      <c r="L177" s="74"/>
      <c r="M177" s="72"/>
      <c r="N177" s="72"/>
      <c r="O177" s="72"/>
      <c r="P177" s="205"/>
      <c r="Q177" s="272">
        <f t="shared" si="151"/>
        <v>0</v>
      </c>
      <c r="R177" s="439"/>
      <c r="S177" s="18"/>
      <c r="T177" s="74"/>
      <c r="W177" s="74"/>
      <c r="AL177" s="585"/>
      <c r="AM177" s="585"/>
      <c r="AN177" s="585"/>
      <c r="AO177" s="585"/>
      <c r="AP177" s="585"/>
      <c r="AQ177" s="585"/>
      <c r="AR177" s="585"/>
      <c r="AS177" s="579"/>
      <c r="AT177" s="585"/>
      <c r="AU177" s="579"/>
    </row>
    <row r="178" spans="1:47" s="1" customFormat="1" x14ac:dyDescent="0.25">
      <c r="A178" s="238"/>
      <c r="B178" s="317"/>
      <c r="C178" s="318">
        <v>1</v>
      </c>
      <c r="D178" s="83" t="s">
        <v>432</v>
      </c>
      <c r="E178" s="242">
        <v>24</v>
      </c>
      <c r="F178" s="242">
        <v>24</v>
      </c>
      <c r="G178" s="73" t="s">
        <v>28</v>
      </c>
      <c r="H178" s="67">
        <f t="shared" ref="H178:H184" si="176">T178/$H$165</f>
        <v>108.04597701149426</v>
      </c>
      <c r="I178" s="67">
        <f>F178*H178</f>
        <v>2593.1034482758623</v>
      </c>
      <c r="J178" s="67">
        <f t="shared" ref="J178:J184" si="177">W178/$J$165</f>
        <v>44.705882352941181</v>
      </c>
      <c r="K178" s="67">
        <f t="shared" ref="K178:K184" si="178">F178*J178</f>
        <v>1072.9411764705883</v>
      </c>
      <c r="L178" s="72">
        <f t="shared" ref="L178:L184" si="179">I178+K178</f>
        <v>3666.0446247464506</v>
      </c>
      <c r="M178" s="67">
        <v>148.38629367825803</v>
      </c>
      <c r="N178" s="67">
        <v>61.397382590778612</v>
      </c>
      <c r="O178" s="72">
        <f t="shared" ref="O178:O184" si="180">N178+M178</f>
        <v>209.78367626903665</v>
      </c>
      <c r="P178" s="203">
        <f t="shared" ref="P178:P184" si="181">O178*F178</f>
        <v>5034.8082304568798</v>
      </c>
      <c r="Q178" s="272">
        <f t="shared" si="151"/>
        <v>5096.6381915133679</v>
      </c>
      <c r="R178" s="439">
        <f t="shared" ref="R178:R184" si="182">P178-Q178</f>
        <v>-61.829961056488173</v>
      </c>
      <c r="S178" s="18"/>
      <c r="T178" s="67">
        <v>94</v>
      </c>
      <c r="U178" s="18"/>
      <c r="V178" s="273"/>
      <c r="W178" s="67">
        <v>38</v>
      </c>
      <c r="X178" s="224"/>
      <c r="Y178" s="224"/>
      <c r="Z178" s="224"/>
      <c r="AA178" s="224"/>
      <c r="AB178" s="224"/>
      <c r="AC178" s="224"/>
      <c r="AD178" s="224"/>
      <c r="AE178" s="224"/>
      <c r="AF178" s="224"/>
      <c r="AL178" s="927" t="s">
        <v>351</v>
      </c>
      <c r="AM178" s="927"/>
      <c r="AN178" s="927"/>
      <c r="AO178" s="586" t="s">
        <v>243</v>
      </c>
      <c r="AP178" s="586" t="s">
        <v>244</v>
      </c>
      <c r="AQ178" s="586" t="s">
        <v>245</v>
      </c>
      <c r="AR178" s="587" t="s">
        <v>246</v>
      </c>
      <c r="AS178" s="587" t="s">
        <v>247</v>
      </c>
      <c r="AT178" s="586" t="s">
        <v>248</v>
      </c>
      <c r="AU178" s="586" t="s">
        <v>249</v>
      </c>
    </row>
    <row r="179" spans="1:47" s="1" customFormat="1" x14ac:dyDescent="0.25">
      <c r="A179" s="238"/>
      <c r="B179" s="317"/>
      <c r="C179" s="318">
        <v>2</v>
      </c>
      <c r="D179" s="83" t="s">
        <v>433</v>
      </c>
      <c r="E179" s="242">
        <v>6</v>
      </c>
      <c r="F179" s="242">
        <v>6</v>
      </c>
      <c r="G179" s="73" t="s">
        <v>28</v>
      </c>
      <c r="H179" s="67">
        <f t="shared" si="176"/>
        <v>163.2183908045977</v>
      </c>
      <c r="I179" s="67">
        <f t="shared" ref="I179:I181" si="183">F179*H179</f>
        <v>979.31034482758628</v>
      </c>
      <c r="J179" s="67">
        <f t="shared" si="177"/>
        <v>52.941176470588239</v>
      </c>
      <c r="K179" s="67">
        <f t="shared" si="178"/>
        <v>317.64705882352945</v>
      </c>
      <c r="L179" s="72">
        <f t="shared" si="179"/>
        <v>1296.9574036511158</v>
      </c>
      <c r="M179" s="67">
        <v>224.15801810970893</v>
      </c>
      <c r="N179" s="67">
        <v>72.707426752237836</v>
      </c>
      <c r="O179" s="72">
        <f t="shared" si="180"/>
        <v>296.8654448619468</v>
      </c>
      <c r="P179" s="203">
        <f t="shared" si="181"/>
        <v>1781.1926691716808</v>
      </c>
      <c r="Q179" s="272">
        <f t="shared" si="151"/>
        <v>1803.066605243918</v>
      </c>
      <c r="R179" s="439">
        <f t="shared" si="182"/>
        <v>-21.873936072237257</v>
      </c>
      <c r="S179" s="18"/>
      <c r="T179" s="67">
        <v>142</v>
      </c>
      <c r="U179" s="18"/>
      <c r="V179" s="273"/>
      <c r="W179" s="67">
        <v>45</v>
      </c>
      <c r="X179" s="224"/>
      <c r="Y179" s="224"/>
      <c r="Z179" s="224"/>
      <c r="AA179" s="224"/>
      <c r="AB179" s="224"/>
      <c r="AC179" s="224"/>
      <c r="AD179" s="224"/>
      <c r="AE179" s="224"/>
      <c r="AF179" s="224"/>
      <c r="AL179" s="926" t="s">
        <v>353</v>
      </c>
      <c r="AM179" s="926"/>
      <c r="AN179" s="926"/>
      <c r="AO179" s="593" t="s">
        <v>251</v>
      </c>
      <c r="AP179" s="594">
        <v>8.33</v>
      </c>
      <c r="AQ179" s="594">
        <v>9</v>
      </c>
      <c r="AR179" s="587">
        <f>143/1.06</f>
        <v>134.90566037735849</v>
      </c>
      <c r="AS179" s="587">
        <f>AR179*AQ179</f>
        <v>1214.1509433962265</v>
      </c>
      <c r="AT179" s="594">
        <f>AT171</f>
        <v>23.9</v>
      </c>
      <c r="AU179" s="595">
        <f>AT179*AQ179</f>
        <v>215.1</v>
      </c>
    </row>
    <row r="180" spans="1:47" s="1" customFormat="1" x14ac:dyDescent="0.25">
      <c r="A180" s="238"/>
      <c r="B180" s="317"/>
      <c r="C180" s="318">
        <v>3</v>
      </c>
      <c r="D180" s="83" t="s">
        <v>434</v>
      </c>
      <c r="E180" s="242">
        <v>3</v>
      </c>
      <c r="F180" s="242">
        <v>3</v>
      </c>
      <c r="G180" s="73" t="s">
        <v>28</v>
      </c>
      <c r="H180" s="67">
        <f t="shared" si="176"/>
        <v>235.63218390804599</v>
      </c>
      <c r="I180" s="67">
        <f t="shared" si="183"/>
        <v>706.89655172413791</v>
      </c>
      <c r="J180" s="67">
        <f t="shared" si="177"/>
        <v>72.941176470588232</v>
      </c>
      <c r="K180" s="67">
        <f t="shared" si="178"/>
        <v>218.8235294117647</v>
      </c>
      <c r="L180" s="72">
        <f t="shared" si="179"/>
        <v>925.72008113590255</v>
      </c>
      <c r="M180" s="67">
        <v>323.60840642598828</v>
      </c>
      <c r="N180" s="67">
        <v>100.17467685863878</v>
      </c>
      <c r="O180" s="72">
        <f t="shared" si="180"/>
        <v>423.78308328462708</v>
      </c>
      <c r="P180" s="203">
        <f t="shared" si="181"/>
        <v>1271.3492498538812</v>
      </c>
      <c r="Q180" s="272">
        <f t="shared" si="151"/>
        <v>1286.9620539587413</v>
      </c>
      <c r="R180" s="439">
        <f t="shared" si="182"/>
        <v>-15.612804104860061</v>
      </c>
      <c r="S180" s="18"/>
      <c r="T180" s="67">
        <v>205</v>
      </c>
      <c r="U180" s="18"/>
      <c r="V180" s="273"/>
      <c r="W180" s="67">
        <v>62</v>
      </c>
      <c r="X180" s="273"/>
      <c r="Y180" s="273"/>
      <c r="Z180" s="273"/>
      <c r="AA180" s="273"/>
      <c r="AB180" s="273"/>
      <c r="AC180" s="273"/>
      <c r="AD180" s="224"/>
      <c r="AE180" s="273"/>
      <c r="AF180" s="224"/>
      <c r="AG180" s="406"/>
      <c r="AL180" s="926" t="s">
        <v>252</v>
      </c>
      <c r="AM180" s="926"/>
      <c r="AN180" s="926"/>
      <c r="AO180" s="593" t="s">
        <v>253</v>
      </c>
      <c r="AP180" s="594">
        <v>0.25</v>
      </c>
      <c r="AQ180" s="594">
        <v>0.25</v>
      </c>
      <c r="AR180" s="587">
        <f>260/1.06</f>
        <v>245.28301886792451</v>
      </c>
      <c r="AS180" s="587">
        <f>AR180*AQ180</f>
        <v>61.320754716981128</v>
      </c>
      <c r="AT180" s="594"/>
      <c r="AU180" s="595">
        <f>AT180*AQ180</f>
        <v>0</v>
      </c>
    </row>
    <row r="181" spans="1:47" s="1" customFormat="1" x14ac:dyDescent="0.25">
      <c r="A181" s="238"/>
      <c r="B181" s="317"/>
      <c r="C181" s="318">
        <v>4</v>
      </c>
      <c r="D181" s="83" t="s">
        <v>435</v>
      </c>
      <c r="E181" s="242">
        <v>4</v>
      </c>
      <c r="F181" s="242">
        <v>4</v>
      </c>
      <c r="G181" s="73" t="s">
        <v>28</v>
      </c>
      <c r="H181" s="67">
        <f t="shared" si="176"/>
        <v>168.9655172413793</v>
      </c>
      <c r="I181" s="67">
        <f t="shared" si="183"/>
        <v>675.86206896551721</v>
      </c>
      <c r="J181" s="67">
        <f t="shared" si="177"/>
        <v>51.764705882352942</v>
      </c>
      <c r="K181" s="67">
        <f t="shared" si="178"/>
        <v>207.05882352941177</v>
      </c>
      <c r="L181" s="72">
        <f t="shared" si="179"/>
        <v>882.92089249492892</v>
      </c>
      <c r="M181" s="67">
        <v>232.05090607131842</v>
      </c>
      <c r="N181" s="67">
        <v>71.091706157743658</v>
      </c>
      <c r="O181" s="72">
        <f t="shared" si="180"/>
        <v>303.14261222906208</v>
      </c>
      <c r="P181" s="203">
        <f t="shared" si="181"/>
        <v>1212.5704489162483</v>
      </c>
      <c r="Q181" s="272">
        <f t="shared" si="151"/>
        <v>1227.4614199727439</v>
      </c>
      <c r="R181" s="439">
        <f t="shared" si="182"/>
        <v>-14.890971056495573</v>
      </c>
      <c r="S181" s="18"/>
      <c r="T181" s="67">
        <v>147</v>
      </c>
      <c r="U181" s="18"/>
      <c r="V181" s="273"/>
      <c r="W181" s="67">
        <v>44</v>
      </c>
      <c r="X181" s="273"/>
      <c r="Y181" s="273"/>
      <c r="Z181" s="273"/>
      <c r="AA181" s="273"/>
      <c r="AB181" s="273"/>
      <c r="AC181" s="273"/>
      <c r="AD181" s="224"/>
      <c r="AE181" s="273"/>
      <c r="AF181" s="224"/>
      <c r="AL181" s="926" t="s">
        <v>254</v>
      </c>
      <c r="AM181" s="926"/>
      <c r="AN181" s="926"/>
      <c r="AO181" s="593" t="s">
        <v>255</v>
      </c>
      <c r="AP181" s="594">
        <v>0.25</v>
      </c>
      <c r="AQ181" s="594">
        <v>0.35</v>
      </c>
      <c r="AR181" s="587">
        <f>37/1.06</f>
        <v>34.905660377358487</v>
      </c>
      <c r="AS181" s="587">
        <f>AR181*AQ181</f>
        <v>12.216981132075469</v>
      </c>
      <c r="AT181" s="594"/>
      <c r="AU181" s="595">
        <f>AT181*AQ181</f>
        <v>0</v>
      </c>
    </row>
    <row r="182" spans="1:47" s="1" customFormat="1" x14ac:dyDescent="0.25">
      <c r="A182" s="238"/>
      <c r="B182" s="317"/>
      <c r="C182" s="318">
        <v>5</v>
      </c>
      <c r="D182" s="83" t="s">
        <v>436</v>
      </c>
      <c r="E182" s="242">
        <v>104</v>
      </c>
      <c r="F182" s="242">
        <v>104</v>
      </c>
      <c r="G182" s="73" t="s">
        <v>28</v>
      </c>
      <c r="H182" s="67">
        <f t="shared" si="176"/>
        <v>275.86206896551727</v>
      </c>
      <c r="I182" s="67">
        <f>F182*H182</f>
        <v>28689.655172413797</v>
      </c>
      <c r="J182" s="67">
        <f t="shared" si="177"/>
        <v>84.705882352941174</v>
      </c>
      <c r="K182" s="67">
        <f t="shared" si="178"/>
        <v>8809.4117647058829</v>
      </c>
      <c r="L182" s="72">
        <f t="shared" si="179"/>
        <v>37499.066937119678</v>
      </c>
      <c r="M182" s="67">
        <v>378.85862215725462</v>
      </c>
      <c r="N182" s="67">
        <v>116.33188280358051</v>
      </c>
      <c r="O182" s="72">
        <f t="shared" si="180"/>
        <v>495.19050496083514</v>
      </c>
      <c r="P182" s="203">
        <f t="shared" si="181"/>
        <v>51499.812515926853</v>
      </c>
      <c r="Q182" s="272">
        <f t="shared" si="151"/>
        <v>52132.255949028033</v>
      </c>
      <c r="R182" s="439">
        <f t="shared" si="182"/>
        <v>-632.44343310117983</v>
      </c>
      <c r="S182" s="18"/>
      <c r="T182" s="67">
        <v>240</v>
      </c>
      <c r="U182" s="18"/>
      <c r="V182" s="273"/>
      <c r="W182" s="67">
        <v>72</v>
      </c>
      <c r="X182" s="224"/>
      <c r="Y182" s="224"/>
      <c r="Z182" s="224"/>
      <c r="AA182" s="224"/>
      <c r="AB182" s="224"/>
      <c r="AC182" s="224"/>
      <c r="AD182" s="224"/>
      <c r="AE182" s="224"/>
      <c r="AF182" s="224"/>
      <c r="AL182" s="926" t="s">
        <v>256</v>
      </c>
      <c r="AM182" s="926"/>
      <c r="AN182" s="926"/>
      <c r="AO182" s="593" t="s">
        <v>257</v>
      </c>
      <c r="AP182" s="594">
        <v>1</v>
      </c>
      <c r="AQ182" s="594">
        <v>1</v>
      </c>
      <c r="AR182" s="587">
        <f>AX104</f>
        <v>0</v>
      </c>
      <c r="AS182" s="587">
        <f>AR182*AQ182</f>
        <v>0</v>
      </c>
      <c r="AT182" s="594"/>
      <c r="AU182" s="595">
        <f>AT182*AQ182</f>
        <v>0</v>
      </c>
    </row>
    <row r="183" spans="1:47" s="1" customFormat="1" x14ac:dyDescent="0.25">
      <c r="A183" s="238"/>
      <c r="B183" s="317"/>
      <c r="C183" s="318">
        <v>6</v>
      </c>
      <c r="D183" s="83" t="s">
        <v>437</v>
      </c>
      <c r="E183" s="242">
        <v>5</v>
      </c>
      <c r="F183" s="242">
        <v>5</v>
      </c>
      <c r="G183" s="73" t="s">
        <v>28</v>
      </c>
      <c r="H183" s="67">
        <f t="shared" si="176"/>
        <v>180.45977011494253</v>
      </c>
      <c r="I183" s="67">
        <f t="shared" ref="I183:I184" si="184">F183*H183</f>
        <v>902.29885057471267</v>
      </c>
      <c r="J183" s="67">
        <f t="shared" si="177"/>
        <v>55.294117647058826</v>
      </c>
      <c r="K183" s="67">
        <f t="shared" si="178"/>
        <v>276.47058823529414</v>
      </c>
      <c r="L183" s="72">
        <f t="shared" si="179"/>
        <v>1178.7694388100067</v>
      </c>
      <c r="M183" s="67">
        <v>247.83668199453737</v>
      </c>
      <c r="N183" s="67">
        <v>75.938867941226178</v>
      </c>
      <c r="O183" s="72">
        <f t="shared" si="180"/>
        <v>323.77554993576354</v>
      </c>
      <c r="P183" s="203">
        <f t="shared" si="181"/>
        <v>1618.8777496788177</v>
      </c>
      <c r="Q183" s="272">
        <f t="shared" si="151"/>
        <v>1638.7583774279253</v>
      </c>
      <c r="R183" s="439">
        <f t="shared" si="182"/>
        <v>-19.880627749107589</v>
      </c>
      <c r="S183" s="18"/>
      <c r="T183" s="67">
        <v>157</v>
      </c>
      <c r="U183" s="18"/>
      <c r="V183" s="273"/>
      <c r="W183" s="67">
        <v>47</v>
      </c>
      <c r="X183" s="224"/>
      <c r="Y183" s="224"/>
      <c r="Z183" s="224"/>
      <c r="AA183" s="224"/>
      <c r="AB183" s="224"/>
      <c r="AC183" s="224"/>
      <c r="AD183" s="224"/>
      <c r="AE183" s="224"/>
      <c r="AF183" s="224"/>
      <c r="AL183" s="605"/>
      <c r="AM183" s="605"/>
      <c r="AN183" s="605"/>
      <c r="AO183" s="605"/>
      <c r="AP183" s="594"/>
      <c r="AQ183" s="594"/>
      <c r="AR183" s="587"/>
      <c r="AS183" s="589">
        <f>SUM(AS179:AS182)</f>
        <v>1287.6886792452831</v>
      </c>
      <c r="AT183" s="586"/>
      <c r="AU183" s="589">
        <f>SUM(AU179:AU182)</f>
        <v>215.1</v>
      </c>
    </row>
    <row r="184" spans="1:47" s="1" customFormat="1" x14ac:dyDescent="0.25">
      <c r="A184" s="238"/>
      <c r="B184" s="317"/>
      <c r="C184" s="318">
        <v>7</v>
      </c>
      <c r="D184" s="83" t="s">
        <v>438</v>
      </c>
      <c r="E184" s="242">
        <v>10</v>
      </c>
      <c r="F184" s="242">
        <v>10</v>
      </c>
      <c r="G184" s="73" t="s">
        <v>28</v>
      </c>
      <c r="H184" s="67">
        <f t="shared" si="176"/>
        <v>758.62068965517244</v>
      </c>
      <c r="I184" s="67">
        <f t="shared" si="184"/>
        <v>7586.2068965517246</v>
      </c>
      <c r="J184" s="67">
        <f t="shared" si="177"/>
        <v>155.29411764705884</v>
      </c>
      <c r="K184" s="67">
        <f t="shared" si="178"/>
        <v>1552.9411764705883</v>
      </c>
      <c r="L184" s="72">
        <f t="shared" si="179"/>
        <v>9139.148073022312</v>
      </c>
      <c r="M184" s="67">
        <v>1041.8612109324501</v>
      </c>
      <c r="N184" s="67">
        <v>213.27511847323098</v>
      </c>
      <c r="O184" s="72">
        <f t="shared" si="180"/>
        <v>1255.1363294056812</v>
      </c>
      <c r="P184" s="203">
        <f t="shared" si="181"/>
        <v>12551.363294056811</v>
      </c>
      <c r="Q184" s="272">
        <f t="shared" si="151"/>
        <v>12705.500307455421</v>
      </c>
      <c r="R184" s="439">
        <f t="shared" si="182"/>
        <v>-154.13701339860927</v>
      </c>
      <c r="S184" s="18"/>
      <c r="T184" s="67">
        <v>660</v>
      </c>
      <c r="U184" s="18"/>
      <c r="V184" s="273"/>
      <c r="W184" s="67">
        <v>132</v>
      </c>
      <c r="X184" s="273"/>
      <c r="Y184" s="273"/>
      <c r="Z184" s="273"/>
      <c r="AA184" s="273"/>
      <c r="AB184" s="273"/>
      <c r="AC184" s="273"/>
      <c r="AD184" s="224"/>
      <c r="AE184" s="273"/>
      <c r="AF184" s="224"/>
      <c r="AG184" s="406"/>
      <c r="AL184" s="606"/>
      <c r="AM184" s="606"/>
      <c r="AN184" s="607"/>
      <c r="AO184" s="608"/>
      <c r="AP184" s="608"/>
      <c r="AQ184" s="608"/>
      <c r="AR184" s="609"/>
      <c r="AS184" s="610"/>
      <c r="AT184" s="611"/>
      <c r="AU184" s="589"/>
    </row>
    <row r="185" spans="1:47" s="1" customFormat="1" x14ac:dyDescent="0.25">
      <c r="A185" s="238"/>
      <c r="B185" s="317"/>
      <c r="C185" s="318"/>
      <c r="D185" s="83"/>
      <c r="E185" s="242"/>
      <c r="F185" s="242"/>
      <c r="G185" s="73"/>
      <c r="H185" s="67"/>
      <c r="I185" s="67"/>
      <c r="J185" s="67"/>
      <c r="K185" s="67"/>
      <c r="L185" s="72"/>
      <c r="M185" s="67"/>
      <c r="N185" s="67"/>
      <c r="O185" s="72"/>
      <c r="P185" s="203"/>
      <c r="Q185" s="272">
        <f t="shared" si="151"/>
        <v>0</v>
      </c>
      <c r="R185" s="439"/>
      <c r="S185" s="18"/>
      <c r="U185" s="18"/>
      <c r="V185" s="273"/>
      <c r="W185" s="67"/>
      <c r="X185" s="273"/>
      <c r="Y185" s="273"/>
      <c r="Z185" s="273"/>
      <c r="AA185" s="273"/>
      <c r="AB185" s="273"/>
      <c r="AC185" s="273"/>
      <c r="AD185" s="224"/>
      <c r="AE185" s="273"/>
      <c r="AF185" s="224"/>
      <c r="AG185" s="406"/>
      <c r="AL185" s="928"/>
      <c r="AM185" s="928"/>
      <c r="AN185" s="612"/>
      <c r="AO185" s="613"/>
      <c r="AP185" s="613"/>
      <c r="AQ185" s="614"/>
      <c r="AR185" s="615"/>
      <c r="AS185" s="616"/>
      <c r="AT185" s="611"/>
      <c r="AU185" s="617"/>
    </row>
    <row r="186" spans="1:47" s="1" customFormat="1" x14ac:dyDescent="0.25">
      <c r="A186" s="238"/>
      <c r="B186" s="290" t="s">
        <v>439</v>
      </c>
      <c r="C186" s="291" t="s">
        <v>454</v>
      </c>
      <c r="D186" s="316"/>
      <c r="E186" s="244"/>
      <c r="F186" s="244"/>
      <c r="G186" s="75"/>
      <c r="H186" s="440">
        <v>0.87</v>
      </c>
      <c r="I186" s="74"/>
      <c r="J186" s="74"/>
      <c r="K186" s="74"/>
      <c r="L186" s="74"/>
      <c r="M186" s="72"/>
      <c r="N186" s="72"/>
      <c r="O186" s="72"/>
      <c r="P186" s="205"/>
      <c r="Q186" s="272">
        <f t="shared" si="151"/>
        <v>0</v>
      </c>
      <c r="R186" s="439"/>
      <c r="S186" s="18"/>
      <c r="W186" s="74"/>
      <c r="AL186" s="928"/>
      <c r="AM186" s="928"/>
      <c r="AN186" s="612"/>
      <c r="AO186" s="613"/>
      <c r="AP186" s="613"/>
      <c r="AQ186" s="614"/>
      <c r="AR186" s="615"/>
      <c r="AS186" s="616"/>
      <c r="AT186" s="611"/>
      <c r="AU186" s="617"/>
    </row>
    <row r="187" spans="1:47" s="1" customFormat="1" x14ac:dyDescent="0.25">
      <c r="A187" s="238"/>
      <c r="B187" s="317"/>
      <c r="C187" s="318">
        <v>1</v>
      </c>
      <c r="D187" s="83" t="s">
        <v>440</v>
      </c>
      <c r="E187" s="242">
        <v>1</v>
      </c>
      <c r="F187" s="242">
        <v>1</v>
      </c>
      <c r="G187" s="73" t="s">
        <v>55</v>
      </c>
      <c r="H187" s="67">
        <f>T187/$H$186</f>
        <v>20235.632183908045</v>
      </c>
      <c r="I187" s="67">
        <f>F187*H187</f>
        <v>20235.632183908045</v>
      </c>
      <c r="J187" s="67">
        <f t="shared" ref="J187:J191" si="185">W187/$J$165</f>
        <v>4117.6470588235297</v>
      </c>
      <c r="K187" s="67">
        <f t="shared" ref="K187:K199" si="186">F187*J187</f>
        <v>4117.6470588235297</v>
      </c>
      <c r="L187" s="72">
        <f t="shared" ref="L187:L199" si="187">I187+K187</f>
        <v>24353.279242731573</v>
      </c>
      <c r="M187" s="67">
        <v>27790.858512826941</v>
      </c>
      <c r="N187" s="67">
        <v>5655.0220807296091</v>
      </c>
      <c r="O187" s="72">
        <f t="shared" ref="O187:O199" si="188">N187+M187</f>
        <v>33445.880593556547</v>
      </c>
      <c r="P187" s="203">
        <f t="shared" ref="P187:P199" si="189">O187*F187</f>
        <v>33445.880593556547</v>
      </c>
      <c r="Q187" s="272">
        <f t="shared" si="151"/>
        <v>33856.612720768455</v>
      </c>
      <c r="R187" s="439">
        <f t="shared" ref="R187:R199" si="190">P187-Q187</f>
        <v>-410.73212721190794</v>
      </c>
      <c r="S187" s="18"/>
      <c r="T187" s="67">
        <f>17605</f>
        <v>17605</v>
      </c>
      <c r="U187" s="18"/>
      <c r="V187" s="273"/>
      <c r="W187" s="67">
        <v>3500</v>
      </c>
      <c r="X187" s="224"/>
      <c r="Y187" s="224"/>
      <c r="Z187" s="224"/>
      <c r="AA187" s="224"/>
      <c r="AB187" s="224"/>
      <c r="AC187" s="224"/>
      <c r="AD187" s="224"/>
      <c r="AE187" s="224"/>
      <c r="AF187" s="224"/>
      <c r="AL187" s="605"/>
      <c r="AM187" s="605"/>
      <c r="AN187" s="605"/>
      <c r="AO187" s="605"/>
      <c r="AP187" s="605"/>
      <c r="AQ187" s="605"/>
      <c r="AR187" s="619"/>
      <c r="AS187" s="616"/>
      <c r="AT187" s="611"/>
      <c r="AU187" s="589"/>
    </row>
    <row r="188" spans="1:47" s="1" customFormat="1" x14ac:dyDescent="0.25">
      <c r="A188" s="238"/>
      <c r="B188" s="317"/>
      <c r="C188" s="318">
        <v>2</v>
      </c>
      <c r="D188" s="83" t="s">
        <v>441</v>
      </c>
      <c r="E188" s="242">
        <v>1</v>
      </c>
      <c r="F188" s="242">
        <v>1</v>
      </c>
      <c r="G188" s="73" t="s">
        <v>55</v>
      </c>
      <c r="H188" s="67">
        <f t="shared" ref="H188:H199" si="191">T188/$H$186</f>
        <v>24827.586206896551</v>
      </c>
      <c r="I188" s="67">
        <f t="shared" ref="I188:I190" si="192">F188*H188</f>
        <v>24827.586206896551</v>
      </c>
      <c r="J188" s="67">
        <f t="shared" si="185"/>
        <v>5882.3529411764712</v>
      </c>
      <c r="K188" s="67">
        <f t="shared" si="186"/>
        <v>5882.3529411764712</v>
      </c>
      <c r="L188" s="72">
        <f t="shared" si="187"/>
        <v>30709.939148073023</v>
      </c>
      <c r="M188" s="67">
        <v>34097.275994152908</v>
      </c>
      <c r="N188" s="67">
        <v>8078.6029724708696</v>
      </c>
      <c r="O188" s="72">
        <f t="shared" si="188"/>
        <v>42175.878966623779</v>
      </c>
      <c r="P188" s="203">
        <f t="shared" si="189"/>
        <v>42175.878966623779</v>
      </c>
      <c r="Q188" s="272">
        <f t="shared" si="151"/>
        <v>42693.819836398055</v>
      </c>
      <c r="R188" s="439">
        <f t="shared" si="190"/>
        <v>-517.94086977427651</v>
      </c>
      <c r="S188" s="18"/>
      <c r="T188" s="67">
        <f>21600</f>
        <v>21600</v>
      </c>
      <c r="U188" s="18"/>
      <c r="V188" s="273"/>
      <c r="W188" s="67">
        <v>5000</v>
      </c>
      <c r="X188" s="224"/>
      <c r="Y188" s="224"/>
      <c r="Z188" s="224"/>
      <c r="AA188" s="224"/>
      <c r="AB188" s="224"/>
      <c r="AC188" s="224"/>
      <c r="AD188" s="224"/>
      <c r="AE188" s="224"/>
      <c r="AF188" s="224"/>
      <c r="AL188" s="605"/>
      <c r="AM188" s="605"/>
      <c r="AN188" s="605"/>
      <c r="AO188" s="605"/>
      <c r="AP188" s="605"/>
      <c r="AQ188" s="605"/>
      <c r="AR188" s="592"/>
      <c r="AS188" s="621"/>
      <c r="AT188" s="605"/>
      <c r="AU188" s="595"/>
    </row>
    <row r="189" spans="1:47" s="1" customFormat="1" x14ac:dyDescent="0.25">
      <c r="A189" s="238"/>
      <c r="B189" s="317"/>
      <c r="C189" s="318">
        <v>3</v>
      </c>
      <c r="D189" s="83" t="s">
        <v>442</v>
      </c>
      <c r="E189" s="242">
        <v>1</v>
      </c>
      <c r="F189" s="242">
        <v>1</v>
      </c>
      <c r="G189" s="73" t="s">
        <v>55</v>
      </c>
      <c r="H189" s="67">
        <f t="shared" si="191"/>
        <v>24827.586206896551</v>
      </c>
      <c r="I189" s="67">
        <f t="shared" si="192"/>
        <v>24827.586206896551</v>
      </c>
      <c r="J189" s="67">
        <f t="shared" si="185"/>
        <v>5882.3529411764712</v>
      </c>
      <c r="K189" s="67">
        <f t="shared" si="186"/>
        <v>5882.3529411764712</v>
      </c>
      <c r="L189" s="72">
        <f t="shared" si="187"/>
        <v>30709.939148073023</v>
      </c>
      <c r="M189" s="67">
        <v>34097.275994152908</v>
      </c>
      <c r="N189" s="67">
        <v>8078.6029724708696</v>
      </c>
      <c r="O189" s="72">
        <f t="shared" si="188"/>
        <v>42175.878966623779</v>
      </c>
      <c r="P189" s="203">
        <f t="shared" si="189"/>
        <v>42175.878966623779</v>
      </c>
      <c r="Q189" s="272">
        <f t="shared" si="151"/>
        <v>42693.819836398055</v>
      </c>
      <c r="R189" s="439">
        <f t="shared" si="190"/>
        <v>-517.94086977427651</v>
      </c>
      <c r="S189" s="18"/>
      <c r="T189" s="67">
        <f>21600</f>
        <v>21600</v>
      </c>
      <c r="U189" s="18"/>
      <c r="V189" s="273"/>
      <c r="W189" s="67">
        <v>5000</v>
      </c>
      <c r="X189" s="273"/>
      <c r="Y189" s="273"/>
      <c r="Z189" s="273"/>
      <c r="AA189" s="273"/>
      <c r="AB189" s="273"/>
      <c r="AC189" s="273"/>
      <c r="AD189" s="224"/>
      <c r="AE189" s="273"/>
      <c r="AF189" s="224"/>
      <c r="AG189" s="406"/>
      <c r="AL189" s="929" t="s">
        <v>267</v>
      </c>
      <c r="AM189" s="929"/>
      <c r="AN189" s="622" t="s">
        <v>243</v>
      </c>
      <c r="AO189" s="622" t="s">
        <v>244</v>
      </c>
      <c r="AP189" s="622" t="s">
        <v>245</v>
      </c>
      <c r="AQ189" s="622" t="s">
        <v>246</v>
      </c>
      <c r="AR189" s="622" t="s">
        <v>247</v>
      </c>
      <c r="AS189" s="623" t="s">
        <v>248</v>
      </c>
      <c r="AT189" s="622" t="s">
        <v>249</v>
      </c>
      <c r="AU189" s="595"/>
    </row>
    <row r="190" spans="1:47" s="1" customFormat="1" x14ac:dyDescent="0.25">
      <c r="A190" s="238"/>
      <c r="B190" s="317"/>
      <c r="C190" s="318">
        <v>4</v>
      </c>
      <c r="D190" s="83" t="s">
        <v>443</v>
      </c>
      <c r="E190" s="242">
        <v>1</v>
      </c>
      <c r="F190" s="242">
        <v>1</v>
      </c>
      <c r="G190" s="73" t="s">
        <v>55</v>
      </c>
      <c r="H190" s="67">
        <f t="shared" si="191"/>
        <v>25280.459770114943</v>
      </c>
      <c r="I190" s="67">
        <f t="shared" si="192"/>
        <v>25280.459770114943</v>
      </c>
      <c r="J190" s="67">
        <f t="shared" si="185"/>
        <v>4117.6470588235297</v>
      </c>
      <c r="K190" s="67">
        <f t="shared" si="186"/>
        <v>4117.6470588235297</v>
      </c>
      <c r="L190" s="72">
        <f t="shared" si="187"/>
        <v>29398.106828938471</v>
      </c>
      <c r="M190" s="67">
        <v>34719.235565527735</v>
      </c>
      <c r="N190" s="67">
        <v>5655.0220807296091</v>
      </c>
      <c r="O190" s="72">
        <f t="shared" si="188"/>
        <v>40374.257646257342</v>
      </c>
      <c r="P190" s="203">
        <f t="shared" si="189"/>
        <v>40374.257646257342</v>
      </c>
      <c r="Q190" s="272">
        <f t="shared" si="151"/>
        <v>40870.073705914139</v>
      </c>
      <c r="R190" s="439">
        <f t="shared" si="190"/>
        <v>-495.81605965679773</v>
      </c>
      <c r="S190" s="18"/>
      <c r="T190" s="67">
        <f>21994</f>
        <v>21994</v>
      </c>
      <c r="U190" s="18"/>
      <c r="V190" s="273"/>
      <c r="W190" s="67">
        <v>3500</v>
      </c>
      <c r="X190" s="273"/>
      <c r="Y190" s="273"/>
      <c r="Z190" s="273"/>
      <c r="AA190" s="273"/>
      <c r="AB190" s="273"/>
      <c r="AC190" s="273"/>
      <c r="AD190" s="224"/>
      <c r="AE190" s="273"/>
      <c r="AF190" s="224"/>
      <c r="AL190" s="624"/>
      <c r="AM190" s="625" t="s">
        <v>265</v>
      </c>
      <c r="AN190" s="625" t="s">
        <v>268</v>
      </c>
      <c r="AO190" s="625">
        <v>8.0000000000000002E-3</v>
      </c>
      <c r="AP190" s="625">
        <v>0.01</v>
      </c>
      <c r="AQ190" s="625">
        <v>1000</v>
      </c>
      <c r="AR190" s="625">
        <f>AQ190*AP190</f>
        <v>10</v>
      </c>
      <c r="AS190" s="626">
        <v>600</v>
      </c>
      <c r="AT190" s="625">
        <f>AS190*AP190</f>
        <v>6</v>
      </c>
      <c r="AU190" s="595"/>
    </row>
    <row r="191" spans="1:47" s="1" customFormat="1" x14ac:dyDescent="0.25">
      <c r="A191" s="238"/>
      <c r="B191" s="317"/>
      <c r="C191" s="318">
        <v>5</v>
      </c>
      <c r="D191" s="83" t="s">
        <v>444</v>
      </c>
      <c r="E191" s="242">
        <v>1</v>
      </c>
      <c r="F191" s="242">
        <v>1</v>
      </c>
      <c r="G191" s="73" t="s">
        <v>55</v>
      </c>
      <c r="H191" s="67">
        <f t="shared" si="191"/>
        <v>49827.586206896551</v>
      </c>
      <c r="I191" s="67">
        <f>F191*H191</f>
        <v>49827.586206896551</v>
      </c>
      <c r="J191" s="67">
        <f t="shared" si="185"/>
        <v>5882.3529411764712</v>
      </c>
      <c r="K191" s="67">
        <f t="shared" si="186"/>
        <v>5882.3529411764712</v>
      </c>
      <c r="L191" s="72">
        <f t="shared" si="187"/>
        <v>55709.939148073019</v>
      </c>
      <c r="M191" s="67">
        <v>68431.338627154095</v>
      </c>
      <c r="N191" s="67">
        <v>8078.6029724708696</v>
      </c>
      <c r="O191" s="72">
        <f t="shared" si="188"/>
        <v>76509.941599624959</v>
      </c>
      <c r="P191" s="203">
        <f t="shared" si="189"/>
        <v>76509.941599624959</v>
      </c>
      <c r="Q191" s="272">
        <f t="shared" si="151"/>
        <v>77449.521915896476</v>
      </c>
      <c r="R191" s="439">
        <f t="shared" si="190"/>
        <v>-939.58031627151649</v>
      </c>
      <c r="S191" s="18"/>
      <c r="T191" s="67">
        <f>43350</f>
        <v>43350</v>
      </c>
      <c r="U191" s="18"/>
      <c r="V191" s="273"/>
      <c r="W191" s="67">
        <v>5000</v>
      </c>
      <c r="X191" s="224"/>
      <c r="Y191" s="224"/>
      <c r="Z191" s="224"/>
      <c r="AA191" s="224"/>
      <c r="AB191" s="224"/>
      <c r="AC191" s="224"/>
      <c r="AD191" s="224"/>
      <c r="AE191" s="224"/>
      <c r="AF191" s="224"/>
      <c r="AL191" s="624"/>
      <c r="AM191" s="625" t="s">
        <v>264</v>
      </c>
      <c r="AN191" s="625" t="s">
        <v>253</v>
      </c>
      <c r="AO191" s="625">
        <v>0.14399999999999999</v>
      </c>
      <c r="AP191" s="625">
        <v>0.17</v>
      </c>
      <c r="AQ191" s="626">
        <f>230/1.075</f>
        <v>213.95348837209303</v>
      </c>
      <c r="AR191" s="626">
        <f>AQ191*AP191</f>
        <v>36.372093023255822</v>
      </c>
      <c r="AS191" s="626">
        <v>150</v>
      </c>
      <c r="AT191" s="625">
        <f>AS191*AP191</f>
        <v>25.500000000000004</v>
      </c>
      <c r="AU191" s="589"/>
    </row>
    <row r="192" spans="1:47" s="1" customFormat="1" x14ac:dyDescent="0.25">
      <c r="A192" s="238"/>
      <c r="B192" s="317"/>
      <c r="C192" s="318"/>
      <c r="D192" s="83" t="s">
        <v>445</v>
      </c>
      <c r="E192" s="242"/>
      <c r="F192" s="242"/>
      <c r="G192" s="73"/>
      <c r="H192" s="67"/>
      <c r="I192" s="67"/>
      <c r="J192" s="67"/>
      <c r="K192" s="67"/>
      <c r="L192" s="72"/>
      <c r="M192" s="67"/>
      <c r="N192" s="67"/>
      <c r="O192" s="72"/>
      <c r="P192" s="203"/>
      <c r="Q192" s="272">
        <f t="shared" si="151"/>
        <v>0</v>
      </c>
      <c r="R192" s="439"/>
      <c r="S192" s="18"/>
      <c r="T192" s="67"/>
      <c r="U192" s="18"/>
      <c r="V192" s="273"/>
      <c r="W192" s="67"/>
      <c r="X192" s="224"/>
      <c r="Y192" s="224"/>
      <c r="Z192" s="224"/>
      <c r="AA192" s="224"/>
      <c r="AB192" s="224"/>
      <c r="AC192" s="224"/>
      <c r="AD192" s="224"/>
      <c r="AE192" s="224"/>
      <c r="AF192" s="224"/>
      <c r="AL192" s="624"/>
      <c r="AM192" s="625" t="s">
        <v>269</v>
      </c>
      <c r="AN192" s="625" t="s">
        <v>253</v>
      </c>
      <c r="AO192" s="625">
        <v>5</v>
      </c>
      <c r="AP192" s="625">
        <v>5</v>
      </c>
      <c r="AQ192" s="627">
        <f>50/1.05</f>
        <v>47.61904761904762</v>
      </c>
      <c r="AR192" s="627">
        <f>AQ192*AP192</f>
        <v>238.0952380952381</v>
      </c>
      <c r="AS192" s="626">
        <v>20</v>
      </c>
      <c r="AT192" s="625">
        <f>AS192*AP192</f>
        <v>100</v>
      </c>
      <c r="AU192" s="617"/>
    </row>
    <row r="193" spans="1:47" s="1" customFormat="1" x14ac:dyDescent="0.25">
      <c r="A193" s="238"/>
      <c r="B193" s="317"/>
      <c r="C193" s="318">
        <v>6</v>
      </c>
      <c r="D193" s="83" t="s">
        <v>446</v>
      </c>
      <c r="E193" s="242">
        <v>2</v>
      </c>
      <c r="F193" s="242">
        <v>2</v>
      </c>
      <c r="G193" s="73" t="s">
        <v>28</v>
      </c>
      <c r="H193" s="67">
        <f t="shared" si="191"/>
        <v>1206.8965517241379</v>
      </c>
      <c r="I193" s="67">
        <f t="shared" ref="I193:I194" si="193">F193*H193</f>
        <v>2413.7931034482758</v>
      </c>
      <c r="J193" s="67">
        <f t="shared" ref="J193:J199" si="194">W193/$J$165</f>
        <v>305.88235294117646</v>
      </c>
      <c r="K193" s="67">
        <f t="shared" si="186"/>
        <v>611.76470588235293</v>
      </c>
      <c r="L193" s="72">
        <f t="shared" si="187"/>
        <v>3025.5578093306285</v>
      </c>
      <c r="M193" s="67">
        <v>1657.5064719379884</v>
      </c>
      <c r="N193" s="67">
        <v>420.08735456848518</v>
      </c>
      <c r="O193" s="72">
        <f t="shared" si="188"/>
        <v>2077.5938265064738</v>
      </c>
      <c r="P193" s="203">
        <f t="shared" si="189"/>
        <v>4155.1876530129475</v>
      </c>
      <c r="Q193" s="272">
        <f t="shared" si="151"/>
        <v>4206.215433815808</v>
      </c>
      <c r="R193" s="439">
        <f t="shared" si="190"/>
        <v>-51.027780802860434</v>
      </c>
      <c r="S193" s="18"/>
      <c r="T193" s="67">
        <v>1050</v>
      </c>
      <c r="U193" s="18"/>
      <c r="V193" s="273"/>
      <c r="W193" s="67">
        <v>260</v>
      </c>
      <c r="X193" s="273"/>
      <c r="Y193" s="273"/>
      <c r="Z193" s="273"/>
      <c r="AA193" s="273"/>
      <c r="AB193" s="273"/>
      <c r="AC193" s="273"/>
      <c r="AD193" s="224"/>
      <c r="AE193" s="273"/>
      <c r="AF193" s="224"/>
      <c r="AG193" s="406"/>
      <c r="AL193" s="624"/>
      <c r="AM193" s="628"/>
      <c r="AN193" s="628"/>
      <c r="AO193" s="628"/>
      <c r="AP193" s="628"/>
      <c r="AQ193" s="628"/>
      <c r="AR193" s="623">
        <f>SUM(AR190:AR192)</f>
        <v>284.46733111849392</v>
      </c>
      <c r="AS193" s="629"/>
      <c r="AT193" s="630">
        <f>SUM(AT190:AT192)</f>
        <v>131.5</v>
      </c>
      <c r="AU193" s="617"/>
    </row>
    <row r="194" spans="1:47" s="1" customFormat="1" x14ac:dyDescent="0.25">
      <c r="A194" s="238"/>
      <c r="B194" s="317"/>
      <c r="C194" s="318">
        <v>7</v>
      </c>
      <c r="D194" s="83" t="s">
        <v>447</v>
      </c>
      <c r="E194" s="242">
        <v>2</v>
      </c>
      <c r="F194" s="242">
        <v>2</v>
      </c>
      <c r="G194" s="73" t="s">
        <v>28</v>
      </c>
      <c r="H194" s="67">
        <f t="shared" si="191"/>
        <v>1206.8965517241379</v>
      </c>
      <c r="I194" s="67">
        <f t="shared" si="193"/>
        <v>2413.7931034482758</v>
      </c>
      <c r="J194" s="67">
        <f t="shared" si="194"/>
        <v>305.88235294117646</v>
      </c>
      <c r="K194" s="67">
        <f t="shared" si="186"/>
        <v>611.76470588235293</v>
      </c>
      <c r="L194" s="72">
        <f t="shared" si="187"/>
        <v>3025.5578093306285</v>
      </c>
      <c r="M194" s="67">
        <v>1657.5064719379884</v>
      </c>
      <c r="N194" s="67">
        <v>420.08735456848518</v>
      </c>
      <c r="O194" s="72">
        <f t="shared" si="188"/>
        <v>2077.5938265064738</v>
      </c>
      <c r="P194" s="203">
        <f t="shared" si="189"/>
        <v>4155.1876530129475</v>
      </c>
      <c r="Q194" s="272">
        <f t="shared" si="151"/>
        <v>4206.215433815808</v>
      </c>
      <c r="R194" s="439">
        <f t="shared" si="190"/>
        <v>-51.027780802860434</v>
      </c>
      <c r="S194" s="18"/>
      <c r="T194" s="67">
        <v>1050</v>
      </c>
      <c r="U194" s="18"/>
      <c r="V194" s="273"/>
      <c r="W194" s="67">
        <v>260</v>
      </c>
      <c r="X194" s="273"/>
      <c r="Y194" s="273"/>
      <c r="Z194" s="273"/>
      <c r="AA194" s="273"/>
      <c r="AB194" s="273"/>
      <c r="AC194" s="273"/>
      <c r="AD194" s="224"/>
      <c r="AE194" s="273"/>
      <c r="AF194" s="224"/>
      <c r="AL194" s="605"/>
      <c r="AM194" s="605"/>
      <c r="AN194" s="605"/>
      <c r="AO194" s="605"/>
      <c r="AP194" s="605"/>
      <c r="AQ194" s="605"/>
      <c r="AR194" s="592"/>
      <c r="AS194" s="621"/>
      <c r="AT194" s="605"/>
      <c r="AU194" s="617"/>
    </row>
    <row r="195" spans="1:47" s="1" customFormat="1" x14ac:dyDescent="0.25">
      <c r="A195" s="238"/>
      <c r="B195" s="317"/>
      <c r="C195" s="318">
        <v>8</v>
      </c>
      <c r="D195" s="83" t="s">
        <v>448</v>
      </c>
      <c r="E195" s="242">
        <v>9</v>
      </c>
      <c r="F195" s="242">
        <v>9</v>
      </c>
      <c r="G195" s="73" t="s">
        <v>28</v>
      </c>
      <c r="H195" s="67">
        <f t="shared" si="191"/>
        <v>1206.8965517241379</v>
      </c>
      <c r="I195" s="67">
        <f>F195*H195</f>
        <v>10862.068965517241</v>
      </c>
      <c r="J195" s="67">
        <f t="shared" si="194"/>
        <v>305.88235294117646</v>
      </c>
      <c r="K195" s="67">
        <f t="shared" si="186"/>
        <v>2752.9411764705883</v>
      </c>
      <c r="L195" s="72">
        <f t="shared" si="187"/>
        <v>13615.01014198783</v>
      </c>
      <c r="M195" s="67">
        <v>1657.5064719379884</v>
      </c>
      <c r="N195" s="67">
        <v>420.08735456848518</v>
      </c>
      <c r="O195" s="72">
        <f t="shared" si="188"/>
        <v>2077.5938265064738</v>
      </c>
      <c r="P195" s="203">
        <f t="shared" si="189"/>
        <v>18698.344438558262</v>
      </c>
      <c r="Q195" s="272">
        <f t="shared" si="151"/>
        <v>18927.969452171139</v>
      </c>
      <c r="R195" s="439">
        <f t="shared" si="190"/>
        <v>-229.6250136128765</v>
      </c>
      <c r="S195" s="18"/>
      <c r="T195" s="67">
        <v>1050</v>
      </c>
      <c r="U195" s="18"/>
      <c r="V195" s="273"/>
      <c r="W195" s="67">
        <v>260</v>
      </c>
      <c r="X195" s="224"/>
      <c r="Y195" s="224"/>
      <c r="Z195" s="224"/>
      <c r="AA195" s="224"/>
      <c r="AB195" s="224"/>
      <c r="AC195" s="224"/>
      <c r="AD195" s="224"/>
      <c r="AE195" s="224"/>
      <c r="AF195" s="224"/>
      <c r="AL195" s="929" t="s">
        <v>275</v>
      </c>
      <c r="AM195" s="929"/>
      <c r="AN195" s="622" t="s">
        <v>243</v>
      </c>
      <c r="AO195" s="622" t="s">
        <v>244</v>
      </c>
      <c r="AP195" s="622" t="s">
        <v>245</v>
      </c>
      <c r="AQ195" s="622" t="s">
        <v>246</v>
      </c>
      <c r="AR195" s="622" t="s">
        <v>247</v>
      </c>
      <c r="AS195" s="623" t="s">
        <v>248</v>
      </c>
      <c r="AT195" s="622" t="s">
        <v>249</v>
      </c>
      <c r="AU195" s="617"/>
    </row>
    <row r="196" spans="1:47" s="1" customFormat="1" x14ac:dyDescent="0.25">
      <c r="A196" s="238"/>
      <c r="B196" s="317"/>
      <c r="C196" s="318">
        <v>9</v>
      </c>
      <c r="D196" s="83" t="s">
        <v>449</v>
      </c>
      <c r="E196" s="242">
        <v>5</v>
      </c>
      <c r="F196" s="242">
        <v>5</v>
      </c>
      <c r="G196" s="73" t="s">
        <v>28</v>
      </c>
      <c r="H196" s="67">
        <f t="shared" si="191"/>
        <v>3333.3333333333335</v>
      </c>
      <c r="I196" s="67">
        <f t="shared" ref="I196:I199" si="195">F196*H196</f>
        <v>16666.666666666668</v>
      </c>
      <c r="J196" s="67">
        <f t="shared" si="194"/>
        <v>470.58823529411768</v>
      </c>
      <c r="K196" s="67">
        <f t="shared" si="186"/>
        <v>2352.9411764705883</v>
      </c>
      <c r="L196" s="72">
        <f t="shared" si="187"/>
        <v>19019.607843137255</v>
      </c>
      <c r="M196" s="67">
        <v>4577.8750177334923</v>
      </c>
      <c r="N196" s="67">
        <v>646.28823779766958</v>
      </c>
      <c r="O196" s="72">
        <f t="shared" si="188"/>
        <v>5224.1632555311617</v>
      </c>
      <c r="P196" s="203">
        <f t="shared" si="189"/>
        <v>26120.816277655809</v>
      </c>
      <c r="Q196" s="272">
        <f t="shared" si="151"/>
        <v>26441.592954598796</v>
      </c>
      <c r="R196" s="439">
        <f t="shared" si="190"/>
        <v>-320.77667694298725</v>
      </c>
      <c r="S196" s="18"/>
      <c r="T196" s="67">
        <v>2900</v>
      </c>
      <c r="U196" s="18"/>
      <c r="V196" s="273"/>
      <c r="W196" s="67">
        <v>400</v>
      </c>
      <c r="X196" s="224"/>
      <c r="Y196" s="224"/>
      <c r="Z196" s="224"/>
      <c r="AA196" s="224"/>
      <c r="AB196" s="224"/>
      <c r="AC196" s="224"/>
      <c r="AD196" s="224"/>
      <c r="AE196" s="224"/>
      <c r="AF196" s="224"/>
      <c r="AL196" s="891" t="s">
        <v>276</v>
      </c>
      <c r="AM196" s="891"/>
      <c r="AN196" s="544" t="s">
        <v>100</v>
      </c>
      <c r="AO196" s="544">
        <v>26</v>
      </c>
      <c r="AP196" s="544">
        <f>5*6</f>
        <v>30</v>
      </c>
      <c r="AQ196" s="144">
        <f>270/1.05</f>
        <v>257.14285714285711</v>
      </c>
      <c r="AR196" s="144">
        <f t="shared" ref="AR196:AR204" si="196">AQ196*AP196</f>
        <v>7714.2857142857138</v>
      </c>
      <c r="AS196" s="144">
        <v>150</v>
      </c>
      <c r="AT196" s="144">
        <f t="shared" ref="AT196:AT204" si="197">AS196*AP196</f>
        <v>4500</v>
      </c>
      <c r="AU196" s="220"/>
    </row>
    <row r="197" spans="1:47" s="1" customFormat="1" x14ac:dyDescent="0.25">
      <c r="A197" s="238"/>
      <c r="B197" s="317"/>
      <c r="C197" s="318">
        <v>10</v>
      </c>
      <c r="D197" s="83" t="s">
        <v>451</v>
      </c>
      <c r="E197" s="242">
        <v>240</v>
      </c>
      <c r="F197" s="242">
        <v>247</v>
      </c>
      <c r="G197" s="73" t="s">
        <v>453</v>
      </c>
      <c r="H197" s="67">
        <f t="shared" si="191"/>
        <v>31.781344350866043</v>
      </c>
      <c r="I197" s="67">
        <f t="shared" si="195"/>
        <v>7849.9920546639123</v>
      </c>
      <c r="J197" s="67">
        <f t="shared" si="194"/>
        <v>12.941176470588236</v>
      </c>
      <c r="K197" s="67">
        <f t="shared" si="186"/>
        <v>3196.4705882352941</v>
      </c>
      <c r="L197" s="72">
        <f t="shared" si="187"/>
        <v>11046.462642899207</v>
      </c>
      <c r="M197" s="67">
        <v>43.64730670014454</v>
      </c>
      <c r="N197" s="67">
        <v>17.772926539435915</v>
      </c>
      <c r="O197" s="72">
        <f t="shared" si="188"/>
        <v>61.420233239580455</v>
      </c>
      <c r="P197" s="203">
        <f t="shared" si="189"/>
        <v>15170.797610176372</v>
      </c>
      <c r="Q197" s="272">
        <f t="shared" si="151"/>
        <v>15357.102585956542</v>
      </c>
      <c r="R197" s="439">
        <f t="shared" si="190"/>
        <v>-186.30497578016912</v>
      </c>
      <c r="S197" s="18"/>
      <c r="T197" s="67">
        <f>30/1.085</f>
        <v>27.649769585253456</v>
      </c>
      <c r="U197" s="18"/>
      <c r="V197" s="273"/>
      <c r="W197" s="67">
        <v>11</v>
      </c>
      <c r="AL197" s="891" t="s">
        <v>277</v>
      </c>
      <c r="AM197" s="891"/>
      <c r="AN197" s="544" t="s">
        <v>283</v>
      </c>
      <c r="AO197" s="544">
        <v>10</v>
      </c>
      <c r="AP197" s="544">
        <v>10</v>
      </c>
      <c r="AQ197" s="144">
        <v>250</v>
      </c>
      <c r="AR197" s="144">
        <f t="shared" si="196"/>
        <v>2500</v>
      </c>
      <c r="AS197" s="144">
        <v>65</v>
      </c>
      <c r="AT197" s="144">
        <f t="shared" si="197"/>
        <v>650</v>
      </c>
      <c r="AU197" s="220"/>
    </row>
    <row r="198" spans="1:47" s="1" customFormat="1" x14ac:dyDescent="0.25">
      <c r="A198" s="238"/>
      <c r="B198" s="317"/>
      <c r="C198" s="318">
        <v>11</v>
      </c>
      <c r="D198" s="83" t="s">
        <v>450</v>
      </c>
      <c r="E198" s="242">
        <v>240</v>
      </c>
      <c r="F198" s="242">
        <v>247</v>
      </c>
      <c r="G198" s="73" t="s">
        <v>283</v>
      </c>
      <c r="H198" s="67">
        <f t="shared" si="191"/>
        <v>18.390804597701148</v>
      </c>
      <c r="I198" s="67">
        <f t="shared" si="195"/>
        <v>4542.5287356321833</v>
      </c>
      <c r="J198" s="67">
        <f t="shared" si="194"/>
        <v>7.0588235294117645</v>
      </c>
      <c r="K198" s="67">
        <f t="shared" si="186"/>
        <v>1743.5294117647059</v>
      </c>
      <c r="L198" s="72">
        <f t="shared" si="187"/>
        <v>6286.0581473968887</v>
      </c>
      <c r="M198" s="67">
        <v>25.257241477150302</v>
      </c>
      <c r="N198" s="67">
        <v>9.6943235669650427</v>
      </c>
      <c r="O198" s="72">
        <f t="shared" si="188"/>
        <v>34.951565044115341</v>
      </c>
      <c r="P198" s="203">
        <f t="shared" si="189"/>
        <v>8633.0365658964893</v>
      </c>
      <c r="Q198" s="272">
        <f t="shared" si="151"/>
        <v>8739.0545690132003</v>
      </c>
      <c r="R198" s="439">
        <f t="shared" si="190"/>
        <v>-106.01800311671104</v>
      </c>
      <c r="S198" s="18"/>
      <c r="T198" s="67">
        <v>16</v>
      </c>
      <c r="U198" s="18"/>
      <c r="V198" s="273"/>
      <c r="W198" s="67">
        <v>6</v>
      </c>
      <c r="AL198" s="891" t="s">
        <v>278</v>
      </c>
      <c r="AM198" s="891"/>
      <c r="AN198" s="544" t="s">
        <v>283</v>
      </c>
      <c r="AO198" s="544">
        <v>10</v>
      </c>
      <c r="AP198" s="544">
        <v>10</v>
      </c>
      <c r="AQ198" s="144">
        <v>280</v>
      </c>
      <c r="AR198" s="144">
        <f t="shared" si="196"/>
        <v>2800</v>
      </c>
      <c r="AS198" s="144">
        <v>70</v>
      </c>
      <c r="AT198" s="144">
        <f t="shared" si="197"/>
        <v>700</v>
      </c>
      <c r="AU198" s="220"/>
    </row>
    <row r="199" spans="1:47" s="1" customFormat="1" x14ac:dyDescent="0.25">
      <c r="A199" s="238"/>
      <c r="B199" s="317"/>
      <c r="C199" s="318">
        <v>12</v>
      </c>
      <c r="D199" s="83" t="s">
        <v>452</v>
      </c>
      <c r="E199" s="242">
        <v>95</v>
      </c>
      <c r="F199" s="242">
        <v>100</v>
      </c>
      <c r="G199" s="73" t="s">
        <v>283</v>
      </c>
      <c r="H199" s="67">
        <f t="shared" si="191"/>
        <v>28.735632183908045</v>
      </c>
      <c r="I199" s="67">
        <f t="shared" si="195"/>
        <v>2873.5632183908046</v>
      </c>
      <c r="J199" s="67">
        <f t="shared" si="194"/>
        <v>10.588235294117647</v>
      </c>
      <c r="K199" s="67">
        <f t="shared" si="186"/>
        <v>1058.8235294117646</v>
      </c>
      <c r="L199" s="72">
        <f t="shared" si="187"/>
        <v>3932.3867478025695</v>
      </c>
      <c r="M199" s="67">
        <v>39.464439808047345</v>
      </c>
      <c r="N199" s="67">
        <v>14.541485350447564</v>
      </c>
      <c r="O199" s="72">
        <f t="shared" si="188"/>
        <v>54.005925158494911</v>
      </c>
      <c r="P199" s="203">
        <f t="shared" si="189"/>
        <v>5400.5925158494911</v>
      </c>
      <c r="Q199" s="272">
        <f t="shared" si="151"/>
        <v>5466.9144907197515</v>
      </c>
      <c r="R199" s="439">
        <f t="shared" si="190"/>
        <v>-66.321974870260419</v>
      </c>
      <c r="S199" s="18"/>
      <c r="T199" s="67">
        <v>25</v>
      </c>
      <c r="U199" s="18"/>
      <c r="V199" s="273"/>
      <c r="W199" s="67">
        <v>9</v>
      </c>
      <c r="AL199" s="890" t="s">
        <v>280</v>
      </c>
      <c r="AM199" s="890"/>
      <c r="AN199" s="544" t="s">
        <v>101</v>
      </c>
      <c r="AO199" s="544">
        <f>4.5*1.2</f>
        <v>5.3999999999999995</v>
      </c>
      <c r="AP199" s="544">
        <v>6</v>
      </c>
      <c r="AQ199" s="144">
        <v>160</v>
      </c>
      <c r="AR199" s="144">
        <f t="shared" si="196"/>
        <v>960</v>
      </c>
      <c r="AS199" s="144">
        <v>145</v>
      </c>
      <c r="AT199" s="144">
        <f t="shared" si="197"/>
        <v>870</v>
      </c>
      <c r="AU199" s="220"/>
    </row>
    <row r="200" spans="1:47" s="1" customFormat="1" x14ac:dyDescent="0.25">
      <c r="A200" s="238"/>
      <c r="B200" s="317"/>
      <c r="C200" s="318"/>
      <c r="D200" s="83"/>
      <c r="E200" s="242"/>
      <c r="F200" s="242"/>
      <c r="G200" s="73"/>
      <c r="H200" s="67"/>
      <c r="I200" s="67"/>
      <c r="J200" s="67"/>
      <c r="K200" s="67"/>
      <c r="L200" s="72"/>
      <c r="M200" s="67"/>
      <c r="N200" s="67"/>
      <c r="O200" s="72"/>
      <c r="P200" s="203"/>
      <c r="Q200" s="272">
        <f t="shared" si="151"/>
        <v>0</v>
      </c>
      <c r="R200" s="439"/>
      <c r="S200" s="18"/>
      <c r="U200" s="18"/>
      <c r="V200" s="273"/>
      <c r="W200" s="67"/>
      <c r="X200" s="273"/>
      <c r="Y200" s="273"/>
      <c r="Z200" s="273"/>
      <c r="AA200" s="273"/>
      <c r="AB200" s="273"/>
      <c r="AC200" s="273"/>
      <c r="AD200" s="224"/>
      <c r="AE200" s="273"/>
      <c r="AF200" s="224"/>
      <c r="AG200" s="406"/>
      <c r="AL200" s="890" t="s">
        <v>285</v>
      </c>
      <c r="AM200" s="890"/>
      <c r="AN200" s="544" t="s">
        <v>100</v>
      </c>
      <c r="AO200" s="544">
        <v>26</v>
      </c>
      <c r="AP200" s="544">
        <v>32</v>
      </c>
      <c r="AQ200" s="2">
        <v>90</v>
      </c>
      <c r="AR200" s="144">
        <f t="shared" si="196"/>
        <v>2880</v>
      </c>
      <c r="AS200" s="2">
        <v>90</v>
      </c>
      <c r="AT200" s="144">
        <f t="shared" si="197"/>
        <v>2880</v>
      </c>
      <c r="AU200" s="220"/>
    </row>
    <row r="201" spans="1:47" s="1" customFormat="1" x14ac:dyDescent="0.25">
      <c r="A201" s="238"/>
      <c r="B201" s="290" t="s">
        <v>329</v>
      </c>
      <c r="C201" s="291" t="s">
        <v>458</v>
      </c>
      <c r="D201" s="316"/>
      <c r="E201" s="244"/>
      <c r="F201" s="244"/>
      <c r="G201" s="75"/>
      <c r="H201" s="74"/>
      <c r="I201" s="74"/>
      <c r="J201" s="74"/>
      <c r="K201" s="74"/>
      <c r="L201" s="74"/>
      <c r="M201" s="72"/>
      <c r="N201" s="72"/>
      <c r="O201" s="72"/>
      <c r="P201" s="205"/>
      <c r="Q201" s="272">
        <f t="shared" si="151"/>
        <v>0</v>
      </c>
      <c r="R201" s="439"/>
      <c r="S201" s="18"/>
      <c r="W201" s="74"/>
      <c r="AL201" s="890" t="s">
        <v>279</v>
      </c>
      <c r="AM201" s="890"/>
      <c r="AN201" s="544" t="s">
        <v>266</v>
      </c>
      <c r="AO201" s="544">
        <f>4.5*1.2*0.15+(4.5*0.3*0.1)*2</f>
        <v>1.0799999999999998</v>
      </c>
      <c r="AP201" s="544">
        <v>1.25</v>
      </c>
      <c r="AQ201" s="2">
        <f>3800/1.05</f>
        <v>3619.0476190476188</v>
      </c>
      <c r="AR201" s="144">
        <f t="shared" si="196"/>
        <v>4523.8095238095239</v>
      </c>
      <c r="AS201" s="2">
        <v>800</v>
      </c>
      <c r="AT201" s="144">
        <f t="shared" si="197"/>
        <v>1000</v>
      </c>
      <c r="AU201" s="220"/>
    </row>
    <row r="202" spans="1:47" s="1" customFormat="1" x14ac:dyDescent="0.25">
      <c r="A202" s="238"/>
      <c r="B202" s="317"/>
      <c r="C202" s="318">
        <v>1</v>
      </c>
      <c r="D202" s="83" t="s">
        <v>459</v>
      </c>
      <c r="E202" s="539">
        <v>1337</v>
      </c>
      <c r="F202" s="242">
        <v>1446</v>
      </c>
      <c r="G202" s="73" t="s">
        <v>100</v>
      </c>
      <c r="H202" s="67">
        <f>10</f>
        <v>10</v>
      </c>
      <c r="I202" s="67">
        <f>F202*H202</f>
        <v>14460</v>
      </c>
      <c r="J202" s="67">
        <f t="shared" ref="J202:J210" si="198">W202/$J$165</f>
        <v>4.7058823529411766</v>
      </c>
      <c r="K202" s="67">
        <f t="shared" ref="K202:K210" si="199">F202*J202</f>
        <v>6804.7058823529414</v>
      </c>
      <c r="L202" s="72">
        <f t="shared" ref="L202:L210" si="200">I202+K202</f>
        <v>21264.705882352941</v>
      </c>
      <c r="M202" s="67">
        <v>13.733625053200479</v>
      </c>
      <c r="N202" s="67">
        <v>6.4628823779766957</v>
      </c>
      <c r="O202" s="72">
        <f t="shared" ref="O202:O210" si="201">N202+M202</f>
        <v>20.196507431177174</v>
      </c>
      <c r="P202" s="203">
        <f t="shared" ref="P202:P210" si="202">O202*F202</f>
        <v>29204.149745482195</v>
      </c>
      <c r="Q202" s="272">
        <f t="shared" si="151"/>
        <v>29562.791298208653</v>
      </c>
      <c r="R202" s="439">
        <f t="shared" ref="R202:R210" si="203">P202-Q202</f>
        <v>-358.64155272645803</v>
      </c>
      <c r="S202" s="18"/>
      <c r="U202" s="18"/>
      <c r="V202" s="273"/>
      <c r="W202" s="67">
        <v>4</v>
      </c>
      <c r="X202" s="224"/>
      <c r="Y202" s="224"/>
      <c r="Z202" s="224"/>
      <c r="AA202" s="224"/>
      <c r="AB202" s="224"/>
      <c r="AC202" s="224"/>
      <c r="AD202" s="224"/>
      <c r="AE202" s="224"/>
      <c r="AF202" s="224"/>
      <c r="AL202" s="890" t="s">
        <v>282</v>
      </c>
      <c r="AM202" s="890"/>
      <c r="AN202" s="544" t="s">
        <v>284</v>
      </c>
      <c r="AO202" s="173">
        <f>(5*12+23*1.2+16)*0.616</f>
        <v>63.817599999999999</v>
      </c>
      <c r="AP202" s="544">
        <v>75</v>
      </c>
      <c r="AQ202" s="2">
        <f>33/1.05</f>
        <v>31.428571428571427</v>
      </c>
      <c r="AR202" s="144">
        <f t="shared" si="196"/>
        <v>2357.1428571428569</v>
      </c>
      <c r="AS202" s="2">
        <v>12</v>
      </c>
      <c r="AT202" s="144">
        <f t="shared" si="197"/>
        <v>900</v>
      </c>
      <c r="AU202" s="220"/>
    </row>
    <row r="203" spans="1:47" s="1" customFormat="1" x14ac:dyDescent="0.25">
      <c r="A203" s="238"/>
      <c r="B203" s="317"/>
      <c r="C203" s="318">
        <v>2</v>
      </c>
      <c r="D203" s="83" t="s">
        <v>460</v>
      </c>
      <c r="E203" s="539">
        <v>1113</v>
      </c>
      <c r="F203" s="242">
        <v>1320</v>
      </c>
      <c r="G203" s="73" t="s">
        <v>100</v>
      </c>
      <c r="H203" s="67">
        <f>25</f>
        <v>25</v>
      </c>
      <c r="I203" s="67">
        <f t="shared" ref="I203:I205" si="204">F203*H203</f>
        <v>33000</v>
      </c>
      <c r="J203" s="67">
        <f t="shared" si="198"/>
        <v>10.588235294117647</v>
      </c>
      <c r="K203" s="67">
        <f t="shared" si="199"/>
        <v>13976.470588235294</v>
      </c>
      <c r="L203" s="72">
        <f t="shared" si="200"/>
        <v>46976.470588235294</v>
      </c>
      <c r="M203" s="67">
        <v>34.334062633001196</v>
      </c>
      <c r="N203" s="67">
        <v>14.541485350447564</v>
      </c>
      <c r="O203" s="72">
        <f t="shared" si="201"/>
        <v>48.875547983448762</v>
      </c>
      <c r="P203" s="203">
        <f t="shared" si="202"/>
        <v>64515.723338152362</v>
      </c>
      <c r="Q203" s="272">
        <f t="shared" si="151"/>
        <v>65308.008660441024</v>
      </c>
      <c r="R203" s="439">
        <f t="shared" si="203"/>
        <v>-792.28532228866243</v>
      </c>
      <c r="S203" s="18"/>
      <c r="U203" s="18"/>
      <c r="V203" s="273"/>
      <c r="W203" s="67">
        <v>9</v>
      </c>
      <c r="X203" s="224"/>
      <c r="Y203" s="224"/>
      <c r="Z203" s="224"/>
      <c r="AA203" s="224"/>
      <c r="AB203" s="224"/>
      <c r="AC203" s="224"/>
      <c r="AD203" s="224"/>
      <c r="AE203" s="224"/>
      <c r="AF203" s="224"/>
      <c r="AL203" s="890" t="s">
        <v>281</v>
      </c>
      <c r="AM203" s="890"/>
      <c r="AN203" s="544" t="s">
        <v>101</v>
      </c>
      <c r="AO203" s="544">
        <f>0.3*4.5*2</f>
        <v>2.6999999999999997</v>
      </c>
      <c r="AP203" s="544">
        <v>3</v>
      </c>
      <c r="AQ203" s="2">
        <v>220</v>
      </c>
      <c r="AR203" s="144">
        <f t="shared" si="196"/>
        <v>660</v>
      </c>
      <c r="AS203" s="2">
        <v>200</v>
      </c>
      <c r="AT203" s="144">
        <f t="shared" si="197"/>
        <v>600</v>
      </c>
      <c r="AU203" s="220"/>
    </row>
    <row r="204" spans="1:47" s="1" customFormat="1" x14ac:dyDescent="0.25">
      <c r="A204" s="238"/>
      <c r="B204" s="317"/>
      <c r="C204" s="318">
        <v>3</v>
      </c>
      <c r="D204" s="83" t="s">
        <v>461</v>
      </c>
      <c r="E204" s="242">
        <v>33</v>
      </c>
      <c r="F204" s="242">
        <v>33</v>
      </c>
      <c r="G204" s="73" t="s">
        <v>28</v>
      </c>
      <c r="H204" s="67">
        <f>258</f>
        <v>258</v>
      </c>
      <c r="I204" s="67">
        <f t="shared" si="204"/>
        <v>8514</v>
      </c>
      <c r="J204" s="67">
        <f t="shared" si="198"/>
        <v>117.64705882352942</v>
      </c>
      <c r="K204" s="67">
        <f t="shared" si="199"/>
        <v>3882.3529411764707</v>
      </c>
      <c r="L204" s="72">
        <f t="shared" si="200"/>
        <v>12396.35294117647</v>
      </c>
      <c r="M204" s="67">
        <v>354.32752637257232</v>
      </c>
      <c r="N204" s="67">
        <v>161.5720594494174</v>
      </c>
      <c r="O204" s="72">
        <f t="shared" si="201"/>
        <v>515.89958582198972</v>
      </c>
      <c r="P204" s="203">
        <f t="shared" si="202"/>
        <v>17024.686332125661</v>
      </c>
      <c r="Q204" s="272">
        <f t="shared" si="151"/>
        <v>17233.757987833735</v>
      </c>
      <c r="R204" s="439">
        <f t="shared" si="203"/>
        <v>-209.0716557080741</v>
      </c>
      <c r="S204" s="18"/>
      <c r="U204" s="18"/>
      <c r="V204" s="273"/>
      <c r="W204" s="67">
        <v>100</v>
      </c>
      <c r="X204" s="273"/>
      <c r="Y204" s="273"/>
      <c r="Z204" s="273"/>
      <c r="AA204" s="273"/>
      <c r="AB204" s="273"/>
      <c r="AC204" s="273"/>
      <c r="AD204" s="224"/>
      <c r="AE204" s="273"/>
      <c r="AF204" s="224"/>
      <c r="AG204" s="406"/>
      <c r="AL204" s="890" t="s">
        <v>379</v>
      </c>
      <c r="AM204" s="890"/>
      <c r="AN204" s="544" t="s">
        <v>301</v>
      </c>
      <c r="AO204" s="544">
        <v>1</v>
      </c>
      <c r="AP204" s="544">
        <v>1</v>
      </c>
      <c r="AQ204" s="2">
        <v>1000</v>
      </c>
      <c r="AR204" s="144">
        <f t="shared" si="196"/>
        <v>1000</v>
      </c>
      <c r="AS204" s="2">
        <v>800</v>
      </c>
      <c r="AT204" s="144">
        <f t="shared" si="197"/>
        <v>800</v>
      </c>
    </row>
    <row r="205" spans="1:47" s="1" customFormat="1" x14ac:dyDescent="0.25">
      <c r="A205" s="238"/>
      <c r="B205" s="317"/>
      <c r="C205" s="318">
        <v>4</v>
      </c>
      <c r="D205" s="83" t="s">
        <v>462</v>
      </c>
      <c r="E205" s="242">
        <v>33</v>
      </c>
      <c r="F205" s="242">
        <v>33</v>
      </c>
      <c r="G205" s="73" t="s">
        <v>28</v>
      </c>
      <c r="H205" s="67">
        <f>456</f>
        <v>456</v>
      </c>
      <c r="I205" s="67">
        <f t="shared" si="204"/>
        <v>15048</v>
      </c>
      <c r="J205" s="67">
        <f t="shared" si="198"/>
        <v>117.64705882352942</v>
      </c>
      <c r="K205" s="67">
        <f t="shared" si="199"/>
        <v>3882.3529411764707</v>
      </c>
      <c r="L205" s="72">
        <f t="shared" si="200"/>
        <v>18930.352941176472</v>
      </c>
      <c r="M205" s="67">
        <v>626.2533024259418</v>
      </c>
      <c r="N205" s="67">
        <v>161.5720594494174</v>
      </c>
      <c r="O205" s="72">
        <f t="shared" si="201"/>
        <v>787.82536187535925</v>
      </c>
      <c r="P205" s="203">
        <f t="shared" si="202"/>
        <v>25998.236941886855</v>
      </c>
      <c r="Q205" s="272">
        <f t="shared" si="151"/>
        <v>26317.508283331445</v>
      </c>
      <c r="R205" s="439">
        <f t="shared" si="203"/>
        <v>-319.27134144458978</v>
      </c>
      <c r="S205" s="18"/>
      <c r="U205" s="18"/>
      <c r="V205" s="273"/>
      <c r="W205" s="67">
        <v>100</v>
      </c>
      <c r="X205" s="273"/>
      <c r="Y205" s="273"/>
      <c r="Z205" s="273"/>
      <c r="AA205" s="273"/>
      <c r="AB205" s="273"/>
      <c r="AC205" s="273"/>
      <c r="AD205" s="224"/>
      <c r="AE205" s="273"/>
      <c r="AF205" s="224"/>
      <c r="AL205" s="18"/>
      <c r="AM205" s="18"/>
      <c r="AN205" s="18"/>
      <c r="AO205" s="18"/>
      <c r="AP205" s="18"/>
      <c r="AQ205" s="18"/>
      <c r="AR205" s="146">
        <f>SUM(AR196:AR204)</f>
        <v>25395.238095238092</v>
      </c>
      <c r="AS205" s="18"/>
      <c r="AT205" s="146">
        <f>SUM(AT196:AT204)</f>
        <v>12900</v>
      </c>
    </row>
    <row r="206" spans="1:47" s="1" customFormat="1" x14ac:dyDescent="0.25">
      <c r="A206" s="238"/>
      <c r="B206" s="317"/>
      <c r="C206" s="318">
        <v>1</v>
      </c>
      <c r="D206" s="83" t="s">
        <v>463</v>
      </c>
      <c r="E206" s="242">
        <v>1</v>
      </c>
      <c r="F206" s="242">
        <v>1</v>
      </c>
      <c r="G206" s="73" t="s">
        <v>251</v>
      </c>
      <c r="H206" s="67">
        <f>4500</f>
        <v>4500</v>
      </c>
      <c r="I206" s="67">
        <f>F206*H206</f>
        <v>4500</v>
      </c>
      <c r="J206" s="67">
        <f t="shared" si="198"/>
        <v>1058.8235294117646</v>
      </c>
      <c r="K206" s="67">
        <f t="shared" si="199"/>
        <v>1058.8235294117646</v>
      </c>
      <c r="L206" s="72">
        <f t="shared" si="200"/>
        <v>5558.8235294117649</v>
      </c>
      <c r="M206" s="67">
        <v>6180.1312739402147</v>
      </c>
      <c r="N206" s="67">
        <v>1454.1485350447563</v>
      </c>
      <c r="O206" s="72">
        <f t="shared" si="201"/>
        <v>7634.2798089849712</v>
      </c>
      <c r="P206" s="203">
        <f t="shared" si="202"/>
        <v>7634.2798089849712</v>
      </c>
      <c r="Q206" s="272">
        <f t="shared" si="151"/>
        <v>7728.0325800296478</v>
      </c>
      <c r="R206" s="439">
        <f t="shared" si="203"/>
        <v>-93.752771044676592</v>
      </c>
      <c r="S206" s="18"/>
      <c r="U206" s="18"/>
      <c r="V206" s="273"/>
      <c r="W206" s="67">
        <v>900</v>
      </c>
      <c r="X206" s="224"/>
      <c r="Y206" s="224"/>
      <c r="Z206" s="224"/>
      <c r="AA206" s="224"/>
      <c r="AB206" s="224"/>
      <c r="AC206" s="224"/>
      <c r="AD206" s="224"/>
      <c r="AE206" s="224"/>
      <c r="AF206" s="224"/>
    </row>
    <row r="207" spans="1:47" s="1" customFormat="1" x14ac:dyDescent="0.25">
      <c r="A207" s="238"/>
      <c r="B207" s="317"/>
      <c r="C207" s="318">
        <v>2</v>
      </c>
      <c r="D207" s="83" t="s">
        <v>464</v>
      </c>
      <c r="E207" s="242">
        <v>1</v>
      </c>
      <c r="F207" s="242">
        <v>1</v>
      </c>
      <c r="G207" s="73" t="s">
        <v>251</v>
      </c>
      <c r="H207" s="67">
        <f>15000</f>
        <v>15000</v>
      </c>
      <c r="I207" s="67">
        <f t="shared" ref="I207:I209" si="205">F207*H207</f>
        <v>15000</v>
      </c>
      <c r="J207" s="67">
        <f t="shared" si="198"/>
        <v>3529.4117647058824</v>
      </c>
      <c r="K207" s="67">
        <f t="shared" si="199"/>
        <v>3529.4117647058824</v>
      </c>
      <c r="L207" s="72">
        <f t="shared" si="200"/>
        <v>18529.411764705881</v>
      </c>
      <c r="M207" s="67">
        <v>20600.437579800717</v>
      </c>
      <c r="N207" s="67">
        <v>4847.161783482522</v>
      </c>
      <c r="O207" s="72">
        <f t="shared" si="201"/>
        <v>25447.59936328324</v>
      </c>
      <c r="P207" s="203">
        <f t="shared" si="202"/>
        <v>25447.59936328324</v>
      </c>
      <c r="Q207" s="272">
        <f t="shared" si="151"/>
        <v>25760.108600098825</v>
      </c>
      <c r="R207" s="439">
        <f t="shared" si="203"/>
        <v>-312.50923681558561</v>
      </c>
      <c r="S207" s="18"/>
      <c r="U207" s="18"/>
      <c r="V207" s="273"/>
      <c r="W207" s="67">
        <v>3000</v>
      </c>
      <c r="X207" s="224"/>
      <c r="Y207" s="224"/>
      <c r="Z207" s="224"/>
      <c r="AA207" s="224"/>
      <c r="AB207" s="224"/>
      <c r="AC207" s="224"/>
      <c r="AD207" s="224"/>
      <c r="AE207" s="224"/>
      <c r="AF207" s="224"/>
    </row>
    <row r="208" spans="1:47" s="1" customFormat="1" x14ac:dyDescent="0.25">
      <c r="A208" s="238"/>
      <c r="B208" s="317"/>
      <c r="C208" s="318">
        <v>3</v>
      </c>
      <c r="D208" s="83" t="s">
        <v>465</v>
      </c>
      <c r="E208" s="242">
        <v>1</v>
      </c>
      <c r="F208" s="242">
        <v>1</v>
      </c>
      <c r="G208" s="73" t="s">
        <v>243</v>
      </c>
      <c r="H208" s="67">
        <f>12000</f>
        <v>12000</v>
      </c>
      <c r="I208" s="67">
        <f t="shared" si="205"/>
        <v>12000</v>
      </c>
      <c r="J208" s="67">
        <f t="shared" si="198"/>
        <v>529.41176470588232</v>
      </c>
      <c r="K208" s="67">
        <f t="shared" si="199"/>
        <v>529.41176470588232</v>
      </c>
      <c r="L208" s="72">
        <f t="shared" si="200"/>
        <v>12529.411764705883</v>
      </c>
      <c r="M208" s="67">
        <v>16480.350063840571</v>
      </c>
      <c r="N208" s="67">
        <v>727.07426752237814</v>
      </c>
      <c r="O208" s="72">
        <f t="shared" si="201"/>
        <v>17207.424331362949</v>
      </c>
      <c r="P208" s="203">
        <f t="shared" si="202"/>
        <v>17207.424331362949</v>
      </c>
      <c r="Q208" s="272">
        <f t="shared" si="151"/>
        <v>17418.740101019208</v>
      </c>
      <c r="R208" s="439">
        <f t="shared" si="203"/>
        <v>-211.31576965625936</v>
      </c>
      <c r="S208" s="18"/>
      <c r="U208" s="18"/>
      <c r="V208" s="273"/>
      <c r="W208" s="67">
        <v>450</v>
      </c>
      <c r="X208" s="273"/>
      <c r="Y208" s="273"/>
      <c r="Z208" s="273"/>
      <c r="AA208" s="273"/>
      <c r="AB208" s="273"/>
      <c r="AC208" s="273"/>
      <c r="AD208" s="224"/>
      <c r="AE208" s="273"/>
      <c r="AF208" s="224"/>
      <c r="AG208" s="406">
        <f>AE221*2+AE237*3</f>
        <v>40999</v>
      </c>
    </row>
    <row r="209" spans="1:39" s="1" customFormat="1" x14ac:dyDescent="0.25">
      <c r="A209" s="238"/>
      <c r="B209" s="317"/>
      <c r="C209" s="318">
        <v>4</v>
      </c>
      <c r="D209" s="83" t="s">
        <v>466</v>
      </c>
      <c r="E209" s="242">
        <v>2</v>
      </c>
      <c r="F209" s="242">
        <v>2</v>
      </c>
      <c r="G209" s="73" t="s">
        <v>283</v>
      </c>
      <c r="H209" s="67">
        <f>5612</f>
        <v>5612</v>
      </c>
      <c r="I209" s="67">
        <f t="shared" si="205"/>
        <v>11224</v>
      </c>
      <c r="J209" s="67">
        <f t="shared" si="198"/>
        <v>2352.9411764705883</v>
      </c>
      <c r="K209" s="67">
        <f t="shared" si="199"/>
        <v>4705.8823529411766</v>
      </c>
      <c r="L209" s="72">
        <f t="shared" si="200"/>
        <v>15929.882352941177</v>
      </c>
      <c r="M209" s="67">
        <v>7707.3103798561078</v>
      </c>
      <c r="N209" s="67">
        <v>3231.4411889883477</v>
      </c>
      <c r="O209" s="72">
        <f t="shared" si="201"/>
        <v>10938.751568844455</v>
      </c>
      <c r="P209" s="203">
        <f t="shared" si="202"/>
        <v>21877.503137688909</v>
      </c>
      <c r="Q209" s="272">
        <f t="shared" si="151"/>
        <v>22146.169808811312</v>
      </c>
      <c r="R209" s="439">
        <f t="shared" si="203"/>
        <v>-268.66667112240248</v>
      </c>
      <c r="S209" s="18"/>
      <c r="U209" s="18"/>
      <c r="V209" s="273"/>
      <c r="W209" s="67">
        <v>2000</v>
      </c>
      <c r="X209" s="273"/>
      <c r="Y209" s="273"/>
      <c r="Z209" s="273"/>
      <c r="AA209" s="273"/>
      <c r="AB209" s="273"/>
      <c r="AC209" s="273"/>
      <c r="AD209" s="224"/>
      <c r="AE209" s="273"/>
      <c r="AF209" s="224"/>
    </row>
    <row r="210" spans="1:39" s="1" customFormat="1" x14ac:dyDescent="0.25">
      <c r="A210" s="238"/>
      <c r="B210" s="317"/>
      <c r="C210" s="318">
        <v>5</v>
      </c>
      <c r="D210" s="83" t="s">
        <v>467</v>
      </c>
      <c r="E210" s="242">
        <v>1</v>
      </c>
      <c r="F210" s="242">
        <v>1</v>
      </c>
      <c r="G210" s="73" t="s">
        <v>301</v>
      </c>
      <c r="H210" s="67">
        <f>7500+3000</f>
        <v>10500</v>
      </c>
      <c r="I210" s="67">
        <f>F210*H210</f>
        <v>10500</v>
      </c>
      <c r="J210" s="67">
        <f t="shared" si="198"/>
        <v>6470.588235294118</v>
      </c>
      <c r="K210" s="67">
        <f t="shared" si="199"/>
        <v>6470.588235294118</v>
      </c>
      <c r="L210" s="72">
        <f t="shared" si="200"/>
        <v>16970.588235294119</v>
      </c>
      <c r="M210" s="67">
        <v>14420.306305860502</v>
      </c>
      <c r="N210" s="67">
        <v>8886.4632697179568</v>
      </c>
      <c r="O210" s="72">
        <f t="shared" si="201"/>
        <v>23306.769575578459</v>
      </c>
      <c r="P210" s="203">
        <f t="shared" si="202"/>
        <v>23306.769575578459</v>
      </c>
      <c r="Q210" s="272">
        <f t="shared" ref="Q210:Q240" si="206">L210/$P$257*$P$265</f>
        <v>23592.988352788929</v>
      </c>
      <c r="R210" s="439">
        <f t="shared" si="203"/>
        <v>-286.21877721046985</v>
      </c>
      <c r="S210" s="18"/>
      <c r="U210" s="18"/>
      <c r="V210" s="273"/>
      <c r="W210" s="67">
        <f>2500+3000</f>
        <v>5500</v>
      </c>
      <c r="X210" s="550" t="s">
        <v>7</v>
      </c>
      <c r="Y210" s="550" t="s">
        <v>6</v>
      </c>
      <c r="Z210" s="550" t="s">
        <v>5</v>
      </c>
      <c r="AA210" s="897" t="s">
        <v>380</v>
      </c>
      <c r="AB210" s="897"/>
      <c r="AC210" s="897"/>
      <c r="AD210" s="897" t="s">
        <v>381</v>
      </c>
      <c r="AE210" s="897"/>
      <c r="AF210" s="384"/>
      <c r="AG210" s="385"/>
      <c r="AH210" s="385"/>
      <c r="AI210" s="385"/>
      <c r="AJ210" s="385"/>
      <c r="AK210" s="385" t="s">
        <v>397</v>
      </c>
      <c r="AL210" s="385" t="s">
        <v>398</v>
      </c>
    </row>
    <row r="211" spans="1:39" ht="15.75" thickBot="1" x14ac:dyDescent="0.3">
      <c r="A211" s="238"/>
      <c r="B211" s="249"/>
      <c r="C211" s="293"/>
      <c r="D211" s="83"/>
      <c r="E211" s="242"/>
      <c r="F211" s="302"/>
      <c r="G211" s="68"/>
      <c r="H211" s="67"/>
      <c r="I211" s="67"/>
      <c r="J211" s="67"/>
      <c r="K211" s="67"/>
      <c r="L211" s="67"/>
      <c r="M211" s="72"/>
      <c r="N211" s="72"/>
      <c r="O211" s="72"/>
      <c r="P211" s="205"/>
      <c r="Q211" s="272">
        <f t="shared" si="206"/>
        <v>0</v>
      </c>
      <c r="R211" s="439"/>
      <c r="V211" s="273"/>
      <c r="W211" s="368" t="s">
        <v>400</v>
      </c>
      <c r="X211" s="550"/>
      <c r="Y211" s="550"/>
      <c r="Z211" s="550"/>
      <c r="AA211" s="550"/>
      <c r="AB211" s="550"/>
      <c r="AC211" s="550"/>
      <c r="AD211" s="550"/>
      <c r="AE211" s="550"/>
      <c r="AF211" s="386"/>
      <c r="AG211" s="386">
        <v>0.6</v>
      </c>
      <c r="AH211" s="387">
        <v>1.8</v>
      </c>
      <c r="AI211" s="385">
        <f>AG211*AH211</f>
        <v>1.08</v>
      </c>
      <c r="AJ211" s="387">
        <f>AG211+AH211</f>
        <v>2.4</v>
      </c>
      <c r="AK211" s="385">
        <v>0.6</v>
      </c>
      <c r="AL211" s="385">
        <v>0.15</v>
      </c>
    </row>
    <row r="212" spans="1:39" s="234" customFormat="1" ht="15.75" thickBot="1" x14ac:dyDescent="0.3">
      <c r="A212" s="308"/>
      <c r="B212" s="910" t="s">
        <v>345</v>
      </c>
      <c r="C212" s="911"/>
      <c r="D212" s="912"/>
      <c r="E212" s="309"/>
      <c r="F212" s="310"/>
      <c r="G212" s="311"/>
      <c r="H212" s="312"/>
      <c r="I212" s="313">
        <f>SUM(I152:I211)</f>
        <v>1367515.3352402137</v>
      </c>
      <c r="J212" s="312"/>
      <c r="K212" s="313">
        <f>SUM(K152:K211)</f>
        <v>347811.17647058825</v>
      </c>
      <c r="L212" s="313">
        <f>SUM(L152:L211)</f>
        <v>1715326.5117108023</v>
      </c>
      <c r="M212" s="312"/>
      <c r="N212" s="312"/>
      <c r="O212" s="313"/>
      <c r="P212" s="315">
        <f>SUM(P152:P211)</f>
        <v>2355765.1155650457</v>
      </c>
      <c r="Q212" s="272">
        <f t="shared" si="206"/>
        <v>2384695.0884034359</v>
      </c>
      <c r="R212" s="439">
        <f t="shared" ref="R212:R225" si="207">P212-Q212</f>
        <v>-28929.972838390153</v>
      </c>
      <c r="T212" s="443"/>
      <c r="U212" s="275"/>
      <c r="V212" s="276"/>
      <c r="W212" s="550" t="s">
        <v>9</v>
      </c>
      <c r="X212" s="550" t="s">
        <v>382</v>
      </c>
      <c r="Y212" s="369">
        <f>+Y215*1.2</f>
        <v>2.2680000000000002</v>
      </c>
      <c r="Z212" s="370" t="s">
        <v>383</v>
      </c>
      <c r="AA212" s="371" t="s">
        <v>384</v>
      </c>
      <c r="AB212" s="372">
        <v>2300</v>
      </c>
      <c r="AC212" s="370" t="s">
        <v>385</v>
      </c>
      <c r="AD212" s="373" t="s">
        <v>384</v>
      </c>
      <c r="AE212" s="374">
        <f>Y212*AB212</f>
        <v>5216.4000000000005</v>
      </c>
      <c r="AF212" s="386"/>
      <c r="AG212" s="385">
        <v>0.15</v>
      </c>
      <c r="AH212" s="385">
        <v>1.8</v>
      </c>
      <c r="AI212" s="385">
        <f>AG212*AH212</f>
        <v>0.27</v>
      </c>
      <c r="AJ212" s="387">
        <f t="shared" ref="AJ212" si="208">AG212+AH212</f>
        <v>1.95</v>
      </c>
      <c r="AK212" s="385">
        <v>1.8</v>
      </c>
      <c r="AL212" s="385">
        <v>0.6</v>
      </c>
      <c r="AM212" s="282"/>
    </row>
    <row r="213" spans="1:39" ht="15.75" x14ac:dyDescent="0.25">
      <c r="A213" s="321" t="s">
        <v>346</v>
      </c>
      <c r="B213" s="320" t="s">
        <v>356</v>
      </c>
      <c r="C213" s="292"/>
      <c r="D213" s="83"/>
      <c r="E213" s="242"/>
      <c r="F213" s="302"/>
      <c r="G213" s="68"/>
      <c r="H213" s="67"/>
      <c r="I213" s="67"/>
      <c r="J213" s="67"/>
      <c r="K213" s="67"/>
      <c r="L213" s="67"/>
      <c r="M213" s="72"/>
      <c r="N213" s="72"/>
      <c r="O213" s="72"/>
      <c r="P213" s="205"/>
      <c r="Q213" s="272">
        <f t="shared" si="206"/>
        <v>0</v>
      </c>
      <c r="R213" s="439"/>
      <c r="V213" s="273"/>
      <c r="W213" s="375"/>
      <c r="X213" s="376"/>
      <c r="Y213" s="370"/>
      <c r="Z213" s="370"/>
      <c r="AA213" s="371"/>
      <c r="AB213" s="370"/>
      <c r="AC213" s="373" t="s">
        <v>386</v>
      </c>
      <c r="AD213" s="373" t="s">
        <v>384</v>
      </c>
      <c r="AE213" s="377">
        <f>SUM(AE212:AE212)</f>
        <v>5216.4000000000005</v>
      </c>
      <c r="AF213" s="386"/>
      <c r="AG213" s="385">
        <v>0.15</v>
      </c>
      <c r="AH213" s="385">
        <v>0.6</v>
      </c>
      <c r="AI213" s="385">
        <f>AG213*AH213</f>
        <v>0.09</v>
      </c>
      <c r="AJ213" s="387">
        <f>AG213+AH213</f>
        <v>0.75</v>
      </c>
      <c r="AK213" s="385">
        <v>0.15</v>
      </c>
      <c r="AL213" s="385">
        <v>1.8</v>
      </c>
    </row>
    <row r="214" spans="1:39" x14ac:dyDescent="0.25">
      <c r="A214" s="238"/>
      <c r="B214" s="290" t="s">
        <v>319</v>
      </c>
      <c r="C214" s="291" t="s">
        <v>403</v>
      </c>
      <c r="D214" s="83"/>
      <c r="E214" s="242"/>
      <c r="F214" s="242"/>
      <c r="G214" s="77"/>
      <c r="H214" s="74"/>
      <c r="I214" s="74"/>
      <c r="J214" s="74"/>
      <c r="K214" s="74"/>
      <c r="L214" s="72"/>
      <c r="M214" s="74"/>
      <c r="N214" s="74"/>
      <c r="O214" s="72"/>
      <c r="P214" s="203"/>
      <c r="Q214" s="272">
        <f t="shared" si="206"/>
        <v>0</v>
      </c>
      <c r="R214" s="439"/>
      <c r="V214" s="273"/>
      <c r="W214" s="375"/>
      <c r="X214" s="376"/>
      <c r="Y214" s="370"/>
      <c r="Z214" s="370"/>
      <c r="AA214" s="371"/>
      <c r="AB214" s="370"/>
      <c r="AC214" s="373"/>
      <c r="AD214" s="373"/>
      <c r="AE214" s="378"/>
      <c r="AF214" s="386"/>
      <c r="AG214" s="385">
        <v>0.15</v>
      </c>
      <c r="AH214" s="385">
        <v>0.6</v>
      </c>
      <c r="AI214" s="385">
        <f>AG214*AH214</f>
        <v>0.09</v>
      </c>
      <c r="AJ214" s="387">
        <f>AG214+AH214</f>
        <v>0.75</v>
      </c>
      <c r="AK214" s="385"/>
      <c r="AL214" s="385">
        <v>0.6</v>
      </c>
    </row>
    <row r="215" spans="1:39" x14ac:dyDescent="0.25">
      <c r="A215" s="238"/>
      <c r="B215" s="249"/>
      <c r="C215" s="293">
        <v>1</v>
      </c>
      <c r="D215" s="83" t="s">
        <v>404</v>
      </c>
      <c r="E215" s="242">
        <v>10</v>
      </c>
      <c r="F215" s="242">
        <v>10</v>
      </c>
      <c r="G215" s="77" t="s">
        <v>28</v>
      </c>
      <c r="H215" s="74"/>
      <c r="I215" s="74">
        <f t="shared" ref="I215:I225" si="209">F215*H215</f>
        <v>0</v>
      </c>
      <c r="J215" s="74">
        <f>750+100</f>
        <v>850</v>
      </c>
      <c r="K215" s="74">
        <f t="shared" ref="K215:K225" si="210">F215*J215</f>
        <v>8500</v>
      </c>
      <c r="L215" s="72">
        <f t="shared" ref="L215:L225" si="211">I215+K215</f>
        <v>8500</v>
      </c>
      <c r="M215" s="74" t="s">
        <v>469</v>
      </c>
      <c r="N215" s="74">
        <v>1167.3581295220406</v>
      </c>
      <c r="O215" s="72">
        <f>N215</f>
        <v>1167.3581295220406</v>
      </c>
      <c r="P215" s="203">
        <f t="shared" ref="P215:P225" si="212">O215*F215</f>
        <v>11673.581295220407</v>
      </c>
      <c r="Q215" s="272">
        <f t="shared" si="206"/>
        <v>11816.938707029462</v>
      </c>
      <c r="R215" s="439">
        <f t="shared" si="207"/>
        <v>-143.35741180905461</v>
      </c>
      <c r="V215" s="273"/>
      <c r="W215" s="550" t="s">
        <v>10</v>
      </c>
      <c r="X215" s="379" t="s">
        <v>387</v>
      </c>
      <c r="Y215" s="380">
        <f>AI219</f>
        <v>1.8900000000000003</v>
      </c>
      <c r="Z215" s="370" t="s">
        <v>383</v>
      </c>
      <c r="AA215" s="371" t="s">
        <v>384</v>
      </c>
      <c r="AB215" s="372">
        <v>400</v>
      </c>
      <c r="AC215" s="370" t="s">
        <v>385</v>
      </c>
      <c r="AD215" s="373" t="s">
        <v>384</v>
      </c>
      <c r="AE215" s="378">
        <f t="shared" ref="AE215:AE219" si="213">Y215*AB215</f>
        <v>756.00000000000011</v>
      </c>
      <c r="AF215" s="386"/>
      <c r="AG215" s="385">
        <v>0.2</v>
      </c>
      <c r="AH215" s="385">
        <v>1.8</v>
      </c>
      <c r="AI215" s="385">
        <f>AG215*AH215</f>
        <v>0.36000000000000004</v>
      </c>
      <c r="AJ215" s="387">
        <f>AG215+AH215</f>
        <v>2</v>
      </c>
      <c r="AK215" s="385"/>
      <c r="AL215" s="385">
        <v>0.2</v>
      </c>
    </row>
    <row r="216" spans="1:39" x14ac:dyDescent="0.25">
      <c r="A216" s="524"/>
      <c r="B216" s="249"/>
      <c r="C216" s="293">
        <v>2</v>
      </c>
      <c r="D216" s="83" t="s">
        <v>405</v>
      </c>
      <c r="E216" s="242">
        <v>3</v>
      </c>
      <c r="F216" s="242">
        <v>3</v>
      </c>
      <c r="G216" s="77" t="s">
        <v>28</v>
      </c>
      <c r="H216" s="74"/>
      <c r="I216" s="74">
        <f>F216*H216</f>
        <v>0</v>
      </c>
      <c r="J216" s="74">
        <f>750+100</f>
        <v>850</v>
      </c>
      <c r="K216" s="74">
        <f>F216*J216</f>
        <v>2550</v>
      </c>
      <c r="L216" s="72">
        <f>I216+K216</f>
        <v>2550</v>
      </c>
      <c r="M216" s="74" t="s">
        <v>469</v>
      </c>
      <c r="N216" s="74">
        <v>1167.3581295220406</v>
      </c>
      <c r="O216" s="72">
        <f t="shared" ref="O216:O222" si="214">N216</f>
        <v>1167.3581295220406</v>
      </c>
      <c r="P216" s="203">
        <f>O216*F216</f>
        <v>3502.0743885661218</v>
      </c>
      <c r="Q216" s="272">
        <f t="shared" si="206"/>
        <v>3545.0816121088387</v>
      </c>
      <c r="R216" s="439">
        <f>P216-Q216</f>
        <v>-43.007223542716929</v>
      </c>
      <c r="V216" s="273"/>
      <c r="W216" s="550"/>
      <c r="X216" s="379" t="s">
        <v>388</v>
      </c>
      <c r="Y216" s="380">
        <f>AJ219</f>
        <v>7.85</v>
      </c>
      <c r="Z216" s="370" t="s">
        <v>383</v>
      </c>
      <c r="AA216" s="371"/>
      <c r="AB216" s="372">
        <v>100</v>
      </c>
      <c r="AC216" s="370" t="s">
        <v>385</v>
      </c>
      <c r="AD216" s="373"/>
      <c r="AE216" s="378">
        <f t="shared" si="213"/>
        <v>785</v>
      </c>
      <c r="AF216" s="386"/>
      <c r="AG216" s="385"/>
      <c r="AH216" s="385"/>
      <c r="AI216" s="385"/>
      <c r="AJ216" s="387"/>
      <c r="AK216" s="385"/>
      <c r="AL216" s="385"/>
    </row>
    <row r="217" spans="1:39" x14ac:dyDescent="0.25">
      <c r="A217" s="525"/>
      <c r="B217" s="249"/>
      <c r="C217" s="293">
        <v>3</v>
      </c>
      <c r="D217" s="83" t="s">
        <v>406</v>
      </c>
      <c r="E217" s="242">
        <v>7</v>
      </c>
      <c r="F217" s="242">
        <v>7</v>
      </c>
      <c r="G217" s="77" t="s">
        <v>28</v>
      </c>
      <c r="H217" s="74"/>
      <c r="I217" s="74">
        <f t="shared" si="209"/>
        <v>0</v>
      </c>
      <c r="J217" s="74">
        <f>600+100</f>
        <v>700</v>
      </c>
      <c r="K217" s="74">
        <f t="shared" si="210"/>
        <v>4900</v>
      </c>
      <c r="L217" s="72">
        <f t="shared" si="211"/>
        <v>4900</v>
      </c>
      <c r="M217" s="74" t="s">
        <v>469</v>
      </c>
      <c r="N217" s="74">
        <v>961.35375372403348</v>
      </c>
      <c r="O217" s="72">
        <f t="shared" si="214"/>
        <v>961.35375372403348</v>
      </c>
      <c r="P217" s="203">
        <f t="shared" si="212"/>
        <v>6729.4762760682343</v>
      </c>
      <c r="Q217" s="272">
        <f t="shared" si="206"/>
        <v>6812.1176075816902</v>
      </c>
      <c r="R217" s="439">
        <f t="shared" si="207"/>
        <v>-82.641331513455953</v>
      </c>
      <c r="V217" s="273"/>
      <c r="W217" s="550"/>
      <c r="X217" s="379" t="s">
        <v>389</v>
      </c>
      <c r="Y217" s="380">
        <f>AK219</f>
        <v>2.5499999999999998</v>
      </c>
      <c r="Z217" s="370" t="s">
        <v>100</v>
      </c>
      <c r="AA217" s="371"/>
      <c r="AB217" s="372">
        <v>400</v>
      </c>
      <c r="AC217" s="381" t="s">
        <v>390</v>
      </c>
      <c r="AD217" s="373"/>
      <c r="AE217" s="378">
        <f t="shared" si="213"/>
        <v>1019.9999999999999</v>
      </c>
      <c r="AF217" s="386"/>
      <c r="AG217" s="385"/>
      <c r="AH217" s="385"/>
      <c r="AI217" s="385"/>
      <c r="AJ217" s="387"/>
      <c r="AK217" s="385"/>
      <c r="AL217" s="385"/>
    </row>
    <row r="218" spans="1:39" x14ac:dyDescent="0.25">
      <c r="A218" s="238"/>
      <c r="B218" s="249"/>
      <c r="C218" s="293">
        <v>4</v>
      </c>
      <c r="D218" s="83" t="s">
        <v>407</v>
      </c>
      <c r="E218" s="242">
        <v>7</v>
      </c>
      <c r="F218" s="242">
        <v>7</v>
      </c>
      <c r="G218" s="77" t="s">
        <v>28</v>
      </c>
      <c r="H218" s="74"/>
      <c r="I218" s="74">
        <f t="shared" si="209"/>
        <v>0</v>
      </c>
      <c r="J218" s="74">
        <f>300+100</f>
        <v>400</v>
      </c>
      <c r="K218" s="74">
        <f t="shared" si="210"/>
        <v>2800</v>
      </c>
      <c r="L218" s="72">
        <f t="shared" si="211"/>
        <v>2800</v>
      </c>
      <c r="M218" s="74" t="s">
        <v>469</v>
      </c>
      <c r="N218" s="74">
        <v>549.34500212801913</v>
      </c>
      <c r="O218" s="72">
        <f t="shared" si="214"/>
        <v>549.34500212801913</v>
      </c>
      <c r="P218" s="203">
        <f t="shared" si="212"/>
        <v>3845.4150148961339</v>
      </c>
      <c r="Q218" s="272">
        <f t="shared" si="206"/>
        <v>3892.6386329038228</v>
      </c>
      <c r="R218" s="439">
        <f t="shared" si="207"/>
        <v>-47.223618007688856</v>
      </c>
      <c r="V218" s="273"/>
      <c r="W218" s="550"/>
      <c r="X218" s="379" t="s">
        <v>391</v>
      </c>
      <c r="Y218" s="380">
        <f>AL219</f>
        <v>3.35</v>
      </c>
      <c r="Z218" s="370" t="s">
        <v>100</v>
      </c>
      <c r="AA218" s="371"/>
      <c r="AB218" s="372">
        <v>400</v>
      </c>
      <c r="AC218" s="381" t="s">
        <v>390</v>
      </c>
      <c r="AD218" s="373"/>
      <c r="AE218" s="378">
        <f t="shared" si="213"/>
        <v>1340</v>
      </c>
      <c r="AF218" s="386"/>
      <c r="AG218" s="385"/>
      <c r="AH218" s="385"/>
      <c r="AI218" s="385"/>
      <c r="AJ218" s="387"/>
      <c r="AK218" s="385"/>
      <c r="AL218" s="385"/>
    </row>
    <row r="219" spans="1:39" s="585" customFormat="1" x14ac:dyDescent="0.25">
      <c r="A219" s="600"/>
      <c r="B219" s="601"/>
      <c r="C219" s="560">
        <v>5</v>
      </c>
      <c r="D219" s="582" t="s">
        <v>523</v>
      </c>
      <c r="E219" s="583">
        <v>2</v>
      </c>
      <c r="F219" s="583">
        <v>2</v>
      </c>
      <c r="G219" s="584" t="s">
        <v>28</v>
      </c>
      <c r="H219" s="658">
        <f>4000/1.07</f>
        <v>3738.3177570093458</v>
      </c>
      <c r="I219" s="566">
        <f t="shared" si="209"/>
        <v>7476.6355140186915</v>
      </c>
      <c r="J219" s="566">
        <f>400+100</f>
        <v>500</v>
      </c>
      <c r="K219" s="566">
        <f t="shared" si="210"/>
        <v>1000</v>
      </c>
      <c r="L219" s="565">
        <f t="shared" si="211"/>
        <v>8476.6355140186915</v>
      </c>
      <c r="M219" s="566">
        <f t="shared" ref="M219:M220" si="215">H219/$P$257*$P$265</f>
        <v>5197.1143296446226</v>
      </c>
      <c r="N219" s="566">
        <f t="shared" ref="N219:N220" si="216">J219/$P$257*$P$265</f>
        <v>695.11404158996834</v>
      </c>
      <c r="O219" s="565">
        <f t="shared" ref="O219:O220" si="217">N219+M219</f>
        <v>5892.2283712345907</v>
      </c>
      <c r="P219" s="567">
        <f t="shared" si="212"/>
        <v>11784.456742469181</v>
      </c>
      <c r="Q219" s="568">
        <f t="shared" si="206"/>
        <v>11784.456742469183</v>
      </c>
      <c r="R219" s="569">
        <f t="shared" si="207"/>
        <v>0</v>
      </c>
      <c r="T219" s="579"/>
      <c r="W219" s="647"/>
      <c r="X219" s="653" t="s">
        <v>392</v>
      </c>
      <c r="Y219" s="678">
        <v>2</v>
      </c>
      <c r="Z219" s="639" t="s">
        <v>393</v>
      </c>
      <c r="AA219" s="640"/>
      <c r="AB219" s="650">
        <v>500</v>
      </c>
      <c r="AC219" s="655" t="s">
        <v>394</v>
      </c>
      <c r="AD219" s="640"/>
      <c r="AE219" s="679">
        <f t="shared" si="213"/>
        <v>1000</v>
      </c>
      <c r="AF219" s="642"/>
      <c r="AG219" s="643"/>
      <c r="AH219" s="643"/>
      <c r="AI219" s="680">
        <f>SUM(AI211:AI215)</f>
        <v>1.8900000000000003</v>
      </c>
      <c r="AJ219" s="680">
        <f>SUM(AJ211:AJ215)</f>
        <v>7.85</v>
      </c>
      <c r="AK219" s="680">
        <f>SUM(AK211:AK214)</f>
        <v>2.5499999999999998</v>
      </c>
      <c r="AL219" s="680">
        <f>SUM(AL211:AL215)</f>
        <v>3.35</v>
      </c>
    </row>
    <row r="220" spans="1:39" s="585" customFormat="1" x14ac:dyDescent="0.25">
      <c r="A220" s="600"/>
      <c r="B220" s="601"/>
      <c r="C220" s="560">
        <v>6</v>
      </c>
      <c r="D220" s="582" t="s">
        <v>507</v>
      </c>
      <c r="E220" s="583">
        <v>2</v>
      </c>
      <c r="F220" s="583">
        <v>2</v>
      </c>
      <c r="G220" s="584" t="s">
        <v>28</v>
      </c>
      <c r="H220" s="658">
        <f>1800</f>
        <v>1800</v>
      </c>
      <c r="I220" s="566">
        <f t="shared" si="209"/>
        <v>3600</v>
      </c>
      <c r="J220" s="566">
        <f>400+100</f>
        <v>500</v>
      </c>
      <c r="K220" s="566">
        <f t="shared" si="210"/>
        <v>1000</v>
      </c>
      <c r="L220" s="565">
        <f t="shared" si="211"/>
        <v>4600</v>
      </c>
      <c r="M220" s="566">
        <f t="shared" si="215"/>
        <v>2502.4105497238861</v>
      </c>
      <c r="N220" s="566">
        <f t="shared" si="216"/>
        <v>695.11404158996834</v>
      </c>
      <c r="O220" s="565">
        <f t="shared" si="217"/>
        <v>3197.5245913138542</v>
      </c>
      <c r="P220" s="567">
        <f t="shared" si="212"/>
        <v>6395.0491826277084</v>
      </c>
      <c r="Q220" s="568">
        <f t="shared" si="206"/>
        <v>6395.0491826277084</v>
      </c>
      <c r="R220" s="569">
        <f t="shared" si="207"/>
        <v>0</v>
      </c>
      <c r="T220" s="579"/>
      <c r="W220" s="637"/>
      <c r="X220" s="638"/>
      <c r="Y220" s="639"/>
      <c r="Z220" s="639"/>
      <c r="AA220" s="640"/>
      <c r="AB220" s="639"/>
      <c r="AC220" s="640" t="s">
        <v>395</v>
      </c>
      <c r="AD220" s="640" t="s">
        <v>384</v>
      </c>
      <c r="AE220" s="641">
        <f>SUM(AE215:AE219)</f>
        <v>4901</v>
      </c>
      <c r="AF220" s="642"/>
      <c r="AG220" s="643"/>
      <c r="AH220" s="643"/>
      <c r="AI220" s="643"/>
      <c r="AJ220" s="644"/>
      <c r="AK220" s="643"/>
      <c r="AL220" s="643"/>
    </row>
    <row r="221" spans="1:39" s="273" customFormat="1" ht="15.75" thickBot="1" x14ac:dyDescent="0.3">
      <c r="A221" s="350"/>
      <c r="B221" s="317"/>
      <c r="C221" s="318">
        <v>7</v>
      </c>
      <c r="D221" s="83" t="s">
        <v>410</v>
      </c>
      <c r="E221" s="242">
        <v>2</v>
      </c>
      <c r="F221" s="242">
        <v>2</v>
      </c>
      <c r="G221" s="77" t="s">
        <v>28</v>
      </c>
      <c r="H221" s="74"/>
      <c r="I221" s="74">
        <f t="shared" si="209"/>
        <v>0</v>
      </c>
      <c r="J221" s="74">
        <f>200+100</f>
        <v>300</v>
      </c>
      <c r="K221" s="74">
        <f t="shared" si="210"/>
        <v>600</v>
      </c>
      <c r="L221" s="72">
        <f t="shared" si="211"/>
        <v>600</v>
      </c>
      <c r="M221" s="74" t="s">
        <v>469</v>
      </c>
      <c r="N221" s="74">
        <f>J221/$P$257*$P$265</f>
        <v>417.06842495398098</v>
      </c>
      <c r="O221" s="72">
        <f t="shared" si="214"/>
        <v>417.06842495398098</v>
      </c>
      <c r="P221" s="205">
        <f t="shared" si="212"/>
        <v>834.13684990796196</v>
      </c>
      <c r="Q221" s="272">
        <f t="shared" si="206"/>
        <v>834.13684990796196</v>
      </c>
      <c r="R221" s="439">
        <f t="shared" si="207"/>
        <v>0</v>
      </c>
      <c r="T221" s="224"/>
      <c r="W221" s="681"/>
      <c r="X221" s="682"/>
      <c r="Y221" s="683"/>
      <c r="Z221" s="683"/>
      <c r="AA221" s="684"/>
      <c r="AB221" s="683"/>
      <c r="AC221" s="684" t="s">
        <v>396</v>
      </c>
      <c r="AD221" s="684" t="s">
        <v>384</v>
      </c>
      <c r="AE221" s="685">
        <f>AE213+AE220</f>
        <v>10117.400000000001</v>
      </c>
      <c r="AF221" s="686"/>
      <c r="AG221" s="687"/>
      <c r="AH221" s="687"/>
      <c r="AI221" s="687"/>
      <c r="AJ221" s="688"/>
      <c r="AK221" s="687"/>
      <c r="AL221" s="687"/>
    </row>
    <row r="222" spans="1:39" ht="15.75" thickTop="1" x14ac:dyDescent="0.25">
      <c r="A222" s="238"/>
      <c r="B222" s="249"/>
      <c r="C222" s="293">
        <v>8</v>
      </c>
      <c r="D222" s="83" t="s">
        <v>358</v>
      </c>
      <c r="E222" s="242">
        <v>10</v>
      </c>
      <c r="F222" s="242">
        <v>10</v>
      </c>
      <c r="G222" s="77" t="s">
        <v>28</v>
      </c>
      <c r="H222" s="74"/>
      <c r="I222" s="74">
        <f t="shared" si="209"/>
        <v>0</v>
      </c>
      <c r="J222" s="74">
        <f>250+100</f>
        <v>350</v>
      </c>
      <c r="K222" s="74">
        <f t="shared" si="210"/>
        <v>3500</v>
      </c>
      <c r="L222" s="72">
        <f t="shared" si="211"/>
        <v>3500</v>
      </c>
      <c r="M222" s="74" t="s">
        <v>469</v>
      </c>
      <c r="N222" s="74">
        <v>480.67687686201674</v>
      </c>
      <c r="O222" s="72">
        <f t="shared" si="214"/>
        <v>480.67687686201674</v>
      </c>
      <c r="P222" s="203">
        <f t="shared" si="212"/>
        <v>4806.7687686201671</v>
      </c>
      <c r="Q222" s="272">
        <f t="shared" si="206"/>
        <v>4865.7982911297777</v>
      </c>
      <c r="R222" s="439">
        <f t="shared" si="207"/>
        <v>-59.029522509610615</v>
      </c>
      <c r="V222" s="273"/>
      <c r="W222" s="389"/>
      <c r="X222" s="390"/>
      <c r="Y222" s="391"/>
      <c r="Z222" s="391"/>
      <c r="AA222" s="392"/>
      <c r="AB222" s="391"/>
      <c r="AC222" s="392"/>
      <c r="AD222" s="392"/>
      <c r="AE222" s="378"/>
      <c r="AF222" s="393"/>
      <c r="AG222" s="394"/>
      <c r="AH222" s="394"/>
      <c r="AI222" s="394"/>
      <c r="AJ222" s="395"/>
      <c r="AK222" s="394"/>
      <c r="AL222" s="394"/>
    </row>
    <row r="223" spans="1:39" x14ac:dyDescent="0.25">
      <c r="A223" s="238"/>
      <c r="B223" s="249"/>
      <c r="C223" s="293">
        <v>9</v>
      </c>
      <c r="D223" s="83" t="s">
        <v>468</v>
      </c>
      <c r="E223" s="242">
        <v>12</v>
      </c>
      <c r="F223" s="242">
        <v>12</v>
      </c>
      <c r="G223" s="77" t="s">
        <v>28</v>
      </c>
      <c r="H223" s="74">
        <f>550/1.05</f>
        <v>523.80952380952374</v>
      </c>
      <c r="I223" s="74">
        <f t="shared" si="209"/>
        <v>6285.7142857142844</v>
      </c>
      <c r="J223" s="74">
        <f>150+100</f>
        <v>250</v>
      </c>
      <c r="K223" s="74">
        <f t="shared" si="210"/>
        <v>3000</v>
      </c>
      <c r="L223" s="72">
        <f t="shared" si="211"/>
        <v>9285.7142857142844</v>
      </c>
      <c r="M223" s="74">
        <v>719.38035992954872</v>
      </c>
      <c r="N223" s="74">
        <v>343.34062633001196</v>
      </c>
      <c r="O223" s="72">
        <f t="shared" ref="O223:O225" si="218">N223+M223</f>
        <v>1062.7209862595607</v>
      </c>
      <c r="P223" s="203">
        <f t="shared" si="212"/>
        <v>12752.651835114728</v>
      </c>
      <c r="Q223" s="272">
        <f t="shared" si="206"/>
        <v>12909.260772385123</v>
      </c>
      <c r="R223" s="439">
        <f t="shared" si="207"/>
        <v>-156.60893727039547</v>
      </c>
      <c r="V223" s="273"/>
      <c r="W223" s="396"/>
      <c r="X223" s="397"/>
      <c r="Y223" s="397"/>
      <c r="Z223" s="397"/>
      <c r="AA223" s="397"/>
      <c r="AB223" s="397"/>
      <c r="AC223" s="397"/>
      <c r="AD223" s="397"/>
      <c r="AE223" s="397"/>
      <c r="AF223" s="393"/>
      <c r="AG223" s="393"/>
      <c r="AH223" s="395"/>
      <c r="AI223" s="394"/>
      <c r="AJ223" s="395"/>
      <c r="AK223" s="394"/>
      <c r="AL223" s="394"/>
    </row>
    <row r="224" spans="1:39" x14ac:dyDescent="0.25">
      <c r="A224" s="238"/>
      <c r="B224" s="249"/>
      <c r="C224" s="293">
        <v>10</v>
      </c>
      <c r="D224" s="83" t="s">
        <v>470</v>
      </c>
      <c r="E224" s="242">
        <v>2</v>
      </c>
      <c r="F224" s="242">
        <v>2</v>
      </c>
      <c r="G224" s="77" t="s">
        <v>28</v>
      </c>
      <c r="H224" s="74">
        <f>6000/1.05</f>
        <v>5714.2857142857138</v>
      </c>
      <c r="I224" s="74">
        <f t="shared" si="209"/>
        <v>11428.571428571428</v>
      </c>
      <c r="J224" s="74">
        <v>1500</v>
      </c>
      <c r="K224" s="74">
        <f t="shared" si="210"/>
        <v>3000</v>
      </c>
      <c r="L224" s="72">
        <f t="shared" si="211"/>
        <v>14428.571428571428</v>
      </c>
      <c r="M224" s="74">
        <v>7847.7857446859862</v>
      </c>
      <c r="N224" s="74">
        <v>2060.0437579800714</v>
      </c>
      <c r="O224" s="72">
        <f t="shared" si="218"/>
        <v>9907.829502666058</v>
      </c>
      <c r="P224" s="203">
        <f t="shared" si="212"/>
        <v>19815.659005332116</v>
      </c>
      <c r="Q224" s="272">
        <f t="shared" si="206"/>
        <v>20059.005200167656</v>
      </c>
      <c r="R224" s="439">
        <f t="shared" si="207"/>
        <v>-243.34619483553979</v>
      </c>
      <c r="V224" s="273"/>
      <c r="AD224" s="18"/>
      <c r="AF224" s="384"/>
      <c r="AG224" s="385"/>
      <c r="AH224" s="385"/>
      <c r="AI224" s="385"/>
      <c r="AJ224" s="385"/>
      <c r="AK224" s="385" t="s">
        <v>397</v>
      </c>
      <c r="AL224" s="385" t="s">
        <v>398</v>
      </c>
    </row>
    <row r="225" spans="1:39" x14ac:dyDescent="0.25">
      <c r="A225" s="238"/>
      <c r="B225" s="249"/>
      <c r="C225" s="293">
        <v>11</v>
      </c>
      <c r="D225" s="83" t="s">
        <v>467</v>
      </c>
      <c r="E225" s="242">
        <v>1</v>
      </c>
      <c r="F225" s="242">
        <v>1</v>
      </c>
      <c r="G225" s="77" t="s">
        <v>301</v>
      </c>
      <c r="H225" s="74">
        <v>10000</v>
      </c>
      <c r="I225" s="74">
        <f t="shared" si="209"/>
        <v>10000</v>
      </c>
      <c r="J225" s="74">
        <v>4000</v>
      </c>
      <c r="K225" s="74">
        <f t="shared" si="210"/>
        <v>4000</v>
      </c>
      <c r="L225" s="72">
        <f t="shared" si="211"/>
        <v>14000</v>
      </c>
      <c r="M225" s="74">
        <v>13733.625053200478</v>
      </c>
      <c r="N225" s="74">
        <v>5493.4500212801913</v>
      </c>
      <c r="O225" s="72">
        <f t="shared" si="218"/>
        <v>19227.075074480668</v>
      </c>
      <c r="P225" s="203">
        <f t="shared" si="212"/>
        <v>19227.075074480668</v>
      </c>
      <c r="Q225" s="272">
        <f t="shared" si="206"/>
        <v>19463.193164519111</v>
      </c>
      <c r="R225" s="439">
        <f t="shared" si="207"/>
        <v>-236.11809003844246</v>
      </c>
      <c r="V225" s="273"/>
      <c r="W225" s="550" t="s">
        <v>4</v>
      </c>
      <c r="X225" s="550" t="s">
        <v>7</v>
      </c>
      <c r="Y225" s="550" t="s">
        <v>6</v>
      </c>
      <c r="Z225" s="550" t="s">
        <v>5</v>
      </c>
      <c r="AA225" s="897" t="s">
        <v>380</v>
      </c>
      <c r="AB225" s="897"/>
      <c r="AC225" s="897"/>
      <c r="AD225" s="897" t="s">
        <v>381</v>
      </c>
      <c r="AE225" s="897"/>
      <c r="AF225" s="384"/>
      <c r="AG225" s="385"/>
      <c r="AH225" s="385"/>
      <c r="AI225" s="385"/>
      <c r="AJ225" s="385"/>
      <c r="AK225" s="385"/>
      <c r="AL225" s="385"/>
    </row>
    <row r="226" spans="1:39" x14ac:dyDescent="0.25">
      <c r="A226" s="238"/>
      <c r="B226" s="249"/>
      <c r="C226" s="293"/>
      <c r="D226" s="83"/>
      <c r="E226" s="242"/>
      <c r="F226" s="302"/>
      <c r="G226" s="77"/>
      <c r="H226" s="74"/>
      <c r="I226" s="74"/>
      <c r="J226" s="74"/>
      <c r="K226" s="74"/>
      <c r="L226" s="74"/>
      <c r="M226" s="72"/>
      <c r="N226" s="72"/>
      <c r="O226" s="72"/>
      <c r="P226" s="205"/>
      <c r="Q226" s="272">
        <f t="shared" si="206"/>
        <v>0</v>
      </c>
      <c r="R226" s="439"/>
      <c r="W226" s="368" t="s">
        <v>399</v>
      </c>
      <c r="X226" s="550"/>
      <c r="Y226" s="550"/>
      <c r="Z226" s="550"/>
      <c r="AA226" s="550"/>
      <c r="AB226" s="550"/>
      <c r="AC226" s="550"/>
      <c r="AD226" s="550"/>
      <c r="AE226" s="550"/>
      <c r="AF226" s="386"/>
      <c r="AG226" s="386">
        <v>0.6</v>
      </c>
      <c r="AH226" s="387">
        <v>1</v>
      </c>
      <c r="AI226" s="385">
        <f>AG226*AH226</f>
        <v>0.6</v>
      </c>
      <c r="AJ226" s="387">
        <f>AG226+AH226</f>
        <v>1.6</v>
      </c>
      <c r="AK226" s="385">
        <v>0.6</v>
      </c>
      <c r="AL226" s="385">
        <v>0.15</v>
      </c>
    </row>
    <row r="227" spans="1:39" x14ac:dyDescent="0.25">
      <c r="A227" s="238"/>
      <c r="B227" s="290" t="s">
        <v>320</v>
      </c>
      <c r="C227" s="291" t="s">
        <v>355</v>
      </c>
      <c r="D227" s="83"/>
      <c r="E227" s="242"/>
      <c r="F227" s="242"/>
      <c r="G227" s="77"/>
      <c r="H227" s="74"/>
      <c r="I227" s="74"/>
      <c r="J227" s="74"/>
      <c r="K227" s="74"/>
      <c r="L227" s="72"/>
      <c r="M227" s="74"/>
      <c r="N227" s="74"/>
      <c r="O227" s="72"/>
      <c r="P227" s="203"/>
      <c r="Q227" s="272">
        <f t="shared" si="206"/>
        <v>0</v>
      </c>
      <c r="R227" s="439"/>
      <c r="V227" s="273"/>
      <c r="W227" s="550" t="s">
        <v>9</v>
      </c>
      <c r="X227" s="550" t="s">
        <v>382</v>
      </c>
      <c r="Y227" s="369">
        <f>+Y231*1.2</f>
        <v>1.548</v>
      </c>
      <c r="Z227" s="370" t="s">
        <v>383</v>
      </c>
      <c r="AA227" s="371" t="s">
        <v>384</v>
      </c>
      <c r="AB227" s="372">
        <v>2300</v>
      </c>
      <c r="AC227" s="370" t="s">
        <v>385</v>
      </c>
      <c r="AD227" s="373" t="s">
        <v>384</v>
      </c>
      <c r="AE227" s="374">
        <f>Y227*AB227</f>
        <v>3560.4</v>
      </c>
      <c r="AF227" s="386"/>
      <c r="AG227" s="385">
        <v>0.15</v>
      </c>
      <c r="AH227" s="385">
        <v>1</v>
      </c>
      <c r="AI227" s="385">
        <f>AG227*AH227</f>
        <v>0.15</v>
      </c>
      <c r="AJ227" s="387">
        <f t="shared" ref="AJ227" si="219">AG227+AH227</f>
        <v>1.1499999999999999</v>
      </c>
      <c r="AK227" s="385">
        <v>1</v>
      </c>
      <c r="AL227" s="385">
        <v>0.6</v>
      </c>
    </row>
    <row r="228" spans="1:39" s="585" customFormat="1" x14ac:dyDescent="0.25">
      <c r="A228" s="600"/>
      <c r="B228" s="646"/>
      <c r="C228" s="560">
        <v>1</v>
      </c>
      <c r="D228" s="582" t="s">
        <v>493</v>
      </c>
      <c r="E228" s="583">
        <v>5</v>
      </c>
      <c r="F228" s="583">
        <v>5</v>
      </c>
      <c r="G228" s="584" t="s">
        <v>283</v>
      </c>
      <c r="H228" s="407"/>
      <c r="I228" s="566">
        <f t="shared" ref="I228:I236" si="220">F228*H228</f>
        <v>0</v>
      </c>
      <c r="J228" s="566">
        <f>300+100</f>
        <v>400</v>
      </c>
      <c r="K228" s="566">
        <f t="shared" ref="K228:K236" si="221">F228*J228</f>
        <v>2000</v>
      </c>
      <c r="L228" s="565">
        <f t="shared" ref="L228:L236" si="222">I228+K228</f>
        <v>2000</v>
      </c>
      <c r="M228" s="566">
        <f>H228/$P$257*$P$265</f>
        <v>0</v>
      </c>
      <c r="N228" s="566">
        <f>J228/$P$257*$P$265</f>
        <v>556.09123327197472</v>
      </c>
      <c r="O228" s="565">
        <f>N228</f>
        <v>556.09123327197472</v>
      </c>
      <c r="P228" s="567">
        <f t="shared" ref="P228:P236" si="223">O228*F228</f>
        <v>2780.4561663598734</v>
      </c>
      <c r="Q228" s="568">
        <f t="shared" si="206"/>
        <v>2780.4561663598734</v>
      </c>
      <c r="R228" s="569">
        <f t="shared" ref="R228:R236" si="224">P228-Q228</f>
        <v>0</v>
      </c>
      <c r="T228" s="579"/>
      <c r="W228" s="647"/>
      <c r="X228" s="647"/>
      <c r="Y228" s="648"/>
      <c r="Z228" s="639"/>
      <c r="AA228" s="649"/>
      <c r="AB228" s="650"/>
      <c r="AC228" s="639"/>
      <c r="AD228" s="640"/>
      <c r="AE228" s="651"/>
      <c r="AF228" s="642"/>
      <c r="AG228" s="643"/>
      <c r="AH228" s="643"/>
      <c r="AI228" s="643"/>
      <c r="AJ228" s="644"/>
      <c r="AK228" s="643"/>
      <c r="AL228" s="643"/>
    </row>
    <row r="229" spans="1:39" x14ac:dyDescent="0.25">
      <c r="A229" s="238"/>
      <c r="B229" s="249"/>
      <c r="C229" s="293">
        <v>2</v>
      </c>
      <c r="D229" s="83" t="s">
        <v>361</v>
      </c>
      <c r="E229" s="242">
        <v>10</v>
      </c>
      <c r="F229" s="242">
        <v>10</v>
      </c>
      <c r="G229" s="77" t="s">
        <v>283</v>
      </c>
      <c r="H229" s="74"/>
      <c r="I229" s="74">
        <f t="shared" si="220"/>
        <v>0</v>
      </c>
      <c r="J229" s="74">
        <f>150+100</f>
        <v>250</v>
      </c>
      <c r="K229" s="74">
        <f t="shared" si="221"/>
        <v>2500</v>
      </c>
      <c r="L229" s="72">
        <f t="shared" si="222"/>
        <v>2500</v>
      </c>
      <c r="M229" s="74" t="s">
        <v>469</v>
      </c>
      <c r="N229" s="74">
        <v>343.34062633001196</v>
      </c>
      <c r="O229" s="72">
        <f>N229</f>
        <v>343.34062633001196</v>
      </c>
      <c r="P229" s="203">
        <f t="shared" si="223"/>
        <v>3433.4062633001195</v>
      </c>
      <c r="Q229" s="272">
        <f t="shared" si="206"/>
        <v>3475.5702079498415</v>
      </c>
      <c r="R229" s="439">
        <f t="shared" si="224"/>
        <v>-42.163944649721998</v>
      </c>
      <c r="V229" s="287"/>
      <c r="W229" s="375"/>
      <c r="X229" s="376"/>
      <c r="Y229" s="370"/>
      <c r="Z229" s="370"/>
      <c r="AA229" s="371"/>
      <c r="AB229" s="370"/>
      <c r="AC229" s="373" t="s">
        <v>386</v>
      </c>
      <c r="AD229" s="373" t="s">
        <v>384</v>
      </c>
      <c r="AE229" s="377">
        <f>SUM(AE227:AE227)</f>
        <v>3560.4</v>
      </c>
      <c r="AF229" s="386"/>
      <c r="AG229" s="385">
        <v>0.15</v>
      </c>
      <c r="AH229" s="385">
        <v>0.6</v>
      </c>
      <c r="AI229" s="385">
        <f>AG229*AH229</f>
        <v>0.09</v>
      </c>
      <c r="AJ229" s="387">
        <f>AG229+AH229</f>
        <v>0.75</v>
      </c>
      <c r="AK229" s="385">
        <v>0.15</v>
      </c>
      <c r="AL229" s="385">
        <v>1</v>
      </c>
    </row>
    <row r="230" spans="1:39" s="585" customFormat="1" x14ac:dyDescent="0.25">
      <c r="A230" s="600"/>
      <c r="B230" s="601"/>
      <c r="C230" s="560">
        <v>3</v>
      </c>
      <c r="D230" s="582" t="s">
        <v>517</v>
      </c>
      <c r="E230" s="583">
        <v>1</v>
      </c>
      <c r="F230" s="583">
        <v>1</v>
      </c>
      <c r="G230" s="584" t="s">
        <v>55</v>
      </c>
      <c r="H230" s="658">
        <f>4200/1.085</f>
        <v>3870.9677419354839</v>
      </c>
      <c r="I230" s="566">
        <f t="shared" si="220"/>
        <v>3870.9677419354839</v>
      </c>
      <c r="J230" s="566">
        <f>600+100</f>
        <v>700</v>
      </c>
      <c r="K230" s="566">
        <f t="shared" si="221"/>
        <v>700</v>
      </c>
      <c r="L230" s="565">
        <f t="shared" si="222"/>
        <v>4570.9677419354839</v>
      </c>
      <c r="M230" s="566">
        <f>H230/$P$257*$P$265</f>
        <v>5381.5280639223356</v>
      </c>
      <c r="N230" s="566">
        <f>J230/$P$257*$P$265</f>
        <v>973.1596582259557</v>
      </c>
      <c r="O230" s="565">
        <f t="shared" ref="O230" si="225">N230+M230</f>
        <v>6354.687722148291</v>
      </c>
      <c r="P230" s="567">
        <f t="shared" si="223"/>
        <v>6354.687722148291</v>
      </c>
      <c r="Q230" s="568">
        <f t="shared" si="206"/>
        <v>6354.6877221482919</v>
      </c>
      <c r="R230" s="569">
        <f t="shared" si="224"/>
        <v>0</v>
      </c>
      <c r="T230" s="579"/>
      <c r="V230" s="652"/>
      <c r="W230" s="637"/>
      <c r="X230" s="638"/>
      <c r="Y230" s="639"/>
      <c r="Z230" s="639"/>
      <c r="AA230" s="649"/>
      <c r="AB230" s="639"/>
      <c r="AC230" s="640"/>
      <c r="AD230" s="640"/>
      <c r="AE230" s="651"/>
      <c r="AF230" s="642"/>
      <c r="AG230" s="643">
        <v>0.15</v>
      </c>
      <c r="AH230" s="643">
        <v>0.6</v>
      </c>
      <c r="AI230" s="643">
        <f>AG230*AH230</f>
        <v>0.09</v>
      </c>
      <c r="AJ230" s="644">
        <f>AG230+AH230</f>
        <v>0.75</v>
      </c>
      <c r="AK230" s="643"/>
      <c r="AL230" s="643">
        <v>0.6</v>
      </c>
    </row>
    <row r="231" spans="1:39" s="585" customFormat="1" x14ac:dyDescent="0.25">
      <c r="A231" s="600"/>
      <c r="B231" s="601"/>
      <c r="C231" s="560">
        <v>4</v>
      </c>
      <c r="D231" s="582" t="s">
        <v>518</v>
      </c>
      <c r="E231" s="583">
        <v>7</v>
      </c>
      <c r="F231" s="583">
        <v>7</v>
      </c>
      <c r="G231" s="584" t="s">
        <v>28</v>
      </c>
      <c r="H231" s="658">
        <f>AE279</f>
        <v>2337.1111111111113</v>
      </c>
      <c r="I231" s="566">
        <f t="shared" si="220"/>
        <v>16359.777777777779</v>
      </c>
      <c r="J231" s="566">
        <v>1200</v>
      </c>
      <c r="K231" s="566">
        <f t="shared" si="221"/>
        <v>8400</v>
      </c>
      <c r="L231" s="565">
        <f t="shared" si="222"/>
        <v>24759.777777777781</v>
      </c>
      <c r="M231" s="566">
        <f>H231/$P$257*$P$265</f>
        <v>3249.1175001785323</v>
      </c>
      <c r="N231" s="566">
        <f>J231/$P$257*$P$265</f>
        <v>1668.2736998159239</v>
      </c>
      <c r="O231" s="565">
        <f t="shared" ref="O231" si="226">N231+M231</f>
        <v>4917.3911999944557</v>
      </c>
      <c r="P231" s="567">
        <f t="shared" si="223"/>
        <v>34421.738399961192</v>
      </c>
      <c r="Q231" s="568">
        <f t="shared" si="206"/>
        <v>34421.738399961199</v>
      </c>
      <c r="R231" s="569">
        <f t="shared" si="224"/>
        <v>0</v>
      </c>
      <c r="T231" s="579"/>
      <c r="V231" s="652"/>
      <c r="W231" s="647" t="s">
        <v>10</v>
      </c>
      <c r="X231" s="653" t="s">
        <v>387</v>
      </c>
      <c r="Y231" s="654">
        <f>AI236</f>
        <v>1.29</v>
      </c>
      <c r="Z231" s="639" t="s">
        <v>383</v>
      </c>
      <c r="AA231" s="649" t="s">
        <v>384</v>
      </c>
      <c r="AB231" s="650">
        <v>400</v>
      </c>
      <c r="AC231" s="639" t="s">
        <v>385</v>
      </c>
      <c r="AD231" s="640" t="s">
        <v>384</v>
      </c>
      <c r="AE231" s="651">
        <f t="shared" ref="AE231:AE234" si="227">Y231*AB231</f>
        <v>516</v>
      </c>
      <c r="AF231" s="642"/>
      <c r="AG231" s="643">
        <v>0.2</v>
      </c>
      <c r="AH231" s="643">
        <v>1.8</v>
      </c>
      <c r="AI231" s="643">
        <f>AG231*AH231</f>
        <v>0.36000000000000004</v>
      </c>
      <c r="AJ231" s="644">
        <f>AG231+AH231</f>
        <v>2</v>
      </c>
      <c r="AK231" s="643"/>
      <c r="AL231" s="643">
        <v>0.2</v>
      </c>
    </row>
    <row r="232" spans="1:39" s="585" customFormat="1" x14ac:dyDescent="0.25">
      <c r="A232" s="600"/>
      <c r="B232" s="601"/>
      <c r="C232" s="560">
        <v>5</v>
      </c>
      <c r="D232" s="582" t="s">
        <v>519</v>
      </c>
      <c r="E232" s="583">
        <v>2</v>
      </c>
      <c r="F232" s="583">
        <v>2</v>
      </c>
      <c r="G232" s="584" t="s">
        <v>283</v>
      </c>
      <c r="H232" s="658">
        <v>3000</v>
      </c>
      <c r="I232" s="566">
        <f t="shared" si="220"/>
        <v>6000</v>
      </c>
      <c r="J232" s="566">
        <f>350+100</f>
        <v>450</v>
      </c>
      <c r="K232" s="566">
        <f t="shared" si="221"/>
        <v>900</v>
      </c>
      <c r="L232" s="565">
        <f t="shared" si="222"/>
        <v>6900</v>
      </c>
      <c r="M232" s="566">
        <f t="shared" ref="M232:M233" si="228">H232/$P$257*$P$265</f>
        <v>4170.6842495398096</v>
      </c>
      <c r="N232" s="566">
        <f t="shared" ref="N232:N233" si="229">J232/$P$257*$P$265</f>
        <v>625.60263743097153</v>
      </c>
      <c r="O232" s="565">
        <f t="shared" ref="O232:O233" si="230">N232+M232</f>
        <v>4796.2868869707809</v>
      </c>
      <c r="P232" s="567">
        <f t="shared" ref="P232:P233" si="231">O232*F232</f>
        <v>9592.5737739415617</v>
      </c>
      <c r="Q232" s="568">
        <f t="shared" ref="Q232:Q233" si="232">L232/$P$257*$P$265</f>
        <v>9592.5737739415636</v>
      </c>
      <c r="R232" s="569">
        <f t="shared" ref="R232:R233" si="233">P232-Q232</f>
        <v>0</v>
      </c>
      <c r="T232" s="579"/>
      <c r="V232" s="652"/>
      <c r="W232" s="647"/>
      <c r="X232" s="653" t="s">
        <v>388</v>
      </c>
      <c r="Y232" s="654">
        <f>AJ236</f>
        <v>6.25</v>
      </c>
      <c r="Z232" s="639" t="s">
        <v>383</v>
      </c>
      <c r="AA232" s="649"/>
      <c r="AB232" s="650">
        <v>100</v>
      </c>
      <c r="AC232" s="639" t="s">
        <v>385</v>
      </c>
      <c r="AD232" s="640"/>
      <c r="AE232" s="651">
        <f t="shared" si="227"/>
        <v>625</v>
      </c>
      <c r="AF232" s="642"/>
      <c r="AG232" s="643"/>
      <c r="AH232" s="643"/>
      <c r="AI232" s="643"/>
      <c r="AJ232" s="644"/>
      <c r="AK232" s="643"/>
      <c r="AL232" s="643"/>
    </row>
    <row r="233" spans="1:39" s="585" customFormat="1" x14ac:dyDescent="0.25">
      <c r="A233" s="600"/>
      <c r="B233" s="601"/>
      <c r="C233" s="560">
        <v>6</v>
      </c>
      <c r="D233" s="582" t="s">
        <v>520</v>
      </c>
      <c r="E233" s="583">
        <v>2</v>
      </c>
      <c r="F233" s="583">
        <v>2</v>
      </c>
      <c r="G233" s="584" t="s">
        <v>283</v>
      </c>
      <c r="H233" s="658">
        <v>3500</v>
      </c>
      <c r="I233" s="566">
        <f t="shared" si="220"/>
        <v>7000</v>
      </c>
      <c r="J233" s="566">
        <f>350+100</f>
        <v>450</v>
      </c>
      <c r="K233" s="566">
        <f t="shared" si="221"/>
        <v>900</v>
      </c>
      <c r="L233" s="565">
        <f t="shared" si="222"/>
        <v>7900</v>
      </c>
      <c r="M233" s="566">
        <f t="shared" si="228"/>
        <v>4865.7982911297777</v>
      </c>
      <c r="N233" s="566">
        <f t="shared" si="229"/>
        <v>625.60263743097153</v>
      </c>
      <c r="O233" s="565">
        <f t="shared" si="230"/>
        <v>5491.400928560749</v>
      </c>
      <c r="P233" s="567">
        <f t="shared" si="231"/>
        <v>10982.801857121498</v>
      </c>
      <c r="Q233" s="568">
        <f t="shared" si="232"/>
        <v>10982.8018571215</v>
      </c>
      <c r="R233" s="569">
        <f t="shared" si="233"/>
        <v>0</v>
      </c>
      <c r="T233" s="579"/>
      <c r="V233" s="652"/>
      <c r="W233" s="647"/>
      <c r="X233" s="653" t="s">
        <v>389</v>
      </c>
      <c r="Y233" s="654">
        <f>AK236</f>
        <v>1.75</v>
      </c>
      <c r="Z233" s="639" t="s">
        <v>100</v>
      </c>
      <c r="AA233" s="649"/>
      <c r="AB233" s="650">
        <v>400</v>
      </c>
      <c r="AC233" s="655" t="s">
        <v>390</v>
      </c>
      <c r="AD233" s="640"/>
      <c r="AE233" s="651">
        <f t="shared" si="227"/>
        <v>700</v>
      </c>
      <c r="AF233" s="642"/>
      <c r="AG233" s="643"/>
      <c r="AH233" s="643"/>
      <c r="AI233" s="643"/>
      <c r="AJ233" s="644"/>
      <c r="AK233" s="643"/>
      <c r="AL233" s="643"/>
    </row>
    <row r="234" spans="1:39" x14ac:dyDescent="0.25">
      <c r="A234" s="238"/>
      <c r="B234" s="249"/>
      <c r="C234" s="293">
        <v>7</v>
      </c>
      <c r="D234" s="83" t="s">
        <v>360</v>
      </c>
      <c r="E234" s="242">
        <f>35.04+6</f>
        <v>41.04</v>
      </c>
      <c r="F234" s="242">
        <v>42</v>
      </c>
      <c r="G234" s="77" t="s">
        <v>100</v>
      </c>
      <c r="H234" s="74">
        <f>(480/2.4)/1.075</f>
        <v>186.04651162790699</v>
      </c>
      <c r="I234" s="74">
        <f t="shared" si="220"/>
        <v>7813.9534883720935</v>
      </c>
      <c r="J234" s="74">
        <f>65+100</f>
        <v>165</v>
      </c>
      <c r="K234" s="74">
        <f t="shared" si="221"/>
        <v>6930</v>
      </c>
      <c r="L234" s="72">
        <f t="shared" si="222"/>
        <v>14743.953488372093</v>
      </c>
      <c r="M234" s="74">
        <v>255.50930331535778</v>
      </c>
      <c r="N234" s="74">
        <v>226.60481337780789</v>
      </c>
      <c r="O234" s="72">
        <f t="shared" ref="O234:O236" si="234">N234+M234</f>
        <v>482.11411669316567</v>
      </c>
      <c r="P234" s="203">
        <f t="shared" si="223"/>
        <v>20248.79290111296</v>
      </c>
      <c r="Q234" s="272">
        <f t="shared" si="206"/>
        <v>20497.458196633677</v>
      </c>
      <c r="R234" s="439">
        <f t="shared" si="224"/>
        <v>-248.66529552071734</v>
      </c>
      <c r="V234" s="287"/>
      <c r="W234" s="550"/>
      <c r="X234" s="379" t="s">
        <v>391</v>
      </c>
      <c r="Y234" s="380">
        <f>AL236</f>
        <v>2.5500000000000003</v>
      </c>
      <c r="Z234" s="370" t="s">
        <v>100</v>
      </c>
      <c r="AA234" s="371"/>
      <c r="AB234" s="372">
        <v>400</v>
      </c>
      <c r="AC234" s="381" t="s">
        <v>390</v>
      </c>
      <c r="AD234" s="373"/>
      <c r="AE234" s="378">
        <f t="shared" si="227"/>
        <v>1020.0000000000001</v>
      </c>
      <c r="AF234" s="386"/>
      <c r="AG234" s="385"/>
      <c r="AH234" s="385"/>
      <c r="AI234" s="385"/>
      <c r="AJ234" s="387"/>
      <c r="AK234" s="385"/>
      <c r="AL234" s="385"/>
    </row>
    <row r="235" spans="1:39" x14ac:dyDescent="0.25">
      <c r="A235" s="238"/>
      <c r="B235" s="249"/>
      <c r="C235" s="293">
        <v>8</v>
      </c>
      <c r="D235" s="83" t="s">
        <v>411</v>
      </c>
      <c r="E235" s="242">
        <f>0.6*2</f>
        <v>1.2</v>
      </c>
      <c r="F235" s="242">
        <v>2.4</v>
      </c>
      <c r="G235" s="73" t="s">
        <v>100</v>
      </c>
      <c r="H235" s="67">
        <f>1850/1.075</f>
        <v>1720.9302325581396</v>
      </c>
      <c r="I235" s="67">
        <f t="shared" ref="I235" si="235">F235*H235</f>
        <v>4130.2325581395344</v>
      </c>
      <c r="J235" s="67">
        <f>160+100</f>
        <v>260</v>
      </c>
      <c r="K235" s="67">
        <f t="shared" ref="K235" si="236">F235*J235</f>
        <v>624</v>
      </c>
      <c r="L235" s="72">
        <f t="shared" ref="L235" si="237">I235+K235</f>
        <v>4754.2325581395344</v>
      </c>
      <c r="M235" s="67">
        <v>2363.4610556670591</v>
      </c>
      <c r="N235" s="67">
        <v>357.07425138321241</v>
      </c>
      <c r="O235" s="72">
        <f t="shared" ref="O235" si="238">N235+M235</f>
        <v>2720.5353070502715</v>
      </c>
      <c r="P235" s="203">
        <f t="shared" ref="P235" si="239">O235*F235</f>
        <v>6529.2847369206511</v>
      </c>
      <c r="Q235" s="272">
        <f t="shared" ref="Q235" si="240">L235/$P$257*$P$265</f>
        <v>6609.4676162939713</v>
      </c>
      <c r="R235" s="439">
        <f t="shared" ref="R235" si="241">P235-Q235</f>
        <v>-80.182879373320247</v>
      </c>
      <c r="V235" s="287"/>
      <c r="W235" s="557"/>
      <c r="X235" s="379" t="s">
        <v>392</v>
      </c>
      <c r="Y235" s="382">
        <v>1</v>
      </c>
      <c r="Z235" s="370" t="s">
        <v>393</v>
      </c>
      <c r="AA235" s="373"/>
      <c r="AB235" s="372">
        <v>500</v>
      </c>
      <c r="AC235" s="381" t="s">
        <v>394</v>
      </c>
      <c r="AD235" s="373"/>
      <c r="AE235" s="374">
        <f>Y235*AB235</f>
        <v>500</v>
      </c>
      <c r="AF235" s="386"/>
      <c r="AG235" s="385"/>
      <c r="AH235" s="385"/>
      <c r="AI235" s="388"/>
      <c r="AJ235" s="388"/>
      <c r="AK235" s="388"/>
      <c r="AL235" s="388"/>
    </row>
    <row r="236" spans="1:39" x14ac:dyDescent="0.25">
      <c r="A236" s="238"/>
      <c r="B236" s="249"/>
      <c r="C236" s="293">
        <v>9</v>
      </c>
      <c r="D236" s="83" t="s">
        <v>411</v>
      </c>
      <c r="E236" s="242">
        <f>0.6*2</f>
        <v>1.2</v>
      </c>
      <c r="F236" s="242">
        <v>2.4</v>
      </c>
      <c r="G236" s="73" t="s">
        <v>100</v>
      </c>
      <c r="H236" s="67">
        <f>1850/1.075</f>
        <v>1720.9302325581396</v>
      </c>
      <c r="I236" s="67">
        <f t="shared" si="220"/>
        <v>4130.2325581395344</v>
      </c>
      <c r="J236" s="67">
        <f>160+100</f>
        <v>260</v>
      </c>
      <c r="K236" s="67">
        <f t="shared" si="221"/>
        <v>624</v>
      </c>
      <c r="L236" s="72">
        <f t="shared" si="222"/>
        <v>4754.2325581395344</v>
      </c>
      <c r="M236" s="67">
        <v>2363.4610556670591</v>
      </c>
      <c r="N236" s="67">
        <v>357.07425138321241</v>
      </c>
      <c r="O236" s="72">
        <f t="shared" si="234"/>
        <v>2720.5353070502715</v>
      </c>
      <c r="P236" s="203">
        <f t="shared" si="223"/>
        <v>6529.2847369206511</v>
      </c>
      <c r="Q236" s="272">
        <f t="shared" si="206"/>
        <v>6609.4676162939713</v>
      </c>
      <c r="R236" s="439">
        <f t="shared" si="224"/>
        <v>-80.182879373320247</v>
      </c>
      <c r="V236" s="287"/>
      <c r="W236" s="550"/>
      <c r="AC236" s="373" t="s">
        <v>395</v>
      </c>
      <c r="AD236" s="373" t="s">
        <v>384</v>
      </c>
      <c r="AE236" s="377">
        <f>SUM(AE231:AE235)</f>
        <v>3361</v>
      </c>
      <c r="AF236" s="386"/>
      <c r="AG236" s="385"/>
      <c r="AH236" s="385"/>
      <c r="AI236" s="388">
        <f>SUM(AI226:AI231)</f>
        <v>1.29</v>
      </c>
      <c r="AJ236" s="388">
        <f>SUM(AJ226:AJ231)</f>
        <v>6.25</v>
      </c>
      <c r="AK236" s="388">
        <f>SUM(AK226:AK230)</f>
        <v>1.75</v>
      </c>
      <c r="AL236" s="388">
        <f>SUM(AL226:AL231)</f>
        <v>2.5500000000000003</v>
      </c>
    </row>
    <row r="237" spans="1:39" ht="15.75" thickBot="1" x14ac:dyDescent="0.3">
      <c r="A237" s="238"/>
      <c r="B237" s="249"/>
      <c r="C237" s="293"/>
      <c r="D237" s="83"/>
      <c r="E237" s="242"/>
      <c r="F237" s="242"/>
      <c r="G237" s="73"/>
      <c r="H237" s="67"/>
      <c r="I237" s="67"/>
      <c r="J237" s="67"/>
      <c r="K237" s="67"/>
      <c r="L237" s="72"/>
      <c r="M237" s="67"/>
      <c r="N237" s="67"/>
      <c r="O237" s="72"/>
      <c r="P237" s="203"/>
      <c r="Q237" s="272">
        <f t="shared" si="206"/>
        <v>0</v>
      </c>
      <c r="R237" s="439"/>
      <c r="V237" s="27"/>
      <c r="W237" s="375"/>
      <c r="X237" s="376"/>
      <c r="Y237" s="370"/>
      <c r="Z237" s="370"/>
      <c r="AA237" s="373"/>
      <c r="AB237" s="370"/>
      <c r="AC237" s="373" t="s">
        <v>396</v>
      </c>
      <c r="AD237" s="373" t="s">
        <v>384</v>
      </c>
      <c r="AE237" s="383">
        <f>AE229+AE236</f>
        <v>6921.4</v>
      </c>
      <c r="AF237" s="386"/>
      <c r="AG237" s="385"/>
      <c r="AH237" s="385"/>
      <c r="AI237" s="385"/>
      <c r="AJ237" s="387"/>
      <c r="AK237" s="385"/>
      <c r="AL237" s="385"/>
    </row>
    <row r="238" spans="1:39" s="234" customFormat="1" ht="16.5" thickTop="1" thickBot="1" x14ac:dyDescent="0.3">
      <c r="A238" s="308"/>
      <c r="B238" s="910" t="s">
        <v>348</v>
      </c>
      <c r="C238" s="911"/>
      <c r="D238" s="912"/>
      <c r="E238" s="309"/>
      <c r="F238" s="310"/>
      <c r="G238" s="311"/>
      <c r="H238" s="312"/>
      <c r="I238" s="313">
        <f>SUM(I213:I237)</f>
        <v>88096.08535266883</v>
      </c>
      <c r="J238" s="312"/>
      <c r="K238" s="313">
        <f>SUM(K213:K237)</f>
        <v>58428</v>
      </c>
      <c r="L238" s="313">
        <f>SUM(L213:L237)</f>
        <v>146524.08535266886</v>
      </c>
      <c r="M238" s="312"/>
      <c r="N238" s="312"/>
      <c r="O238" s="313"/>
      <c r="P238" s="315">
        <f>SUM(P213:P237)</f>
        <v>202239.3709910902</v>
      </c>
      <c r="Q238" s="272">
        <f t="shared" si="206"/>
        <v>203701.89831953426</v>
      </c>
      <c r="R238" s="439">
        <f t="shared" ref="R238" si="242">P238-Q238</f>
        <v>-1462.5273284440627</v>
      </c>
      <c r="T238" s="443"/>
      <c r="U238" s="275"/>
      <c r="V238" s="402"/>
      <c r="W238" s="375"/>
      <c r="X238" s="376"/>
      <c r="Y238" s="370"/>
      <c r="Z238" s="370"/>
      <c r="AF238" s="386"/>
      <c r="AG238" s="385"/>
      <c r="AH238" s="385"/>
      <c r="AI238" s="385"/>
      <c r="AJ238" s="387"/>
      <c r="AK238" s="385"/>
      <c r="AL238" s="385"/>
      <c r="AM238" s="282"/>
    </row>
    <row r="239" spans="1:39" s="1" customFormat="1" x14ac:dyDescent="0.25">
      <c r="A239" s="500"/>
      <c r="B239" s="501"/>
      <c r="C239" s="293"/>
      <c r="D239" s="502"/>
      <c r="E239" s="503"/>
      <c r="F239" s="504"/>
      <c r="G239" s="504"/>
      <c r="H239" s="504"/>
      <c r="I239" s="504"/>
      <c r="J239" s="504"/>
      <c r="K239" s="504"/>
      <c r="L239" s="504"/>
      <c r="M239" s="504"/>
      <c r="N239" s="504"/>
      <c r="O239" s="504"/>
      <c r="P239" s="505"/>
      <c r="Q239" s="272">
        <f t="shared" si="206"/>
        <v>0</v>
      </c>
      <c r="R239" s="439"/>
      <c r="V239" s="211"/>
      <c r="W239" s="506"/>
      <c r="X239" s="507"/>
      <c r="Y239" s="508"/>
      <c r="Z239" s="508"/>
      <c r="AA239" s="509"/>
      <c r="AB239" s="508"/>
      <c r="AC239" s="510"/>
      <c r="AD239" s="510"/>
      <c r="AE239" s="511"/>
      <c r="AF239" s="508"/>
      <c r="AG239" s="512"/>
      <c r="AH239" s="512"/>
      <c r="AI239" s="512"/>
      <c r="AJ239" s="512"/>
      <c r="AK239" s="512"/>
      <c r="AL239" s="512"/>
    </row>
    <row r="240" spans="1:39" s="287" customFormat="1" ht="20.25" customHeight="1" thickBot="1" x14ac:dyDescent="0.3">
      <c r="A240" s="329"/>
      <c r="B240" s="901" t="s">
        <v>347</v>
      </c>
      <c r="C240" s="902"/>
      <c r="D240" s="903"/>
      <c r="E240" s="330"/>
      <c r="F240" s="331"/>
      <c r="G240" s="332"/>
      <c r="H240" s="547"/>
      <c r="I240" s="547">
        <f>I238+I212+I151+I35</f>
        <v>4722081.5048244772</v>
      </c>
      <c r="J240" s="547"/>
      <c r="K240" s="547">
        <f>K238+K212+K151+K35</f>
        <v>1762568.9602084148</v>
      </c>
      <c r="L240" s="547">
        <f>L238+L212+L151+L35</f>
        <v>6484650.4650328942</v>
      </c>
      <c r="M240" s="922">
        <f>P238+P212+P151+P35</f>
        <v>8931058.1756597813</v>
      </c>
      <c r="N240" s="922"/>
      <c r="O240" s="922"/>
      <c r="P240" s="923"/>
      <c r="Q240" s="272">
        <f t="shared" si="206"/>
        <v>9015143.1860945653</v>
      </c>
      <c r="R240" s="439">
        <f>M240-Q240</f>
        <v>-84085.010434783995</v>
      </c>
      <c r="T240" s="443"/>
      <c r="V240" s="446"/>
      <c r="W240" s="447"/>
      <c r="X240" s="448"/>
      <c r="Y240" s="448"/>
      <c r="Z240" s="448"/>
      <c r="AA240" s="448"/>
      <c r="AB240" s="448"/>
      <c r="AC240" s="448"/>
      <c r="AD240" s="448"/>
      <c r="AE240" s="448"/>
      <c r="AF240" s="449"/>
      <c r="AG240" s="449"/>
      <c r="AH240" s="450"/>
      <c r="AI240" s="451"/>
      <c r="AJ240" s="450"/>
      <c r="AK240" s="451"/>
      <c r="AL240" s="451"/>
    </row>
    <row r="241" spans="1:38" s="528" customFormat="1" x14ac:dyDescent="0.25">
      <c r="A241" s="521"/>
      <c r="B241" s="526"/>
      <c r="C241" s="527"/>
      <c r="E241" s="529"/>
      <c r="F241" s="530"/>
      <c r="G241" s="521"/>
      <c r="H241" s="522"/>
      <c r="I241" s="522"/>
      <c r="J241" s="522"/>
      <c r="K241" s="522"/>
      <c r="L241" s="522"/>
      <c r="M241" s="523"/>
      <c r="N241" s="523"/>
      <c r="O241" s="523"/>
      <c r="P241" s="523"/>
      <c r="Q241" s="523"/>
      <c r="R241" s="523"/>
      <c r="T241" s="523"/>
      <c r="V241" s="531"/>
      <c r="W241" s="549" t="s">
        <v>4</v>
      </c>
      <c r="X241" s="549" t="s">
        <v>7</v>
      </c>
      <c r="Y241" s="549" t="s">
        <v>6</v>
      </c>
      <c r="Z241" s="549" t="s">
        <v>5</v>
      </c>
      <c r="AA241" s="896" t="s">
        <v>380</v>
      </c>
      <c r="AB241" s="896"/>
      <c r="AC241" s="896"/>
      <c r="AD241" s="896" t="s">
        <v>381</v>
      </c>
      <c r="AE241" s="896"/>
      <c r="AF241" s="453"/>
      <c r="AG241" s="454"/>
      <c r="AH241" s="454"/>
      <c r="AI241" s="454"/>
      <c r="AJ241" s="454"/>
      <c r="AK241" s="454" t="s">
        <v>397</v>
      </c>
      <c r="AL241" s="454" t="s">
        <v>398</v>
      </c>
    </row>
    <row r="242" spans="1:38" s="528" customFormat="1" x14ac:dyDescent="0.25">
      <c r="A242" s="521"/>
      <c r="B242" s="526"/>
      <c r="C242" s="527"/>
      <c r="E242" s="529"/>
      <c r="F242" s="530"/>
      <c r="G242" s="521"/>
      <c r="H242" s="522"/>
      <c r="I242" s="522"/>
      <c r="J242" s="522"/>
      <c r="K242" s="522"/>
      <c r="L242" s="522"/>
      <c r="M242" s="523"/>
      <c r="N242" s="523"/>
      <c r="O242" s="523"/>
      <c r="P242" s="523"/>
      <c r="Q242" s="523"/>
      <c r="R242" s="523"/>
      <c r="T242" s="523"/>
      <c r="V242" s="531"/>
      <c r="W242" s="455" t="s">
        <v>401</v>
      </c>
      <c r="X242" s="549"/>
      <c r="Y242" s="549"/>
      <c r="Z242" s="549"/>
      <c r="AA242" s="549"/>
      <c r="AB242" s="549"/>
      <c r="AC242" s="549"/>
      <c r="AD242" s="549"/>
      <c r="AE242" s="549"/>
      <c r="AF242" s="456"/>
      <c r="AG242" s="456">
        <v>0.6</v>
      </c>
      <c r="AH242" s="457">
        <v>2.25</v>
      </c>
      <c r="AI242" s="454">
        <f>AG242*AH242</f>
        <v>1.3499999999999999</v>
      </c>
      <c r="AJ242" s="457">
        <f>AG242+AH242</f>
        <v>2.85</v>
      </c>
      <c r="AK242" s="454">
        <v>0.6</v>
      </c>
      <c r="AL242" s="454">
        <v>0.1</v>
      </c>
    </row>
    <row r="243" spans="1:38" s="528" customFormat="1" x14ac:dyDescent="0.25">
      <c r="A243" s="521"/>
      <c r="B243" s="526"/>
      <c r="C243" s="527"/>
      <c r="E243" s="529"/>
      <c r="F243" s="530"/>
      <c r="G243" s="518"/>
      <c r="H243" s="519"/>
      <c r="I243" s="519"/>
      <c r="J243" s="519"/>
      <c r="K243" s="519"/>
      <c r="L243" s="519"/>
      <c r="M243" s="520"/>
      <c r="N243" s="520"/>
      <c r="O243" s="520"/>
      <c r="P243" s="520"/>
      <c r="Q243" s="520"/>
      <c r="R243" s="520"/>
      <c r="T243" s="523"/>
      <c r="V243" s="531"/>
      <c r="W243" s="549" t="s">
        <v>9</v>
      </c>
      <c r="X243" s="549" t="s">
        <v>382</v>
      </c>
      <c r="Y243" s="458">
        <f>+Y246*1.2</f>
        <v>2.2094999999999998</v>
      </c>
      <c r="Z243" s="459" t="s">
        <v>383</v>
      </c>
      <c r="AA243" s="460" t="s">
        <v>384</v>
      </c>
      <c r="AB243" s="461">
        <v>2300</v>
      </c>
      <c r="AC243" s="459" t="s">
        <v>385</v>
      </c>
      <c r="AD243" s="462" t="s">
        <v>384</v>
      </c>
      <c r="AE243" s="463">
        <f>Y243*AB243</f>
        <v>5081.8499999999995</v>
      </c>
      <c r="AF243" s="456"/>
      <c r="AG243" s="454">
        <v>0.1</v>
      </c>
      <c r="AH243" s="454">
        <v>2.25</v>
      </c>
      <c r="AI243" s="454">
        <f>AG243*AH243</f>
        <v>0.22500000000000001</v>
      </c>
      <c r="AJ243" s="457">
        <f t="shared" ref="AJ243" si="243">AG243+AH243</f>
        <v>2.35</v>
      </c>
      <c r="AK243" s="454">
        <v>2.25</v>
      </c>
      <c r="AL243" s="454">
        <v>0.6</v>
      </c>
    </row>
    <row r="244" spans="1:38" s="528" customFormat="1" x14ac:dyDescent="0.25">
      <c r="A244" s="521"/>
      <c r="B244" s="526"/>
      <c r="C244" s="527"/>
      <c r="E244" s="529"/>
      <c r="F244" s="530"/>
      <c r="G244" s="518"/>
      <c r="H244" s="519"/>
      <c r="Q244" s="520"/>
      <c r="R244" s="520"/>
      <c r="T244" s="523"/>
      <c r="V244" s="531"/>
      <c r="W244" s="464"/>
      <c r="X244" s="465"/>
      <c r="Y244" s="459"/>
      <c r="Z244" s="459"/>
      <c r="AA244" s="460"/>
      <c r="AB244" s="459"/>
      <c r="AC244" s="462" t="s">
        <v>386</v>
      </c>
      <c r="AD244" s="462" t="s">
        <v>384</v>
      </c>
      <c r="AE244" s="466">
        <f>SUM(AE243:AE243)</f>
        <v>5081.8499999999995</v>
      </c>
      <c r="AF244" s="456"/>
      <c r="AG244" s="454">
        <v>0.1</v>
      </c>
      <c r="AH244" s="454">
        <v>0.6</v>
      </c>
      <c r="AI244" s="454">
        <f>AG244*AH244</f>
        <v>0.06</v>
      </c>
      <c r="AJ244" s="457">
        <f>AG244+AH244</f>
        <v>0.7</v>
      </c>
      <c r="AK244" s="454">
        <v>0.1</v>
      </c>
      <c r="AL244" s="454">
        <v>2.25</v>
      </c>
    </row>
    <row r="245" spans="1:38" s="528" customFormat="1" ht="15.75" x14ac:dyDescent="0.25">
      <c r="A245" s="532" t="s">
        <v>18</v>
      </c>
      <c r="B245" s="533"/>
      <c r="C245" s="534"/>
      <c r="D245" s="535"/>
      <c r="E245" s="529"/>
      <c r="F245" s="530"/>
      <c r="G245" s="521"/>
      <c r="H245" s="522"/>
      <c r="Q245" s="523"/>
      <c r="R245" s="520"/>
      <c r="T245" s="523"/>
      <c r="V245" s="531"/>
      <c r="W245" s="464"/>
      <c r="X245" s="465"/>
      <c r="Y245" s="459"/>
      <c r="Z245" s="459"/>
      <c r="AA245" s="460"/>
      <c r="AB245" s="459"/>
      <c r="AC245" s="462"/>
      <c r="AD245" s="462"/>
      <c r="AE245" s="467"/>
      <c r="AF245" s="456"/>
      <c r="AG245" s="454">
        <v>0.1</v>
      </c>
      <c r="AH245" s="454">
        <v>0.6</v>
      </c>
      <c r="AI245" s="454">
        <f>AG245*AH245</f>
        <v>0.06</v>
      </c>
      <c r="AJ245" s="457">
        <f>AG245+AH245</f>
        <v>0.7</v>
      </c>
      <c r="AK245" s="454"/>
      <c r="AL245" s="454">
        <v>0.6</v>
      </c>
    </row>
    <row r="246" spans="1:38" s="522" customFormat="1" ht="15.75" x14ac:dyDescent="0.25">
      <c r="A246" s="536"/>
      <c r="B246" s="533"/>
      <c r="C246" s="534"/>
      <c r="D246" s="537"/>
      <c r="R246" s="519"/>
      <c r="V246" s="538"/>
      <c r="W246" s="549" t="s">
        <v>10</v>
      </c>
      <c r="X246" s="469" t="s">
        <v>387</v>
      </c>
      <c r="Y246" s="470">
        <f>AI250</f>
        <v>1.8412500000000001</v>
      </c>
      <c r="Z246" s="459" t="s">
        <v>383</v>
      </c>
      <c r="AA246" s="460" t="s">
        <v>384</v>
      </c>
      <c r="AB246" s="461">
        <v>400</v>
      </c>
      <c r="AC246" s="459" t="s">
        <v>385</v>
      </c>
      <c r="AD246" s="462" t="s">
        <v>384</v>
      </c>
      <c r="AE246" s="467">
        <f t="shared" ref="AE246:AE250" si="244">Y246*AB246</f>
        <v>736.5</v>
      </c>
      <c r="AF246" s="456"/>
      <c r="AG246" s="454">
        <v>6.5000000000000002E-2</v>
      </c>
      <c r="AH246" s="454">
        <v>2.25</v>
      </c>
      <c r="AI246" s="454">
        <f>AG246*AH246</f>
        <v>0.14624999999999999</v>
      </c>
      <c r="AJ246" s="457">
        <f>AG246+AH246</f>
        <v>2.3149999999999999</v>
      </c>
      <c r="AK246" s="454"/>
      <c r="AL246" s="454">
        <v>0.1</v>
      </c>
    </row>
    <row r="247" spans="1:38" s="522" customFormat="1" ht="15.75" x14ac:dyDescent="0.25">
      <c r="A247" s="532" t="s">
        <v>19</v>
      </c>
      <c r="B247" s="533"/>
      <c r="C247" s="534"/>
      <c r="D247" s="535"/>
      <c r="R247" s="519"/>
      <c r="V247" s="538"/>
      <c r="W247" s="549"/>
      <c r="X247" s="469" t="s">
        <v>388</v>
      </c>
      <c r="Y247" s="470">
        <f>AJ250</f>
        <v>8.9150000000000009</v>
      </c>
      <c r="Z247" s="459" t="s">
        <v>383</v>
      </c>
      <c r="AA247" s="460"/>
      <c r="AB247" s="461">
        <v>100</v>
      </c>
      <c r="AC247" s="459" t="s">
        <v>385</v>
      </c>
      <c r="AD247" s="462"/>
      <c r="AE247" s="467">
        <f t="shared" si="244"/>
        <v>891.50000000000011</v>
      </c>
      <c r="AF247" s="456"/>
      <c r="AG247" s="454"/>
      <c r="AH247" s="454"/>
      <c r="AI247" s="454"/>
      <c r="AJ247" s="457"/>
      <c r="AK247" s="454"/>
      <c r="AL247" s="454"/>
    </row>
    <row r="248" spans="1:38" s="522" customFormat="1" ht="15.75" x14ac:dyDescent="0.25">
      <c r="A248" s="536"/>
      <c r="B248" s="533"/>
      <c r="C248" s="534"/>
      <c r="D248" s="535"/>
      <c r="R248" s="519"/>
      <c r="V248" s="538"/>
      <c r="W248" s="549"/>
      <c r="X248" s="469" t="s">
        <v>389</v>
      </c>
      <c r="Y248" s="470">
        <f>AK250</f>
        <v>2.95</v>
      </c>
      <c r="Z248" s="459" t="s">
        <v>100</v>
      </c>
      <c r="AA248" s="460"/>
      <c r="AB248" s="461">
        <v>400</v>
      </c>
      <c r="AC248" s="471" t="s">
        <v>390</v>
      </c>
      <c r="AD248" s="462"/>
      <c r="AE248" s="467">
        <f t="shared" si="244"/>
        <v>1180</v>
      </c>
      <c r="AF248" s="456"/>
      <c r="AG248" s="454"/>
      <c r="AH248" s="454"/>
      <c r="AI248" s="454"/>
      <c r="AJ248" s="457"/>
      <c r="AK248" s="454"/>
      <c r="AL248" s="454"/>
    </row>
    <row r="249" spans="1:38" s="522" customFormat="1" ht="15.75" x14ac:dyDescent="0.25">
      <c r="A249" s="536"/>
      <c r="B249" s="533"/>
      <c r="C249" s="534"/>
      <c r="D249" s="535"/>
      <c r="V249" s="538"/>
      <c r="W249" s="549"/>
      <c r="X249" s="469" t="s">
        <v>391</v>
      </c>
      <c r="Y249" s="470">
        <f>AL250</f>
        <v>3.6500000000000004</v>
      </c>
      <c r="Z249" s="459" t="s">
        <v>100</v>
      </c>
      <c r="AA249" s="460"/>
      <c r="AB249" s="461">
        <v>400</v>
      </c>
      <c r="AC249" s="471" t="s">
        <v>390</v>
      </c>
      <c r="AD249" s="462"/>
      <c r="AE249" s="467">
        <f t="shared" si="244"/>
        <v>1460.0000000000002</v>
      </c>
      <c r="AF249" s="456"/>
      <c r="AG249" s="454"/>
      <c r="AH249" s="454"/>
      <c r="AI249" s="454"/>
      <c r="AJ249" s="457"/>
      <c r="AK249" s="454"/>
      <c r="AL249" s="454"/>
    </row>
    <row r="250" spans="1:38" s="522" customFormat="1" ht="15.75" x14ac:dyDescent="0.25">
      <c r="A250" s="532" t="s">
        <v>20</v>
      </c>
      <c r="B250" s="533"/>
      <c r="C250" s="534"/>
      <c r="D250" s="535"/>
      <c r="V250" s="538"/>
      <c r="W250" s="549"/>
      <c r="X250" s="469" t="s">
        <v>392</v>
      </c>
      <c r="Y250" s="472">
        <v>1</v>
      </c>
      <c r="Z250" s="459" t="s">
        <v>393</v>
      </c>
      <c r="AA250" s="462"/>
      <c r="AB250" s="461">
        <v>500</v>
      </c>
      <c r="AC250" s="471" t="s">
        <v>394</v>
      </c>
      <c r="AD250" s="462"/>
      <c r="AE250" s="463">
        <f t="shared" si="244"/>
        <v>500</v>
      </c>
      <c r="AF250" s="456"/>
      <c r="AG250" s="454"/>
      <c r="AH250" s="454"/>
      <c r="AI250" s="473">
        <f>SUM(AI242:AI246)</f>
        <v>1.8412500000000001</v>
      </c>
      <c r="AJ250" s="473">
        <f>SUM(AJ242:AJ246)</f>
        <v>8.9150000000000009</v>
      </c>
      <c r="AK250" s="473">
        <f>SUM(AK242:AK245)</f>
        <v>2.95</v>
      </c>
      <c r="AL250" s="473">
        <f>SUM(AL242:AL246)</f>
        <v>3.6500000000000004</v>
      </c>
    </row>
    <row r="251" spans="1:38" s="522" customFormat="1" ht="15.75" x14ac:dyDescent="0.25">
      <c r="A251" s="532" t="s">
        <v>349</v>
      </c>
      <c r="B251" s="533"/>
      <c r="C251" s="534"/>
      <c r="D251" s="535"/>
      <c r="V251" s="538"/>
      <c r="W251" s="464"/>
      <c r="X251" s="465"/>
      <c r="Y251" s="459"/>
      <c r="Z251" s="459"/>
      <c r="AA251" s="462"/>
      <c r="AB251" s="459"/>
      <c r="AC251" s="462" t="s">
        <v>395</v>
      </c>
      <c r="AD251" s="462" t="s">
        <v>384</v>
      </c>
      <c r="AE251" s="466">
        <f>SUM(AE246:AE250)</f>
        <v>4768</v>
      </c>
      <c r="AF251" s="456"/>
      <c r="AG251" s="454"/>
      <c r="AH251" s="454"/>
      <c r="AI251" s="454"/>
      <c r="AJ251" s="457"/>
      <c r="AK251" s="454"/>
      <c r="AL251" s="454"/>
    </row>
    <row r="252" spans="1:38" s="528" customFormat="1" ht="15.75" thickBot="1" x14ac:dyDescent="0.3">
      <c r="A252" s="521"/>
      <c r="B252" s="526"/>
      <c r="C252" s="527"/>
      <c r="E252" s="529"/>
      <c r="F252" s="530"/>
      <c r="G252" s="541"/>
      <c r="H252" s="542"/>
      <c r="Q252" s="523"/>
      <c r="R252" s="523"/>
      <c r="T252" s="523"/>
      <c r="V252" s="531"/>
      <c r="W252" s="464"/>
      <c r="X252" s="465"/>
      <c r="Y252" s="459"/>
      <c r="Z252" s="459"/>
      <c r="AA252" s="462"/>
      <c r="AB252" s="459"/>
      <c r="AC252" s="462" t="s">
        <v>396</v>
      </c>
      <c r="AD252" s="462" t="s">
        <v>384</v>
      </c>
      <c r="AE252" s="474">
        <f>AE244+AE251</f>
        <v>9849.8499999999985</v>
      </c>
      <c r="AF252" s="456"/>
      <c r="AG252" s="454"/>
      <c r="AH252" s="454"/>
      <c r="AI252" s="454"/>
      <c r="AJ252" s="457"/>
      <c r="AK252" s="454"/>
      <c r="AL252" s="454"/>
    </row>
    <row r="253" spans="1:38" s="528" customFormat="1" ht="16.5" thickTop="1" x14ac:dyDescent="0.25">
      <c r="A253" s="521"/>
      <c r="B253" s="526"/>
      <c r="C253" s="527"/>
      <c r="E253" s="529"/>
      <c r="F253" s="530"/>
      <c r="G253" s="541"/>
      <c r="H253" s="542"/>
      <c r="I253" s="542"/>
      <c r="J253" s="554"/>
      <c r="K253" s="554"/>
      <c r="L253" s="429"/>
      <c r="M253" s="428"/>
      <c r="N253" s="426"/>
      <c r="O253" s="422"/>
      <c r="P253" s="422"/>
      <c r="Q253" s="523"/>
      <c r="R253" s="788">
        <f>P265/P257</f>
        <v>1.3902280831799367</v>
      </c>
      <c r="T253" s="523"/>
      <c r="V253" s="531"/>
      <c r="W253" s="464"/>
      <c r="X253" s="465"/>
      <c r="Y253" s="459"/>
      <c r="Z253" s="459"/>
      <c r="AA253" s="462"/>
      <c r="AB253" s="459"/>
      <c r="AC253" s="462"/>
      <c r="AD253" s="462"/>
      <c r="AE253" s="467"/>
      <c r="AF253" s="456"/>
      <c r="AG253" s="454"/>
      <c r="AH253" s="454"/>
      <c r="AI253" s="454"/>
      <c r="AJ253" s="457"/>
      <c r="AK253" s="454"/>
      <c r="AL253" s="454"/>
    </row>
    <row r="254" spans="1:38" s="528" customFormat="1" ht="15.75" x14ac:dyDescent="0.25">
      <c r="A254" s="521"/>
      <c r="B254" s="526"/>
      <c r="C254" s="527"/>
      <c r="E254" s="529"/>
      <c r="F254" s="530"/>
      <c r="G254" s="541"/>
      <c r="H254" s="542"/>
      <c r="I254" s="542"/>
      <c r="J254" s="554"/>
      <c r="K254" s="554"/>
      <c r="L254" s="429"/>
      <c r="M254" s="428"/>
      <c r="N254" s="426"/>
      <c r="O254" s="422"/>
      <c r="P254" s="422"/>
      <c r="Q254" s="523"/>
      <c r="R254" s="523"/>
      <c r="T254" s="523"/>
      <c r="V254" s="531"/>
      <c r="W254" s="464"/>
      <c r="X254" s="465"/>
      <c r="Y254" s="459"/>
      <c r="Z254" s="459"/>
      <c r="AA254" s="462"/>
      <c r="AB254" s="459"/>
      <c r="AC254" s="462"/>
      <c r="AD254" s="462"/>
      <c r="AE254" s="467"/>
      <c r="AF254" s="456"/>
      <c r="AG254" s="454"/>
      <c r="AH254" s="454"/>
      <c r="AI254" s="454"/>
      <c r="AJ254" s="457"/>
      <c r="AK254" s="454"/>
      <c r="AL254" s="454"/>
    </row>
    <row r="255" spans="1:38" s="528" customFormat="1" ht="15.75" x14ac:dyDescent="0.25">
      <c r="A255" s="521"/>
      <c r="B255" s="526"/>
      <c r="C255" s="527"/>
      <c r="E255" s="529"/>
      <c r="F255" s="530"/>
      <c r="G255" s="541"/>
      <c r="H255" s="542"/>
      <c r="I255" s="542"/>
      <c r="J255" s="554"/>
      <c r="K255" s="554"/>
      <c r="L255" s="429"/>
      <c r="M255" s="428"/>
      <c r="N255" s="426"/>
      <c r="O255" s="422"/>
      <c r="P255" s="422"/>
      <c r="Q255" s="523"/>
      <c r="R255" s="523"/>
      <c r="T255" s="523"/>
      <c r="V255" s="531"/>
      <c r="W255" s="549" t="s">
        <v>4</v>
      </c>
      <c r="X255" s="549" t="s">
        <v>7</v>
      </c>
      <c r="Y255" s="549" t="s">
        <v>6</v>
      </c>
      <c r="Z255" s="549" t="s">
        <v>5</v>
      </c>
      <c r="AA255" s="896" t="s">
        <v>380</v>
      </c>
      <c r="AB255" s="896"/>
      <c r="AC255" s="896"/>
      <c r="AD255" s="896" t="s">
        <v>381</v>
      </c>
      <c r="AE255" s="896"/>
      <c r="AF255" s="453"/>
      <c r="AG255" s="454"/>
      <c r="AH255" s="454"/>
      <c r="AI255" s="454"/>
      <c r="AJ255" s="454"/>
      <c r="AK255" s="454" t="s">
        <v>397</v>
      </c>
      <c r="AL255" s="454" t="s">
        <v>398</v>
      </c>
    </row>
    <row r="256" spans="1:38" s="528" customFormat="1" x14ac:dyDescent="0.25">
      <c r="A256" s="19"/>
      <c r="B256" s="526"/>
      <c r="C256" s="527"/>
      <c r="E256" s="529"/>
      <c r="F256" s="530"/>
      <c r="G256" s="541"/>
      <c r="H256" s="542"/>
      <c r="I256" s="519"/>
      <c r="J256" s="519"/>
      <c r="K256" s="519"/>
      <c r="L256" s="519"/>
      <c r="M256" s="520"/>
      <c r="N256" s="520"/>
      <c r="O256" s="520"/>
      <c r="P256" s="520"/>
      <c r="Q256" s="523"/>
      <c r="R256" s="523"/>
      <c r="T256" s="523"/>
      <c r="V256" s="531"/>
      <c r="W256" s="455" t="s">
        <v>402</v>
      </c>
      <c r="X256" s="549"/>
      <c r="Y256" s="549"/>
      <c r="Z256" s="549"/>
      <c r="AA256" s="549"/>
      <c r="AB256" s="549"/>
      <c r="AC256" s="549"/>
      <c r="AD256" s="549"/>
      <c r="AE256" s="549"/>
      <c r="AF256" s="456"/>
      <c r="AG256" s="456">
        <v>0.6</v>
      </c>
      <c r="AH256" s="457">
        <v>3.2</v>
      </c>
      <c r="AI256" s="454">
        <f>AG256*AH256</f>
        <v>1.92</v>
      </c>
      <c r="AJ256" s="457">
        <f>AG256+AH256</f>
        <v>3.8000000000000003</v>
      </c>
      <c r="AK256" s="454">
        <v>0.6</v>
      </c>
      <c r="AL256" s="454">
        <v>0.1</v>
      </c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22"/>
      <c r="J257" s="417"/>
      <c r="K257" s="417"/>
      <c r="L257" s="553"/>
      <c r="M257" s="419"/>
      <c r="N257" s="420" t="s">
        <v>178</v>
      </c>
      <c r="O257" s="420"/>
      <c r="P257" s="420">
        <f>L240</f>
        <v>6484650.4650328942</v>
      </c>
      <c r="Q257" s="523"/>
      <c r="R257" s="523"/>
      <c r="T257" s="523"/>
      <c r="V257" s="531"/>
      <c r="W257" s="549" t="s">
        <v>9</v>
      </c>
      <c r="X257" s="549" t="s">
        <v>382</v>
      </c>
      <c r="Y257" s="458">
        <f>+Y260*1.2</f>
        <v>3.0816000000000003</v>
      </c>
      <c r="Z257" s="459" t="s">
        <v>383</v>
      </c>
      <c r="AA257" s="460" t="s">
        <v>384</v>
      </c>
      <c r="AB257" s="461">
        <v>2300</v>
      </c>
      <c r="AC257" s="459" t="s">
        <v>385</v>
      </c>
      <c r="AD257" s="462" t="s">
        <v>384</v>
      </c>
      <c r="AE257" s="463">
        <f>Y257*AB257</f>
        <v>7087.6800000000012</v>
      </c>
      <c r="AF257" s="456"/>
      <c r="AG257" s="454">
        <v>0.1</v>
      </c>
      <c r="AH257" s="454">
        <v>3.2</v>
      </c>
      <c r="AI257" s="454">
        <f>AG257*AH257</f>
        <v>0.32000000000000006</v>
      </c>
      <c r="AJ257" s="457">
        <f t="shared" ref="AJ257" si="245">AG257+AH257</f>
        <v>3.3000000000000003</v>
      </c>
      <c r="AK257" s="454">
        <v>3.2</v>
      </c>
      <c r="AL257" s="454">
        <v>0.6</v>
      </c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22"/>
      <c r="J258" s="421"/>
      <c r="K258" s="421"/>
      <c r="L258" s="553"/>
      <c r="M258" s="420"/>
      <c r="N258" s="422"/>
      <c r="O258" s="422"/>
      <c r="P258" s="422"/>
      <c r="Q258" s="523"/>
      <c r="R258" s="523"/>
      <c r="T258" s="523"/>
      <c r="V258" s="531"/>
      <c r="W258" s="464"/>
      <c r="X258" s="465"/>
      <c r="Y258" s="459"/>
      <c r="Z258" s="459"/>
      <c r="AA258" s="460"/>
      <c r="AB258" s="459"/>
      <c r="AC258" s="462" t="s">
        <v>386</v>
      </c>
      <c r="AD258" s="462" t="s">
        <v>384</v>
      </c>
      <c r="AE258" s="466">
        <f>SUM(AE257:AE257)</f>
        <v>7087.6800000000012</v>
      </c>
      <c r="AF258" s="456"/>
      <c r="AG258" s="454">
        <v>0.1</v>
      </c>
      <c r="AH258" s="454">
        <v>0.6</v>
      </c>
      <c r="AI258" s="454">
        <f>AG258*AH258</f>
        <v>0.06</v>
      </c>
      <c r="AJ258" s="457">
        <f>AG258+AH258</f>
        <v>0.7</v>
      </c>
      <c r="AK258" s="454">
        <v>0.1</v>
      </c>
      <c r="AL258" s="454">
        <v>3.2</v>
      </c>
    </row>
    <row r="259" spans="1:38" s="528" customFormat="1" ht="15.75" x14ac:dyDescent="0.25">
      <c r="A259" s="521"/>
      <c r="B259" s="526"/>
      <c r="C259" s="527"/>
      <c r="E259" s="529"/>
      <c r="F259" s="530"/>
      <c r="G259" s="541"/>
      <c r="H259" s="542"/>
      <c r="I259" s="522"/>
      <c r="J259" s="921" t="s">
        <v>179</v>
      </c>
      <c r="K259" s="921"/>
      <c r="L259" s="423" t="s">
        <v>180</v>
      </c>
      <c r="M259" s="420" t="s">
        <v>181</v>
      </c>
      <c r="N259" s="424">
        <f>P257*0.03</f>
        <v>194539.51395098682</v>
      </c>
      <c r="O259" s="422"/>
      <c r="P259" s="422">
        <f>N259+P257</f>
        <v>6679189.978983881</v>
      </c>
      <c r="Q259" s="523"/>
      <c r="R259" s="523"/>
      <c r="T259" s="523"/>
      <c r="V259" s="531"/>
      <c r="W259" s="464"/>
      <c r="X259" s="465"/>
      <c r="Y259" s="459"/>
      <c r="Z259" s="459"/>
      <c r="AA259" s="460"/>
      <c r="AB259" s="459"/>
      <c r="AC259" s="462"/>
      <c r="AD259" s="462"/>
      <c r="AE259" s="467"/>
      <c r="AF259" s="456"/>
      <c r="AG259" s="454">
        <v>0.1</v>
      </c>
      <c r="AH259" s="454">
        <v>0.6</v>
      </c>
      <c r="AI259" s="454">
        <f>AG259*AH259</f>
        <v>0.06</v>
      </c>
      <c r="AJ259" s="457">
        <f>AG259+AH259</f>
        <v>0.7</v>
      </c>
      <c r="AK259" s="454"/>
      <c r="AL259" s="454">
        <v>0.6</v>
      </c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22"/>
      <c r="J260" s="921" t="s">
        <v>182</v>
      </c>
      <c r="K260" s="921"/>
      <c r="L260" s="423" t="s">
        <v>180</v>
      </c>
      <c r="M260" s="420" t="s">
        <v>183</v>
      </c>
      <c r="N260" s="424">
        <f>SUM(L259:L307)</f>
        <v>328828.34994462901</v>
      </c>
      <c r="O260" s="422"/>
      <c r="P260" s="422">
        <f>P259+N260</f>
        <v>7008018.3289285097</v>
      </c>
      <c r="Q260" s="523"/>
      <c r="R260" s="523"/>
      <c r="T260" s="523"/>
      <c r="V260" s="531"/>
      <c r="W260" s="549" t="s">
        <v>10</v>
      </c>
      <c r="X260" s="469" t="s">
        <v>387</v>
      </c>
      <c r="Y260" s="470">
        <f>AI264</f>
        <v>2.5680000000000005</v>
      </c>
      <c r="Z260" s="459" t="s">
        <v>383</v>
      </c>
      <c r="AA260" s="460" t="s">
        <v>384</v>
      </c>
      <c r="AB260" s="461">
        <v>400</v>
      </c>
      <c r="AC260" s="459" t="s">
        <v>385</v>
      </c>
      <c r="AD260" s="462" t="s">
        <v>384</v>
      </c>
      <c r="AE260" s="467">
        <f t="shared" ref="AE260:AE264" si="246">Y260*AB260</f>
        <v>1027.2000000000003</v>
      </c>
      <c r="AF260" s="456"/>
      <c r="AG260" s="454">
        <v>6.5000000000000002E-2</v>
      </c>
      <c r="AH260" s="454">
        <v>3.2</v>
      </c>
      <c r="AI260" s="454">
        <f>AG260*AH260</f>
        <v>0.20800000000000002</v>
      </c>
      <c r="AJ260" s="457">
        <f>AG260+AH260</f>
        <v>3.2650000000000001</v>
      </c>
      <c r="AK260" s="454"/>
      <c r="AL260" s="454">
        <v>0.1</v>
      </c>
    </row>
    <row r="261" spans="1:38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22"/>
      <c r="J261" s="921" t="s">
        <v>184</v>
      </c>
      <c r="K261" s="921"/>
      <c r="L261" s="423" t="s">
        <v>161</v>
      </c>
      <c r="M261" s="420" t="s">
        <v>185</v>
      </c>
      <c r="N261" s="424"/>
      <c r="O261" s="422"/>
      <c r="P261" s="422">
        <f>P260+N261</f>
        <v>7008018.3289285097</v>
      </c>
      <c r="Q261" s="523"/>
      <c r="R261" s="523"/>
      <c r="T261" s="523"/>
      <c r="V261" s="531"/>
      <c r="W261" s="549"/>
      <c r="X261" s="469" t="s">
        <v>388</v>
      </c>
      <c r="Y261" s="470">
        <f>AJ264</f>
        <v>11.765000000000001</v>
      </c>
      <c r="Z261" s="459" t="s">
        <v>383</v>
      </c>
      <c r="AA261" s="460"/>
      <c r="AB261" s="461">
        <v>100</v>
      </c>
      <c r="AC261" s="459" t="s">
        <v>385</v>
      </c>
      <c r="AD261" s="462"/>
      <c r="AE261" s="467">
        <f t="shared" si="246"/>
        <v>1176.5</v>
      </c>
      <c r="AF261" s="456"/>
      <c r="AG261" s="454"/>
      <c r="AH261" s="454"/>
      <c r="AI261" s="454"/>
      <c r="AJ261" s="457"/>
      <c r="AK261" s="454"/>
      <c r="AL261" s="454"/>
    </row>
    <row r="262" spans="1:38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22"/>
      <c r="J262" s="921" t="s">
        <v>186</v>
      </c>
      <c r="K262" s="921"/>
      <c r="L262" s="423" t="s">
        <v>161</v>
      </c>
      <c r="M262" s="420" t="s">
        <v>187</v>
      </c>
      <c r="N262" s="424">
        <f>P261*0.15</f>
        <v>1051202.7493392765</v>
      </c>
      <c r="O262" s="422"/>
      <c r="P262" s="422">
        <f>P261+N262</f>
        <v>8059221.0782677867</v>
      </c>
      <c r="Q262" s="523"/>
      <c r="R262" s="523"/>
      <c r="T262" s="523"/>
      <c r="V262" s="531"/>
      <c r="W262" s="549"/>
      <c r="X262" s="469" t="s">
        <v>389</v>
      </c>
      <c r="Y262" s="470">
        <f>AK264</f>
        <v>3.9000000000000004</v>
      </c>
      <c r="Z262" s="459" t="s">
        <v>100</v>
      </c>
      <c r="AA262" s="460"/>
      <c r="AB262" s="461">
        <v>400</v>
      </c>
      <c r="AC262" s="471" t="s">
        <v>390</v>
      </c>
      <c r="AD262" s="462"/>
      <c r="AE262" s="467">
        <f t="shared" si="246"/>
        <v>1560.0000000000002</v>
      </c>
      <c r="AF262" s="456"/>
      <c r="AG262" s="454"/>
      <c r="AH262" s="454"/>
      <c r="AI262" s="454"/>
      <c r="AJ262" s="457"/>
      <c r="AK262" s="454"/>
      <c r="AL262" s="454"/>
    </row>
    <row r="263" spans="1:38" s="528" customFormat="1" ht="15.75" x14ac:dyDescent="0.25">
      <c r="A263" s="521"/>
      <c r="B263" s="526"/>
      <c r="C263" s="527"/>
      <c r="E263" s="529"/>
      <c r="F263" s="530"/>
      <c r="G263" s="541"/>
      <c r="H263" s="542"/>
      <c r="I263" s="522" t="s">
        <v>495</v>
      </c>
      <c r="J263" s="921" t="s">
        <v>188</v>
      </c>
      <c r="K263" s="921"/>
      <c r="L263" s="425"/>
      <c r="M263" s="420" t="s">
        <v>190</v>
      </c>
      <c r="N263" s="424">
        <f>P262*0.1</f>
        <v>805922.10782677867</v>
      </c>
      <c r="O263" s="422"/>
      <c r="P263" s="422">
        <f>P262+N263</f>
        <v>8865143.1860945653</v>
      </c>
      <c r="Q263" s="523"/>
      <c r="R263" s="523"/>
      <c r="T263" s="523"/>
      <c r="V263" s="531"/>
      <c r="W263" s="549"/>
      <c r="X263" s="469" t="s">
        <v>391</v>
      </c>
      <c r="Y263" s="470">
        <f>AL264</f>
        <v>4.5999999999999996</v>
      </c>
      <c r="Z263" s="459" t="s">
        <v>100</v>
      </c>
      <c r="AA263" s="460"/>
      <c r="AB263" s="461">
        <v>400</v>
      </c>
      <c r="AC263" s="471" t="s">
        <v>390</v>
      </c>
      <c r="AD263" s="462"/>
      <c r="AE263" s="467">
        <f t="shared" si="246"/>
        <v>1839.9999999999998</v>
      </c>
      <c r="AF263" s="456"/>
      <c r="AG263" s="454"/>
      <c r="AH263" s="454"/>
      <c r="AI263" s="454"/>
      <c r="AJ263" s="457"/>
      <c r="AK263" s="454"/>
      <c r="AL263" s="454"/>
    </row>
    <row r="264" spans="1:38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42"/>
      <c r="J264" s="924" t="s">
        <v>191</v>
      </c>
      <c r="K264" s="924"/>
      <c r="L264" s="429" t="s">
        <v>180</v>
      </c>
      <c r="M264" s="428"/>
      <c r="N264" s="426"/>
      <c r="O264" s="422"/>
      <c r="P264" s="422"/>
      <c r="Q264" s="523"/>
      <c r="R264" s="523"/>
      <c r="T264" s="523"/>
      <c r="V264" s="531"/>
      <c r="W264" s="549"/>
      <c r="X264" s="469" t="s">
        <v>392</v>
      </c>
      <c r="Y264" s="472">
        <v>1</v>
      </c>
      <c r="Z264" s="459" t="s">
        <v>393</v>
      </c>
      <c r="AA264" s="462"/>
      <c r="AB264" s="461">
        <v>500</v>
      </c>
      <c r="AC264" s="471" t="s">
        <v>394</v>
      </c>
      <c r="AD264" s="462"/>
      <c r="AE264" s="463">
        <f t="shared" si="246"/>
        <v>500</v>
      </c>
      <c r="AF264" s="456"/>
      <c r="AG264" s="454"/>
      <c r="AH264" s="454"/>
      <c r="AI264" s="473">
        <f>SUM(AI256:AI260)</f>
        <v>2.5680000000000005</v>
      </c>
      <c r="AJ264" s="473">
        <f>SUM(AJ256:AJ260)</f>
        <v>11.765000000000001</v>
      </c>
      <c r="AK264" s="473">
        <f>SUM(AK256:AK259)</f>
        <v>3.9000000000000004</v>
      </c>
      <c r="AL264" s="473">
        <f>SUM(AL256:AL260)</f>
        <v>4.5999999999999996</v>
      </c>
    </row>
    <row r="265" spans="1:38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42"/>
      <c r="J265" s="924" t="s">
        <v>472</v>
      </c>
      <c r="K265" s="924"/>
      <c r="L265" s="429">
        <f>4*17000/1.05</f>
        <v>64761.904761904756</v>
      </c>
      <c r="M265" s="428" t="s">
        <v>193</v>
      </c>
      <c r="N265" s="426">
        <f>SUM(N259:N263)</f>
        <v>2380492.7210616712</v>
      </c>
      <c r="O265" s="427"/>
      <c r="P265" s="428">
        <f>P263+150000</f>
        <v>9015143.1860945653</v>
      </c>
      <c r="Q265" s="523"/>
      <c r="R265" s="523"/>
      <c r="T265" s="523"/>
      <c r="V265" s="531"/>
      <c r="W265" s="464"/>
      <c r="X265" s="465"/>
      <c r="Y265" s="459"/>
      <c r="Z265" s="459"/>
      <c r="AA265" s="462"/>
      <c r="AB265" s="459"/>
      <c r="AC265" s="462" t="s">
        <v>395</v>
      </c>
      <c r="AD265" s="462" t="s">
        <v>384</v>
      </c>
      <c r="AE265" s="466">
        <f>SUM(AE260:AE264)</f>
        <v>6103.7000000000007</v>
      </c>
      <c r="AF265" s="456"/>
      <c r="AG265" s="454"/>
      <c r="AH265" s="454"/>
      <c r="AI265" s="454"/>
      <c r="AJ265" s="457"/>
      <c r="AK265" s="454"/>
      <c r="AL265" s="454"/>
    </row>
    <row r="266" spans="1:38" s="528" customFormat="1" ht="16.5" thickBot="1" x14ac:dyDescent="0.3">
      <c r="A266" s="521"/>
      <c r="B266" s="526"/>
      <c r="C266" s="527"/>
      <c r="E266" s="529"/>
      <c r="F266" s="530"/>
      <c r="G266" s="541"/>
      <c r="H266" s="542"/>
      <c r="I266" s="542"/>
      <c r="J266" s="924" t="s">
        <v>194</v>
      </c>
      <c r="K266" s="924"/>
      <c r="L266" s="429">
        <v>30000</v>
      </c>
      <c r="M266" s="428" t="s">
        <v>195</v>
      </c>
      <c r="N266" s="426">
        <f>SUM(N259:N264)</f>
        <v>2380492.7210616712</v>
      </c>
      <c r="O266" s="427"/>
      <c r="P266" s="428">
        <f>P265-P263</f>
        <v>150000</v>
      </c>
      <c r="Q266" s="523"/>
      <c r="R266" s="523"/>
      <c r="T266" s="523"/>
      <c r="V266" s="531"/>
      <c r="W266" s="464"/>
      <c r="X266" s="465"/>
      <c r="Y266" s="459"/>
      <c r="Z266" s="459"/>
      <c r="AA266" s="462"/>
      <c r="AB266" s="459"/>
      <c r="AC266" s="462" t="s">
        <v>396</v>
      </c>
      <c r="AD266" s="462" t="s">
        <v>384</v>
      </c>
      <c r="AE266" s="474">
        <f>AE258+AE265</f>
        <v>13191.380000000001</v>
      </c>
      <c r="AF266" s="456"/>
      <c r="AG266" s="454"/>
      <c r="AH266" s="454"/>
      <c r="AI266" s="454"/>
      <c r="AJ266" s="457"/>
      <c r="AK266" s="454"/>
      <c r="AL266" s="454"/>
    </row>
    <row r="267" spans="1:38" s="528" customFormat="1" ht="16.5" thickTop="1" x14ac:dyDescent="0.25">
      <c r="A267" s="521"/>
      <c r="B267" s="526"/>
      <c r="C267" s="527"/>
      <c r="E267" s="529"/>
      <c r="F267" s="530"/>
      <c r="G267" s="541"/>
      <c r="H267" s="542"/>
      <c r="I267" s="542"/>
      <c r="J267" s="924" t="s">
        <v>196</v>
      </c>
      <c r="K267" s="924"/>
      <c r="L267" s="429">
        <v>15000</v>
      </c>
      <c r="M267" s="428"/>
      <c r="N267" s="427"/>
      <c r="O267" s="422"/>
      <c r="P267" s="420"/>
      <c r="Q267" s="523"/>
      <c r="R267" s="523"/>
      <c r="T267" s="523"/>
      <c r="V267" s="531"/>
    </row>
    <row r="268" spans="1:38" s="528" customFormat="1" ht="15.75" x14ac:dyDescent="0.25">
      <c r="A268" s="521"/>
      <c r="B268" s="526"/>
      <c r="C268" s="527"/>
      <c r="E268" s="529"/>
      <c r="F268" s="530"/>
      <c r="G268" s="521"/>
      <c r="H268" s="522"/>
      <c r="I268" s="522"/>
      <c r="J268" s="921" t="s">
        <v>197</v>
      </c>
      <c r="K268" s="921"/>
      <c r="L268" s="423">
        <v>18000</v>
      </c>
      <c r="M268" s="428"/>
      <c r="N268" s="422"/>
      <c r="O268" s="422"/>
      <c r="P268" s="422"/>
      <c r="Q268" s="523"/>
      <c r="R268" s="523"/>
      <c r="T268" s="523"/>
      <c r="V268" s="531"/>
    </row>
    <row r="269" spans="1:38" s="528" customFormat="1" ht="15.75" x14ac:dyDescent="0.25">
      <c r="A269" s="521"/>
      <c r="B269" s="526"/>
      <c r="C269" s="527"/>
      <c r="E269" s="529"/>
      <c r="F269" s="530"/>
      <c r="G269" s="521"/>
      <c r="H269" s="522"/>
      <c r="I269" s="522"/>
      <c r="J269" s="921" t="s">
        <v>198</v>
      </c>
      <c r="K269" s="921"/>
      <c r="L269" s="423">
        <f>3*6000</f>
        <v>18000</v>
      </c>
      <c r="M269" s="422"/>
      <c r="N269" s="422"/>
      <c r="O269" s="422"/>
      <c r="P269" s="422"/>
      <c r="Q269" s="523"/>
      <c r="R269" s="523"/>
      <c r="T269" s="523"/>
      <c r="V269" s="531"/>
    </row>
    <row r="270" spans="1:38" ht="15.75" x14ac:dyDescent="0.25">
      <c r="D270" s="528"/>
      <c r="E270" s="529"/>
      <c r="F270" s="530"/>
      <c r="G270" s="521"/>
      <c r="H270" s="522"/>
      <c r="I270" s="522" t="s">
        <v>494</v>
      </c>
      <c r="J270" s="921" t="s">
        <v>199</v>
      </c>
      <c r="K270" s="921"/>
      <c r="L270" s="482"/>
      <c r="M270" s="422"/>
      <c r="N270" s="422"/>
      <c r="O270" s="422"/>
      <c r="P270" s="422"/>
      <c r="Q270" s="523"/>
      <c r="R270" s="520"/>
      <c r="V270" s="446"/>
      <c r="AD270" s="18"/>
      <c r="AF270" s="18"/>
    </row>
    <row r="271" spans="1:38" ht="15.75" x14ac:dyDescent="0.25">
      <c r="A271" s="18"/>
      <c r="B271" s="18"/>
      <c r="C271" s="18"/>
      <c r="D271" s="528"/>
      <c r="E271" s="529"/>
      <c r="F271" s="530"/>
      <c r="G271" s="521"/>
      <c r="H271" s="522"/>
      <c r="I271" s="522"/>
      <c r="J271" s="921" t="s">
        <v>200</v>
      </c>
      <c r="K271" s="921"/>
      <c r="L271" s="425">
        <f>4*10000/1.075</f>
        <v>37209.302325581397</v>
      </c>
      <c r="M271" s="422"/>
      <c r="N271" s="422"/>
      <c r="O271" s="422"/>
      <c r="P271" s="422"/>
      <c r="Q271" s="523"/>
      <c r="R271" s="520"/>
      <c r="V271" s="446"/>
      <c r="AD271" s="18"/>
      <c r="AF271" s="18"/>
    </row>
    <row r="272" spans="1:38" ht="15.75" x14ac:dyDescent="0.25">
      <c r="A272" s="18"/>
      <c r="B272" s="18"/>
      <c r="C272" s="18"/>
      <c r="D272" s="528"/>
      <c r="E272" s="529"/>
      <c r="F272" s="530"/>
      <c r="G272" s="521"/>
      <c r="H272" s="522"/>
      <c r="I272" s="522"/>
      <c r="J272" s="921" t="s">
        <v>201</v>
      </c>
      <c r="K272" s="921"/>
      <c r="L272" s="423" t="s">
        <v>180</v>
      </c>
      <c r="M272" s="422"/>
      <c r="N272" s="422"/>
      <c r="O272" s="422"/>
      <c r="P272" s="422"/>
      <c r="Q272" s="523"/>
      <c r="V272" s="446"/>
      <c r="AD272" s="18"/>
      <c r="AF272" s="18"/>
    </row>
    <row r="273" spans="1:38" ht="15.75" x14ac:dyDescent="0.25">
      <c r="A273" s="18"/>
      <c r="B273" s="18"/>
      <c r="C273" s="18"/>
      <c r="D273" s="528"/>
      <c r="E273" s="529"/>
      <c r="F273" s="530"/>
      <c r="G273" s="521"/>
      <c r="H273" s="522"/>
      <c r="I273" s="522" t="s">
        <v>494</v>
      </c>
      <c r="J273" s="921" t="s">
        <v>202</v>
      </c>
      <c r="K273" s="921"/>
      <c r="L273" s="482"/>
      <c r="M273" s="422"/>
      <c r="N273" s="422"/>
      <c r="O273" s="422"/>
      <c r="P273" s="422"/>
      <c r="Q273" s="523"/>
      <c r="V273" s="446"/>
      <c r="X273" s="877" t="s">
        <v>511</v>
      </c>
      <c r="Y273" s="877"/>
      <c r="Z273" s="877"/>
      <c r="AA273" s="555" t="s">
        <v>243</v>
      </c>
      <c r="AB273" s="555" t="s">
        <v>244</v>
      </c>
      <c r="AC273" s="555" t="s">
        <v>245</v>
      </c>
      <c r="AD273" s="123" t="s">
        <v>246</v>
      </c>
      <c r="AE273" s="196" t="s">
        <v>247</v>
      </c>
      <c r="AF273" s="555" t="s">
        <v>248</v>
      </c>
      <c r="AG273" s="212" t="s">
        <v>249</v>
      </c>
    </row>
    <row r="274" spans="1:38" ht="15.75" x14ac:dyDescent="0.25">
      <c r="A274" s="18"/>
      <c r="B274" s="18"/>
      <c r="C274" s="18"/>
      <c r="D274" s="528"/>
      <c r="E274" s="529"/>
      <c r="F274" s="530"/>
      <c r="G274" s="521"/>
      <c r="H274" s="522"/>
      <c r="I274" s="522"/>
      <c r="J274" s="921" t="s">
        <v>203</v>
      </c>
      <c r="K274" s="921"/>
      <c r="L274" s="423">
        <v>16000</v>
      </c>
      <c r="M274" s="422"/>
      <c r="N274" s="422"/>
      <c r="O274" s="422"/>
      <c r="P274" s="422"/>
      <c r="Q274" s="523"/>
      <c r="V274" s="446"/>
      <c r="X274" s="878" t="s">
        <v>512</v>
      </c>
      <c r="Y274" s="878"/>
      <c r="Z274" s="878"/>
      <c r="AA274" s="124" t="s">
        <v>513</v>
      </c>
      <c r="AB274" s="675">
        <f>(1.1*0.6)*3.28*3.28</f>
        <v>7.1005440000000002</v>
      </c>
      <c r="AC274" s="556">
        <v>8</v>
      </c>
      <c r="AD274" s="123">
        <v>200</v>
      </c>
      <c r="AE274" s="196">
        <f>AD274*AC274</f>
        <v>1600</v>
      </c>
      <c r="AF274" s="556"/>
      <c r="AG274" s="219">
        <f>AF274*AC274</f>
        <v>0</v>
      </c>
    </row>
    <row r="275" spans="1:38" ht="15.75" x14ac:dyDescent="0.25">
      <c r="A275" s="18"/>
      <c r="B275" s="18"/>
      <c r="C275" s="18"/>
      <c r="J275" s="894" t="s">
        <v>204</v>
      </c>
      <c r="K275" s="894"/>
      <c r="L275" s="423" t="s">
        <v>180</v>
      </c>
      <c r="M275" s="422"/>
      <c r="N275" s="422"/>
      <c r="O275" s="422"/>
      <c r="P275" s="422"/>
      <c r="V275" s="446"/>
      <c r="X275" s="878" t="s">
        <v>514</v>
      </c>
      <c r="Y275" s="878"/>
      <c r="Z275" s="878"/>
      <c r="AA275" s="124" t="s">
        <v>100</v>
      </c>
      <c r="AB275" s="556">
        <f>(1.1+0.6+1.1+0.6)</f>
        <v>3.4000000000000004</v>
      </c>
      <c r="AC275" s="556">
        <v>3.5</v>
      </c>
      <c r="AD275" s="123">
        <v>20</v>
      </c>
      <c r="AE275" s="196">
        <f>AD275*AC275</f>
        <v>70</v>
      </c>
      <c r="AF275" s="556"/>
      <c r="AG275" s="219">
        <f>AF275*AC275</f>
        <v>0</v>
      </c>
    </row>
    <row r="276" spans="1:38" ht="15.75" x14ac:dyDescent="0.25">
      <c r="A276" s="18"/>
      <c r="B276" s="18"/>
      <c r="C276" s="18"/>
      <c r="I276" s="2" t="s">
        <v>494</v>
      </c>
      <c r="J276" s="894" t="s">
        <v>205</v>
      </c>
      <c r="K276" s="894"/>
      <c r="L276" s="482"/>
      <c r="M276" s="422"/>
      <c r="N276" s="422"/>
      <c r="O276" s="422"/>
      <c r="P276" s="422"/>
      <c r="V276" s="446"/>
      <c r="X276" s="878" t="s">
        <v>515</v>
      </c>
      <c r="Y276" s="878"/>
      <c r="Z276" s="878"/>
      <c r="AA276" s="124" t="s">
        <v>100</v>
      </c>
      <c r="AB276" s="556">
        <f>(1.1+0.6+1.1+0.6)</f>
        <v>3.4000000000000004</v>
      </c>
      <c r="AC276" s="556">
        <v>3.5</v>
      </c>
      <c r="AD276" s="123">
        <v>16</v>
      </c>
      <c r="AE276" s="196">
        <f>AD276*AC276</f>
        <v>56</v>
      </c>
      <c r="AF276" s="556"/>
      <c r="AG276" s="219">
        <f>AF276*AC276</f>
        <v>0</v>
      </c>
    </row>
    <row r="277" spans="1:38" ht="15.75" x14ac:dyDescent="0.25">
      <c r="A277" s="18"/>
      <c r="B277" s="18"/>
      <c r="C277" s="18"/>
      <c r="I277" s="2" t="s">
        <v>494</v>
      </c>
      <c r="J277" s="894" t="s">
        <v>206</v>
      </c>
      <c r="K277" s="894"/>
      <c r="L277" s="482"/>
      <c r="M277" s="422"/>
      <c r="N277" s="422"/>
      <c r="O277" s="422"/>
      <c r="P277" s="422"/>
      <c r="R277" s="1">
        <f>42959+6704+1046+163+26+4</f>
        <v>50902</v>
      </c>
      <c r="V277" s="446"/>
      <c r="X277" s="878" t="s">
        <v>516</v>
      </c>
      <c r="Y277" s="878"/>
      <c r="Z277" s="878"/>
      <c r="AA277" s="124" t="s">
        <v>101</v>
      </c>
      <c r="AB277" s="675">
        <f>1.1*0.6</f>
        <v>0.66</v>
      </c>
      <c r="AC277" s="556">
        <v>0.8</v>
      </c>
      <c r="AD277" s="676">
        <f>400/2.88</f>
        <v>138.88888888888889</v>
      </c>
      <c r="AE277" s="196">
        <f t="shared" ref="AE277" si="247">AD277*AC277</f>
        <v>111.11111111111111</v>
      </c>
      <c r="AF277" s="556"/>
      <c r="AG277" s="219">
        <f t="shared" ref="AG277" si="248">AF277*AC277</f>
        <v>0</v>
      </c>
    </row>
    <row r="278" spans="1:38" ht="15.75" x14ac:dyDescent="0.25">
      <c r="A278" s="18"/>
      <c r="B278" s="18"/>
      <c r="C278" s="18"/>
      <c r="I278" s="2" t="s">
        <v>494</v>
      </c>
      <c r="J278" s="894" t="s">
        <v>473</v>
      </c>
      <c r="K278" s="894"/>
      <c r="L278" s="482"/>
      <c r="M278" s="422"/>
      <c r="N278" s="422"/>
      <c r="O278" s="422"/>
      <c r="P278" s="422"/>
      <c r="V278" s="446"/>
      <c r="X278" s="878" t="s">
        <v>379</v>
      </c>
      <c r="Y278" s="878"/>
      <c r="Z278" s="878"/>
      <c r="AA278" s="124" t="s">
        <v>301</v>
      </c>
      <c r="AB278" s="556">
        <v>1</v>
      </c>
      <c r="AC278" s="556">
        <v>1</v>
      </c>
      <c r="AD278" s="676">
        <v>500</v>
      </c>
      <c r="AE278" s="196">
        <f>AD278*AC278</f>
        <v>500</v>
      </c>
      <c r="AF278" s="556"/>
      <c r="AG278" s="219">
        <f>AF278*AC278</f>
        <v>0</v>
      </c>
    </row>
    <row r="279" spans="1:38" ht="15.75" x14ac:dyDescent="0.25">
      <c r="A279" s="18"/>
      <c r="B279" s="18"/>
      <c r="C279" s="18"/>
      <c r="I279" s="2" t="s">
        <v>494</v>
      </c>
      <c r="J279" s="894" t="s">
        <v>208</v>
      </c>
      <c r="K279" s="894"/>
      <c r="L279" s="482"/>
      <c r="M279" s="422"/>
      <c r="N279" s="422"/>
      <c r="O279" s="422"/>
      <c r="P279" s="422"/>
      <c r="V279" s="27"/>
      <c r="X279" s="878"/>
      <c r="Y279" s="878"/>
      <c r="Z279" s="878"/>
      <c r="AA279" s="124"/>
      <c r="AB279" s="556"/>
      <c r="AC279" s="556"/>
      <c r="AD279" s="123"/>
      <c r="AE279" s="212">
        <f>SUM(AE274:AE278)</f>
        <v>2337.1111111111113</v>
      </c>
      <c r="AF279" s="556"/>
      <c r="AG279" s="212">
        <f>SUM(AG274:AG278)</f>
        <v>0</v>
      </c>
    </row>
    <row r="280" spans="1:38" ht="15.75" x14ac:dyDescent="0.25">
      <c r="A280" s="18"/>
      <c r="B280" s="18"/>
      <c r="C280" s="18"/>
      <c r="I280" s="2" t="s">
        <v>496</v>
      </c>
      <c r="J280" s="894" t="s">
        <v>209</v>
      </c>
      <c r="K280" s="894"/>
      <c r="L280" s="482"/>
      <c r="M280" s="422"/>
      <c r="N280" s="422"/>
      <c r="O280" s="422"/>
      <c r="P280" s="422"/>
      <c r="V280" s="27"/>
      <c r="AD280" s="18"/>
      <c r="AF280" s="18"/>
    </row>
    <row r="281" spans="1:38" ht="15.75" x14ac:dyDescent="0.25">
      <c r="A281" s="18"/>
      <c r="B281" s="18"/>
      <c r="C281" s="18"/>
      <c r="J281" s="894" t="s">
        <v>474</v>
      </c>
      <c r="K281" s="894"/>
      <c r="L281" s="423">
        <v>15000</v>
      </c>
      <c r="M281" s="422"/>
      <c r="N281" s="422"/>
      <c r="O281" s="422"/>
      <c r="P281" s="422"/>
      <c r="V281" s="27"/>
      <c r="AD281" s="18"/>
      <c r="AF281" s="18"/>
    </row>
    <row r="282" spans="1:38" ht="15.75" x14ac:dyDescent="0.25">
      <c r="A282" s="18"/>
      <c r="B282" s="18"/>
      <c r="C282" s="18"/>
      <c r="I282" s="2" t="s">
        <v>494</v>
      </c>
      <c r="J282" s="894" t="s">
        <v>211</v>
      </c>
      <c r="K282" s="894"/>
      <c r="L282" s="482"/>
      <c r="M282" s="422"/>
      <c r="N282" s="422"/>
      <c r="O282" s="422"/>
      <c r="P282" s="422"/>
      <c r="V282" s="27"/>
      <c r="AD282" s="18"/>
      <c r="AF282" s="18"/>
    </row>
    <row r="283" spans="1:38" ht="15.75" x14ac:dyDescent="0.25">
      <c r="A283" s="18"/>
      <c r="B283" s="18"/>
      <c r="C283" s="18"/>
      <c r="J283" s="894" t="s">
        <v>212</v>
      </c>
      <c r="K283" s="894"/>
      <c r="L283" s="423">
        <v>15000</v>
      </c>
      <c r="M283" s="422"/>
      <c r="N283" s="422"/>
      <c r="O283" s="422"/>
      <c r="P283" s="422"/>
      <c r="V283" s="27"/>
    </row>
    <row r="284" spans="1:38" ht="15.75" x14ac:dyDescent="0.25">
      <c r="A284" s="18"/>
      <c r="B284" s="18"/>
      <c r="C284" s="18"/>
      <c r="J284" s="894" t="s">
        <v>475</v>
      </c>
      <c r="K284" s="894"/>
      <c r="L284" s="423">
        <f>4*12000/1.12</f>
        <v>42857.142857142855</v>
      </c>
      <c r="M284" s="422"/>
      <c r="N284" s="422"/>
      <c r="O284" s="422"/>
      <c r="P284" s="422"/>
      <c r="V284" s="27"/>
      <c r="X284" s="878" t="s">
        <v>522</v>
      </c>
      <c r="Y284" s="878"/>
      <c r="Z284" s="878"/>
      <c r="AA284" s="124" t="s">
        <v>101</v>
      </c>
      <c r="AB284" s="675">
        <f>(3.2*1.5)*2+(1*1.5)*2</f>
        <v>12.600000000000001</v>
      </c>
      <c r="AC284" s="556">
        <v>13</v>
      </c>
      <c r="AD284" s="676">
        <f>375*(3.28*3.28)/1.075</f>
        <v>3752.9302325581389</v>
      </c>
      <c r="AE284" s="196">
        <f t="shared" ref="AE284" si="249">AD284*AC284</f>
        <v>48788.093023255802</v>
      </c>
      <c r="AF284" s="677">
        <f>AD284*0.35</f>
        <v>1313.5255813953486</v>
      </c>
      <c r="AG284" s="219">
        <f t="shared" ref="AG284" si="250">AF284*AC284</f>
        <v>17075.832558139533</v>
      </c>
    </row>
    <row r="285" spans="1:38" ht="15.75" x14ac:dyDescent="0.25">
      <c r="A285" s="18"/>
      <c r="B285" s="18"/>
      <c r="C285" s="18"/>
      <c r="J285" s="894" t="s">
        <v>214</v>
      </c>
      <c r="K285" s="894"/>
      <c r="L285" s="423" t="s">
        <v>189</v>
      </c>
      <c r="M285" s="422"/>
      <c r="N285" s="422"/>
      <c r="O285" s="422"/>
      <c r="P285" s="422"/>
      <c r="V285" s="27"/>
      <c r="W285" s="397"/>
      <c r="X285" s="878" t="s">
        <v>379</v>
      </c>
      <c r="Y285" s="878"/>
      <c r="Z285" s="878"/>
      <c r="AA285" s="124" t="s">
        <v>301</v>
      </c>
      <c r="AB285" s="556">
        <v>1</v>
      </c>
      <c r="AC285" s="556">
        <v>1</v>
      </c>
      <c r="AD285" s="676">
        <v>2000</v>
      </c>
      <c r="AE285" s="196">
        <f>AD285*AC285</f>
        <v>2000</v>
      </c>
      <c r="AF285" s="556">
        <v>1000</v>
      </c>
      <c r="AG285" s="219">
        <f>AF285*AC285</f>
        <v>1000</v>
      </c>
      <c r="AH285" s="394"/>
      <c r="AI285" s="394"/>
      <c r="AJ285" s="395"/>
      <c r="AK285" s="394"/>
      <c r="AL285" s="394"/>
    </row>
    <row r="286" spans="1:38" ht="15.75" x14ac:dyDescent="0.25">
      <c r="A286" s="18"/>
      <c r="B286" s="18"/>
      <c r="C286" s="18"/>
      <c r="J286" s="894" t="s">
        <v>476</v>
      </c>
      <c r="K286" s="894"/>
      <c r="L286" s="423">
        <v>10000</v>
      </c>
      <c r="M286" s="422"/>
      <c r="N286" s="422"/>
      <c r="O286" s="422"/>
      <c r="P286" s="422"/>
      <c r="V286" s="27"/>
      <c r="W286" s="397"/>
      <c r="AD286" s="18"/>
      <c r="AE286" s="365">
        <f>SUM(AE284:AE285)</f>
        <v>50788.093023255802</v>
      </c>
      <c r="AF286" s="18"/>
      <c r="AG286" s="365">
        <f>SUM(AG284:AG285)</f>
        <v>18075.832558139533</v>
      </c>
      <c r="AH286" s="394"/>
      <c r="AI286" s="394"/>
      <c r="AJ286" s="395"/>
      <c r="AK286" s="394"/>
      <c r="AL286" s="394"/>
    </row>
    <row r="287" spans="1:38" ht="15.75" x14ac:dyDescent="0.25">
      <c r="J287" s="894" t="s">
        <v>477</v>
      </c>
      <c r="K287" s="894"/>
      <c r="L287" s="429"/>
      <c r="M287" s="422"/>
      <c r="N287" s="422"/>
      <c r="O287" s="422"/>
      <c r="P287" s="422"/>
      <c r="V287" s="27"/>
      <c r="W287" s="397"/>
      <c r="X287" s="400"/>
      <c r="Y287" s="404"/>
      <c r="Z287" s="391"/>
      <c r="AA287" s="392"/>
      <c r="AB287" s="399"/>
      <c r="AC287" s="403"/>
      <c r="AD287" s="392"/>
      <c r="AE287" s="378"/>
      <c r="AF287" s="393"/>
      <c r="AG287" s="394"/>
      <c r="AH287" s="394"/>
      <c r="AI287" s="405"/>
      <c r="AJ287" s="405"/>
      <c r="AK287" s="405"/>
      <c r="AL287" s="405"/>
    </row>
    <row r="288" spans="1:38" ht="15.75" x14ac:dyDescent="0.25">
      <c r="J288" s="894" t="s">
        <v>217</v>
      </c>
      <c r="K288" s="894"/>
      <c r="L288" s="429" t="s">
        <v>180</v>
      </c>
      <c r="M288" s="422"/>
      <c r="N288" s="422"/>
      <c r="O288" s="422"/>
      <c r="P288" s="422"/>
      <c r="V288" s="27"/>
      <c r="W288" s="389"/>
      <c r="X288" s="390"/>
      <c r="Y288" s="391"/>
      <c r="Z288" s="391"/>
      <c r="AA288" s="392"/>
      <c r="AB288" s="391"/>
      <c r="AC288" s="392"/>
      <c r="AD288" s="392"/>
      <c r="AE288" s="378"/>
      <c r="AF288" s="393"/>
      <c r="AG288" s="394"/>
      <c r="AH288" s="394"/>
      <c r="AI288" s="394"/>
      <c r="AJ288" s="395"/>
      <c r="AK288" s="394"/>
      <c r="AL288" s="394"/>
    </row>
    <row r="289" spans="1:44" ht="15.75" x14ac:dyDescent="0.25">
      <c r="J289" s="894" t="s">
        <v>478</v>
      </c>
      <c r="K289" s="894"/>
      <c r="L289" s="429">
        <v>3500</v>
      </c>
      <c r="M289" s="422"/>
      <c r="N289" s="422"/>
      <c r="O289" s="422"/>
      <c r="P289" s="422"/>
      <c r="V289" s="27"/>
      <c r="W289" s="389"/>
      <c r="X289" s="390"/>
      <c r="Y289" s="391"/>
      <c r="Z289" s="391"/>
      <c r="AA289" s="392"/>
      <c r="AB289" s="391"/>
      <c r="AC289" s="392"/>
      <c r="AD289" s="392"/>
      <c r="AE289" s="378"/>
      <c r="AF289" s="393"/>
      <c r="AG289" s="394"/>
      <c r="AH289" s="394"/>
      <c r="AI289" s="394"/>
      <c r="AJ289" s="395"/>
      <c r="AK289" s="394"/>
      <c r="AL289" s="394"/>
    </row>
    <row r="290" spans="1:44" ht="15.75" x14ac:dyDescent="0.25">
      <c r="J290" s="894" t="s">
        <v>219</v>
      </c>
      <c r="K290" s="894"/>
      <c r="L290" s="429" t="s">
        <v>180</v>
      </c>
      <c r="M290" s="422"/>
      <c r="N290" s="422"/>
      <c r="O290" s="422"/>
      <c r="P290" s="422"/>
      <c r="V290" s="27"/>
      <c r="W290" s="273"/>
      <c r="X290" s="273"/>
      <c r="Y290" s="273"/>
      <c r="Z290" s="273"/>
      <c r="AA290" s="273"/>
      <c r="AB290" s="273"/>
      <c r="AC290" s="273"/>
      <c r="AD290" s="224"/>
      <c r="AE290" s="273"/>
      <c r="AF290" s="224"/>
      <c r="AG290" s="1"/>
      <c r="AH290" s="1"/>
      <c r="AI290" s="1"/>
      <c r="AJ290" s="1"/>
      <c r="AK290" s="1"/>
      <c r="AL290" s="1"/>
    </row>
    <row r="291" spans="1:44" s="1" customFormat="1" ht="15.75" x14ac:dyDescent="0.25">
      <c r="A291" s="19"/>
      <c r="B291" s="153"/>
      <c r="C291" s="294"/>
      <c r="D291" s="18"/>
      <c r="E291" s="60"/>
      <c r="F291" s="91"/>
      <c r="G291" s="19"/>
      <c r="H291" s="2"/>
      <c r="I291" s="2"/>
      <c r="J291" s="894" t="s">
        <v>220</v>
      </c>
      <c r="K291" s="894"/>
      <c r="L291" s="429">
        <v>3500</v>
      </c>
      <c r="M291" s="422"/>
      <c r="N291" s="422"/>
      <c r="O291" s="422"/>
      <c r="P291" s="422"/>
      <c r="S291" s="18"/>
      <c r="U291" s="18"/>
      <c r="V291" s="18"/>
      <c r="W291" s="18"/>
      <c r="X291" s="18"/>
      <c r="Y291" s="18"/>
      <c r="Z291" s="18"/>
      <c r="AA291" s="18"/>
      <c r="AB291" s="18"/>
      <c r="AC291" s="18"/>
      <c r="AE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</row>
    <row r="292" spans="1:44" s="1" customFormat="1" ht="15.75" x14ac:dyDescent="0.25">
      <c r="A292" s="19"/>
      <c r="B292" s="153"/>
      <c r="C292" s="294"/>
      <c r="D292" s="18"/>
      <c r="E292" s="60"/>
      <c r="F292" s="91"/>
      <c r="G292" s="19"/>
      <c r="H292" s="2"/>
      <c r="I292" s="2"/>
      <c r="J292" s="894" t="s">
        <v>221</v>
      </c>
      <c r="K292" s="894"/>
      <c r="L292" s="429">
        <v>3500</v>
      </c>
      <c r="M292" s="422"/>
      <c r="N292" s="422"/>
      <c r="O292" s="422"/>
      <c r="P292" s="422"/>
      <c r="S292" s="18"/>
      <c r="U292" s="18"/>
      <c r="V292" s="18"/>
      <c r="W292" s="18"/>
      <c r="X292" s="18"/>
      <c r="Y292" s="18"/>
      <c r="Z292" s="18"/>
      <c r="AA292" s="18"/>
      <c r="AB292" s="18"/>
      <c r="AC292" s="18"/>
      <c r="AE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</row>
    <row r="293" spans="1:44" s="1" customFormat="1" ht="15.75" x14ac:dyDescent="0.25">
      <c r="A293" s="19"/>
      <c r="B293" s="153"/>
      <c r="C293" s="294"/>
      <c r="D293" s="18"/>
      <c r="E293" s="60"/>
      <c r="F293" s="91"/>
      <c r="G293" s="19"/>
      <c r="H293" s="2"/>
      <c r="I293" s="2"/>
      <c r="J293" s="894" t="s">
        <v>479</v>
      </c>
      <c r="K293" s="894"/>
      <c r="L293" s="423">
        <v>0</v>
      </c>
      <c r="M293" s="422"/>
      <c r="N293" s="422"/>
      <c r="O293" s="422"/>
      <c r="P293" s="422"/>
      <c r="S293" s="18"/>
      <c r="U293" s="18"/>
      <c r="V293" s="18"/>
      <c r="W293" s="18"/>
      <c r="X293" s="18"/>
      <c r="Y293" s="18"/>
      <c r="Z293" s="18"/>
      <c r="AA293" s="18"/>
      <c r="AB293" s="18"/>
      <c r="AC293" s="18"/>
      <c r="AE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</row>
    <row r="294" spans="1:44" s="1" customFormat="1" ht="15.75" x14ac:dyDescent="0.25">
      <c r="A294" s="19"/>
      <c r="B294" s="153"/>
      <c r="C294" s="294"/>
      <c r="D294" s="18"/>
      <c r="E294" s="60"/>
      <c r="F294" s="91"/>
      <c r="G294" s="19"/>
      <c r="H294" s="2"/>
      <c r="I294" s="2"/>
      <c r="J294" s="894" t="s">
        <v>223</v>
      </c>
      <c r="K294" s="894"/>
      <c r="L294" s="423">
        <v>12000</v>
      </c>
      <c r="M294" s="430"/>
      <c r="N294" s="422"/>
      <c r="O294" s="422"/>
      <c r="P294" s="422"/>
      <c r="S294" s="18"/>
      <c r="U294" s="18"/>
      <c r="V294" s="18"/>
      <c r="W294" s="18"/>
      <c r="X294" s="18"/>
      <c r="Y294" s="18"/>
      <c r="Z294" s="18"/>
      <c r="AA294" s="18"/>
      <c r="AB294" s="18"/>
      <c r="AC294" s="18"/>
      <c r="AE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spans="1:44" s="1" customFormat="1" ht="15.75" x14ac:dyDescent="0.25">
      <c r="A295" s="19"/>
      <c r="B295" s="153"/>
      <c r="C295" s="294"/>
      <c r="D295" s="18"/>
      <c r="E295" s="60"/>
      <c r="F295" s="91"/>
      <c r="G295" s="19"/>
      <c r="H295" s="2"/>
      <c r="I295" s="2"/>
      <c r="J295" s="894" t="s">
        <v>480</v>
      </c>
      <c r="K295" s="894"/>
      <c r="L295" s="423" t="s">
        <v>189</v>
      </c>
      <c r="M295" s="431"/>
      <c r="N295" s="431"/>
      <c r="O295" s="431"/>
      <c r="P295" s="431"/>
      <c r="S295" s="18"/>
      <c r="U295" s="18"/>
      <c r="V295" s="18"/>
      <c r="W295" s="18"/>
      <c r="X295" s="18"/>
      <c r="Y295" s="18"/>
      <c r="Z295" s="18"/>
      <c r="AA295" s="18"/>
      <c r="AB295" s="18"/>
      <c r="AC295" s="18"/>
      <c r="AE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s="1" customFormat="1" ht="15.75" x14ac:dyDescent="0.25">
      <c r="A296" s="19"/>
      <c r="B296" s="153"/>
      <c r="C296" s="294"/>
      <c r="D296" s="18"/>
      <c r="E296" s="60"/>
      <c r="F296" s="91"/>
      <c r="G296" s="19"/>
      <c r="H296" s="2"/>
      <c r="I296" s="2"/>
      <c r="J296" s="893" t="s">
        <v>481</v>
      </c>
      <c r="K296" s="893"/>
      <c r="L296" s="432">
        <v>8500</v>
      </c>
      <c r="M296" s="431"/>
      <c r="N296" s="431"/>
      <c r="O296" s="431"/>
      <c r="P296" s="431"/>
      <c r="S296" s="18"/>
      <c r="U296" s="18"/>
      <c r="V296" s="18"/>
      <c r="W296" s="18"/>
      <c r="X296" s="18"/>
      <c r="Y296" s="18"/>
      <c r="Z296" s="18"/>
      <c r="AA296" s="18"/>
      <c r="AB296" s="18"/>
      <c r="AC296" s="18"/>
      <c r="AE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s="1" customFormat="1" ht="15.75" x14ac:dyDescent="0.25">
      <c r="A297" s="19"/>
      <c r="B297" s="153"/>
      <c r="C297" s="294"/>
      <c r="D297" s="18"/>
      <c r="E297" s="60"/>
      <c r="F297" s="91"/>
      <c r="G297" s="19"/>
      <c r="H297" s="2"/>
      <c r="I297" s="2"/>
      <c r="J297" s="894" t="s">
        <v>482</v>
      </c>
      <c r="K297" s="894"/>
      <c r="L297" s="423">
        <v>8500</v>
      </c>
      <c r="M297" s="431"/>
      <c r="N297" s="431"/>
      <c r="O297" s="431"/>
      <c r="P297" s="431"/>
      <c r="S297" s="18"/>
      <c r="U297" s="18"/>
      <c r="V297" s="18"/>
      <c r="W297" s="18"/>
      <c r="X297" s="18"/>
      <c r="Y297" s="18"/>
      <c r="Z297" s="18"/>
      <c r="AA297" s="18"/>
      <c r="AB297" s="18"/>
      <c r="AC297" s="18"/>
      <c r="AE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5" t="s">
        <v>483</v>
      </c>
      <c r="K298" s="895"/>
      <c r="L298" s="552" t="s">
        <v>189</v>
      </c>
      <c r="M298" s="434"/>
      <c r="N298" s="434"/>
      <c r="O298" s="434"/>
      <c r="P298" s="434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E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 t="s">
        <v>494</v>
      </c>
      <c r="J299" s="895" t="s">
        <v>484</v>
      </c>
      <c r="K299" s="895"/>
      <c r="L299" s="485"/>
      <c r="M299" s="434"/>
      <c r="N299" s="434"/>
      <c r="O299" s="434"/>
      <c r="P299" s="434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E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5" t="s">
        <v>485</v>
      </c>
      <c r="K300" s="895"/>
      <c r="L300" s="552" t="s">
        <v>189</v>
      </c>
      <c r="M300" s="434"/>
      <c r="N300" s="434"/>
      <c r="O300" s="434"/>
      <c r="P300" s="434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E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5" t="s">
        <v>486</v>
      </c>
      <c r="K301" s="895"/>
      <c r="L301" s="552" t="s">
        <v>189</v>
      </c>
      <c r="M301" s="434"/>
      <c r="N301" s="434"/>
      <c r="O301" s="434"/>
      <c r="P301" s="434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E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spans="1:44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/>
      <c r="J302" s="892" t="s">
        <v>222</v>
      </c>
      <c r="K302" s="892"/>
      <c r="L302" s="552">
        <v>7500</v>
      </c>
      <c r="M302" s="434"/>
      <c r="N302" s="434"/>
      <c r="O302" s="434"/>
      <c r="P302" s="434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E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spans="1:44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2" t="s">
        <v>487</v>
      </c>
      <c r="K303" s="892"/>
      <c r="L303" s="552"/>
      <c r="M303" s="434"/>
      <c r="N303" s="434"/>
      <c r="O303" s="434"/>
      <c r="P303" s="434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E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spans="1:44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2" t="s">
        <v>213</v>
      </c>
      <c r="K304" s="892"/>
      <c r="L304" s="552" t="s">
        <v>161</v>
      </c>
      <c r="M304" s="434"/>
      <c r="N304" s="434"/>
      <c r="O304" s="434"/>
      <c r="P304" s="434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E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spans="1:44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 t="s">
        <v>494</v>
      </c>
      <c r="J305" s="892" t="s">
        <v>488</v>
      </c>
      <c r="K305" s="892"/>
      <c r="L305" s="485"/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E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spans="1:44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/>
      <c r="J306" s="892" t="s">
        <v>489</v>
      </c>
      <c r="K306" s="892"/>
      <c r="L306" s="552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E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</sheetData>
  <mergeCells count="159">
    <mergeCell ref="J303:K303"/>
    <mergeCell ref="J304:K304"/>
    <mergeCell ref="J305:K305"/>
    <mergeCell ref="J306:K306"/>
    <mergeCell ref="J297:K297"/>
    <mergeCell ref="J298:K298"/>
    <mergeCell ref="J299:K299"/>
    <mergeCell ref="J300:K300"/>
    <mergeCell ref="J301:K301"/>
    <mergeCell ref="J302:K302"/>
    <mergeCell ref="J291:K291"/>
    <mergeCell ref="J292:K292"/>
    <mergeCell ref="J293:K293"/>
    <mergeCell ref="J294:K294"/>
    <mergeCell ref="J295:K295"/>
    <mergeCell ref="J296:K296"/>
    <mergeCell ref="J285:K285"/>
    <mergeCell ref="J286:K286"/>
    <mergeCell ref="J287:K287"/>
    <mergeCell ref="J288:K288"/>
    <mergeCell ref="J289:K289"/>
    <mergeCell ref="J290:K290"/>
    <mergeCell ref="J279:K279"/>
    <mergeCell ref="J280:K280"/>
    <mergeCell ref="J281:K281"/>
    <mergeCell ref="J282:K282"/>
    <mergeCell ref="J283:K283"/>
    <mergeCell ref="J284:K284"/>
    <mergeCell ref="J273:K273"/>
    <mergeCell ref="J274:K274"/>
    <mergeCell ref="J275:K275"/>
    <mergeCell ref="J276:K276"/>
    <mergeCell ref="J277:K277"/>
    <mergeCell ref="J278:K278"/>
    <mergeCell ref="J267:K267"/>
    <mergeCell ref="J268:K268"/>
    <mergeCell ref="J269:K269"/>
    <mergeCell ref="J270:K270"/>
    <mergeCell ref="J271:K271"/>
    <mergeCell ref="J272:K272"/>
    <mergeCell ref="J261:K261"/>
    <mergeCell ref="J262:K262"/>
    <mergeCell ref="J263:K263"/>
    <mergeCell ref="J264:K264"/>
    <mergeCell ref="J265:K265"/>
    <mergeCell ref="J266:K266"/>
    <mergeCell ref="AA241:AC241"/>
    <mergeCell ref="AD241:AE241"/>
    <mergeCell ref="AA255:AC255"/>
    <mergeCell ref="AD255:AE255"/>
    <mergeCell ref="J259:K259"/>
    <mergeCell ref="J260:K260"/>
    <mergeCell ref="B212:D212"/>
    <mergeCell ref="AA225:AC225"/>
    <mergeCell ref="AD225:AE225"/>
    <mergeCell ref="B238:D238"/>
    <mergeCell ref="B240:D240"/>
    <mergeCell ref="M240:P240"/>
    <mergeCell ref="B151:D151"/>
    <mergeCell ref="AA210:AC210"/>
    <mergeCell ref="AD210:AE210"/>
    <mergeCell ref="Y153:AA153"/>
    <mergeCell ref="V154:AA154"/>
    <mergeCell ref="Y155:AA155"/>
    <mergeCell ref="Y156:AA156"/>
    <mergeCell ref="Y157:AA157"/>
    <mergeCell ref="Y159:AA159"/>
    <mergeCell ref="Y158:AA158"/>
    <mergeCell ref="AL204:AM204"/>
    <mergeCell ref="Y147:AA147"/>
    <mergeCell ref="Y149:AA149"/>
    <mergeCell ref="Y150:AA150"/>
    <mergeCell ref="Y151:AA151"/>
    <mergeCell ref="Y152:AA152"/>
    <mergeCell ref="AL198:AM198"/>
    <mergeCell ref="AL199:AM199"/>
    <mergeCell ref="AL200:AM200"/>
    <mergeCell ref="AL201:AM201"/>
    <mergeCell ref="AL202:AM202"/>
    <mergeCell ref="AL203:AM203"/>
    <mergeCell ref="AL185:AM185"/>
    <mergeCell ref="AL186:AM186"/>
    <mergeCell ref="AL189:AM189"/>
    <mergeCell ref="AL195:AM195"/>
    <mergeCell ref="AL196:AM196"/>
    <mergeCell ref="AL197:AM197"/>
    <mergeCell ref="AL174:AN174"/>
    <mergeCell ref="AL178:AN178"/>
    <mergeCell ref="AL179:AN179"/>
    <mergeCell ref="AL180:AN180"/>
    <mergeCell ref="AL181:AN181"/>
    <mergeCell ref="AL182:AN182"/>
    <mergeCell ref="AL165:AN165"/>
    <mergeCell ref="AL166:AN166"/>
    <mergeCell ref="AL170:AN170"/>
    <mergeCell ref="AL171:AN171"/>
    <mergeCell ref="AL172:AN172"/>
    <mergeCell ref="AL173:AN173"/>
    <mergeCell ref="W129:Y129"/>
    <mergeCell ref="W130:Y130"/>
    <mergeCell ref="W131:Y131"/>
    <mergeCell ref="AL162:AN162"/>
    <mergeCell ref="AL163:AN163"/>
    <mergeCell ref="AL164:AN164"/>
    <mergeCell ref="Y160:AA160"/>
    <mergeCell ref="Y161:AA161"/>
    <mergeCell ref="Y162:AA162"/>
    <mergeCell ref="W121:Y121"/>
    <mergeCell ref="W122:Y122"/>
    <mergeCell ref="W123:Y123"/>
    <mergeCell ref="W124:Y124"/>
    <mergeCell ref="W127:Y127"/>
    <mergeCell ref="W128:Y128"/>
    <mergeCell ref="W58:Y58"/>
    <mergeCell ref="W59:Y59"/>
    <mergeCell ref="W60:Y60"/>
    <mergeCell ref="W61:Y61"/>
    <mergeCell ref="W62:Y62"/>
    <mergeCell ref="W120:Y120"/>
    <mergeCell ref="W72:Y72"/>
    <mergeCell ref="W73:Y73"/>
    <mergeCell ref="W76:Y76"/>
    <mergeCell ref="W77:Y77"/>
    <mergeCell ref="W78:Y78"/>
    <mergeCell ref="W79:Y79"/>
    <mergeCell ref="W80:Y80"/>
    <mergeCell ref="W35:Y35"/>
    <mergeCell ref="W36:Y36"/>
    <mergeCell ref="W37:Y37"/>
    <mergeCell ref="W38:Y38"/>
    <mergeCell ref="W39:Y39"/>
    <mergeCell ref="W57:Y57"/>
    <mergeCell ref="B35:D35"/>
    <mergeCell ref="W42:Y42"/>
    <mergeCell ref="W43:Y43"/>
    <mergeCell ref="W44:Y44"/>
    <mergeCell ref="W45:Y45"/>
    <mergeCell ref="W46:Y46"/>
    <mergeCell ref="I14:I15"/>
    <mergeCell ref="J14:J15"/>
    <mergeCell ref="K14:K15"/>
    <mergeCell ref="L14:L15"/>
    <mergeCell ref="M14:O14"/>
    <mergeCell ref="P14:P15"/>
    <mergeCell ref="A14:A15"/>
    <mergeCell ref="B14:D15"/>
    <mergeCell ref="E14:E15"/>
    <mergeCell ref="F14:F15"/>
    <mergeCell ref="G14:G15"/>
    <mergeCell ref="H14:H15"/>
    <mergeCell ref="X285:Z285"/>
    <mergeCell ref="X273:Z273"/>
    <mergeCell ref="X274:Z274"/>
    <mergeCell ref="X275:Z275"/>
    <mergeCell ref="X276:Z276"/>
    <mergeCell ref="X279:Z279"/>
    <mergeCell ref="X277:Z277"/>
    <mergeCell ref="X278:Z278"/>
    <mergeCell ref="X284:Z284"/>
  </mergeCells>
  <printOptions horizontalCentered="1"/>
  <pageMargins left="0.25" right="0.25" top="0.75" bottom="0.5" header="0.3" footer="0.3"/>
  <pageSetup paperSize="197" scale="54" orientation="portrait" r:id="rId1"/>
  <headerFooter>
    <oddFooter>Page &amp;P of &amp;N</oddFooter>
  </headerFooter>
  <rowBreaks count="2" manualBreakCount="2">
    <brk id="108" min="3" max="15" man="1"/>
    <brk id="216" min="3" max="15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7:AR304"/>
  <sheetViews>
    <sheetView showGridLines="0" view="pageBreakPreview" topLeftCell="F229" zoomScale="80" zoomScaleNormal="85" zoomScaleSheetLayoutView="80" workbookViewId="0">
      <selection activeCell="R255" sqref="R255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0.7109375" style="1" customWidth="1"/>
    <col min="33" max="33" width="10.7109375" style="18" customWidth="1"/>
    <col min="34" max="34" width="14" style="18" customWidth="1"/>
    <col min="35" max="41" width="9.140625" style="18"/>
    <col min="42" max="42" width="12" style="18" customWidth="1"/>
    <col min="43" max="43" width="9.140625" style="18"/>
    <col min="44" max="44" width="14.28515625" style="18" customWidth="1"/>
    <col min="45" max="16384" width="9.140625" style="18"/>
  </cols>
  <sheetData>
    <row r="7" spans="1:39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39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39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39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39" x14ac:dyDescent="0.25">
      <c r="A11" s="235"/>
      <c r="D11" s="21"/>
      <c r="E11" s="181"/>
    </row>
    <row r="12" spans="1:39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73"/>
      <c r="AM12" s="273"/>
    </row>
    <row r="13" spans="1:39" ht="15.75" thickBot="1" x14ac:dyDescent="0.3">
      <c r="T13" s="224"/>
      <c r="U13" s="273"/>
      <c r="V13" s="273"/>
      <c r="AK13" s="273"/>
      <c r="AL13" s="273"/>
      <c r="AM13" s="273"/>
    </row>
    <row r="14" spans="1:39" s="19" customFormat="1" x14ac:dyDescent="0.25">
      <c r="A14" s="906" t="s">
        <v>4</v>
      </c>
      <c r="B14" s="864" t="s">
        <v>7</v>
      </c>
      <c r="C14" s="908"/>
      <c r="D14" s="865"/>
      <c r="E14" s="915" t="s">
        <v>81</v>
      </c>
      <c r="F14" s="917" t="s">
        <v>6</v>
      </c>
      <c r="G14" s="868" t="s">
        <v>5</v>
      </c>
      <c r="H14" s="870" t="s">
        <v>174</v>
      </c>
      <c r="I14" s="870" t="s">
        <v>175</v>
      </c>
      <c r="J14" s="870" t="s">
        <v>176</v>
      </c>
      <c r="K14" s="870" t="s">
        <v>177</v>
      </c>
      <c r="L14" s="870" t="s">
        <v>178</v>
      </c>
      <c r="M14" s="872" t="s">
        <v>8</v>
      </c>
      <c r="N14" s="873"/>
      <c r="O14" s="874"/>
      <c r="P14" s="919" t="s">
        <v>11</v>
      </c>
      <c r="Q14" s="2"/>
      <c r="R14" s="2"/>
      <c r="T14" s="441"/>
      <c r="U14" s="274"/>
      <c r="V14" s="274"/>
      <c r="AK14" s="274"/>
      <c r="AL14" s="274"/>
      <c r="AM14" s="274"/>
    </row>
    <row r="15" spans="1:39" s="19" customFormat="1" ht="15.75" thickBot="1" x14ac:dyDescent="0.3">
      <c r="A15" s="907"/>
      <c r="B15" s="866"/>
      <c r="C15" s="909"/>
      <c r="D15" s="867"/>
      <c r="E15" s="916"/>
      <c r="F15" s="918"/>
      <c r="G15" s="869"/>
      <c r="H15" s="871"/>
      <c r="I15" s="871"/>
      <c r="J15" s="871"/>
      <c r="K15" s="871"/>
      <c r="L15" s="871"/>
      <c r="M15" s="54" t="s">
        <v>9</v>
      </c>
      <c r="N15" s="54" t="s">
        <v>10</v>
      </c>
      <c r="O15" s="54" t="s">
        <v>230</v>
      </c>
      <c r="P15" s="920"/>
      <c r="Q15" s="2"/>
      <c r="R15" s="2"/>
      <c r="T15" s="441"/>
      <c r="U15" s="274"/>
      <c r="V15" s="274"/>
      <c r="AK15" s="274"/>
      <c r="AL15" s="274"/>
      <c r="AM15" s="274"/>
    </row>
    <row r="16" spans="1:39" s="226" customFormat="1" ht="15.75" x14ac:dyDescent="0.25">
      <c r="A16" s="322" t="s">
        <v>80</v>
      </c>
      <c r="B16" s="251" t="s">
        <v>315</v>
      </c>
      <c r="C16" s="295"/>
      <c r="D16" s="259"/>
      <c r="E16" s="70"/>
      <c r="F16" s="301"/>
      <c r="G16" s="260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25"/>
      <c r="AM16" s="225"/>
    </row>
    <row r="17" spans="1:39" s="573" customFormat="1" x14ac:dyDescent="0.25">
      <c r="A17" s="558"/>
      <c r="B17" s="559"/>
      <c r="C17" s="560">
        <v>1</v>
      </c>
      <c r="D17" s="561" t="s">
        <v>300</v>
      </c>
      <c r="E17" s="562">
        <v>1</v>
      </c>
      <c r="F17" s="563">
        <v>1</v>
      </c>
      <c r="G17" s="564" t="s">
        <v>301</v>
      </c>
      <c r="H17" s="565">
        <v>10000</v>
      </c>
      <c r="I17" s="565">
        <f>H17*F17</f>
        <v>10000</v>
      </c>
      <c r="J17" s="565">
        <v>10000</v>
      </c>
      <c r="K17" s="565">
        <f>J17*F17</f>
        <v>10000</v>
      </c>
      <c r="L17" s="565">
        <f>I17+K17</f>
        <v>20000</v>
      </c>
      <c r="M17" s="566">
        <f t="shared" ref="M17:M33" si="0">H17/$P$255*$P$263</f>
        <v>17664.41445379096</v>
      </c>
      <c r="N17" s="566">
        <f t="shared" ref="N17:N33" si="1">J17/$P$255*$P$263</f>
        <v>17664.41445379096</v>
      </c>
      <c r="O17" s="565">
        <f>N17+M17</f>
        <v>35328.828907581919</v>
      </c>
      <c r="P17" s="567">
        <f>O17*F17</f>
        <v>35328.828907581919</v>
      </c>
      <c r="Q17" s="568">
        <f t="shared" ref="Q17:Q80" si="2">L17/$P$255*$P$263</f>
        <v>35328.828907581919</v>
      </c>
      <c r="R17" s="569">
        <f>P17-Q17</f>
        <v>0</v>
      </c>
      <c r="S17" s="570"/>
      <c r="T17" s="569"/>
      <c r="U17" s="571"/>
      <c r="V17" s="572"/>
      <c r="AK17" s="574"/>
    </row>
    <row r="18" spans="1:39" s="226" customFormat="1" x14ac:dyDescent="0.25">
      <c r="A18" s="263"/>
      <c r="B18" s="261"/>
      <c r="C18" s="293">
        <v>2</v>
      </c>
      <c r="D18" s="259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33" si="3">H18*F18</f>
        <v>10000</v>
      </c>
      <c r="J18" s="72">
        <v>8000</v>
      </c>
      <c r="K18" s="72">
        <f t="shared" ref="K18:K33" si="4">J18*F18</f>
        <v>8000</v>
      </c>
      <c r="L18" s="72">
        <f t="shared" ref="L18:L33" si="5">I18+K18</f>
        <v>18000</v>
      </c>
      <c r="M18" s="67">
        <f t="shared" si="0"/>
        <v>17664.41445379096</v>
      </c>
      <c r="N18" s="67">
        <f t="shared" si="1"/>
        <v>14131.531563032766</v>
      </c>
      <c r="O18" s="72">
        <f t="shared" ref="O18:O33" si="6">N18+M18</f>
        <v>31795.946016823727</v>
      </c>
      <c r="P18" s="203">
        <f t="shared" ref="P18:P33" si="7">O18*F18</f>
        <v>31795.946016823727</v>
      </c>
      <c r="Q18" s="272">
        <f t="shared" si="2"/>
        <v>31795.946016823724</v>
      </c>
      <c r="R18" s="439">
        <f t="shared" ref="R18:R81" si="8">P18-Q18</f>
        <v>0</v>
      </c>
      <c r="S18" s="230"/>
      <c r="T18" s="439"/>
      <c r="U18" s="275"/>
      <c r="V18" s="276"/>
      <c r="AK18" s="279"/>
      <c r="AL18" s="225"/>
      <c r="AM18" s="225"/>
    </row>
    <row r="19" spans="1:39" s="226" customFormat="1" x14ac:dyDescent="0.25">
      <c r="A19" s="263"/>
      <c r="B19" s="261"/>
      <c r="C19" s="293">
        <v>3</v>
      </c>
      <c r="D19" s="259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3"/>
        <v>5000</v>
      </c>
      <c r="J19" s="72">
        <v>10000</v>
      </c>
      <c r="K19" s="72">
        <f t="shared" si="4"/>
        <v>10000</v>
      </c>
      <c r="L19" s="72">
        <f t="shared" si="5"/>
        <v>15000</v>
      </c>
      <c r="M19" s="67">
        <f t="shared" si="0"/>
        <v>8832.2072268954798</v>
      </c>
      <c r="N19" s="67">
        <f t="shared" si="1"/>
        <v>17664.41445379096</v>
      </c>
      <c r="O19" s="72">
        <f t="shared" si="6"/>
        <v>26496.62168068644</v>
      </c>
      <c r="P19" s="203">
        <f t="shared" si="7"/>
        <v>26496.62168068644</v>
      </c>
      <c r="Q19" s="272">
        <f t="shared" si="2"/>
        <v>26496.621680686436</v>
      </c>
      <c r="R19" s="439">
        <f t="shared" si="8"/>
        <v>0</v>
      </c>
      <c r="S19" s="230"/>
      <c r="T19" s="439"/>
      <c r="U19" s="275"/>
      <c r="V19" s="264"/>
      <c r="AK19" s="278"/>
      <c r="AL19" s="225"/>
      <c r="AM19" s="225"/>
    </row>
    <row r="20" spans="1:39" s="226" customFormat="1" x14ac:dyDescent="0.25">
      <c r="A20" s="263"/>
      <c r="B20" s="261"/>
      <c r="C20" s="293">
        <v>4</v>
      </c>
      <c r="D20" s="481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3"/>
        <v>0</v>
      </c>
      <c r="J20" s="74">
        <f>4*(24000+16000+16000)/1.05</f>
        <v>213333.33333333331</v>
      </c>
      <c r="K20" s="72">
        <f t="shared" si="4"/>
        <v>213333.33333333331</v>
      </c>
      <c r="L20" s="72">
        <f t="shared" si="5"/>
        <v>213333.33333333331</v>
      </c>
      <c r="M20" s="67">
        <f t="shared" si="0"/>
        <v>0</v>
      </c>
      <c r="N20" s="67">
        <f t="shared" si="1"/>
        <v>376840.84168087371</v>
      </c>
      <c r="O20" s="72">
        <f t="shared" si="6"/>
        <v>376840.84168087371</v>
      </c>
      <c r="P20" s="203">
        <f t="shared" si="7"/>
        <v>376840.84168087371</v>
      </c>
      <c r="Q20" s="272">
        <f t="shared" si="2"/>
        <v>376840.84168087371</v>
      </c>
      <c r="R20" s="439">
        <f t="shared" si="8"/>
        <v>0</v>
      </c>
      <c r="S20" s="230"/>
      <c r="T20" s="439"/>
      <c r="U20" s="275"/>
      <c r="V20" s="280"/>
      <c r="AK20" s="278"/>
      <c r="AL20" s="225"/>
      <c r="AM20" s="225"/>
    </row>
    <row r="21" spans="1:39" s="226" customFormat="1" x14ac:dyDescent="0.25">
      <c r="A21" s="263"/>
      <c r="B21" s="261"/>
      <c r="C21" s="293">
        <v>5</v>
      </c>
      <c r="D21" s="259" t="s">
        <v>307</v>
      </c>
      <c r="E21" s="71">
        <v>1</v>
      </c>
      <c r="F21" s="302">
        <v>1</v>
      </c>
      <c r="G21" s="262" t="s">
        <v>301</v>
      </c>
      <c r="H21" s="72">
        <f>(AR42+AR51+AR58)/1.07</f>
        <v>66771.471962616823</v>
      </c>
      <c r="I21" s="72">
        <f t="shared" si="3"/>
        <v>66771.471962616823</v>
      </c>
      <c r="J21" s="72">
        <v>2500</v>
      </c>
      <c r="K21" s="72">
        <f t="shared" si="4"/>
        <v>2500</v>
      </c>
      <c r="L21" s="72">
        <f t="shared" si="5"/>
        <v>69271.471962616823</v>
      </c>
      <c r="M21" s="67">
        <f t="shared" si="0"/>
        <v>117947.89544373463</v>
      </c>
      <c r="N21" s="67">
        <f t="shared" si="1"/>
        <v>4416.1036134477399</v>
      </c>
      <c r="O21" s="72">
        <f t="shared" si="6"/>
        <v>122363.99905718237</v>
      </c>
      <c r="P21" s="203">
        <f t="shared" si="7"/>
        <v>122363.99905718237</v>
      </c>
      <c r="Q21" s="272">
        <f t="shared" si="2"/>
        <v>122363.99905718236</v>
      </c>
      <c r="R21" s="439">
        <f t="shared" si="8"/>
        <v>0</v>
      </c>
      <c r="S21" s="230"/>
      <c r="T21" s="439"/>
      <c r="U21" s="275"/>
      <c r="V21" s="281"/>
      <c r="AK21" s="278"/>
      <c r="AL21" s="225"/>
      <c r="AM21" s="225"/>
    </row>
    <row r="22" spans="1:39" s="226" customFormat="1" x14ac:dyDescent="0.25">
      <c r="A22" s="263"/>
      <c r="B22" s="261"/>
      <c r="C22" s="293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3"/>
        <v>35000</v>
      </c>
      <c r="J22" s="72">
        <v>5000</v>
      </c>
      <c r="K22" s="72">
        <f t="shared" si="4"/>
        <v>5000</v>
      </c>
      <c r="L22" s="72">
        <f t="shared" si="5"/>
        <v>40000</v>
      </c>
      <c r="M22" s="67">
        <f t="shared" si="0"/>
        <v>61825.450588268344</v>
      </c>
      <c r="N22" s="67">
        <f t="shared" si="1"/>
        <v>8832.2072268954798</v>
      </c>
      <c r="O22" s="72">
        <f t="shared" si="6"/>
        <v>70657.657815163824</v>
      </c>
      <c r="P22" s="203">
        <f t="shared" si="7"/>
        <v>70657.657815163824</v>
      </c>
      <c r="Q22" s="272">
        <f t="shared" si="2"/>
        <v>70657.657815163839</v>
      </c>
      <c r="R22" s="439">
        <f t="shared" si="8"/>
        <v>0</v>
      </c>
      <c r="S22" s="230"/>
      <c r="T22" s="442"/>
      <c r="U22" s="275"/>
      <c r="V22" s="276"/>
      <c r="AK22" s="278"/>
      <c r="AL22" s="225"/>
      <c r="AM22" s="225"/>
    </row>
    <row r="23" spans="1:39" s="226" customFormat="1" x14ac:dyDescent="0.25">
      <c r="A23" s="263"/>
      <c r="B23" s="261"/>
      <c r="C23" s="293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3"/>
        <v>108000</v>
      </c>
      <c r="J23" s="72"/>
      <c r="K23" s="72">
        <f t="shared" si="4"/>
        <v>0</v>
      </c>
      <c r="L23" s="72">
        <f t="shared" si="5"/>
        <v>108000</v>
      </c>
      <c r="M23" s="67">
        <f t="shared" si="0"/>
        <v>190775.67610094234</v>
      </c>
      <c r="N23" s="67">
        <f t="shared" si="1"/>
        <v>0</v>
      </c>
      <c r="O23" s="72">
        <f t="shared" si="6"/>
        <v>190775.67610094234</v>
      </c>
      <c r="P23" s="203">
        <f t="shared" si="7"/>
        <v>190775.67610094234</v>
      </c>
      <c r="Q23" s="272">
        <f t="shared" si="2"/>
        <v>190775.67610094234</v>
      </c>
      <c r="R23" s="439">
        <f t="shared" si="8"/>
        <v>0</v>
      </c>
      <c r="S23" s="230"/>
      <c r="T23" s="442"/>
      <c r="U23" s="275"/>
      <c r="V23" s="276"/>
      <c r="AK23" s="278"/>
      <c r="AL23" s="225"/>
      <c r="AM23" s="225"/>
    </row>
    <row r="24" spans="1:39" s="573" customFormat="1" x14ac:dyDescent="0.25">
      <c r="A24" s="558"/>
      <c r="B24" s="559"/>
      <c r="C24" s="560">
        <v>8</v>
      </c>
      <c r="D24" s="561" t="s">
        <v>309</v>
      </c>
      <c r="E24" s="562">
        <v>1</v>
      </c>
      <c r="F24" s="563">
        <v>1</v>
      </c>
      <c r="G24" s="564" t="s">
        <v>301</v>
      </c>
      <c r="H24" s="565"/>
      <c r="I24" s="565">
        <f t="shared" si="3"/>
        <v>0</v>
      </c>
      <c r="J24" s="565"/>
      <c r="K24" s="565">
        <f t="shared" si="4"/>
        <v>0</v>
      </c>
      <c r="L24" s="565">
        <f t="shared" si="5"/>
        <v>0</v>
      </c>
      <c r="M24" s="566">
        <f t="shared" si="0"/>
        <v>0</v>
      </c>
      <c r="N24" s="566">
        <f t="shared" si="1"/>
        <v>0</v>
      </c>
      <c r="O24" s="565">
        <f t="shared" si="6"/>
        <v>0</v>
      </c>
      <c r="P24" s="575" t="s">
        <v>333</v>
      </c>
      <c r="Q24" s="568">
        <f t="shared" si="2"/>
        <v>0</v>
      </c>
      <c r="R24" s="569" t="e">
        <f t="shared" si="8"/>
        <v>#VALUE!</v>
      </c>
      <c r="S24" s="570"/>
      <c r="T24" s="576"/>
      <c r="U24" s="571"/>
      <c r="V24" s="572"/>
      <c r="AK24" s="574"/>
    </row>
    <row r="25" spans="1:39" s="226" customFormat="1" x14ac:dyDescent="0.25">
      <c r="A25" s="263"/>
      <c r="B25" s="261"/>
      <c r="C25" s="293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486">
        <f>155+47*5</f>
        <v>390</v>
      </c>
      <c r="I25" s="72">
        <f t="shared" si="3"/>
        <v>514800</v>
      </c>
      <c r="J25" s="72">
        <v>76</v>
      </c>
      <c r="K25" s="72">
        <f t="shared" si="4"/>
        <v>100320</v>
      </c>
      <c r="L25" s="72">
        <f t="shared" si="5"/>
        <v>615120</v>
      </c>
      <c r="M25" s="67">
        <f t="shared" si="0"/>
        <v>688.9121636978474</v>
      </c>
      <c r="N25" s="67">
        <f t="shared" si="1"/>
        <v>134.24954984881128</v>
      </c>
      <c r="O25" s="72">
        <f t="shared" si="6"/>
        <v>823.16171354665869</v>
      </c>
      <c r="P25" s="203">
        <f t="shared" si="7"/>
        <v>1086573.4618815894</v>
      </c>
      <c r="Q25" s="272">
        <f t="shared" si="2"/>
        <v>1086573.4618815894</v>
      </c>
      <c r="R25" s="439">
        <f t="shared" si="8"/>
        <v>0</v>
      </c>
      <c r="S25" s="230"/>
      <c r="T25" s="442"/>
      <c r="U25" s="275"/>
      <c r="V25" s="276"/>
      <c r="AK25" s="278"/>
      <c r="AL25" s="225"/>
      <c r="AM25" s="225"/>
    </row>
    <row r="26" spans="1:39" s="226" customFormat="1" x14ac:dyDescent="0.25">
      <c r="A26" s="263"/>
      <c r="B26" s="261"/>
      <c r="C26" s="293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3"/>
        <v>46601.941747572811</v>
      </c>
      <c r="J26" s="72">
        <v>4000</v>
      </c>
      <c r="K26" s="72">
        <f t="shared" si="4"/>
        <v>4000</v>
      </c>
      <c r="L26" s="72">
        <f t="shared" si="5"/>
        <v>50601.941747572811</v>
      </c>
      <c r="M26" s="67">
        <f t="shared" si="0"/>
        <v>82319.601338054941</v>
      </c>
      <c r="N26" s="67">
        <f t="shared" si="1"/>
        <v>7065.765781516383</v>
      </c>
      <c r="O26" s="72">
        <f t="shared" si="6"/>
        <v>89385.367119571325</v>
      </c>
      <c r="P26" s="203">
        <f t="shared" si="7"/>
        <v>89385.367119571325</v>
      </c>
      <c r="Q26" s="272">
        <f t="shared" si="2"/>
        <v>89385.367119571325</v>
      </c>
      <c r="R26" s="439">
        <f t="shared" si="8"/>
        <v>0</v>
      </c>
      <c r="S26" s="230"/>
      <c r="T26" s="442"/>
      <c r="U26" s="275"/>
      <c r="V26" s="276"/>
      <c r="AK26" s="278"/>
      <c r="AL26" s="225"/>
      <c r="AM26" s="225"/>
    </row>
    <row r="27" spans="1:39" s="573" customFormat="1" x14ac:dyDescent="0.25">
      <c r="A27" s="577"/>
      <c r="B27" s="578"/>
      <c r="C27" s="560">
        <v>11</v>
      </c>
      <c r="D27" s="561" t="s">
        <v>311</v>
      </c>
      <c r="E27" s="562">
        <v>1</v>
      </c>
      <c r="F27" s="563">
        <v>1</v>
      </c>
      <c r="G27" s="564" t="s">
        <v>301</v>
      </c>
      <c r="H27" s="565">
        <v>20000</v>
      </c>
      <c r="I27" s="565">
        <f t="shared" si="3"/>
        <v>20000</v>
      </c>
      <c r="J27" s="565">
        <v>5000</v>
      </c>
      <c r="K27" s="565">
        <f t="shared" si="4"/>
        <v>5000</v>
      </c>
      <c r="L27" s="565">
        <f t="shared" si="5"/>
        <v>25000</v>
      </c>
      <c r="M27" s="566">
        <f t="shared" si="0"/>
        <v>35328.828907581919</v>
      </c>
      <c r="N27" s="566">
        <f t="shared" si="1"/>
        <v>8832.2072268954798</v>
      </c>
      <c r="O27" s="565">
        <f t="shared" si="6"/>
        <v>44161.036134477399</v>
      </c>
      <c r="P27" s="567">
        <f t="shared" si="7"/>
        <v>44161.036134477399</v>
      </c>
      <c r="Q27" s="568">
        <f t="shared" si="2"/>
        <v>44161.036134477392</v>
      </c>
      <c r="R27" s="569">
        <f t="shared" si="8"/>
        <v>0</v>
      </c>
      <c r="T27" s="579"/>
      <c r="U27" s="571"/>
      <c r="V27" s="572"/>
      <c r="AK27" s="574"/>
    </row>
    <row r="28" spans="1:39" s="226" customFormat="1" x14ac:dyDescent="0.25">
      <c r="A28" s="265"/>
      <c r="B28" s="258"/>
      <c r="C28" s="293">
        <v>12</v>
      </c>
      <c r="D28" s="259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3"/>
        <v>10000</v>
      </c>
      <c r="J28" s="72">
        <v>15000</v>
      </c>
      <c r="K28" s="72">
        <f t="shared" si="4"/>
        <v>15000</v>
      </c>
      <c r="L28" s="72">
        <f t="shared" si="5"/>
        <v>25000</v>
      </c>
      <c r="M28" s="67">
        <f t="shared" si="0"/>
        <v>17664.41445379096</v>
      </c>
      <c r="N28" s="67">
        <f t="shared" si="1"/>
        <v>26496.621680686436</v>
      </c>
      <c r="O28" s="72">
        <f t="shared" si="6"/>
        <v>44161.036134477399</v>
      </c>
      <c r="P28" s="203">
        <f t="shared" si="7"/>
        <v>44161.036134477399</v>
      </c>
      <c r="Q28" s="272">
        <f t="shared" si="2"/>
        <v>44161.036134477392</v>
      </c>
      <c r="R28" s="439">
        <f t="shared" si="8"/>
        <v>0</v>
      </c>
      <c r="T28" s="224"/>
      <c r="U28" s="275"/>
      <c r="V28" s="276"/>
      <c r="AK28" s="278"/>
      <c r="AL28" s="225"/>
      <c r="AM28" s="225"/>
    </row>
    <row r="29" spans="1:39" s="226" customFormat="1" x14ac:dyDescent="0.25">
      <c r="A29" s="263"/>
      <c r="B29" s="261"/>
      <c r="C29" s="293">
        <v>13</v>
      </c>
      <c r="D29" s="481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3"/>
        <v>45000</v>
      </c>
      <c r="J29" s="72"/>
      <c r="K29" s="72">
        <f t="shared" si="4"/>
        <v>0</v>
      </c>
      <c r="L29" s="72">
        <f t="shared" si="5"/>
        <v>45000</v>
      </c>
      <c r="M29" s="67">
        <f t="shared" si="0"/>
        <v>79489.865042059304</v>
      </c>
      <c r="N29" s="67">
        <f t="shared" si="1"/>
        <v>0</v>
      </c>
      <c r="O29" s="72">
        <f t="shared" si="6"/>
        <v>79489.865042059304</v>
      </c>
      <c r="P29" s="203">
        <f t="shared" si="7"/>
        <v>79489.865042059304</v>
      </c>
      <c r="Q29" s="272">
        <f t="shared" si="2"/>
        <v>79489.865042059304</v>
      </c>
      <c r="R29" s="439">
        <f t="shared" si="8"/>
        <v>0</v>
      </c>
      <c r="S29" s="230"/>
      <c r="T29" s="439"/>
      <c r="U29" s="275"/>
      <c r="V29" s="281"/>
      <c r="AK29" s="278"/>
      <c r="AL29" s="225"/>
      <c r="AM29" s="225"/>
    </row>
    <row r="30" spans="1:39" s="226" customFormat="1" x14ac:dyDescent="0.25">
      <c r="A30" s="263"/>
      <c r="B30" s="261"/>
      <c r="C30" s="293">
        <v>14</v>
      </c>
      <c r="D30" s="481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3"/>
        <v>32380.952380952378</v>
      </c>
      <c r="J30" s="72">
        <v>2000</v>
      </c>
      <c r="K30" s="72">
        <f t="shared" si="4"/>
        <v>2000</v>
      </c>
      <c r="L30" s="72">
        <f t="shared" si="5"/>
        <v>34380.952380952382</v>
      </c>
      <c r="M30" s="67">
        <f t="shared" si="0"/>
        <v>57199.056326561185</v>
      </c>
      <c r="N30" s="67">
        <f t="shared" si="1"/>
        <v>3532.8828907581915</v>
      </c>
      <c r="O30" s="72">
        <f t="shared" si="6"/>
        <v>60731.939217319377</v>
      </c>
      <c r="P30" s="203">
        <f t="shared" si="7"/>
        <v>60731.939217319377</v>
      </c>
      <c r="Q30" s="272">
        <f t="shared" si="2"/>
        <v>60731.939217319392</v>
      </c>
      <c r="R30" s="439">
        <f t="shared" si="8"/>
        <v>0</v>
      </c>
      <c r="S30" s="230"/>
      <c r="T30" s="442"/>
      <c r="U30" s="275"/>
      <c r="V30" s="276"/>
      <c r="AK30" s="278"/>
      <c r="AL30" s="225"/>
      <c r="AM30" s="225"/>
    </row>
    <row r="31" spans="1:39" s="226" customFormat="1" x14ac:dyDescent="0.25">
      <c r="A31" s="265"/>
      <c r="B31" s="258"/>
      <c r="C31" s="293">
        <v>15</v>
      </c>
      <c r="D31" s="481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3"/>
        <v>51650.485436893199</v>
      </c>
      <c r="J31" s="483">
        <f>(4*14000/1.03+20000/1.03)*0.3</f>
        <v>22135.922330097088</v>
      </c>
      <c r="K31" s="72">
        <f t="shared" si="4"/>
        <v>22135.922330097088</v>
      </c>
      <c r="L31" s="72">
        <f t="shared" si="5"/>
        <v>73786.407766990291</v>
      </c>
      <c r="M31" s="67">
        <f t="shared" si="0"/>
        <v>91237.558149677556</v>
      </c>
      <c r="N31" s="67">
        <f t="shared" si="1"/>
        <v>39101.810635576097</v>
      </c>
      <c r="O31" s="72">
        <f t="shared" si="6"/>
        <v>130339.36878525365</v>
      </c>
      <c r="P31" s="203">
        <f t="shared" si="7"/>
        <v>130339.36878525365</v>
      </c>
      <c r="Q31" s="272">
        <f t="shared" si="2"/>
        <v>130339.36878525365</v>
      </c>
      <c r="R31" s="439">
        <f t="shared" si="8"/>
        <v>0</v>
      </c>
      <c r="T31" s="224"/>
      <c r="U31" s="275"/>
      <c r="V31" s="276"/>
      <c r="AK31" s="278"/>
      <c r="AL31" s="225"/>
      <c r="AM31" s="225"/>
    </row>
    <row r="32" spans="1:39" s="226" customFormat="1" x14ac:dyDescent="0.25">
      <c r="A32" s="265"/>
      <c r="B32" s="258"/>
      <c r="C32" s="293">
        <v>16</v>
      </c>
      <c r="D32" s="481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3"/>
        <v>15000</v>
      </c>
      <c r="J32" s="72">
        <f>1700*5</f>
        <v>8500</v>
      </c>
      <c r="K32" s="72">
        <f t="shared" si="4"/>
        <v>8500</v>
      </c>
      <c r="L32" s="72">
        <f t="shared" si="5"/>
        <v>23500</v>
      </c>
      <c r="M32" s="67">
        <f t="shared" si="0"/>
        <v>26496.621680686436</v>
      </c>
      <c r="N32" s="67">
        <f t="shared" si="1"/>
        <v>15014.752285722314</v>
      </c>
      <c r="O32" s="72">
        <f t="shared" si="6"/>
        <v>41511.373966408748</v>
      </c>
      <c r="P32" s="203">
        <f t="shared" si="7"/>
        <v>41511.373966408748</v>
      </c>
      <c r="Q32" s="272">
        <f t="shared" si="2"/>
        <v>41511.373966408748</v>
      </c>
      <c r="R32" s="439">
        <f t="shared" si="8"/>
        <v>0</v>
      </c>
      <c r="T32" s="224"/>
      <c r="U32" s="275"/>
      <c r="V32" s="276"/>
      <c r="AK32" s="278"/>
      <c r="AL32" s="225"/>
      <c r="AM32" s="225"/>
    </row>
    <row r="33" spans="1:44" s="226" customFormat="1" x14ac:dyDescent="0.25">
      <c r="A33" s="265"/>
      <c r="B33" s="258"/>
      <c r="C33" s="293">
        <v>17</v>
      </c>
      <c r="D33" s="481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3"/>
        <v>10000</v>
      </c>
      <c r="J33" s="72">
        <v>5000</v>
      </c>
      <c r="K33" s="72">
        <f t="shared" si="4"/>
        <v>5000</v>
      </c>
      <c r="L33" s="72">
        <f t="shared" si="5"/>
        <v>15000</v>
      </c>
      <c r="M33" s="67">
        <f t="shared" si="0"/>
        <v>17664.41445379096</v>
      </c>
      <c r="N33" s="67">
        <f t="shared" si="1"/>
        <v>8832.2072268954798</v>
      </c>
      <c r="O33" s="72">
        <f t="shared" si="6"/>
        <v>26496.62168068644</v>
      </c>
      <c r="P33" s="203">
        <f t="shared" si="7"/>
        <v>26496.62168068644</v>
      </c>
      <c r="Q33" s="272">
        <f t="shared" si="2"/>
        <v>26496.621680686436</v>
      </c>
      <c r="R33" s="439">
        <f t="shared" si="8"/>
        <v>0</v>
      </c>
      <c r="T33" s="224"/>
      <c r="U33" s="275"/>
      <c r="V33" s="276"/>
      <c r="AK33" s="278"/>
      <c r="AL33" s="225"/>
      <c r="AM33" s="225"/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 t="shared" si="2"/>
        <v>0</v>
      </c>
      <c r="R34" s="439">
        <f t="shared" si="8"/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980204.85152803524</v>
      </c>
      <c r="J35" s="312"/>
      <c r="K35" s="313">
        <f>SUM(K16:K34)</f>
        <v>410789.25566343038</v>
      </c>
      <c r="L35" s="313">
        <f>SUM(L16:L34)</f>
        <v>1390994.1071914658</v>
      </c>
      <c r="M35" s="312"/>
      <c r="N35" s="312"/>
      <c r="O35" s="313"/>
      <c r="P35" s="314">
        <f>SUM(P16:P34)</f>
        <v>2457109.6412210972</v>
      </c>
      <c r="Q35" s="272">
        <f t="shared" si="2"/>
        <v>2457109.6412210977</v>
      </c>
      <c r="R35" s="439">
        <f t="shared" si="8"/>
        <v>0</v>
      </c>
      <c r="T35" s="443"/>
      <c r="U35" s="275"/>
      <c r="V35" s="276"/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 t="shared" si="2"/>
        <v>0</v>
      </c>
      <c r="R36" s="439">
        <f t="shared" si="8"/>
        <v>0</v>
      </c>
      <c r="T36" s="224"/>
      <c r="U36" s="283"/>
      <c r="V36" s="284"/>
      <c r="AK36" s="127"/>
      <c r="AL36" s="288" t="s">
        <v>317</v>
      </c>
      <c r="AM36" s="227"/>
      <c r="AN36" s="228"/>
      <c r="AO36" s="228"/>
      <c r="AP36" s="232">
        <f>11500000*0.3</f>
        <v>3450000</v>
      </c>
      <c r="AQ36" s="228"/>
      <c r="AR36" s="227"/>
    </row>
    <row r="37" spans="1:44" x14ac:dyDescent="0.25">
      <c r="A37" s="237"/>
      <c r="B37" s="290" t="s">
        <v>319</v>
      </c>
      <c r="C37" s="291" t="s">
        <v>25</v>
      </c>
      <c r="D37" s="166"/>
      <c r="E37" s="239"/>
      <c r="F37" s="301"/>
      <c r="G37" s="68"/>
      <c r="H37" s="67"/>
      <c r="I37" s="67"/>
      <c r="J37" s="67"/>
      <c r="K37" s="67"/>
      <c r="L37" s="67"/>
      <c r="M37" s="69"/>
      <c r="N37" s="69"/>
      <c r="O37" s="69"/>
      <c r="P37" s="203"/>
      <c r="Q37" s="272">
        <f t="shared" si="2"/>
        <v>0</v>
      </c>
      <c r="R37" s="439"/>
      <c r="AL37" s="227" t="s">
        <v>310</v>
      </c>
      <c r="AM37" s="227"/>
      <c r="AN37" s="228"/>
      <c r="AO37" s="228"/>
      <c r="AP37" s="228"/>
      <c r="AQ37" s="228"/>
      <c r="AR37" s="229">
        <f>AP36*0.006</f>
        <v>20700</v>
      </c>
    </row>
    <row r="38" spans="1:44" x14ac:dyDescent="0.25">
      <c r="A38" s="237"/>
      <c r="B38" s="246"/>
      <c r="C38" s="293">
        <v>1</v>
      </c>
      <c r="D38" s="81" t="s">
        <v>289</v>
      </c>
      <c r="E38" s="239">
        <f>491+3.8</f>
        <v>494.8</v>
      </c>
      <c r="F38" s="301">
        <v>498</v>
      </c>
      <c r="G38" s="68" t="s">
        <v>16</v>
      </c>
      <c r="H38" s="67">
        <f>AD47</f>
        <v>845.47169811320759</v>
      </c>
      <c r="I38" s="67">
        <f>F38*H38</f>
        <v>421044.90566037741</v>
      </c>
      <c r="J38" s="74">
        <f>AF47</f>
        <v>214.6</v>
      </c>
      <c r="K38" s="67">
        <f>F38*J38</f>
        <v>106870.8</v>
      </c>
      <c r="L38" s="67">
        <f>K38+I38</f>
        <v>527915.7056603774</v>
      </c>
      <c r="M38" s="67">
        <f>H38/$P$255*$P$263</f>
        <v>1493.4762484422126</v>
      </c>
      <c r="N38" s="67">
        <f>J38/$P$255*$P$263</f>
        <v>379.07833417835394</v>
      </c>
      <c r="O38" s="72">
        <f t="shared" ref="O38:O42" si="9">N38+M38</f>
        <v>1872.5545826205666</v>
      </c>
      <c r="P38" s="203">
        <f t="shared" ref="P38:P42" si="10">O38*F38</f>
        <v>932532.18214504223</v>
      </c>
      <c r="Q38" s="272">
        <f t="shared" si="2"/>
        <v>932532.18214504234</v>
      </c>
      <c r="R38" s="439">
        <f t="shared" ref="R38:R42" si="11">P38-Q38</f>
        <v>0</v>
      </c>
      <c r="AL38" s="227" t="s">
        <v>312</v>
      </c>
      <c r="AM38" s="227"/>
      <c r="AN38" s="228"/>
      <c r="AO38" s="228"/>
      <c r="AP38" s="228"/>
      <c r="AQ38" s="228"/>
      <c r="AR38" s="229">
        <f>(AR37*0.125)+30</f>
        <v>2617.5</v>
      </c>
    </row>
    <row r="39" spans="1:44" x14ac:dyDescent="0.25">
      <c r="A39" s="238"/>
      <c r="B39" s="246"/>
      <c r="C39" s="293">
        <v>2</v>
      </c>
      <c r="D39" s="81" t="s">
        <v>270</v>
      </c>
      <c r="E39" s="239">
        <f>262</f>
        <v>262</v>
      </c>
      <c r="F39" s="301">
        <v>265</v>
      </c>
      <c r="G39" s="68" t="s">
        <v>16</v>
      </c>
      <c r="H39" s="67">
        <f>AD54</f>
        <v>775.82659478885887</v>
      </c>
      <c r="I39" s="67">
        <f>F39*H39</f>
        <v>205594.0476190476</v>
      </c>
      <c r="J39" s="74">
        <v>75</v>
      </c>
      <c r="K39" s="67">
        <f t="shared" ref="K39:K45" si="12">F39*J39</f>
        <v>19875</v>
      </c>
      <c r="L39" s="67">
        <f t="shared" ref="L39:L45" si="13">K39+I39</f>
        <v>225469.0476190476</v>
      </c>
      <c r="M39" s="67">
        <f>H39/$P$255*$P$263</f>
        <v>1370.4522514623739</v>
      </c>
      <c r="N39" s="67">
        <f>J39/$P$255*$P$263</f>
        <v>132.4831084034322</v>
      </c>
      <c r="O39" s="72">
        <f t="shared" si="9"/>
        <v>1502.935359865806</v>
      </c>
      <c r="P39" s="203">
        <f t="shared" si="10"/>
        <v>398277.87036443863</v>
      </c>
      <c r="Q39" s="272">
        <f t="shared" si="2"/>
        <v>398277.87036443863</v>
      </c>
      <c r="R39" s="439">
        <f t="shared" si="11"/>
        <v>0</v>
      </c>
      <c r="AB39" s="18">
        <f>1/3</f>
        <v>0.33333333333333331</v>
      </c>
      <c r="AL39" s="227" t="s">
        <v>314</v>
      </c>
      <c r="AM39" s="227"/>
      <c r="AN39" s="228"/>
      <c r="AO39" s="228"/>
      <c r="AP39" s="228"/>
      <c r="AQ39" s="228"/>
      <c r="AR39" s="229">
        <f>AR37*0.12</f>
        <v>2484</v>
      </c>
    </row>
    <row r="40" spans="1:44" x14ac:dyDescent="0.25">
      <c r="A40" s="238"/>
      <c r="B40" s="246"/>
      <c r="C40" s="293">
        <v>3</v>
      </c>
      <c r="D40" s="81" t="s">
        <v>290</v>
      </c>
      <c r="E40" s="239">
        <f>23.6</f>
        <v>23.6</v>
      </c>
      <c r="F40" s="301">
        <v>26</v>
      </c>
      <c r="G40" s="68" t="s">
        <v>16</v>
      </c>
      <c r="H40" s="67">
        <f>AD63</f>
        <v>799.43396226415098</v>
      </c>
      <c r="I40" s="67">
        <f t="shared" ref="I40:I45" si="14">F40*H40</f>
        <v>20785.283018867925</v>
      </c>
      <c r="J40" s="74">
        <f>AF63</f>
        <v>216</v>
      </c>
      <c r="K40" s="67">
        <f t="shared" si="12"/>
        <v>5616</v>
      </c>
      <c r="L40" s="67">
        <f t="shared" si="13"/>
        <v>26401.283018867925</v>
      </c>
      <c r="M40" s="67">
        <f>H40/$P$255*$P$263</f>
        <v>1412.1532837870243</v>
      </c>
      <c r="N40" s="67">
        <f>J40/$P$255*$P$263</f>
        <v>381.55135220188464</v>
      </c>
      <c r="O40" s="72">
        <f t="shared" si="9"/>
        <v>1793.7046359889089</v>
      </c>
      <c r="P40" s="203">
        <f t="shared" si="10"/>
        <v>46636.320535711631</v>
      </c>
      <c r="Q40" s="272">
        <f t="shared" si="2"/>
        <v>46636.320535711639</v>
      </c>
      <c r="R40" s="439">
        <f t="shared" si="11"/>
        <v>0</v>
      </c>
      <c r="AL40" s="227" t="s">
        <v>299</v>
      </c>
      <c r="AM40" s="227"/>
      <c r="AN40" s="228"/>
      <c r="AO40" s="228"/>
      <c r="AP40" s="228"/>
      <c r="AQ40" s="228"/>
      <c r="AR40" s="229">
        <f>AR37*0.002</f>
        <v>41.4</v>
      </c>
    </row>
    <row r="41" spans="1:44" x14ac:dyDescent="0.25">
      <c r="A41" s="238"/>
      <c r="B41" s="246"/>
      <c r="C41" s="293">
        <v>4</v>
      </c>
      <c r="D41" s="81" t="s">
        <v>241</v>
      </c>
      <c r="E41" s="239">
        <v>12</v>
      </c>
      <c r="F41" s="301">
        <v>14</v>
      </c>
      <c r="G41" s="68" t="s">
        <v>16</v>
      </c>
      <c r="H41" s="67">
        <f>AG154</f>
        <v>1281.3207547169811</v>
      </c>
      <c r="I41" s="67">
        <f>F41*H41</f>
        <v>17938.490566037737</v>
      </c>
      <c r="J41" s="74">
        <f>AI154</f>
        <v>214.5</v>
      </c>
      <c r="K41" s="67">
        <f t="shared" si="12"/>
        <v>3003</v>
      </c>
      <c r="L41" s="67">
        <f t="shared" si="13"/>
        <v>20941.490566037737</v>
      </c>
      <c r="M41" s="67">
        <f>H41/$P$255*$P$263</f>
        <v>2263.3780859564981</v>
      </c>
      <c r="N41" s="67">
        <f>J41/$P$255*$P$263</f>
        <v>378.90169003381601</v>
      </c>
      <c r="O41" s="72">
        <f t="shared" si="9"/>
        <v>2642.2797759903142</v>
      </c>
      <c r="P41" s="203">
        <f t="shared" si="10"/>
        <v>36991.916863864397</v>
      </c>
      <c r="Q41" s="272">
        <f t="shared" si="2"/>
        <v>36991.916863864397</v>
      </c>
      <c r="R41" s="439">
        <f t="shared" si="11"/>
        <v>0</v>
      </c>
      <c r="AL41" s="227" t="s">
        <v>302</v>
      </c>
      <c r="AM41" s="227"/>
      <c r="AN41" s="228"/>
      <c r="AO41" s="228"/>
      <c r="AP41" s="228"/>
      <c r="AQ41" s="228"/>
      <c r="AR41" s="229">
        <v>200</v>
      </c>
    </row>
    <row r="42" spans="1:44" x14ac:dyDescent="0.25">
      <c r="A42" s="238"/>
      <c r="B42" s="246"/>
      <c r="C42" s="293">
        <v>5</v>
      </c>
      <c r="D42" s="81" t="s">
        <v>242</v>
      </c>
      <c r="E42" s="239">
        <v>28.5</v>
      </c>
      <c r="F42" s="301">
        <v>31</v>
      </c>
      <c r="G42" s="68" t="s">
        <v>16</v>
      </c>
      <c r="H42" s="67">
        <f>AG161</f>
        <v>1293.5849056603774</v>
      </c>
      <c r="I42" s="67">
        <f t="shared" si="14"/>
        <v>40101.132075471702</v>
      </c>
      <c r="J42" s="74">
        <f>AI161</f>
        <v>215.1</v>
      </c>
      <c r="K42" s="67">
        <f t="shared" si="12"/>
        <v>6668.0999999999995</v>
      </c>
      <c r="L42" s="67">
        <f t="shared" si="13"/>
        <v>46769.2320754717</v>
      </c>
      <c r="M42" s="67">
        <f>H42/$P$255*$P$263</f>
        <v>2285.0419904752985</v>
      </c>
      <c r="N42" s="67">
        <f>J42/$P$255*$P$263</f>
        <v>379.96155490104348</v>
      </c>
      <c r="O42" s="72">
        <f t="shared" si="9"/>
        <v>2665.0035453763421</v>
      </c>
      <c r="P42" s="203">
        <f t="shared" si="10"/>
        <v>82615.109906666607</v>
      </c>
      <c r="Q42" s="272">
        <f t="shared" si="2"/>
        <v>82615.109906666592</v>
      </c>
      <c r="R42" s="439">
        <f t="shared" si="11"/>
        <v>0</v>
      </c>
      <c r="W42" s="904" t="s">
        <v>291</v>
      </c>
      <c r="X42" s="904"/>
      <c r="Y42" s="904"/>
      <c r="Z42" s="546" t="s">
        <v>243</v>
      </c>
      <c r="AA42" s="546" t="s">
        <v>244</v>
      </c>
      <c r="AB42" s="546" t="s">
        <v>245</v>
      </c>
      <c r="AC42" s="123" t="s">
        <v>246</v>
      </c>
      <c r="AD42" s="196" t="s">
        <v>247</v>
      </c>
      <c r="AE42" s="546" t="s">
        <v>248</v>
      </c>
      <c r="AF42" s="212" t="s">
        <v>249</v>
      </c>
      <c r="AL42" s="227" t="s">
        <v>304</v>
      </c>
      <c r="AM42" s="227"/>
      <c r="AN42" s="228"/>
      <c r="AO42" s="228"/>
      <c r="AP42" s="228"/>
      <c r="AQ42" s="228"/>
      <c r="AR42" s="231">
        <f>SUM(AR37:AR41)</f>
        <v>26042.9</v>
      </c>
    </row>
    <row r="43" spans="1:44" x14ac:dyDescent="0.25">
      <c r="A43" s="238"/>
      <c r="B43" s="246"/>
      <c r="C43" s="293">
        <v>6</v>
      </c>
      <c r="D43" s="81" t="s">
        <v>44</v>
      </c>
      <c r="E43" s="239">
        <v>45.86</v>
      </c>
      <c r="F43" s="301">
        <v>48</v>
      </c>
      <c r="G43" s="68" t="s">
        <v>16</v>
      </c>
      <c r="H43" s="67"/>
      <c r="I43" s="67">
        <f t="shared" si="14"/>
        <v>0</v>
      </c>
      <c r="J43" s="74"/>
      <c r="K43" s="67">
        <f t="shared" si="12"/>
        <v>0</v>
      </c>
      <c r="L43" s="67">
        <f t="shared" si="13"/>
        <v>0</v>
      </c>
      <c r="M43" s="67">
        <f>H43/$P$255*$P$264</f>
        <v>0</v>
      </c>
      <c r="N43" s="67">
        <f>J43/$P$255*$P$264</f>
        <v>0</v>
      </c>
      <c r="O43" s="72">
        <f>N43*F43</f>
        <v>0</v>
      </c>
      <c r="P43" s="221" t="s">
        <v>296</v>
      </c>
      <c r="Q43" s="272">
        <f t="shared" si="2"/>
        <v>0</v>
      </c>
      <c r="R43" s="439" t="e">
        <f t="shared" si="8"/>
        <v>#VALUE!</v>
      </c>
      <c r="W43" s="878" t="s">
        <v>250</v>
      </c>
      <c r="X43" s="878"/>
      <c r="Y43" s="878"/>
      <c r="Z43" s="124" t="s">
        <v>251</v>
      </c>
      <c r="AA43" s="545">
        <v>2.77</v>
      </c>
      <c r="AB43" s="545">
        <v>2.9</v>
      </c>
      <c r="AC43" s="123">
        <f>280/1.06</f>
        <v>264.15094339622641</v>
      </c>
      <c r="AD43" s="196">
        <f>AC43*AB43</f>
        <v>766.03773584905662</v>
      </c>
      <c r="AE43" s="545">
        <v>74</v>
      </c>
      <c r="AF43" s="219">
        <f>AE43*AB43</f>
        <v>214.6</v>
      </c>
      <c r="AL43" s="227" t="s">
        <v>306</v>
      </c>
      <c r="AM43" s="227"/>
      <c r="AN43" s="228"/>
      <c r="AO43" s="228"/>
      <c r="AP43" s="228"/>
      <c r="AQ43" s="228"/>
      <c r="AR43" s="229"/>
    </row>
    <row r="44" spans="1:44" x14ac:dyDescent="0.25">
      <c r="A44" s="238"/>
      <c r="B44" s="246"/>
      <c r="C44" s="293">
        <v>7</v>
      </c>
      <c r="D44" s="83" t="s">
        <v>162</v>
      </c>
      <c r="E44" s="239">
        <v>238.71</v>
      </c>
      <c r="F44" s="301">
        <v>242</v>
      </c>
      <c r="G44" s="68" t="s">
        <v>16</v>
      </c>
      <c r="H44" s="67">
        <f>AG168</f>
        <v>1060.7423734791041</v>
      </c>
      <c r="I44" s="67">
        <f t="shared" si="14"/>
        <v>256699.6543819432</v>
      </c>
      <c r="J44" s="74">
        <f>AI168</f>
        <v>215.10000000000002</v>
      </c>
      <c r="K44" s="67">
        <f t="shared" si="12"/>
        <v>52054.200000000004</v>
      </c>
      <c r="L44" s="67">
        <f t="shared" si="13"/>
        <v>308753.85438194318</v>
      </c>
      <c r="M44" s="67">
        <f>H44/$P$255*$P$263</f>
        <v>1873.7392913832814</v>
      </c>
      <c r="N44" s="67">
        <f>J44/$P$255*$P$263</f>
        <v>379.96155490104354</v>
      </c>
      <c r="O44" s="72">
        <f t="shared" ref="O44" si="15">N44+M44</f>
        <v>2253.7008462843251</v>
      </c>
      <c r="P44" s="203">
        <f t="shared" ref="P44" si="16">O44*F44</f>
        <v>545395.60480080661</v>
      </c>
      <c r="Q44" s="272">
        <f t="shared" si="2"/>
        <v>545395.6048008065</v>
      </c>
      <c r="R44" s="439">
        <f t="shared" si="8"/>
        <v>0</v>
      </c>
      <c r="W44" s="878" t="s">
        <v>252</v>
      </c>
      <c r="X44" s="878"/>
      <c r="Y44" s="878"/>
      <c r="Z44" s="124" t="s">
        <v>253</v>
      </c>
      <c r="AA44" s="545">
        <v>0.25</v>
      </c>
      <c r="AB44" s="545">
        <v>0.25</v>
      </c>
      <c r="AC44" s="123">
        <f>AF158</f>
        <v>268.8679245283019</v>
      </c>
      <c r="AD44" s="196">
        <f>AC44*AB44</f>
        <v>67.216981132075475</v>
      </c>
      <c r="AE44" s="545"/>
      <c r="AF44" s="219">
        <f>AE44*AB44</f>
        <v>0</v>
      </c>
      <c r="AL44" s="227"/>
      <c r="AM44" s="227"/>
      <c r="AN44" s="228"/>
      <c r="AO44" s="228"/>
      <c r="AP44" s="228"/>
      <c r="AQ44" s="228"/>
      <c r="AR44" s="229"/>
    </row>
    <row r="45" spans="1:44" ht="15.75" x14ac:dyDescent="0.25">
      <c r="A45" s="238"/>
      <c r="B45" s="247"/>
      <c r="C45" s="293">
        <v>8</v>
      </c>
      <c r="D45" s="175" t="s">
        <v>287</v>
      </c>
      <c r="E45" s="240">
        <f>96.84+64.56+11.89</f>
        <v>173.29000000000002</v>
      </c>
      <c r="F45" s="177">
        <v>0</v>
      </c>
      <c r="G45" s="178" t="s">
        <v>16</v>
      </c>
      <c r="H45" s="191"/>
      <c r="I45" s="191">
        <f t="shared" si="14"/>
        <v>0</v>
      </c>
      <c r="J45" s="192"/>
      <c r="K45" s="191">
        <f t="shared" si="12"/>
        <v>0</v>
      </c>
      <c r="L45" s="191">
        <f t="shared" si="13"/>
        <v>0</v>
      </c>
      <c r="M45" s="67">
        <f>H45/$P$255*$P$263</f>
        <v>0</v>
      </c>
      <c r="N45" s="67">
        <f>J45/$P$255*$P$263</f>
        <v>0</v>
      </c>
      <c r="O45" s="192">
        <f>N45*F45</f>
        <v>0</v>
      </c>
      <c r="P45" s="204" t="s">
        <v>288</v>
      </c>
      <c r="Q45" s="272">
        <f t="shared" si="2"/>
        <v>0</v>
      </c>
      <c r="R45" s="439" t="e">
        <f t="shared" si="8"/>
        <v>#VALUE!</v>
      </c>
      <c r="W45" s="878" t="s">
        <v>254</v>
      </c>
      <c r="X45" s="878"/>
      <c r="Y45" s="878"/>
      <c r="Z45" s="124" t="s">
        <v>255</v>
      </c>
      <c r="AA45" s="545">
        <v>0.25</v>
      </c>
      <c r="AB45" s="545">
        <v>0.35</v>
      </c>
      <c r="AC45" s="123">
        <f>37/1.06</f>
        <v>34.905660377358487</v>
      </c>
      <c r="AD45" s="196">
        <f>AC45*AB45</f>
        <v>12.216981132075469</v>
      </c>
      <c r="AE45" s="545"/>
      <c r="AF45" s="219">
        <f>AE45*AB45</f>
        <v>0</v>
      </c>
      <c r="AL45" s="233" t="s">
        <v>308</v>
      </c>
      <c r="AM45" s="227"/>
      <c r="AN45" s="228"/>
      <c r="AO45" s="228"/>
      <c r="AP45" s="232">
        <f>11500000*0.3</f>
        <v>3450000</v>
      </c>
      <c r="AQ45" s="228"/>
      <c r="AR45" s="229"/>
    </row>
    <row r="46" spans="1:44" x14ac:dyDescent="0.25">
      <c r="A46" s="238"/>
      <c r="B46" s="246"/>
      <c r="C46" s="293"/>
      <c r="D46" s="81"/>
      <c r="E46" s="239"/>
      <c r="F46" s="301"/>
      <c r="G46" s="67"/>
      <c r="H46" s="67"/>
      <c r="I46" s="67"/>
      <c r="J46" s="74"/>
      <c r="K46" s="67"/>
      <c r="L46" s="67"/>
      <c r="M46" s="72"/>
      <c r="N46" s="72"/>
      <c r="O46" s="74"/>
      <c r="P46" s="100"/>
      <c r="Q46" s="272">
        <f t="shared" si="2"/>
        <v>0</v>
      </c>
      <c r="R46" s="439">
        <f t="shared" si="8"/>
        <v>0</v>
      </c>
      <c r="V46" s="273"/>
      <c r="W46" s="878" t="s">
        <v>256</v>
      </c>
      <c r="X46" s="878"/>
      <c r="Y46" s="878"/>
      <c r="Z46" s="124" t="s">
        <v>257</v>
      </c>
      <c r="AA46" s="545">
        <v>1</v>
      </c>
      <c r="AB46" s="545">
        <v>1</v>
      </c>
      <c r="AC46" s="123">
        <v>0</v>
      </c>
      <c r="AD46" s="196">
        <f>AC46*AB46</f>
        <v>0</v>
      </c>
      <c r="AE46" s="545">
        <v>0</v>
      </c>
      <c r="AF46" s="219">
        <f>AE46*AB46</f>
        <v>0</v>
      </c>
      <c r="AL46" s="227" t="s">
        <v>310</v>
      </c>
      <c r="AM46" s="227"/>
      <c r="AN46" s="228"/>
      <c r="AO46" s="228"/>
      <c r="AP46" s="228"/>
      <c r="AQ46" s="228"/>
      <c r="AR46" s="229">
        <f>AP45*0.0055</f>
        <v>18975</v>
      </c>
    </row>
    <row r="47" spans="1:44" x14ac:dyDescent="0.25">
      <c r="A47" s="237"/>
      <c r="B47" s="290" t="s">
        <v>320</v>
      </c>
      <c r="C47" s="291" t="s">
        <v>83</v>
      </c>
      <c r="D47" s="166"/>
      <c r="E47" s="239"/>
      <c r="F47" s="301"/>
      <c r="G47" s="68"/>
      <c r="H47" s="67"/>
      <c r="I47" s="67"/>
      <c r="J47" s="74"/>
      <c r="K47" s="67"/>
      <c r="L47" s="67"/>
      <c r="M47" s="69"/>
      <c r="N47" s="69"/>
      <c r="O47" s="69"/>
      <c r="P47" s="203"/>
      <c r="Q47" s="272">
        <f t="shared" si="2"/>
        <v>0</v>
      </c>
      <c r="R47" s="439"/>
      <c r="V47" s="273"/>
      <c r="W47" s="126"/>
      <c r="X47" s="126"/>
      <c r="Y47" s="126"/>
      <c r="Z47" s="126"/>
      <c r="AA47" s="545"/>
      <c r="AB47" s="545"/>
      <c r="AC47" s="123"/>
      <c r="AD47" s="212">
        <f>SUM(AD43:AD46)</f>
        <v>845.47169811320759</v>
      </c>
      <c r="AE47" s="546"/>
      <c r="AF47" s="212">
        <f>SUM(AF43:AF46)</f>
        <v>214.6</v>
      </c>
      <c r="AL47" s="227" t="s">
        <v>312</v>
      </c>
      <c r="AM47" s="227"/>
      <c r="AN47" s="228"/>
      <c r="AO47" s="228"/>
      <c r="AP47" s="228"/>
      <c r="AQ47" s="228"/>
      <c r="AR47" s="229">
        <f>(AR46*0.125)+30</f>
        <v>2401.875</v>
      </c>
    </row>
    <row r="48" spans="1:44" x14ac:dyDescent="0.25">
      <c r="A48" s="237"/>
      <c r="B48" s="246"/>
      <c r="C48" s="293">
        <v>1</v>
      </c>
      <c r="D48" s="81" t="s">
        <v>84</v>
      </c>
      <c r="E48" s="239">
        <v>16.22</v>
      </c>
      <c r="F48" s="301">
        <v>18</v>
      </c>
      <c r="G48" s="73" t="s">
        <v>101</v>
      </c>
      <c r="H48" s="67">
        <f>AG176</f>
        <v>1177.3113207547169</v>
      </c>
      <c r="I48" s="67">
        <f>F48*H48</f>
        <v>21191.603773584906</v>
      </c>
      <c r="J48" s="74">
        <f>AI176</f>
        <v>215.1</v>
      </c>
      <c r="K48" s="67">
        <f>F48*J48</f>
        <v>3871.7999999999997</v>
      </c>
      <c r="L48" s="67">
        <f>K48+I48</f>
        <v>25063.403773584905</v>
      </c>
      <c r="M48" s="67">
        <f>H48/$P$255*$P$263</f>
        <v>2079.6515110951345</v>
      </c>
      <c r="N48" s="67">
        <f>J48/$P$255*$P$263</f>
        <v>379.96155490104348</v>
      </c>
      <c r="O48" s="72">
        <f t="shared" ref="O48:O51" si="17">N48+M48</f>
        <v>2459.6130659961782</v>
      </c>
      <c r="P48" s="203">
        <f t="shared" ref="P48:P51" si="18">O48*F48</f>
        <v>44273.035187931207</v>
      </c>
      <c r="Q48" s="272">
        <f t="shared" si="2"/>
        <v>44273.0351879312</v>
      </c>
      <c r="R48" s="439">
        <f t="shared" ref="R48:R51" si="19">P48-Q48</f>
        <v>0</v>
      </c>
      <c r="V48" s="273"/>
      <c r="AL48" s="227" t="s">
        <v>314</v>
      </c>
      <c r="AM48" s="227"/>
      <c r="AN48" s="228"/>
      <c r="AO48" s="228"/>
      <c r="AP48" s="228"/>
      <c r="AQ48" s="228"/>
      <c r="AR48" s="229">
        <f>AR46*0.12</f>
        <v>2277</v>
      </c>
    </row>
    <row r="49" spans="1:44" x14ac:dyDescent="0.25">
      <c r="A49" s="237"/>
      <c r="B49" s="246"/>
      <c r="C49" s="293">
        <v>2</v>
      </c>
      <c r="D49" s="81" t="s">
        <v>85</v>
      </c>
      <c r="E49" s="239">
        <v>44.33</v>
      </c>
      <c r="F49" s="301">
        <v>46</v>
      </c>
      <c r="G49" s="73" t="s">
        <v>101</v>
      </c>
      <c r="H49" s="67">
        <f>AG184</f>
        <v>1287.6886792452831</v>
      </c>
      <c r="I49" s="67">
        <f t="shared" ref="I49:I51" si="20">F49*H49</f>
        <v>59233.67924528302</v>
      </c>
      <c r="J49" s="74">
        <f>AI184</f>
        <v>215.1</v>
      </c>
      <c r="K49" s="67">
        <f t="shared" ref="K49:K51" si="21">F49*J49</f>
        <v>9894.6</v>
      </c>
      <c r="L49" s="67">
        <f t="shared" ref="L49:L51" si="22">K49+I49</f>
        <v>69128.279245283018</v>
      </c>
      <c r="M49" s="67">
        <f>H49/$P$255*$P$263</f>
        <v>2274.6266517643367</v>
      </c>
      <c r="N49" s="67">
        <f>J49/$P$255*$P$263</f>
        <v>379.96155490104348</v>
      </c>
      <c r="O49" s="72">
        <f t="shared" si="17"/>
        <v>2654.5882066653803</v>
      </c>
      <c r="P49" s="203">
        <f t="shared" si="18"/>
        <v>122111.0575066075</v>
      </c>
      <c r="Q49" s="272">
        <f t="shared" si="2"/>
        <v>122111.05750660748</v>
      </c>
      <c r="R49" s="439">
        <f t="shared" si="19"/>
        <v>0</v>
      </c>
      <c r="AL49" s="227" t="s">
        <v>299</v>
      </c>
      <c r="AM49" s="227"/>
      <c r="AN49" s="228"/>
      <c r="AO49" s="228"/>
      <c r="AP49" s="228"/>
      <c r="AQ49" s="228"/>
      <c r="AR49" s="229">
        <f>AR46*0.002</f>
        <v>37.950000000000003</v>
      </c>
    </row>
    <row r="50" spans="1:44" s="585" customFormat="1" x14ac:dyDescent="0.25">
      <c r="A50" s="580"/>
      <c r="B50" s="581"/>
      <c r="C50" s="560">
        <v>3</v>
      </c>
      <c r="D50" s="582" t="s">
        <v>490</v>
      </c>
      <c r="E50" s="583">
        <f>1350+85</f>
        <v>1435</v>
      </c>
      <c r="F50" s="563">
        <v>1450</v>
      </c>
      <c r="G50" s="584" t="s">
        <v>101</v>
      </c>
      <c r="H50" s="566">
        <v>165</v>
      </c>
      <c r="I50" s="566">
        <f t="shared" si="20"/>
        <v>239250</v>
      </c>
      <c r="J50" s="566">
        <v>165</v>
      </c>
      <c r="K50" s="566">
        <f t="shared" si="21"/>
        <v>239250</v>
      </c>
      <c r="L50" s="566">
        <f t="shared" si="22"/>
        <v>478500</v>
      </c>
      <c r="M50" s="566">
        <f>H50/$P$255*$P$263</f>
        <v>291.46283848755081</v>
      </c>
      <c r="N50" s="566">
        <f>J50/$P$255*$P$263</f>
        <v>291.46283848755081</v>
      </c>
      <c r="O50" s="565">
        <f t="shared" si="17"/>
        <v>582.92567697510162</v>
      </c>
      <c r="P50" s="567">
        <f t="shared" si="18"/>
        <v>845242.23161389737</v>
      </c>
      <c r="Q50" s="568">
        <f t="shared" si="2"/>
        <v>845242.23161389725</v>
      </c>
      <c r="R50" s="569">
        <f t="shared" si="19"/>
        <v>0</v>
      </c>
      <c r="T50" s="579"/>
      <c r="W50" s="925" t="s">
        <v>292</v>
      </c>
      <c r="X50" s="925"/>
      <c r="Y50" s="925"/>
      <c r="Z50" s="586" t="s">
        <v>243</v>
      </c>
      <c r="AA50" s="586" t="s">
        <v>244</v>
      </c>
      <c r="AB50" s="586" t="s">
        <v>245</v>
      </c>
      <c r="AC50" s="587" t="s">
        <v>246</v>
      </c>
      <c r="AD50" s="588" t="s">
        <v>247</v>
      </c>
      <c r="AE50" s="586" t="s">
        <v>248</v>
      </c>
      <c r="AF50" s="589" t="s">
        <v>249</v>
      </c>
      <c r="AL50" s="590" t="s">
        <v>302</v>
      </c>
      <c r="AM50" s="590"/>
      <c r="AN50" s="591"/>
      <c r="AO50" s="591"/>
      <c r="AP50" s="591"/>
      <c r="AQ50" s="591"/>
      <c r="AR50" s="592">
        <v>200</v>
      </c>
    </row>
    <row r="51" spans="1:44" s="585" customFormat="1" x14ac:dyDescent="0.25">
      <c r="A51" s="580"/>
      <c r="B51" s="581"/>
      <c r="C51" s="560">
        <v>4</v>
      </c>
      <c r="D51" s="582" t="s">
        <v>491</v>
      </c>
      <c r="E51" s="583">
        <f>685+46</f>
        <v>731</v>
      </c>
      <c r="F51" s="563">
        <v>744</v>
      </c>
      <c r="G51" s="584" t="s">
        <v>101</v>
      </c>
      <c r="H51" s="566">
        <v>180</v>
      </c>
      <c r="I51" s="566">
        <f t="shared" si="20"/>
        <v>133920</v>
      </c>
      <c r="J51" s="566">
        <v>190</v>
      </c>
      <c r="K51" s="566">
        <f t="shared" si="21"/>
        <v>141360</v>
      </c>
      <c r="L51" s="566">
        <f t="shared" si="22"/>
        <v>275280</v>
      </c>
      <c r="M51" s="566">
        <f>H51/$P$255*$P$263</f>
        <v>317.95946016823723</v>
      </c>
      <c r="N51" s="566">
        <f>J51/$P$255*$P$263</f>
        <v>335.62387462202821</v>
      </c>
      <c r="O51" s="565">
        <f t="shared" si="17"/>
        <v>653.58333479026544</v>
      </c>
      <c r="P51" s="567">
        <f t="shared" si="18"/>
        <v>486266.0010839575</v>
      </c>
      <c r="Q51" s="568">
        <f t="shared" si="2"/>
        <v>486266.00108395744</v>
      </c>
      <c r="R51" s="569">
        <f t="shared" si="19"/>
        <v>0</v>
      </c>
      <c r="T51" s="579"/>
      <c r="W51" s="926" t="s">
        <v>260</v>
      </c>
      <c r="X51" s="926"/>
      <c r="Y51" s="926"/>
      <c r="Z51" s="593" t="s">
        <v>251</v>
      </c>
      <c r="AA51" s="594">
        <v>4.93</v>
      </c>
      <c r="AB51" s="594">
        <v>5.15</v>
      </c>
      <c r="AC51" s="587">
        <f>154/1.06</f>
        <v>145.28301886792451</v>
      </c>
      <c r="AD51" s="588">
        <f>AC51*AB51</f>
        <v>748.20754716981128</v>
      </c>
      <c r="AE51" s="594">
        <v>18</v>
      </c>
      <c r="AF51" s="595">
        <f>AE51*AB51</f>
        <v>92.7</v>
      </c>
      <c r="AL51" s="590" t="s">
        <v>304</v>
      </c>
      <c r="AM51" s="590"/>
      <c r="AN51" s="591"/>
      <c r="AO51" s="591"/>
      <c r="AP51" s="591"/>
      <c r="AQ51" s="591"/>
      <c r="AR51" s="596">
        <f>SUM(AR45:AR50)</f>
        <v>23891.825000000001</v>
      </c>
    </row>
    <row r="52" spans="1:44" x14ac:dyDescent="0.25">
      <c r="A52" s="237"/>
      <c r="B52" s="246"/>
      <c r="C52" s="293">
        <v>5</v>
      </c>
      <c r="D52" s="81" t="s">
        <v>334</v>
      </c>
      <c r="E52" s="307" t="s">
        <v>39</v>
      </c>
      <c r="F52" s="301">
        <v>0</v>
      </c>
      <c r="G52" s="73"/>
      <c r="H52" s="67"/>
      <c r="I52" s="67"/>
      <c r="J52" s="67"/>
      <c r="K52" s="67"/>
      <c r="L52" s="67"/>
      <c r="M52" s="69"/>
      <c r="N52" s="69"/>
      <c r="O52" s="69"/>
      <c r="P52" s="438" t="s">
        <v>288</v>
      </c>
      <c r="Q52" s="272">
        <f t="shared" si="2"/>
        <v>0</v>
      </c>
      <c r="R52" s="439" t="e">
        <f t="shared" si="8"/>
        <v>#VALUE!</v>
      </c>
      <c r="W52" s="878" t="s">
        <v>261</v>
      </c>
      <c r="X52" s="878"/>
      <c r="Y52" s="878"/>
      <c r="Z52" s="124" t="s">
        <v>262</v>
      </c>
      <c r="AA52" s="545">
        <v>4.9299999999999997E-2</v>
      </c>
      <c r="AB52" s="545">
        <v>0.05</v>
      </c>
      <c r="AC52" s="123">
        <f>580/1.05</f>
        <v>552.38095238095241</v>
      </c>
      <c r="AD52" s="196">
        <f>AC52*AB52</f>
        <v>27.61904761904762</v>
      </c>
      <c r="AE52" s="545"/>
      <c r="AF52" s="219">
        <f>AE52*AB52</f>
        <v>0</v>
      </c>
      <c r="AL52" s="227"/>
      <c r="AM52" s="227"/>
      <c r="AN52" s="228"/>
      <c r="AO52" s="228"/>
      <c r="AP52" s="228"/>
      <c r="AQ52" s="228"/>
      <c r="AR52" s="229"/>
    </row>
    <row r="53" spans="1:44" ht="15.75" x14ac:dyDescent="0.25">
      <c r="A53" s="237"/>
      <c r="B53" s="246"/>
      <c r="C53" s="293"/>
      <c r="D53" s="79"/>
      <c r="E53" s="239"/>
      <c r="F53" s="301"/>
      <c r="G53" s="68"/>
      <c r="H53" s="67"/>
      <c r="I53" s="67"/>
      <c r="J53" s="67"/>
      <c r="K53" s="67"/>
      <c r="L53" s="67"/>
      <c r="M53" s="69"/>
      <c r="N53" s="69"/>
      <c r="O53" s="69"/>
      <c r="P53" s="203"/>
      <c r="Q53" s="272">
        <f t="shared" si="2"/>
        <v>0</v>
      </c>
      <c r="R53" s="439">
        <f t="shared" si="8"/>
        <v>0</v>
      </c>
      <c r="W53" s="878" t="str">
        <f>W61</f>
        <v>mortar (topping) included @ other item</v>
      </c>
      <c r="X53" s="878"/>
      <c r="Y53" s="878"/>
      <c r="Z53" s="124" t="s">
        <v>257</v>
      </c>
      <c r="AA53" s="545">
        <v>1</v>
      </c>
      <c r="AB53" s="545">
        <v>1</v>
      </c>
      <c r="AC53" s="123">
        <f>AC62</f>
        <v>0</v>
      </c>
      <c r="AD53" s="196">
        <f>AC53*AB53</f>
        <v>0</v>
      </c>
      <c r="AE53" s="545">
        <f>AE46</f>
        <v>0</v>
      </c>
      <c r="AF53" s="219">
        <f>AE53*AB53</f>
        <v>0</v>
      </c>
      <c r="AL53" s="288" t="s">
        <v>318</v>
      </c>
      <c r="AM53" s="227"/>
      <c r="AN53" s="228"/>
      <c r="AO53" s="228"/>
      <c r="AP53" s="232">
        <f>11500000</f>
        <v>11500000</v>
      </c>
      <c r="AQ53" s="228"/>
      <c r="AR53" s="229"/>
    </row>
    <row r="54" spans="1:44" x14ac:dyDescent="0.25">
      <c r="A54" s="237"/>
      <c r="B54" s="290" t="s">
        <v>321</v>
      </c>
      <c r="C54" s="291" t="s">
        <v>87</v>
      </c>
      <c r="D54" s="79"/>
      <c r="E54" s="239"/>
      <c r="F54" s="301"/>
      <c r="G54" s="68"/>
      <c r="H54" s="74"/>
      <c r="I54" s="67"/>
      <c r="J54" s="67"/>
      <c r="K54" s="67"/>
      <c r="L54" s="67"/>
      <c r="M54" s="69"/>
      <c r="N54" s="69"/>
      <c r="O54" s="69"/>
      <c r="P54" s="203"/>
      <c r="Q54" s="272">
        <f t="shared" si="2"/>
        <v>0</v>
      </c>
      <c r="R54" s="439">
        <f t="shared" si="8"/>
        <v>0</v>
      </c>
      <c r="W54" s="878"/>
      <c r="X54" s="878"/>
      <c r="Y54" s="878"/>
      <c r="Z54" s="124"/>
      <c r="AA54" s="545"/>
      <c r="AB54" s="545"/>
      <c r="AC54" s="123"/>
      <c r="AD54" s="212">
        <f>SUM(AD51:AD53)</f>
        <v>775.82659478885887</v>
      </c>
      <c r="AE54" s="545"/>
      <c r="AF54" s="212">
        <f>SUM(AF51:AF53)</f>
        <v>92.7</v>
      </c>
      <c r="AL54" s="227" t="s">
        <v>310</v>
      </c>
      <c r="AM54" s="227"/>
      <c r="AN54" s="228"/>
      <c r="AO54" s="228"/>
      <c r="AP54" s="228"/>
      <c r="AQ54" s="228"/>
      <c r="AR54" s="229">
        <f>AP53*0.0015</f>
        <v>17250</v>
      </c>
    </row>
    <row r="55" spans="1:44" s="585" customFormat="1" x14ac:dyDescent="0.25">
      <c r="A55" s="580"/>
      <c r="B55" s="581"/>
      <c r="C55" s="560">
        <v>1</v>
      </c>
      <c r="D55" s="582" t="s">
        <v>322</v>
      </c>
      <c r="E55" s="583">
        <v>269</v>
      </c>
      <c r="F55" s="563">
        <v>273</v>
      </c>
      <c r="G55" s="584" t="s">
        <v>101</v>
      </c>
      <c r="H55" s="597">
        <f>(105+175)+150</f>
        <v>430</v>
      </c>
      <c r="I55" s="566">
        <f>F55*H55</f>
        <v>117390</v>
      </c>
      <c r="J55" s="566">
        <f>225+150</f>
        <v>375</v>
      </c>
      <c r="K55" s="566">
        <f t="shared" ref="K55:K56" si="23">F55*J55</f>
        <v>102375</v>
      </c>
      <c r="L55" s="565">
        <f t="shared" ref="L55:L56" si="24">I55+K55</f>
        <v>219765</v>
      </c>
      <c r="M55" s="566">
        <f>H55/$P$255*$P$263</f>
        <v>759.56982151301122</v>
      </c>
      <c r="N55" s="566">
        <f>J55/$P$255*$P$263</f>
        <v>662.41554201716087</v>
      </c>
      <c r="O55" s="565">
        <f t="shared" ref="O55:O56" si="25">N55+M55</f>
        <v>1421.985363530172</v>
      </c>
      <c r="P55" s="567">
        <f t="shared" ref="P55:P56" si="26">O55*F55</f>
        <v>388202.00424373697</v>
      </c>
      <c r="Q55" s="568">
        <f t="shared" si="2"/>
        <v>388202.00424373697</v>
      </c>
      <c r="R55" s="569">
        <f t="shared" si="8"/>
        <v>0</v>
      </c>
      <c r="T55" s="579"/>
      <c r="AD55" s="579"/>
      <c r="AF55" s="579"/>
      <c r="AL55" s="590" t="s">
        <v>312</v>
      </c>
      <c r="AM55" s="590"/>
      <c r="AN55" s="591"/>
      <c r="AO55" s="591"/>
      <c r="AP55" s="591"/>
      <c r="AQ55" s="591"/>
      <c r="AR55" s="592">
        <f>AR54*0.125</f>
        <v>2156.25</v>
      </c>
    </row>
    <row r="56" spans="1:44" s="585" customFormat="1" ht="15" customHeight="1" x14ac:dyDescent="0.25">
      <c r="A56" s="580"/>
      <c r="B56" s="581"/>
      <c r="C56" s="560">
        <v>2</v>
      </c>
      <c r="D56" s="582" t="s">
        <v>90</v>
      </c>
      <c r="E56" s="583">
        <v>36.700000000000003</v>
      </c>
      <c r="F56" s="563">
        <v>39</v>
      </c>
      <c r="G56" s="584" t="s">
        <v>101</v>
      </c>
      <c r="H56" s="597">
        <f>(167+175)+150</f>
        <v>492</v>
      </c>
      <c r="I56" s="566">
        <f>F56*H56</f>
        <v>19188</v>
      </c>
      <c r="J56" s="566">
        <f>225+150</f>
        <v>375</v>
      </c>
      <c r="K56" s="566">
        <f t="shared" si="23"/>
        <v>14625</v>
      </c>
      <c r="L56" s="565">
        <f t="shared" si="24"/>
        <v>33813</v>
      </c>
      <c r="M56" s="566">
        <f>H56/$P$255*$P$263</f>
        <v>869.08919112651506</v>
      </c>
      <c r="N56" s="566">
        <f>J56/$P$255*$P$263</f>
        <v>662.41554201716087</v>
      </c>
      <c r="O56" s="565">
        <f t="shared" si="25"/>
        <v>1531.5047331436758</v>
      </c>
      <c r="P56" s="567">
        <f t="shared" si="26"/>
        <v>59728.684592603357</v>
      </c>
      <c r="Q56" s="568">
        <f t="shared" si="2"/>
        <v>59728.684592603364</v>
      </c>
      <c r="R56" s="569">
        <f t="shared" si="8"/>
        <v>0</v>
      </c>
      <c r="T56" s="579"/>
      <c r="AD56" s="579"/>
      <c r="AF56" s="579"/>
      <c r="AL56" s="590" t="s">
        <v>314</v>
      </c>
      <c r="AM56" s="590"/>
      <c r="AN56" s="591"/>
      <c r="AO56" s="591"/>
      <c r="AP56" s="591"/>
      <c r="AQ56" s="591"/>
      <c r="AR56" s="592">
        <f>AR54*0.12</f>
        <v>2070</v>
      </c>
    </row>
    <row r="57" spans="1:44" s="585" customFormat="1" ht="15" customHeight="1" x14ac:dyDescent="0.25">
      <c r="A57" s="580"/>
      <c r="B57" s="581"/>
      <c r="C57" s="560"/>
      <c r="D57" s="582" t="s">
        <v>155</v>
      </c>
      <c r="E57" s="583"/>
      <c r="F57" s="563"/>
      <c r="G57" s="598"/>
      <c r="H57" s="597"/>
      <c r="I57" s="566"/>
      <c r="J57" s="566"/>
      <c r="K57" s="566"/>
      <c r="L57" s="566"/>
      <c r="M57" s="599"/>
      <c r="N57" s="599"/>
      <c r="O57" s="599"/>
      <c r="P57" s="567"/>
      <c r="Q57" s="568">
        <f t="shared" si="2"/>
        <v>0</v>
      </c>
      <c r="R57" s="569">
        <f t="shared" si="8"/>
        <v>0</v>
      </c>
      <c r="T57" s="579"/>
      <c r="W57" s="925" t="s">
        <v>293</v>
      </c>
      <c r="X57" s="925"/>
      <c r="Y57" s="925"/>
      <c r="Z57" s="586" t="s">
        <v>243</v>
      </c>
      <c r="AA57" s="586" t="s">
        <v>244</v>
      </c>
      <c r="AB57" s="586" t="s">
        <v>245</v>
      </c>
      <c r="AC57" s="587" t="s">
        <v>246</v>
      </c>
      <c r="AD57" s="588" t="s">
        <v>247</v>
      </c>
      <c r="AE57" s="586" t="s">
        <v>248</v>
      </c>
      <c r="AF57" s="589" t="s">
        <v>249</v>
      </c>
      <c r="AL57" s="590" t="s">
        <v>299</v>
      </c>
      <c r="AM57" s="590"/>
      <c r="AN57" s="591"/>
      <c r="AO57" s="591"/>
      <c r="AP57" s="591"/>
      <c r="AQ57" s="591"/>
      <c r="AR57" s="592">
        <f>AR54*0.002</f>
        <v>34.5</v>
      </c>
    </row>
    <row r="58" spans="1:44" s="585" customFormat="1" x14ac:dyDescent="0.25">
      <c r="A58" s="580"/>
      <c r="B58" s="581"/>
      <c r="C58" s="560">
        <v>3</v>
      </c>
      <c r="D58" s="582" t="s">
        <v>92</v>
      </c>
      <c r="E58" s="583">
        <v>62</v>
      </c>
      <c r="F58" s="563">
        <v>64</v>
      </c>
      <c r="G58" s="584" t="s">
        <v>101</v>
      </c>
      <c r="H58" s="597">
        <f>(177+155)+150</f>
        <v>482</v>
      </c>
      <c r="I58" s="566">
        <f>F58*H58</f>
        <v>30848</v>
      </c>
      <c r="J58" s="566">
        <f>225+150</f>
        <v>375</v>
      </c>
      <c r="K58" s="566">
        <f t="shared" ref="K58" si="27">F58*J58</f>
        <v>24000</v>
      </c>
      <c r="L58" s="565">
        <f t="shared" ref="L58" si="28">I58+K58</f>
        <v>54848</v>
      </c>
      <c r="M58" s="566">
        <f>H58/$P$255*$P$263</f>
        <v>851.42477667272408</v>
      </c>
      <c r="N58" s="566">
        <f>J58/$P$255*$P$263</f>
        <v>662.41554201716087</v>
      </c>
      <c r="O58" s="565">
        <f t="shared" ref="O58" si="29">N58+M58</f>
        <v>1513.840318689885</v>
      </c>
      <c r="P58" s="567">
        <f t="shared" ref="P58" si="30">O58*F58</f>
        <v>96885.780396152637</v>
      </c>
      <c r="Q58" s="568">
        <f t="shared" si="2"/>
        <v>96885.780396152652</v>
      </c>
      <c r="R58" s="569">
        <f t="shared" si="8"/>
        <v>0</v>
      </c>
      <c r="T58" s="579"/>
      <c r="W58" s="926" t="s">
        <v>258</v>
      </c>
      <c r="X58" s="926"/>
      <c r="Y58" s="926"/>
      <c r="Z58" s="593" t="s">
        <v>251</v>
      </c>
      <c r="AA58" s="594">
        <v>11.11</v>
      </c>
      <c r="AB58" s="594">
        <v>12</v>
      </c>
      <c r="AC58" s="587">
        <f>63/1.05</f>
        <v>60</v>
      </c>
      <c r="AD58" s="588">
        <f>AC58*AB58</f>
        <v>720</v>
      </c>
      <c r="AE58" s="594">
        <v>18</v>
      </c>
      <c r="AF58" s="595">
        <f>AE58*AB58</f>
        <v>216</v>
      </c>
      <c r="AL58" s="590" t="s">
        <v>304</v>
      </c>
      <c r="AM58" s="590"/>
      <c r="AN58" s="591"/>
      <c r="AO58" s="591"/>
      <c r="AP58" s="591"/>
      <c r="AQ58" s="591"/>
      <c r="AR58" s="596">
        <f>SUM(AR53:AR57)</f>
        <v>21510.75</v>
      </c>
    </row>
    <row r="59" spans="1:44" x14ac:dyDescent="0.25">
      <c r="A59" s="237"/>
      <c r="B59" s="248"/>
      <c r="C59" s="298"/>
      <c r="D59" s="81" t="s">
        <v>154</v>
      </c>
      <c r="E59" s="239"/>
      <c r="F59" s="301"/>
      <c r="G59" s="68"/>
      <c r="H59" s="74"/>
      <c r="I59" s="67"/>
      <c r="J59" s="67"/>
      <c r="K59" s="67"/>
      <c r="L59" s="67"/>
      <c r="M59" s="69"/>
      <c r="N59" s="69"/>
      <c r="O59" s="69"/>
      <c r="P59" s="203"/>
      <c r="Q59" s="272">
        <f t="shared" si="2"/>
        <v>0</v>
      </c>
      <c r="R59" s="439">
        <f t="shared" si="8"/>
        <v>0</v>
      </c>
      <c r="W59" s="878" t="s">
        <v>252</v>
      </c>
      <c r="X59" s="878"/>
      <c r="Y59" s="878"/>
      <c r="Z59" s="124" t="s">
        <v>253</v>
      </c>
      <c r="AA59" s="545">
        <v>0.25</v>
      </c>
      <c r="AB59" s="545">
        <v>0.25</v>
      </c>
      <c r="AC59" s="123">
        <f>AF158</f>
        <v>268.8679245283019</v>
      </c>
      <c r="AD59" s="196">
        <f>AC59*AB59</f>
        <v>67.216981132075475</v>
      </c>
      <c r="AE59" s="545"/>
      <c r="AF59" s="219">
        <f t="shared" ref="AF59:AF61" si="31">AE59*AB59</f>
        <v>0</v>
      </c>
    </row>
    <row r="60" spans="1:44" x14ac:dyDescent="0.25">
      <c r="A60" s="237"/>
      <c r="B60" s="246"/>
      <c r="C60" s="293">
        <v>4</v>
      </c>
      <c r="D60" s="81" t="s">
        <v>93</v>
      </c>
      <c r="E60" s="239">
        <v>252</v>
      </c>
      <c r="F60" s="301">
        <v>255</v>
      </c>
      <c r="G60" s="73" t="s">
        <v>101</v>
      </c>
      <c r="H60" s="74">
        <f>(230+160)</f>
        <v>390</v>
      </c>
      <c r="I60" s="67">
        <f>F60*H60</f>
        <v>99450</v>
      </c>
      <c r="J60" s="67">
        <v>225</v>
      </c>
      <c r="K60" s="67">
        <f t="shared" ref="K60" si="32">F60*J60</f>
        <v>57375</v>
      </c>
      <c r="L60" s="72">
        <f t="shared" ref="L60" si="33">I60+K60</f>
        <v>156825</v>
      </c>
      <c r="M60" s="67">
        <f>H60/$P$255*$P$263</f>
        <v>688.9121636978474</v>
      </c>
      <c r="N60" s="67">
        <f>J60/$P$255*$P$263</f>
        <v>397.44932521029654</v>
      </c>
      <c r="O60" s="72">
        <f t="shared" ref="O60" si="34">N60+M60</f>
        <v>1086.3614889081439</v>
      </c>
      <c r="P60" s="203">
        <f t="shared" ref="P60" si="35">O60*F60</f>
        <v>277022.17967157671</v>
      </c>
      <c r="Q60" s="272">
        <f t="shared" si="2"/>
        <v>277022.17967157671</v>
      </c>
      <c r="R60" s="439">
        <f t="shared" si="8"/>
        <v>0</v>
      </c>
      <c r="W60" s="878" t="s">
        <v>254</v>
      </c>
      <c r="X60" s="878"/>
      <c r="Y60" s="878"/>
      <c r="Z60" s="124" t="s">
        <v>255</v>
      </c>
      <c r="AA60" s="545">
        <v>0.25</v>
      </c>
      <c r="AB60" s="545">
        <v>0.35</v>
      </c>
      <c r="AC60" s="123">
        <f>AC45</f>
        <v>34.905660377358487</v>
      </c>
      <c r="AD60" s="196">
        <f t="shared" ref="AD60:AD61" si="36">AC60*AB60</f>
        <v>12.216981132075469</v>
      </c>
      <c r="AE60" s="545"/>
      <c r="AF60" s="219">
        <f t="shared" si="31"/>
        <v>0</v>
      </c>
    </row>
    <row r="61" spans="1:44" x14ac:dyDescent="0.25">
      <c r="A61" s="237"/>
      <c r="B61" s="248"/>
      <c r="C61" s="298"/>
      <c r="D61" s="81" t="s">
        <v>94</v>
      </c>
      <c r="E61" s="239"/>
      <c r="F61" s="301"/>
      <c r="G61" s="68"/>
      <c r="H61" s="74"/>
      <c r="I61" s="67"/>
      <c r="J61" s="67"/>
      <c r="K61" s="67"/>
      <c r="L61" s="67"/>
      <c r="M61" s="69"/>
      <c r="N61" s="69"/>
      <c r="O61" s="69"/>
      <c r="P61" s="203"/>
      <c r="Q61" s="272">
        <f t="shared" si="2"/>
        <v>0</v>
      </c>
      <c r="R61" s="439">
        <f t="shared" si="8"/>
        <v>0</v>
      </c>
      <c r="W61" s="878" t="str">
        <f>W46</f>
        <v>mortar (topping) included @ other item</v>
      </c>
      <c r="X61" s="878"/>
      <c r="Y61" s="878"/>
      <c r="Z61" s="124" t="s">
        <v>257</v>
      </c>
      <c r="AA61" s="545">
        <v>1</v>
      </c>
      <c r="AB61" s="545">
        <v>1</v>
      </c>
      <c r="AC61" s="123">
        <f>AC46</f>
        <v>0</v>
      </c>
      <c r="AD61" s="196">
        <f t="shared" si="36"/>
        <v>0</v>
      </c>
      <c r="AE61" s="545">
        <f>AE46</f>
        <v>0</v>
      </c>
      <c r="AF61" s="219">
        <f t="shared" si="31"/>
        <v>0</v>
      </c>
    </row>
    <row r="62" spans="1:44" x14ac:dyDescent="0.25">
      <c r="A62" s="237"/>
      <c r="B62" s="246"/>
      <c r="C62" s="293">
        <v>5</v>
      </c>
      <c r="D62" s="81" t="s">
        <v>160</v>
      </c>
      <c r="E62" s="348">
        <f>29.2+51.05</f>
        <v>80.25</v>
      </c>
      <c r="F62" s="349">
        <v>82</v>
      </c>
      <c r="G62" s="73" t="s">
        <v>101</v>
      </c>
      <c r="H62" s="74"/>
      <c r="I62" s="67">
        <f>F62*H62</f>
        <v>0</v>
      </c>
      <c r="J62" s="67"/>
      <c r="K62" s="67">
        <f t="shared" ref="K62:K65" si="37">F62*J62</f>
        <v>0</v>
      </c>
      <c r="L62" s="72">
        <f t="shared" ref="L62:L63" si="38">I62+K62</f>
        <v>0</v>
      </c>
      <c r="M62" s="67">
        <f>H62/$P$255*$P$263</f>
        <v>0</v>
      </c>
      <c r="N62" s="67">
        <f>J62/$P$255*$P$263</f>
        <v>0</v>
      </c>
      <c r="O62" s="72">
        <f>N62*F62</f>
        <v>0</v>
      </c>
      <c r="P62" s="221" t="s">
        <v>296</v>
      </c>
      <c r="Q62" s="272">
        <f t="shared" si="2"/>
        <v>0</v>
      </c>
      <c r="R62" s="439" t="e">
        <f t="shared" si="8"/>
        <v>#VALUE!</v>
      </c>
      <c r="W62" s="878" t="s">
        <v>259</v>
      </c>
      <c r="X62" s="878"/>
      <c r="Y62" s="878"/>
      <c r="Z62" s="124" t="s">
        <v>257</v>
      </c>
      <c r="AA62" s="545">
        <v>1</v>
      </c>
      <c r="AB62" s="545">
        <v>1</v>
      </c>
      <c r="AC62" s="123">
        <f>AC46</f>
        <v>0</v>
      </c>
      <c r="AD62" s="196">
        <f>AC62*AB62</f>
        <v>0</v>
      </c>
      <c r="AE62" s="545">
        <f>AE46</f>
        <v>0</v>
      </c>
      <c r="AF62" s="219">
        <f>AE62*AB62</f>
        <v>0</v>
      </c>
    </row>
    <row r="63" spans="1:44" x14ac:dyDescent="0.25">
      <c r="A63" s="237"/>
      <c r="B63" s="246"/>
      <c r="C63" s="293">
        <v>6</v>
      </c>
      <c r="D63" s="81" t="s">
        <v>492</v>
      </c>
      <c r="E63" s="239">
        <v>61.7</v>
      </c>
      <c r="F63" s="301">
        <v>63</v>
      </c>
      <c r="G63" s="73" t="s">
        <v>100</v>
      </c>
      <c r="H63" s="74">
        <v>130</v>
      </c>
      <c r="I63" s="67">
        <f>F63*H63</f>
        <v>8190</v>
      </c>
      <c r="J63" s="67">
        <v>120</v>
      </c>
      <c r="K63" s="67">
        <f t="shared" si="37"/>
        <v>7560</v>
      </c>
      <c r="L63" s="72">
        <f t="shared" si="38"/>
        <v>15750</v>
      </c>
      <c r="M63" s="67">
        <f>H63/$P$255*$P$263</f>
        <v>229.63738789928246</v>
      </c>
      <c r="N63" s="67">
        <f>J63/$P$255*$P$263</f>
        <v>211.9729734454915</v>
      </c>
      <c r="O63" s="72">
        <f t="shared" ref="O63" si="39">N63+M63</f>
        <v>441.61036134477399</v>
      </c>
      <c r="P63" s="203">
        <f t="shared" ref="P63" si="40">O63*F63</f>
        <v>27821.452764720761</v>
      </c>
      <c r="Q63" s="272">
        <f t="shared" si="2"/>
        <v>27821.452764720761</v>
      </c>
      <c r="R63" s="439">
        <f t="shared" si="8"/>
        <v>0</v>
      </c>
      <c r="W63" s="126"/>
      <c r="X63" s="126"/>
      <c r="Y63" s="126"/>
      <c r="Z63" s="126"/>
      <c r="AA63" s="545"/>
      <c r="AB63" s="545"/>
      <c r="AC63" s="123"/>
      <c r="AD63" s="212">
        <f>SUM(AD58:AD62)</f>
        <v>799.43396226415098</v>
      </c>
      <c r="AE63" s="546"/>
      <c r="AF63" s="212">
        <f>SUM(AF58:AF62)</f>
        <v>216</v>
      </c>
    </row>
    <row r="64" spans="1:44" hidden="1" x14ac:dyDescent="0.25">
      <c r="A64" s="237"/>
      <c r="B64" s="246"/>
      <c r="C64" s="293"/>
      <c r="D64" s="81"/>
      <c r="E64" s="239"/>
      <c r="F64" s="301"/>
      <c r="G64" s="68"/>
      <c r="H64" s="74"/>
      <c r="I64" s="67"/>
      <c r="J64" s="67"/>
      <c r="K64" s="67"/>
      <c r="L64" s="67"/>
      <c r="M64" s="69"/>
      <c r="N64" s="69"/>
      <c r="O64" s="69"/>
      <c r="P64" s="203"/>
      <c r="Q64" s="272">
        <f t="shared" si="2"/>
        <v>0</v>
      </c>
      <c r="R64" s="439"/>
    </row>
    <row r="65" spans="1:32" x14ac:dyDescent="0.25">
      <c r="A65" s="237"/>
      <c r="B65" s="246"/>
      <c r="C65" s="293">
        <v>7</v>
      </c>
      <c r="D65" s="81" t="s">
        <v>357</v>
      </c>
      <c r="E65" s="239">
        <v>152.9</v>
      </c>
      <c r="F65" s="301">
        <v>154</v>
      </c>
      <c r="G65" s="73" t="s">
        <v>101</v>
      </c>
      <c r="H65" s="74"/>
      <c r="I65" s="67">
        <f>F65*H65</f>
        <v>0</v>
      </c>
      <c r="J65" s="67"/>
      <c r="K65" s="67">
        <f t="shared" si="37"/>
        <v>0</v>
      </c>
      <c r="L65" s="72">
        <f t="shared" ref="L65" si="41">I65+K65</f>
        <v>0</v>
      </c>
      <c r="M65" s="67">
        <f>H65/$P$255*$P$263</f>
        <v>0</v>
      </c>
      <c r="N65" s="67">
        <f>J65/$P$255*$P$263</f>
        <v>0</v>
      </c>
      <c r="O65" s="72">
        <f>N65*F65</f>
        <v>0</v>
      </c>
      <c r="P65" s="221" t="s">
        <v>288</v>
      </c>
      <c r="Q65" s="272">
        <f t="shared" si="2"/>
        <v>0</v>
      </c>
      <c r="R65" s="439" t="e">
        <f t="shared" ref="R65" si="42">P65-Q65</f>
        <v>#VALUE!</v>
      </c>
    </row>
    <row r="66" spans="1:32" x14ac:dyDescent="0.25">
      <c r="A66" s="237"/>
      <c r="B66" s="248"/>
      <c r="C66" s="298"/>
      <c r="D66" s="81"/>
      <c r="E66" s="239"/>
      <c r="F66" s="301"/>
      <c r="G66" s="68"/>
      <c r="H66" s="74"/>
      <c r="I66" s="67"/>
      <c r="J66" s="67"/>
      <c r="K66" s="67"/>
      <c r="L66" s="67"/>
      <c r="M66" s="69"/>
      <c r="N66" s="69"/>
      <c r="O66" s="69"/>
      <c r="P66" s="203"/>
      <c r="Q66" s="272">
        <f t="shared" si="2"/>
        <v>0</v>
      </c>
      <c r="R66" s="439">
        <f t="shared" si="8"/>
        <v>0</v>
      </c>
    </row>
    <row r="67" spans="1:32" x14ac:dyDescent="0.25">
      <c r="A67" s="237"/>
      <c r="B67" s="290" t="s">
        <v>323</v>
      </c>
      <c r="C67" s="291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76"/>
      <c r="N67" s="69"/>
      <c r="O67" s="69"/>
      <c r="P67" s="203"/>
      <c r="Q67" s="272">
        <f t="shared" si="2"/>
        <v>0</v>
      </c>
      <c r="R67" s="439">
        <f t="shared" si="8"/>
        <v>0</v>
      </c>
    </row>
    <row r="68" spans="1:32" s="585" customFormat="1" x14ac:dyDescent="0.25">
      <c r="A68" s="600"/>
      <c r="B68" s="601"/>
      <c r="C68" s="560">
        <v>1</v>
      </c>
      <c r="D68" s="582" t="s">
        <v>104</v>
      </c>
      <c r="E68" s="583">
        <v>3</v>
      </c>
      <c r="F68" s="563">
        <v>3</v>
      </c>
      <c r="G68" s="584" t="s">
        <v>28</v>
      </c>
      <c r="H68" s="566">
        <f>25000*2*0.85/1.07</f>
        <v>39719.626168224298</v>
      </c>
      <c r="I68" s="566">
        <f>F68*H68</f>
        <v>119158.8785046729</v>
      </c>
      <c r="J68" s="566">
        <f>25000*2*0.15/1.07</f>
        <v>7009.3457943925232</v>
      </c>
      <c r="K68" s="566">
        <f t="shared" ref="K68" si="43">F68*J68</f>
        <v>21028.037383177569</v>
      </c>
      <c r="L68" s="565">
        <f t="shared" ref="L68" si="44">I68+K68</f>
        <v>140186.91588785048</v>
      </c>
      <c r="M68" s="566">
        <f>H68/$P$255*$P$263</f>
        <v>70162.393858515483</v>
      </c>
      <c r="N68" s="566">
        <f>J68/$P$255*$P$263</f>
        <v>12381.598916208613</v>
      </c>
      <c r="O68" s="565">
        <f t="shared" ref="O68" si="45">N68+M68</f>
        <v>82543.992774724102</v>
      </c>
      <c r="P68" s="567">
        <f t="shared" ref="P68" si="46">O68*F68</f>
        <v>247631.97832417232</v>
      </c>
      <c r="Q68" s="568">
        <f t="shared" si="2"/>
        <v>247631.97832417232</v>
      </c>
      <c r="R68" s="569">
        <f t="shared" si="8"/>
        <v>0</v>
      </c>
      <c r="T68" s="579"/>
      <c r="AD68" s="579"/>
      <c r="AF68" s="579"/>
    </row>
    <row r="69" spans="1:32" s="585" customFormat="1" x14ac:dyDescent="0.25">
      <c r="A69" s="600"/>
      <c r="B69" s="602"/>
      <c r="C69" s="560"/>
      <c r="D69" s="582" t="s">
        <v>324</v>
      </c>
      <c r="E69" s="583"/>
      <c r="F69" s="563"/>
      <c r="G69" s="598"/>
      <c r="H69" s="566"/>
      <c r="I69" s="566"/>
      <c r="J69" s="566"/>
      <c r="K69" s="566"/>
      <c r="L69" s="566"/>
      <c r="M69" s="565"/>
      <c r="N69" s="565"/>
      <c r="O69" s="565"/>
      <c r="P69" s="567"/>
      <c r="Q69" s="568">
        <f t="shared" si="2"/>
        <v>0</v>
      </c>
      <c r="R69" s="569">
        <f t="shared" si="8"/>
        <v>0</v>
      </c>
      <c r="T69" s="579"/>
    </row>
    <row r="70" spans="1:32" s="585" customFormat="1" x14ac:dyDescent="0.25">
      <c r="A70" s="600"/>
      <c r="B70" s="601"/>
      <c r="C70" s="560">
        <v>2</v>
      </c>
      <c r="D70" s="582" t="s">
        <v>105</v>
      </c>
      <c r="E70" s="583">
        <v>1</v>
      </c>
      <c r="F70" s="563">
        <v>1</v>
      </c>
      <c r="G70" s="584" t="s">
        <v>55</v>
      </c>
      <c r="H70" s="566">
        <f>25000*2*0.85/1.07</f>
        <v>39719.626168224298</v>
      </c>
      <c r="I70" s="566">
        <f>F70*H70</f>
        <v>39719.626168224298</v>
      </c>
      <c r="J70" s="566">
        <f>25000*2*0.15/1.07</f>
        <v>7009.3457943925232</v>
      </c>
      <c r="K70" s="566">
        <f t="shared" ref="K70" si="47">F70*J70</f>
        <v>7009.3457943925232</v>
      </c>
      <c r="L70" s="565">
        <f t="shared" ref="L70" si="48">I70+K70</f>
        <v>46728.971962616823</v>
      </c>
      <c r="M70" s="566">
        <f>H70/$P$255*$P$263</f>
        <v>70162.393858515483</v>
      </c>
      <c r="N70" s="566">
        <f>J70/$P$255*$P$263</f>
        <v>12381.598916208613</v>
      </c>
      <c r="O70" s="565">
        <f t="shared" ref="O70" si="49">N70+M70</f>
        <v>82543.992774724102</v>
      </c>
      <c r="P70" s="567">
        <f t="shared" ref="P70" si="50">O70*F70</f>
        <v>82543.992774724102</v>
      </c>
      <c r="Q70" s="568">
        <f t="shared" si="2"/>
        <v>82543.992774724102</v>
      </c>
      <c r="R70" s="569">
        <f t="shared" si="8"/>
        <v>0</v>
      </c>
      <c r="T70" s="579"/>
    </row>
    <row r="71" spans="1:32" x14ac:dyDescent="0.25">
      <c r="A71" s="350"/>
      <c r="B71" s="319"/>
      <c r="C71" s="318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72"/>
      <c r="N71" s="72"/>
      <c r="O71" s="72"/>
      <c r="P71" s="203"/>
      <c r="Q71" s="272">
        <f t="shared" si="2"/>
        <v>0</v>
      </c>
      <c r="R71" s="439">
        <f t="shared" si="8"/>
        <v>0</v>
      </c>
    </row>
    <row r="72" spans="1:32" s="273" customFormat="1" x14ac:dyDescent="0.25">
      <c r="A72" s="350"/>
      <c r="B72" s="317"/>
      <c r="C72" s="318">
        <v>3</v>
      </c>
      <c r="D72" s="8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51">F72*H72</f>
        <v>13106.796116504855</v>
      </c>
      <c r="J72" s="74">
        <v>700</v>
      </c>
      <c r="K72" s="74">
        <f t="shared" ref="K72:K77" si="52">F72*J72</f>
        <v>1400</v>
      </c>
      <c r="L72" s="72">
        <f t="shared" ref="L72:L77" si="53">I72+K72</f>
        <v>14506.796116504855</v>
      </c>
      <c r="M72" s="67">
        <f t="shared" ref="M72:M77" si="54">H72/$P$255*$P$263</f>
        <v>11576.193938163977</v>
      </c>
      <c r="N72" s="67">
        <f t="shared" ref="N72:N77" si="55">J72/$P$255*$P$263</f>
        <v>1236.5090117653669</v>
      </c>
      <c r="O72" s="72">
        <f t="shared" ref="O72:O77" si="56">N72+M72</f>
        <v>12812.702949929344</v>
      </c>
      <c r="P72" s="203">
        <f t="shared" ref="P72:P77" si="57">O72*F72</f>
        <v>25625.405899858688</v>
      </c>
      <c r="Q72" s="272">
        <f t="shared" si="2"/>
        <v>25625.405899858688</v>
      </c>
      <c r="R72" s="439">
        <f t="shared" si="8"/>
        <v>0</v>
      </c>
      <c r="T72" s="224"/>
    </row>
    <row r="73" spans="1:32" s="273" customFormat="1" x14ac:dyDescent="0.25">
      <c r="A73" s="350"/>
      <c r="B73" s="317"/>
      <c r="C73" s="318">
        <v>4</v>
      </c>
      <c r="D73" s="8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51"/>
        <v>26213.592233009709</v>
      </c>
      <c r="J73" s="74">
        <f>J72</f>
        <v>700</v>
      </c>
      <c r="K73" s="74">
        <f t="shared" si="52"/>
        <v>2800</v>
      </c>
      <c r="L73" s="72">
        <f t="shared" si="53"/>
        <v>29013.592233009709</v>
      </c>
      <c r="M73" s="67">
        <f t="shared" si="54"/>
        <v>11576.193938163977</v>
      </c>
      <c r="N73" s="67">
        <f t="shared" si="55"/>
        <v>1236.5090117653669</v>
      </c>
      <c r="O73" s="72">
        <f t="shared" si="56"/>
        <v>12812.702949929344</v>
      </c>
      <c r="P73" s="203">
        <f t="shared" si="57"/>
        <v>51250.811799717376</v>
      </c>
      <c r="Q73" s="272">
        <f t="shared" si="2"/>
        <v>51250.811799717376</v>
      </c>
      <c r="R73" s="439">
        <f t="shared" si="8"/>
        <v>0</v>
      </c>
      <c r="T73" s="224"/>
    </row>
    <row r="74" spans="1:32" s="273" customFormat="1" x14ac:dyDescent="0.25">
      <c r="A74" s="350"/>
      <c r="B74" s="317"/>
      <c r="C74" s="318">
        <v>5</v>
      </c>
      <c r="D74" s="8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51"/>
        <v>59466.01941747572</v>
      </c>
      <c r="J74" s="74">
        <f>J73</f>
        <v>700</v>
      </c>
      <c r="K74" s="74">
        <f t="shared" si="52"/>
        <v>4900</v>
      </c>
      <c r="L74" s="72">
        <f t="shared" si="53"/>
        <v>64366.01941747572</v>
      </c>
      <c r="M74" s="67">
        <f t="shared" si="54"/>
        <v>15006.177327249598</v>
      </c>
      <c r="N74" s="67">
        <f t="shared" si="55"/>
        <v>1236.5090117653669</v>
      </c>
      <c r="O74" s="72">
        <f t="shared" si="56"/>
        <v>16242.686339014965</v>
      </c>
      <c r="P74" s="203">
        <f t="shared" si="57"/>
        <v>113698.80437310475</v>
      </c>
      <c r="Q74" s="272">
        <f t="shared" si="2"/>
        <v>113698.80437310475</v>
      </c>
      <c r="R74" s="439">
        <f t="shared" si="8"/>
        <v>0</v>
      </c>
      <c r="T74" s="224"/>
    </row>
    <row r="75" spans="1:32" s="273" customFormat="1" x14ac:dyDescent="0.25">
      <c r="A75" s="350"/>
      <c r="B75" s="317"/>
      <c r="C75" s="318">
        <v>6</v>
      </c>
      <c r="D75" s="8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51"/>
        <v>8495.1456310679605</v>
      </c>
      <c r="J75" s="74">
        <f>J74</f>
        <v>700</v>
      </c>
      <c r="K75" s="74">
        <f t="shared" si="52"/>
        <v>700</v>
      </c>
      <c r="L75" s="72">
        <f t="shared" si="53"/>
        <v>9195.1456310679605</v>
      </c>
      <c r="M75" s="67">
        <f t="shared" si="54"/>
        <v>15006.177327249598</v>
      </c>
      <c r="N75" s="67">
        <f t="shared" si="55"/>
        <v>1236.5090117653669</v>
      </c>
      <c r="O75" s="72">
        <f t="shared" si="56"/>
        <v>16242.686339014965</v>
      </c>
      <c r="P75" s="203">
        <f t="shared" si="57"/>
        <v>16242.686339014965</v>
      </c>
      <c r="Q75" s="272">
        <f t="shared" si="2"/>
        <v>16242.686339014965</v>
      </c>
      <c r="R75" s="439">
        <f t="shared" si="8"/>
        <v>0</v>
      </c>
      <c r="T75" s="224"/>
    </row>
    <row r="76" spans="1:32" s="273" customFormat="1" x14ac:dyDescent="0.25">
      <c r="A76" s="350"/>
      <c r="B76" s="317"/>
      <c r="C76" s="318">
        <v>7</v>
      </c>
      <c r="D76" s="8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51"/>
        <v>14660.194174757282</v>
      </c>
      <c r="J76" s="74">
        <v>650</v>
      </c>
      <c r="K76" s="74">
        <f t="shared" si="52"/>
        <v>1300</v>
      </c>
      <c r="L76" s="72">
        <f t="shared" si="53"/>
        <v>15960.194174757282</v>
      </c>
      <c r="M76" s="67">
        <f t="shared" si="54"/>
        <v>12948.187293798224</v>
      </c>
      <c r="N76" s="67">
        <f t="shared" si="55"/>
        <v>1148.1869394964124</v>
      </c>
      <c r="O76" s="72">
        <f t="shared" si="56"/>
        <v>14096.374233294637</v>
      </c>
      <c r="P76" s="203">
        <f t="shared" si="57"/>
        <v>28192.748466589273</v>
      </c>
      <c r="Q76" s="272">
        <f t="shared" si="2"/>
        <v>28192.748466589277</v>
      </c>
      <c r="R76" s="439">
        <f t="shared" si="8"/>
        <v>0</v>
      </c>
      <c r="T76" s="224"/>
    </row>
    <row r="77" spans="1:32" x14ac:dyDescent="0.25">
      <c r="A77" s="350"/>
      <c r="B77" s="317"/>
      <c r="C77" s="318">
        <v>8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67">
        <f t="shared" si="51"/>
        <v>23632.07547169811</v>
      </c>
      <c r="J77" s="74">
        <v>700</v>
      </c>
      <c r="K77" s="67">
        <f t="shared" si="52"/>
        <v>2100</v>
      </c>
      <c r="L77" s="72">
        <f t="shared" si="53"/>
        <v>25732.07547169811</v>
      </c>
      <c r="M77" s="67">
        <f t="shared" si="54"/>
        <v>13914.892517844763</v>
      </c>
      <c r="N77" s="67">
        <f t="shared" si="55"/>
        <v>1236.5090117653669</v>
      </c>
      <c r="O77" s="72">
        <f t="shared" si="56"/>
        <v>15151.40152961013</v>
      </c>
      <c r="P77" s="203">
        <f t="shared" si="57"/>
        <v>45454.204588830391</v>
      </c>
      <c r="Q77" s="272">
        <f>L77/$P$255*$P$263</f>
        <v>45454.204588830384</v>
      </c>
      <c r="R77" s="439">
        <f>P77-Q77</f>
        <v>0</v>
      </c>
    </row>
    <row r="78" spans="1:32" x14ac:dyDescent="0.25">
      <c r="A78" s="350"/>
      <c r="B78" s="319"/>
      <c r="C78" s="318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72"/>
      <c r="N78" s="72"/>
      <c r="O78" s="72"/>
      <c r="P78" s="205"/>
      <c r="Q78" s="272">
        <f t="shared" si="2"/>
        <v>0</v>
      </c>
      <c r="R78" s="439">
        <f t="shared" si="8"/>
        <v>0</v>
      </c>
    </row>
    <row r="79" spans="1:32" x14ac:dyDescent="0.25">
      <c r="A79" s="350"/>
      <c r="B79" s="317"/>
      <c r="C79" s="318">
        <v>9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67">
        <f>F79*H79</f>
        <v>8584.9056603773588</v>
      </c>
      <c r="J79" s="74">
        <f>J77</f>
        <v>700</v>
      </c>
      <c r="K79" s="67">
        <f t="shared" ref="K79" si="58">F79*J79</f>
        <v>700</v>
      </c>
      <c r="L79" s="72">
        <f t="shared" ref="L79" si="59">I79+K79</f>
        <v>9284.9056603773588</v>
      </c>
      <c r="M79" s="67">
        <f>H79/$P$255*$P$263</f>
        <v>15164.733163160161</v>
      </c>
      <c r="N79" s="67">
        <f>J79/$P$255*$P$263</f>
        <v>1236.5090117653669</v>
      </c>
      <c r="O79" s="72">
        <f t="shared" ref="O79" si="60">N79+M79</f>
        <v>16401.242174925526</v>
      </c>
      <c r="P79" s="203">
        <f t="shared" ref="P79" si="61">O79*F79</f>
        <v>16401.242174925526</v>
      </c>
      <c r="Q79" s="272">
        <f t="shared" si="2"/>
        <v>16401.24217492553</v>
      </c>
      <c r="R79" s="439">
        <f t="shared" si="8"/>
        <v>0</v>
      </c>
    </row>
    <row r="80" spans="1:32" x14ac:dyDescent="0.25">
      <c r="A80" s="350"/>
      <c r="B80" s="319"/>
      <c r="C80" s="318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72"/>
      <c r="N80" s="72"/>
      <c r="O80" s="72"/>
      <c r="P80" s="205"/>
      <c r="Q80" s="272">
        <f t="shared" si="2"/>
        <v>0</v>
      </c>
      <c r="R80" s="439">
        <f t="shared" si="8"/>
        <v>0</v>
      </c>
    </row>
    <row r="81" spans="1:20" x14ac:dyDescent="0.25">
      <c r="A81" s="350"/>
      <c r="B81" s="319"/>
      <c r="C81" s="318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72"/>
      <c r="N81" s="72"/>
      <c r="O81" s="72"/>
      <c r="P81" s="205"/>
      <c r="Q81" s="272">
        <f>L81/$P$255*$P$263</f>
        <v>0</v>
      </c>
      <c r="R81" s="439">
        <f t="shared" si="8"/>
        <v>0</v>
      </c>
    </row>
    <row r="82" spans="1:20" x14ac:dyDescent="0.25">
      <c r="A82" s="237"/>
      <c r="B82" s="290" t="s">
        <v>329</v>
      </c>
      <c r="C82" s="291" t="s">
        <v>27</v>
      </c>
      <c r="D82" s="82"/>
      <c r="E82" s="242"/>
      <c r="F82" s="302"/>
      <c r="G82" s="75"/>
      <c r="H82" s="74"/>
      <c r="I82" s="74"/>
      <c r="J82" s="74"/>
      <c r="K82" s="74"/>
      <c r="L82" s="74"/>
      <c r="M82" s="72"/>
      <c r="N82" s="72"/>
      <c r="O82" s="72"/>
      <c r="P82" s="205"/>
      <c r="Q82" s="272">
        <f>L82/$P$255*$P$263</f>
        <v>0</v>
      </c>
      <c r="R82" s="439">
        <f t="shared" ref="R82:R148" si="62">P82-Q82</f>
        <v>0</v>
      </c>
    </row>
    <row r="83" spans="1:20" s="585" customFormat="1" x14ac:dyDescent="0.25">
      <c r="A83" s="600"/>
      <c r="B83" s="601"/>
      <c r="C83" s="560"/>
      <c r="D83" s="603"/>
      <c r="E83" s="604"/>
      <c r="F83" s="563"/>
      <c r="G83" s="584"/>
      <c r="H83" s="565"/>
      <c r="I83" s="566"/>
      <c r="J83" s="565"/>
      <c r="K83" s="566"/>
      <c r="L83" s="565"/>
      <c r="M83" s="566"/>
      <c r="N83" s="566"/>
      <c r="O83" s="565"/>
      <c r="P83" s="567"/>
      <c r="Q83" s="568"/>
      <c r="R83" s="569"/>
      <c r="S83" s="565"/>
      <c r="T83" s="565"/>
    </row>
    <row r="84" spans="1:20" s="585" customFormat="1" x14ac:dyDescent="0.25">
      <c r="A84" s="600"/>
      <c r="B84" s="602"/>
      <c r="C84" s="560"/>
      <c r="D84" s="603"/>
      <c r="E84" s="604"/>
      <c r="F84" s="563"/>
      <c r="G84" s="584"/>
      <c r="H84" s="566"/>
      <c r="I84" s="566"/>
      <c r="J84" s="566"/>
      <c r="K84" s="566"/>
      <c r="L84" s="566"/>
      <c r="M84" s="565"/>
      <c r="N84" s="565"/>
      <c r="O84" s="565"/>
      <c r="P84" s="567"/>
      <c r="Q84" s="568"/>
      <c r="R84" s="569"/>
      <c r="S84" s="566"/>
      <c r="T84" s="566"/>
    </row>
    <row r="85" spans="1:20" s="585" customFormat="1" x14ac:dyDescent="0.25">
      <c r="A85" s="600"/>
      <c r="B85" s="601"/>
      <c r="C85" s="560"/>
      <c r="D85" s="603"/>
      <c r="E85" s="604"/>
      <c r="F85" s="563"/>
      <c r="G85" s="584"/>
      <c r="H85" s="565"/>
      <c r="I85" s="566"/>
      <c r="J85" s="565"/>
      <c r="K85" s="566"/>
      <c r="L85" s="565"/>
      <c r="M85" s="566"/>
      <c r="N85" s="566"/>
      <c r="O85" s="565"/>
      <c r="P85" s="567"/>
      <c r="Q85" s="568"/>
      <c r="R85" s="569"/>
      <c r="S85" s="565"/>
      <c r="T85" s="565"/>
    </row>
    <row r="86" spans="1:20" s="585" customFormat="1" x14ac:dyDescent="0.25">
      <c r="A86" s="600"/>
      <c r="B86" s="602"/>
      <c r="C86" s="560"/>
      <c r="D86" s="603"/>
      <c r="E86" s="604"/>
      <c r="F86" s="563"/>
      <c r="G86" s="584"/>
      <c r="H86" s="566"/>
      <c r="I86" s="566"/>
      <c r="J86" s="566"/>
      <c r="K86" s="566"/>
      <c r="L86" s="566"/>
      <c r="M86" s="565"/>
      <c r="N86" s="565"/>
      <c r="O86" s="565"/>
      <c r="P86" s="567"/>
      <c r="Q86" s="568"/>
      <c r="R86" s="569"/>
      <c r="S86" s="566"/>
      <c r="T86" s="566"/>
    </row>
    <row r="87" spans="1:20" s="585" customFormat="1" x14ac:dyDescent="0.25">
      <c r="A87" s="600"/>
      <c r="B87" s="601"/>
      <c r="C87" s="560"/>
      <c r="D87" s="603"/>
      <c r="E87" s="604"/>
      <c r="F87" s="563"/>
      <c r="G87" s="584"/>
      <c r="H87" s="565"/>
      <c r="I87" s="566"/>
      <c r="J87" s="565"/>
      <c r="K87" s="566"/>
      <c r="L87" s="565"/>
      <c r="M87" s="566"/>
      <c r="N87" s="566"/>
      <c r="O87" s="565"/>
      <c r="P87" s="567"/>
      <c r="Q87" s="568"/>
      <c r="R87" s="569"/>
      <c r="S87" s="565"/>
      <c r="T87" s="565"/>
    </row>
    <row r="88" spans="1:20" s="585" customFormat="1" x14ac:dyDescent="0.25">
      <c r="A88" s="600"/>
      <c r="B88" s="602"/>
      <c r="C88" s="560"/>
      <c r="D88" s="603"/>
      <c r="E88" s="604"/>
      <c r="F88" s="563"/>
      <c r="G88" s="584"/>
      <c r="H88" s="566"/>
      <c r="I88" s="566"/>
      <c r="J88" s="566"/>
      <c r="K88" s="566"/>
      <c r="L88" s="566"/>
      <c r="M88" s="565"/>
      <c r="N88" s="565"/>
      <c r="O88" s="565"/>
      <c r="P88" s="567"/>
      <c r="Q88" s="568"/>
      <c r="R88" s="569"/>
      <c r="S88" s="566"/>
      <c r="T88" s="566"/>
    </row>
    <row r="89" spans="1:20" s="585" customFormat="1" x14ac:dyDescent="0.25">
      <c r="A89" s="600"/>
      <c r="B89" s="601"/>
      <c r="C89" s="560"/>
      <c r="D89" s="603"/>
      <c r="E89" s="604"/>
      <c r="F89" s="563"/>
      <c r="G89" s="584"/>
      <c r="H89" s="565"/>
      <c r="I89" s="566"/>
      <c r="J89" s="565"/>
      <c r="K89" s="566"/>
      <c r="L89" s="565"/>
      <c r="M89" s="566"/>
      <c r="N89" s="566"/>
      <c r="O89" s="565"/>
      <c r="P89" s="567"/>
      <c r="Q89" s="568"/>
      <c r="R89" s="569"/>
      <c r="S89" s="565"/>
      <c r="T89" s="565"/>
    </row>
    <row r="90" spans="1:20" s="585" customFormat="1" x14ac:dyDescent="0.25">
      <c r="A90" s="600"/>
      <c r="B90" s="602"/>
      <c r="C90" s="560"/>
      <c r="D90" s="603"/>
      <c r="E90" s="604"/>
      <c r="F90" s="563"/>
      <c r="G90" s="584"/>
      <c r="H90" s="566"/>
      <c r="I90" s="566"/>
      <c r="J90" s="566"/>
      <c r="K90" s="566"/>
      <c r="L90" s="566"/>
      <c r="M90" s="565"/>
      <c r="N90" s="565"/>
      <c r="O90" s="565"/>
      <c r="P90" s="567"/>
      <c r="Q90" s="568"/>
      <c r="R90" s="569"/>
      <c r="S90" s="566"/>
      <c r="T90" s="566"/>
    </row>
    <row r="91" spans="1:20" s="585" customFormat="1" x14ac:dyDescent="0.25">
      <c r="A91" s="600"/>
      <c r="B91" s="601"/>
      <c r="C91" s="560"/>
      <c r="D91" s="603"/>
      <c r="E91" s="604"/>
      <c r="F91" s="563"/>
      <c r="G91" s="584"/>
      <c r="H91" s="565"/>
      <c r="I91" s="566"/>
      <c r="J91" s="565"/>
      <c r="K91" s="566"/>
      <c r="L91" s="565"/>
      <c r="M91" s="566"/>
      <c r="N91" s="566"/>
      <c r="O91" s="565"/>
      <c r="P91" s="567"/>
      <c r="Q91" s="568"/>
      <c r="R91" s="569"/>
      <c r="S91" s="566"/>
      <c r="T91" s="566"/>
    </row>
    <row r="92" spans="1:20" s="585" customFormat="1" x14ac:dyDescent="0.25">
      <c r="A92" s="600"/>
      <c r="B92" s="602"/>
      <c r="C92" s="560"/>
      <c r="D92" s="603"/>
      <c r="E92" s="604"/>
      <c r="F92" s="563"/>
      <c r="G92" s="598"/>
      <c r="H92" s="566"/>
      <c r="I92" s="566"/>
      <c r="J92" s="566"/>
      <c r="K92" s="566"/>
      <c r="L92" s="566"/>
      <c r="M92" s="565"/>
      <c r="N92" s="565"/>
      <c r="O92" s="565"/>
      <c r="P92" s="567"/>
      <c r="Q92" s="568"/>
      <c r="R92" s="569"/>
      <c r="S92" s="566"/>
      <c r="T92" s="566"/>
    </row>
    <row r="93" spans="1:20" s="585" customFormat="1" x14ac:dyDescent="0.25">
      <c r="A93" s="600"/>
      <c r="B93" s="601"/>
      <c r="C93" s="560"/>
      <c r="D93" s="582"/>
      <c r="E93" s="583"/>
      <c r="F93" s="563"/>
      <c r="G93" s="584"/>
      <c r="H93" s="565"/>
      <c r="I93" s="566"/>
      <c r="J93" s="565"/>
      <c r="K93" s="566"/>
      <c r="L93" s="565"/>
      <c r="M93" s="566"/>
      <c r="N93" s="566"/>
      <c r="O93" s="565"/>
      <c r="P93" s="567"/>
      <c r="Q93" s="568"/>
      <c r="R93" s="569"/>
      <c r="S93" s="566"/>
      <c r="T93" s="566"/>
    </row>
    <row r="94" spans="1:20" s="585" customFormat="1" x14ac:dyDescent="0.25">
      <c r="A94" s="600"/>
      <c r="B94" s="602"/>
      <c r="C94" s="560"/>
      <c r="D94" s="582"/>
      <c r="E94" s="583"/>
      <c r="F94" s="563"/>
      <c r="G94" s="598"/>
      <c r="H94" s="566"/>
      <c r="I94" s="566"/>
      <c r="J94" s="566"/>
      <c r="K94" s="566"/>
      <c r="L94" s="566"/>
      <c r="M94" s="565"/>
      <c r="N94" s="565"/>
      <c r="O94" s="565"/>
      <c r="P94" s="567"/>
      <c r="Q94" s="568"/>
      <c r="R94" s="569"/>
      <c r="S94" s="566"/>
      <c r="T94" s="566"/>
    </row>
    <row r="95" spans="1:20" s="585" customFormat="1" x14ac:dyDescent="0.25">
      <c r="A95" s="600"/>
      <c r="B95" s="601"/>
      <c r="C95" s="560"/>
      <c r="D95" s="582"/>
      <c r="E95" s="583"/>
      <c r="F95" s="563"/>
      <c r="G95" s="584"/>
      <c r="H95" s="565"/>
      <c r="I95" s="566"/>
      <c r="J95" s="565"/>
      <c r="K95" s="566"/>
      <c r="L95" s="565"/>
      <c r="M95" s="566"/>
      <c r="N95" s="566"/>
      <c r="O95" s="565"/>
      <c r="P95" s="567"/>
      <c r="Q95" s="568"/>
      <c r="R95" s="569"/>
      <c r="S95" s="566"/>
      <c r="T95" s="566"/>
    </row>
    <row r="96" spans="1:20" s="585" customFormat="1" x14ac:dyDescent="0.25">
      <c r="A96" s="600"/>
      <c r="B96" s="602"/>
      <c r="C96" s="560"/>
      <c r="D96" s="582"/>
      <c r="E96" s="583"/>
      <c r="F96" s="563"/>
      <c r="G96" s="598"/>
      <c r="H96" s="566"/>
      <c r="I96" s="566"/>
      <c r="J96" s="566"/>
      <c r="K96" s="566"/>
      <c r="L96" s="566"/>
      <c r="M96" s="565"/>
      <c r="N96" s="565"/>
      <c r="O96" s="565"/>
      <c r="P96" s="567"/>
      <c r="Q96" s="568"/>
      <c r="R96" s="569"/>
      <c r="S96" s="566"/>
      <c r="T96" s="566"/>
    </row>
    <row r="97" spans="1:34" s="585" customFormat="1" x14ac:dyDescent="0.25">
      <c r="A97" s="600"/>
      <c r="B97" s="601"/>
      <c r="C97" s="560"/>
      <c r="D97" s="582"/>
      <c r="E97" s="583"/>
      <c r="F97" s="563"/>
      <c r="G97" s="584"/>
      <c r="H97" s="565"/>
      <c r="I97" s="566"/>
      <c r="J97" s="565"/>
      <c r="K97" s="566"/>
      <c r="L97" s="565"/>
      <c r="M97" s="566"/>
      <c r="N97" s="566"/>
      <c r="O97" s="565"/>
      <c r="P97" s="567"/>
      <c r="Q97" s="568"/>
      <c r="R97" s="569"/>
      <c r="S97" s="566"/>
      <c r="T97" s="566"/>
    </row>
    <row r="98" spans="1:34" s="585" customFormat="1" x14ac:dyDescent="0.25">
      <c r="A98" s="600"/>
      <c r="B98" s="602"/>
      <c r="C98" s="560"/>
      <c r="D98" s="582"/>
      <c r="E98" s="583"/>
      <c r="F98" s="563"/>
      <c r="G98" s="598"/>
      <c r="H98" s="566"/>
      <c r="I98" s="566"/>
      <c r="J98" s="566"/>
      <c r="K98" s="566"/>
      <c r="L98" s="566"/>
      <c r="M98" s="565"/>
      <c r="N98" s="565"/>
      <c r="O98" s="565"/>
      <c r="P98" s="567"/>
      <c r="Q98" s="568"/>
      <c r="R98" s="569"/>
      <c r="S98" s="566"/>
      <c r="T98" s="566"/>
    </row>
    <row r="99" spans="1:34" s="585" customFormat="1" x14ac:dyDescent="0.25">
      <c r="A99" s="600"/>
      <c r="B99" s="601"/>
      <c r="C99" s="560"/>
      <c r="D99" s="582"/>
      <c r="E99" s="583"/>
      <c r="F99" s="563"/>
      <c r="G99" s="584"/>
      <c r="H99" s="565"/>
      <c r="I99" s="566"/>
      <c r="J99" s="565"/>
      <c r="K99" s="566"/>
      <c r="L99" s="565"/>
      <c r="M99" s="566"/>
      <c r="N99" s="566"/>
      <c r="O99" s="565"/>
      <c r="P99" s="567"/>
      <c r="Q99" s="568"/>
      <c r="R99" s="569"/>
      <c r="S99" s="565"/>
      <c r="T99" s="565"/>
    </row>
    <row r="100" spans="1:34" s="585" customFormat="1" x14ac:dyDescent="0.25">
      <c r="A100" s="600"/>
      <c r="B100" s="602"/>
      <c r="C100" s="560"/>
      <c r="D100" s="582"/>
      <c r="E100" s="583"/>
      <c r="F100" s="563"/>
      <c r="G100" s="584"/>
      <c r="H100" s="566"/>
      <c r="I100" s="566"/>
      <c r="J100" s="566"/>
      <c r="K100" s="566"/>
      <c r="L100" s="565"/>
      <c r="M100" s="565"/>
      <c r="N100" s="565"/>
      <c r="O100" s="565"/>
      <c r="P100" s="567"/>
      <c r="Q100" s="568"/>
      <c r="R100" s="569"/>
      <c r="S100" s="566"/>
      <c r="T100" s="566"/>
    </row>
    <row r="101" spans="1:34" s="585" customFormat="1" x14ac:dyDescent="0.25">
      <c r="A101" s="600"/>
      <c r="B101" s="601"/>
      <c r="C101" s="560"/>
      <c r="D101" s="582"/>
      <c r="E101" s="583"/>
      <c r="F101" s="563"/>
      <c r="G101" s="584"/>
      <c r="H101" s="565"/>
      <c r="I101" s="566"/>
      <c r="J101" s="565"/>
      <c r="K101" s="566"/>
      <c r="L101" s="565"/>
      <c r="M101" s="566"/>
      <c r="N101" s="566"/>
      <c r="O101" s="565"/>
      <c r="P101" s="567"/>
      <c r="Q101" s="568"/>
      <c r="R101" s="569"/>
      <c r="S101" s="565"/>
      <c r="T101" s="565"/>
      <c r="V101" s="1"/>
      <c r="W101" s="226"/>
      <c r="X101" s="226"/>
      <c r="Y101" s="898" t="s">
        <v>366</v>
      </c>
      <c r="Z101" s="898"/>
      <c r="AA101" s="898"/>
      <c r="AB101" s="551"/>
      <c r="AC101" s="551"/>
      <c r="AD101" s="551"/>
      <c r="AE101" s="551"/>
      <c r="AF101" s="551"/>
      <c r="AG101" s="356"/>
      <c r="AH101" s="356"/>
    </row>
    <row r="102" spans="1:34" s="585" customFormat="1" x14ac:dyDescent="0.25">
      <c r="A102" s="600"/>
      <c r="B102" s="602"/>
      <c r="C102" s="560"/>
      <c r="D102" s="582"/>
      <c r="E102" s="583"/>
      <c r="F102" s="563"/>
      <c r="G102" s="584"/>
      <c r="H102" s="566"/>
      <c r="I102" s="566"/>
      <c r="J102" s="566"/>
      <c r="K102" s="566"/>
      <c r="L102" s="565"/>
      <c r="M102" s="565"/>
      <c r="N102" s="565"/>
      <c r="O102" s="565"/>
      <c r="P102" s="567"/>
      <c r="Q102" s="568"/>
      <c r="R102" s="569"/>
      <c r="S102" s="566"/>
      <c r="T102" s="566"/>
      <c r="V102" s="1"/>
      <c r="W102" s="226"/>
      <c r="X102" s="226"/>
      <c r="Y102" s="354"/>
      <c r="Z102" s="354"/>
      <c r="AA102" s="354"/>
      <c r="AB102" s="551" t="s">
        <v>81</v>
      </c>
      <c r="AC102" s="551" t="s">
        <v>6</v>
      </c>
      <c r="AD102" s="551" t="s">
        <v>5</v>
      </c>
      <c r="AE102" s="551" t="s">
        <v>174</v>
      </c>
      <c r="AF102" s="551" t="s">
        <v>175</v>
      </c>
      <c r="AG102" s="356" t="s">
        <v>176</v>
      </c>
      <c r="AH102" s="356" t="s">
        <v>177</v>
      </c>
    </row>
    <row r="103" spans="1:34" s="585" customFormat="1" x14ac:dyDescent="0.25">
      <c r="A103" s="600"/>
      <c r="B103" s="601"/>
      <c r="C103" s="560"/>
      <c r="D103" s="582"/>
      <c r="E103" s="583"/>
      <c r="F103" s="563"/>
      <c r="G103" s="584"/>
      <c r="H103" s="565"/>
      <c r="I103" s="566"/>
      <c r="J103" s="565"/>
      <c r="K103" s="566"/>
      <c r="L103" s="565"/>
      <c r="M103" s="566"/>
      <c r="N103" s="566"/>
      <c r="O103" s="565"/>
      <c r="P103" s="567"/>
      <c r="Q103" s="568"/>
      <c r="R103" s="569"/>
      <c r="S103" s="565"/>
      <c r="T103" s="565"/>
      <c r="V103" s="224"/>
      <c r="W103" s="225"/>
      <c r="X103" s="225"/>
      <c r="Y103" s="899" t="s">
        <v>367</v>
      </c>
      <c r="Z103" s="899"/>
      <c r="AA103" s="899"/>
      <c r="AB103" s="357">
        <f>5.925*5.9</f>
        <v>34.957500000000003</v>
      </c>
      <c r="AC103" s="548">
        <v>35</v>
      </c>
      <c r="AD103" s="548" t="s">
        <v>101</v>
      </c>
      <c r="AE103" s="359">
        <f>4500/1.12</f>
        <v>4017.8571428571427</v>
      </c>
      <c r="AF103" s="360">
        <f>AE103*AC103</f>
        <v>140625</v>
      </c>
      <c r="AG103" s="361">
        <v>375</v>
      </c>
      <c r="AH103" s="362">
        <f>AG103*AC103</f>
        <v>13125</v>
      </c>
    </row>
    <row r="104" spans="1:34" s="585" customFormat="1" x14ac:dyDescent="0.25">
      <c r="A104" s="600"/>
      <c r="B104" s="602"/>
      <c r="C104" s="560"/>
      <c r="D104" s="582"/>
      <c r="E104" s="583"/>
      <c r="F104" s="563"/>
      <c r="G104" s="598"/>
      <c r="H104" s="566"/>
      <c r="I104" s="566"/>
      <c r="J104" s="566"/>
      <c r="K104" s="566"/>
      <c r="L104" s="565"/>
      <c r="M104" s="565"/>
      <c r="N104" s="565"/>
      <c r="O104" s="565"/>
      <c r="P104" s="567"/>
      <c r="Q104" s="568"/>
      <c r="R104" s="569"/>
      <c r="S104" s="566"/>
      <c r="T104" s="566"/>
      <c r="V104" s="224"/>
      <c r="W104" s="225"/>
      <c r="X104" s="225"/>
      <c r="Y104" s="899" t="s">
        <v>368</v>
      </c>
      <c r="Z104" s="899"/>
      <c r="AA104" s="899"/>
      <c r="AB104" s="548">
        <f>2*3.5</f>
        <v>7</v>
      </c>
      <c r="AC104" s="548">
        <v>12</v>
      </c>
      <c r="AD104" s="548" t="s">
        <v>100</v>
      </c>
      <c r="AE104" s="360">
        <f>7.4*50</f>
        <v>370</v>
      </c>
      <c r="AF104" s="360">
        <f>AE104*AC104</f>
        <v>4440</v>
      </c>
      <c r="AG104" s="362">
        <v>85</v>
      </c>
      <c r="AH104" s="362">
        <f>AG104*AC104</f>
        <v>1020</v>
      </c>
    </row>
    <row r="105" spans="1:34" s="585" customFormat="1" x14ac:dyDescent="0.25">
      <c r="A105" s="600"/>
      <c r="B105" s="602"/>
      <c r="C105" s="560"/>
      <c r="D105" s="582"/>
      <c r="E105" s="583"/>
      <c r="F105" s="563"/>
      <c r="G105" s="598"/>
      <c r="H105" s="566"/>
      <c r="I105" s="566"/>
      <c r="J105" s="566"/>
      <c r="K105" s="566"/>
      <c r="L105" s="565"/>
      <c r="M105" s="565"/>
      <c r="N105" s="565"/>
      <c r="O105" s="565"/>
      <c r="P105" s="567"/>
      <c r="Q105" s="568"/>
      <c r="R105" s="569"/>
      <c r="S105" s="566"/>
      <c r="T105" s="566"/>
      <c r="V105" s="224"/>
      <c r="W105" s="225"/>
      <c r="X105" s="225"/>
      <c r="Y105" s="899" t="s">
        <v>369</v>
      </c>
      <c r="Z105" s="899"/>
      <c r="AA105" s="899"/>
      <c r="AB105" s="548">
        <v>11.8</v>
      </c>
      <c r="AC105" s="548">
        <v>12</v>
      </c>
      <c r="AD105" s="548" t="s">
        <v>100</v>
      </c>
      <c r="AE105" s="360">
        <f>47.1*36/1.12</f>
        <v>1513.9285714285713</v>
      </c>
      <c r="AF105" s="360">
        <f>AE105*AC105</f>
        <v>18167.142857142855</v>
      </c>
      <c r="AG105" s="362">
        <v>200</v>
      </c>
      <c r="AH105" s="362">
        <f>AG105*AC105</f>
        <v>2400</v>
      </c>
    </row>
    <row r="106" spans="1:34" s="585" customFormat="1" x14ac:dyDescent="0.25">
      <c r="A106" s="600"/>
      <c r="B106" s="601"/>
      <c r="C106" s="560"/>
      <c r="D106" s="582"/>
      <c r="E106" s="583"/>
      <c r="F106" s="563"/>
      <c r="G106" s="584"/>
      <c r="H106" s="565"/>
      <c r="I106" s="566"/>
      <c r="J106" s="565"/>
      <c r="K106" s="566"/>
      <c r="L106" s="565"/>
      <c r="M106" s="566"/>
      <c r="N106" s="566"/>
      <c r="O106" s="565"/>
      <c r="P106" s="567"/>
      <c r="Q106" s="568"/>
      <c r="R106" s="569"/>
      <c r="S106" s="565"/>
      <c r="T106" s="565"/>
      <c r="V106" s="1"/>
      <c r="W106" s="226"/>
      <c r="X106" s="226"/>
      <c r="Y106" s="899" t="s">
        <v>370</v>
      </c>
      <c r="Z106" s="899"/>
      <c r="AA106" s="899"/>
      <c r="AB106" s="363">
        <f>(5.825*7)+(5.9*2)</f>
        <v>52.575000000000003</v>
      </c>
      <c r="AC106" s="548">
        <v>54</v>
      </c>
      <c r="AD106" s="548" t="s">
        <v>100</v>
      </c>
      <c r="AE106" s="360">
        <f>33*36/1.12</f>
        <v>1060.7142857142856</v>
      </c>
      <c r="AF106" s="360">
        <f>AE106*AC106</f>
        <v>57278.57142857142</v>
      </c>
      <c r="AG106" s="362">
        <v>130</v>
      </c>
      <c r="AH106" s="362">
        <f>AG106*AC106</f>
        <v>7020</v>
      </c>
    </row>
    <row r="107" spans="1:34" s="585" customFormat="1" x14ac:dyDescent="0.25">
      <c r="A107" s="600"/>
      <c r="B107" s="602"/>
      <c r="C107" s="560"/>
      <c r="D107" s="582"/>
      <c r="E107" s="583"/>
      <c r="F107" s="563"/>
      <c r="G107" s="598"/>
      <c r="H107" s="566"/>
      <c r="I107" s="566"/>
      <c r="J107" s="566"/>
      <c r="K107" s="566"/>
      <c r="L107" s="565"/>
      <c r="M107" s="565"/>
      <c r="N107" s="565"/>
      <c r="O107" s="565"/>
      <c r="P107" s="567"/>
      <c r="Q107" s="568"/>
      <c r="R107" s="569"/>
      <c r="S107" s="566"/>
      <c r="T107" s="566"/>
      <c r="V107" s="579"/>
      <c r="W107" s="573"/>
      <c r="X107" s="573"/>
      <c r="Y107" s="930" t="s">
        <v>371</v>
      </c>
      <c r="Z107" s="930"/>
      <c r="AA107" s="930"/>
      <c r="AB107" s="631">
        <f>(5.825*1)</f>
        <v>5.8250000000000002</v>
      </c>
      <c r="AC107" s="632">
        <v>6</v>
      </c>
      <c r="AD107" s="632" t="s">
        <v>100</v>
      </c>
      <c r="AE107" s="633">
        <f>9.42*36/1.075</f>
        <v>315.46046511627907</v>
      </c>
      <c r="AF107" s="633">
        <f>AE107*AC107</f>
        <v>1892.7627906976745</v>
      </c>
      <c r="AG107" s="634">
        <v>35</v>
      </c>
      <c r="AH107" s="634">
        <f>AG107*AC107</f>
        <v>210</v>
      </c>
    </row>
    <row r="108" spans="1:34" s="585" customFormat="1" x14ac:dyDescent="0.25">
      <c r="A108" s="618"/>
      <c r="B108" s="602"/>
      <c r="C108" s="560"/>
      <c r="D108" s="582"/>
      <c r="E108" s="583"/>
      <c r="F108" s="563"/>
      <c r="G108" s="598"/>
      <c r="H108" s="566"/>
      <c r="I108" s="566"/>
      <c r="J108" s="566"/>
      <c r="K108" s="566"/>
      <c r="L108" s="565"/>
      <c r="M108" s="565"/>
      <c r="N108" s="565"/>
      <c r="O108" s="565"/>
      <c r="P108" s="567"/>
      <c r="Q108" s="568"/>
      <c r="R108" s="569"/>
      <c r="S108" s="566"/>
      <c r="T108" s="566"/>
      <c r="V108" s="930" t="s">
        <v>372</v>
      </c>
      <c r="W108" s="930"/>
      <c r="X108" s="930"/>
      <c r="Y108" s="930"/>
      <c r="Z108" s="930"/>
      <c r="AA108" s="930"/>
      <c r="AB108" s="635">
        <f>7*5.925</f>
        <v>41.475000000000001</v>
      </c>
      <c r="AC108" s="632">
        <v>42</v>
      </c>
      <c r="AD108" s="636" t="s">
        <v>100</v>
      </c>
      <c r="AE108" s="633">
        <f>4.7*70/1.12</f>
        <v>293.75</v>
      </c>
      <c r="AF108" s="633">
        <f t="shared" ref="AF108:AF113" si="63">AE108*AC108</f>
        <v>12337.5</v>
      </c>
      <c r="AG108" s="634">
        <v>60</v>
      </c>
      <c r="AH108" s="634">
        <f t="shared" ref="AH108:AH113" si="64">AG108*AC108</f>
        <v>2520</v>
      </c>
    </row>
    <row r="109" spans="1:34" s="585" customFormat="1" ht="15" customHeight="1" x14ac:dyDescent="0.25">
      <c r="A109" s="620"/>
      <c r="B109" s="601"/>
      <c r="C109" s="560"/>
      <c r="D109" s="582"/>
      <c r="E109" s="583"/>
      <c r="F109" s="563"/>
      <c r="G109" s="584"/>
      <c r="H109" s="565"/>
      <c r="I109" s="566"/>
      <c r="J109" s="565"/>
      <c r="K109" s="566"/>
      <c r="L109" s="565"/>
      <c r="M109" s="566"/>
      <c r="N109" s="566"/>
      <c r="O109" s="565"/>
      <c r="P109" s="567"/>
      <c r="Q109" s="568"/>
      <c r="R109" s="569"/>
      <c r="S109" s="565"/>
      <c r="T109" s="565"/>
      <c r="V109" s="1"/>
      <c r="W109" s="226"/>
      <c r="X109" s="226"/>
      <c r="Y109" s="899" t="s">
        <v>373</v>
      </c>
      <c r="Z109" s="899"/>
      <c r="AA109" s="899"/>
      <c r="AB109" s="357">
        <v>5.83</v>
      </c>
      <c r="AC109" s="548">
        <v>6</v>
      </c>
      <c r="AD109" s="364" t="s">
        <v>100</v>
      </c>
      <c r="AE109" s="360">
        <f>600/1.05</f>
        <v>571.42857142857144</v>
      </c>
      <c r="AF109" s="360">
        <f t="shared" si="63"/>
        <v>3428.5714285714284</v>
      </c>
      <c r="AG109" s="362">
        <v>150</v>
      </c>
      <c r="AH109" s="362">
        <f t="shared" si="64"/>
        <v>900</v>
      </c>
    </row>
    <row r="110" spans="1:34" s="585" customFormat="1" x14ac:dyDescent="0.25">
      <c r="A110" s="600"/>
      <c r="B110" s="602"/>
      <c r="C110" s="560"/>
      <c r="D110" s="582"/>
      <c r="E110" s="583"/>
      <c r="F110" s="563"/>
      <c r="G110" s="598"/>
      <c r="H110" s="566"/>
      <c r="I110" s="566"/>
      <c r="J110" s="566"/>
      <c r="K110" s="566"/>
      <c r="L110" s="565"/>
      <c r="M110" s="565"/>
      <c r="N110" s="565"/>
      <c r="O110" s="565"/>
      <c r="P110" s="567"/>
      <c r="Q110" s="568"/>
      <c r="R110" s="569"/>
      <c r="S110" s="566"/>
      <c r="T110" s="566"/>
      <c r="V110" s="1"/>
      <c r="W110" s="226"/>
      <c r="X110" s="226"/>
      <c r="Y110" s="899" t="s">
        <v>374</v>
      </c>
      <c r="Z110" s="899"/>
      <c r="AA110" s="899"/>
      <c r="AB110" s="357">
        <v>2</v>
      </c>
      <c r="AC110" s="548">
        <v>2</v>
      </c>
      <c r="AD110" s="364" t="s">
        <v>283</v>
      </c>
      <c r="AE110" s="360">
        <f>14.13*60</f>
        <v>847.80000000000007</v>
      </c>
      <c r="AF110" s="360">
        <f t="shared" si="63"/>
        <v>1695.6000000000001</v>
      </c>
      <c r="AG110" s="362">
        <v>151</v>
      </c>
      <c r="AH110" s="362">
        <f t="shared" si="64"/>
        <v>302</v>
      </c>
    </row>
    <row r="111" spans="1:34" s="585" customFormat="1" x14ac:dyDescent="0.25">
      <c r="A111" s="600"/>
      <c r="B111" s="601"/>
      <c r="C111" s="560"/>
      <c r="D111" s="582"/>
      <c r="E111" s="583"/>
      <c r="F111" s="563"/>
      <c r="G111" s="584"/>
      <c r="H111" s="565"/>
      <c r="I111" s="566"/>
      <c r="J111" s="565"/>
      <c r="K111" s="566"/>
      <c r="L111" s="565"/>
      <c r="M111" s="566"/>
      <c r="N111" s="566"/>
      <c r="O111" s="565"/>
      <c r="P111" s="567"/>
      <c r="Q111" s="568"/>
      <c r="R111" s="569"/>
      <c r="S111" s="565"/>
      <c r="T111" s="565"/>
      <c r="V111" s="1"/>
      <c r="W111" s="226"/>
      <c r="X111" s="226"/>
      <c r="Y111" s="899" t="s">
        <v>375</v>
      </c>
      <c r="Z111" s="899"/>
      <c r="AA111" s="899"/>
      <c r="AB111" s="357">
        <v>2</v>
      </c>
      <c r="AC111" s="548">
        <v>2</v>
      </c>
      <c r="AD111" s="364" t="s">
        <v>283</v>
      </c>
      <c r="AE111" s="360">
        <f>24.72*60</f>
        <v>1483.1999999999998</v>
      </c>
      <c r="AF111" s="360">
        <f t="shared" si="63"/>
        <v>2966.3999999999996</v>
      </c>
      <c r="AG111" s="362">
        <v>152</v>
      </c>
      <c r="AH111" s="362">
        <f t="shared" si="64"/>
        <v>304</v>
      </c>
    </row>
    <row r="112" spans="1:34" s="585" customFormat="1" x14ac:dyDescent="0.25">
      <c r="A112" s="600"/>
      <c r="B112" s="602"/>
      <c r="C112" s="560"/>
      <c r="D112" s="582"/>
      <c r="E112" s="583"/>
      <c r="F112" s="563"/>
      <c r="G112" s="598"/>
      <c r="H112" s="566"/>
      <c r="I112" s="566"/>
      <c r="J112" s="566"/>
      <c r="K112" s="566"/>
      <c r="L112" s="565"/>
      <c r="M112" s="565"/>
      <c r="N112" s="565"/>
      <c r="O112" s="565"/>
      <c r="P112" s="567"/>
      <c r="Q112" s="568"/>
      <c r="R112" s="569"/>
      <c r="S112" s="566"/>
      <c r="T112" s="566"/>
      <c r="V112" s="1"/>
      <c r="W112" s="226"/>
      <c r="X112" s="226"/>
      <c r="Y112" s="899" t="s">
        <v>376</v>
      </c>
      <c r="Z112" s="899"/>
      <c r="AA112" s="899"/>
      <c r="AB112" s="357">
        <f>4*4</f>
        <v>16</v>
      </c>
      <c r="AC112" s="548">
        <v>16</v>
      </c>
      <c r="AD112" s="364" t="s">
        <v>283</v>
      </c>
      <c r="AE112" s="360">
        <v>160</v>
      </c>
      <c r="AF112" s="360">
        <f t="shared" si="63"/>
        <v>2560</v>
      </c>
      <c r="AG112" s="362">
        <v>35</v>
      </c>
      <c r="AH112" s="362">
        <f t="shared" si="64"/>
        <v>560</v>
      </c>
    </row>
    <row r="113" spans="1:34" s="585" customFormat="1" x14ac:dyDescent="0.25">
      <c r="A113" s="600"/>
      <c r="B113" s="601"/>
      <c r="C113" s="560"/>
      <c r="D113" s="582"/>
      <c r="E113" s="583"/>
      <c r="F113" s="563"/>
      <c r="G113" s="584"/>
      <c r="H113" s="565"/>
      <c r="I113" s="566"/>
      <c r="J113" s="565"/>
      <c r="K113" s="566"/>
      <c r="L113" s="565"/>
      <c r="M113" s="566"/>
      <c r="N113" s="566"/>
      <c r="O113" s="565"/>
      <c r="P113" s="567"/>
      <c r="Q113" s="568"/>
      <c r="R113" s="569"/>
      <c r="S113" s="565"/>
      <c r="T113" s="565"/>
      <c r="V113" s="1"/>
      <c r="W113" s="226"/>
      <c r="X113" s="226"/>
      <c r="Y113" s="899" t="s">
        <v>377</v>
      </c>
      <c r="Z113" s="899"/>
      <c r="AA113" s="899"/>
      <c r="AB113" s="357">
        <v>58</v>
      </c>
      <c r="AC113" s="548">
        <v>60</v>
      </c>
      <c r="AD113" s="364" t="s">
        <v>101</v>
      </c>
      <c r="AE113" s="360">
        <v>65</v>
      </c>
      <c r="AF113" s="360">
        <f t="shared" si="63"/>
        <v>3900</v>
      </c>
      <c r="AG113" s="362">
        <v>65</v>
      </c>
      <c r="AH113" s="362">
        <f t="shared" si="64"/>
        <v>3900</v>
      </c>
    </row>
    <row r="114" spans="1:34" s="585" customFormat="1" x14ac:dyDescent="0.25">
      <c r="A114" s="600"/>
      <c r="B114" s="602"/>
      <c r="C114" s="560"/>
      <c r="D114" s="582"/>
      <c r="E114" s="583"/>
      <c r="F114" s="563"/>
      <c r="G114" s="598"/>
      <c r="H114" s="566"/>
      <c r="I114" s="566"/>
      <c r="J114" s="566"/>
      <c r="K114" s="566"/>
      <c r="L114" s="565"/>
      <c r="M114" s="565"/>
      <c r="N114" s="565"/>
      <c r="O114" s="565"/>
      <c r="P114" s="567"/>
      <c r="Q114" s="568"/>
      <c r="R114" s="569"/>
      <c r="S114" s="566"/>
      <c r="T114" s="566"/>
      <c r="V114" s="1"/>
      <c r="W114" s="226"/>
      <c r="X114" s="226"/>
      <c r="Y114" s="899" t="s">
        <v>378</v>
      </c>
      <c r="Z114" s="899"/>
      <c r="AA114" s="899"/>
      <c r="AB114" s="548">
        <v>1</v>
      </c>
      <c r="AC114" s="548">
        <v>1</v>
      </c>
      <c r="AD114" s="548" t="s">
        <v>301</v>
      </c>
      <c r="AE114" s="360">
        <v>2000</v>
      </c>
      <c r="AF114" s="360">
        <f>AE114*AC114</f>
        <v>2000</v>
      </c>
      <c r="AG114" s="362">
        <v>500</v>
      </c>
      <c r="AH114" s="362">
        <f>AG114*AC114</f>
        <v>500</v>
      </c>
    </row>
    <row r="115" spans="1:34" s="585" customFormat="1" x14ac:dyDescent="0.25">
      <c r="A115" s="600"/>
      <c r="B115" s="601"/>
      <c r="C115" s="560"/>
      <c r="D115" s="582"/>
      <c r="E115" s="583"/>
      <c r="F115" s="563"/>
      <c r="G115" s="584"/>
      <c r="H115" s="565"/>
      <c r="I115" s="566"/>
      <c r="J115" s="565"/>
      <c r="K115" s="566"/>
      <c r="L115" s="565"/>
      <c r="M115" s="566"/>
      <c r="N115" s="566"/>
      <c r="O115" s="565"/>
      <c r="P115" s="567"/>
      <c r="Q115" s="568"/>
      <c r="R115" s="569"/>
      <c r="S115" s="565"/>
      <c r="T115" s="565"/>
      <c r="V115" s="1"/>
      <c r="W115" s="226"/>
      <c r="X115" s="226"/>
      <c r="Y115" s="899" t="s">
        <v>379</v>
      </c>
      <c r="Z115" s="899"/>
      <c r="AA115" s="899"/>
      <c r="AB115" s="548">
        <v>1</v>
      </c>
      <c r="AC115" s="548">
        <v>1</v>
      </c>
      <c r="AD115" s="548" t="s">
        <v>301</v>
      </c>
      <c r="AE115" s="360">
        <v>2000</v>
      </c>
      <c r="AF115" s="360">
        <f>AE115*AC115</f>
        <v>2000</v>
      </c>
      <c r="AG115" s="362">
        <v>1000</v>
      </c>
      <c r="AH115" s="362">
        <f>AG115*AC115</f>
        <v>1000</v>
      </c>
    </row>
    <row r="116" spans="1:34" s="585" customFormat="1" x14ac:dyDescent="0.25">
      <c r="A116" s="600"/>
      <c r="B116" s="602"/>
      <c r="C116" s="560"/>
      <c r="D116" s="582"/>
      <c r="E116" s="583"/>
      <c r="F116" s="563"/>
      <c r="G116" s="598"/>
      <c r="H116" s="566"/>
      <c r="I116" s="566"/>
      <c r="J116" s="566"/>
      <c r="K116" s="566"/>
      <c r="L116" s="566"/>
      <c r="M116" s="565"/>
      <c r="N116" s="565"/>
      <c r="O116" s="565"/>
      <c r="P116" s="567"/>
      <c r="Q116" s="568"/>
      <c r="R116" s="569"/>
      <c r="S116" s="566"/>
      <c r="T116" s="579"/>
      <c r="V116" s="1"/>
      <c r="W116" s="226"/>
      <c r="X116" s="226"/>
      <c r="Y116" s="226"/>
      <c r="Z116" s="226"/>
      <c r="AA116" s="226"/>
      <c r="AB116" s="226"/>
      <c r="AC116" s="226"/>
      <c r="AD116" s="226"/>
      <c r="AE116" s="226"/>
      <c r="AF116" s="365">
        <f>SUM(AF103:AF115)</f>
        <v>253291.54850498337</v>
      </c>
      <c r="AG116" s="60"/>
      <c r="AH116" s="366">
        <f>SUM(AH103:AH115)</f>
        <v>33761</v>
      </c>
    </row>
    <row r="117" spans="1:34" x14ac:dyDescent="0.25">
      <c r="A117" s="238"/>
      <c r="B117" s="245"/>
      <c r="C117" s="293"/>
      <c r="D117" s="83"/>
      <c r="E117" s="242"/>
      <c r="F117" s="302"/>
      <c r="G117" s="75"/>
      <c r="H117" s="74"/>
      <c r="I117" s="74"/>
      <c r="J117" s="74"/>
      <c r="K117" s="74"/>
      <c r="L117" s="74"/>
      <c r="M117" s="72"/>
      <c r="N117" s="72"/>
      <c r="O117" s="72"/>
      <c r="P117" s="205"/>
      <c r="Q117" s="272">
        <f t="shared" ref="Q117:Q134" si="65">L117/$P$255*$P$263</f>
        <v>0</v>
      </c>
      <c r="R117" s="439"/>
      <c r="AF117" s="220"/>
    </row>
    <row r="118" spans="1:34" x14ac:dyDescent="0.25">
      <c r="A118" s="238"/>
      <c r="B118" s="289" t="s">
        <v>330</v>
      </c>
      <c r="C118" s="300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72"/>
      <c r="N118" s="72"/>
      <c r="O118" s="72"/>
      <c r="P118" s="205"/>
      <c r="Q118" s="272">
        <f t="shared" si="65"/>
        <v>0</v>
      </c>
      <c r="R118" s="439"/>
      <c r="W118" s="929" t="s">
        <v>275</v>
      </c>
      <c r="X118" s="929"/>
      <c r="Y118" s="622" t="s">
        <v>243</v>
      </c>
      <c r="Z118" s="622" t="s">
        <v>244</v>
      </c>
      <c r="AA118" s="622" t="s">
        <v>245</v>
      </c>
      <c r="AB118" s="622" t="s">
        <v>246</v>
      </c>
      <c r="AC118" s="622" t="s">
        <v>247</v>
      </c>
      <c r="AD118" s="623" t="s">
        <v>248</v>
      </c>
      <c r="AE118" s="622" t="s">
        <v>249</v>
      </c>
    </row>
    <row r="119" spans="1:34" x14ac:dyDescent="0.25">
      <c r="A119" s="238"/>
      <c r="B119" s="249"/>
      <c r="C119" s="293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328">
        <f>2400/1.05</f>
        <v>2285.7142857142858</v>
      </c>
      <c r="I119" s="67">
        <f>F119*H119</f>
        <v>45714.285714285717</v>
      </c>
      <c r="J119" s="74">
        <v>350</v>
      </c>
      <c r="K119" s="67">
        <f t="shared" ref="K119:K120" si="66">F119*J119</f>
        <v>7000</v>
      </c>
      <c r="L119" s="72">
        <f t="shared" ref="L119:L120" si="67">I119+K119</f>
        <v>52714.285714285717</v>
      </c>
      <c r="M119" s="67">
        <f>H119/$P$255*$P$263</f>
        <v>4037.5804465807905</v>
      </c>
      <c r="N119" s="67">
        <f>J119/$P$255*$P$263</f>
        <v>618.25450588268347</v>
      </c>
      <c r="O119" s="72">
        <f t="shared" ref="O119:O120" si="68">N119+M119</f>
        <v>4655.8349524634741</v>
      </c>
      <c r="P119" s="203">
        <f t="shared" ref="P119:P120" si="69">O119*F119</f>
        <v>93116.699049269489</v>
      </c>
      <c r="Q119" s="272">
        <f t="shared" si="65"/>
        <v>93116.699049269489</v>
      </c>
      <c r="R119" s="439">
        <f t="shared" si="62"/>
        <v>0</v>
      </c>
      <c r="W119" s="891" t="s">
        <v>276</v>
      </c>
      <c r="X119" s="891"/>
      <c r="Y119" s="544" t="s">
        <v>100</v>
      </c>
      <c r="Z119" s="544">
        <v>26</v>
      </c>
      <c r="AA119" s="544">
        <f>5*6</f>
        <v>30</v>
      </c>
      <c r="AB119" s="144">
        <f>270/1.05</f>
        <v>257.14285714285711</v>
      </c>
      <c r="AC119" s="144">
        <f t="shared" ref="AC119:AC127" si="70">AB119*AA119</f>
        <v>7714.2857142857138</v>
      </c>
      <c r="AD119" s="144">
        <v>150</v>
      </c>
      <c r="AE119" s="144">
        <f t="shared" ref="AE119:AE127" si="71">AD119*AA119</f>
        <v>4500</v>
      </c>
    </row>
    <row r="120" spans="1:34" x14ac:dyDescent="0.25">
      <c r="A120" s="238"/>
      <c r="B120" s="249"/>
      <c r="C120" s="293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328">
        <f>350/1.05</f>
        <v>333.33333333333331</v>
      </c>
      <c r="I120" s="67">
        <f>F120*H120</f>
        <v>16000</v>
      </c>
      <c r="J120" s="74">
        <v>75</v>
      </c>
      <c r="K120" s="67">
        <f t="shared" si="66"/>
        <v>3600</v>
      </c>
      <c r="L120" s="72">
        <f t="shared" si="67"/>
        <v>19600</v>
      </c>
      <c r="M120" s="67">
        <f>H120/$P$255*$P$263</f>
        <v>588.81381512636517</v>
      </c>
      <c r="N120" s="67">
        <f>J120/$P$255*$P$263</f>
        <v>132.4831084034322</v>
      </c>
      <c r="O120" s="72">
        <f t="shared" si="68"/>
        <v>721.29692352979737</v>
      </c>
      <c r="P120" s="203">
        <f t="shared" si="69"/>
        <v>34622.252329430274</v>
      </c>
      <c r="Q120" s="272">
        <f t="shared" si="65"/>
        <v>34622.252329430281</v>
      </c>
      <c r="R120" s="439">
        <f t="shared" si="62"/>
        <v>0</v>
      </c>
      <c r="W120" s="891" t="s">
        <v>277</v>
      </c>
      <c r="X120" s="891"/>
      <c r="Y120" s="544" t="s">
        <v>283</v>
      </c>
      <c r="Z120" s="544">
        <v>10</v>
      </c>
      <c r="AA120" s="544">
        <v>10</v>
      </c>
      <c r="AB120" s="144">
        <v>250</v>
      </c>
      <c r="AC120" s="144">
        <f t="shared" si="70"/>
        <v>2500</v>
      </c>
      <c r="AD120" s="144">
        <v>65</v>
      </c>
      <c r="AE120" s="144">
        <f t="shared" si="71"/>
        <v>650</v>
      </c>
    </row>
    <row r="121" spans="1:34" x14ac:dyDescent="0.25">
      <c r="A121" s="238"/>
      <c r="B121" s="245"/>
      <c r="C121" s="293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72"/>
      <c r="N121" s="72"/>
      <c r="O121" s="72"/>
      <c r="P121" s="205"/>
      <c r="Q121" s="272">
        <f t="shared" si="65"/>
        <v>0</v>
      </c>
      <c r="R121" s="439">
        <f t="shared" si="62"/>
        <v>0</v>
      </c>
      <c r="W121" s="891" t="s">
        <v>278</v>
      </c>
      <c r="X121" s="891"/>
      <c r="Y121" s="544" t="s">
        <v>283</v>
      </c>
      <c r="Z121" s="544">
        <v>10</v>
      </c>
      <c r="AA121" s="544">
        <v>10</v>
      </c>
      <c r="AB121" s="144">
        <v>280</v>
      </c>
      <c r="AC121" s="144">
        <f t="shared" si="70"/>
        <v>2800</v>
      </c>
      <c r="AD121" s="144">
        <v>70</v>
      </c>
      <c r="AE121" s="144">
        <f t="shared" si="71"/>
        <v>700</v>
      </c>
    </row>
    <row r="122" spans="1:34" x14ac:dyDescent="0.25">
      <c r="A122" s="238"/>
      <c r="B122" s="249"/>
      <c r="C122" s="293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67">
        <f>F122*H122</f>
        <v>15238.095238095237</v>
      </c>
      <c r="J122" s="74">
        <v>400</v>
      </c>
      <c r="K122" s="67">
        <f t="shared" ref="K122:K123" si="72">F122*J122</f>
        <v>1600</v>
      </c>
      <c r="L122" s="72">
        <f t="shared" ref="L122:L123" si="73">I122+K122</f>
        <v>16838.095238095237</v>
      </c>
      <c r="M122" s="67">
        <f>H122/$P$255*$P$263</f>
        <v>6729.3007443013157</v>
      </c>
      <c r="N122" s="67">
        <f>J122/$P$255*$P$263</f>
        <v>706.57657815163827</v>
      </c>
      <c r="O122" s="72">
        <f t="shared" ref="O122:O123" si="74">N122+M122</f>
        <v>7435.8773224529541</v>
      </c>
      <c r="P122" s="203">
        <f t="shared" ref="P122:P123" si="75">O122*F122</f>
        <v>29743.509289811816</v>
      </c>
      <c r="Q122" s="272">
        <f t="shared" si="65"/>
        <v>29743.509289811816</v>
      </c>
      <c r="R122" s="439">
        <f t="shared" si="62"/>
        <v>0</v>
      </c>
      <c r="W122" s="890" t="s">
        <v>280</v>
      </c>
      <c r="X122" s="890"/>
      <c r="Y122" s="544" t="s">
        <v>101</v>
      </c>
      <c r="Z122" s="544">
        <f>4.5*1.2</f>
        <v>5.3999999999999995</v>
      </c>
      <c r="AA122" s="544">
        <v>6</v>
      </c>
      <c r="AB122" s="144">
        <v>160</v>
      </c>
      <c r="AC122" s="144">
        <f t="shared" si="70"/>
        <v>960</v>
      </c>
      <c r="AD122" s="144">
        <v>145</v>
      </c>
      <c r="AE122" s="144">
        <f t="shared" si="71"/>
        <v>870</v>
      </c>
    </row>
    <row r="123" spans="1:34" x14ac:dyDescent="0.25">
      <c r="A123" s="238"/>
      <c r="B123" s="249"/>
      <c r="C123" s="293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328">
        <f>750/1.05</f>
        <v>714.28571428571422</v>
      </c>
      <c r="I123" s="67">
        <f>F123*H123</f>
        <v>11428.571428571428</v>
      </c>
      <c r="J123" s="74">
        <v>75</v>
      </c>
      <c r="K123" s="67">
        <f t="shared" si="72"/>
        <v>1200</v>
      </c>
      <c r="L123" s="72">
        <f t="shared" si="73"/>
        <v>12628.571428571428</v>
      </c>
      <c r="M123" s="67">
        <f>H123/$P$255*$P$263</f>
        <v>1261.7438895564969</v>
      </c>
      <c r="N123" s="67">
        <f>J123/$P$255*$P$263</f>
        <v>132.4831084034322</v>
      </c>
      <c r="O123" s="72">
        <f t="shared" si="74"/>
        <v>1394.2269979599291</v>
      </c>
      <c r="P123" s="203">
        <f t="shared" si="75"/>
        <v>22307.631967358866</v>
      </c>
      <c r="Q123" s="272">
        <f t="shared" si="65"/>
        <v>22307.631967358866</v>
      </c>
      <c r="R123" s="439">
        <f t="shared" si="62"/>
        <v>0</v>
      </c>
      <c r="W123" s="890" t="s">
        <v>285</v>
      </c>
      <c r="X123" s="890"/>
      <c r="Y123" s="544" t="s">
        <v>100</v>
      </c>
      <c r="Z123" s="544">
        <v>26</v>
      </c>
      <c r="AA123" s="544">
        <v>32</v>
      </c>
      <c r="AB123" s="2">
        <v>90</v>
      </c>
      <c r="AC123" s="144">
        <f t="shared" si="70"/>
        <v>2880</v>
      </c>
      <c r="AD123" s="2">
        <v>90</v>
      </c>
      <c r="AE123" s="144">
        <f t="shared" si="71"/>
        <v>2880</v>
      </c>
    </row>
    <row r="124" spans="1:34" x14ac:dyDescent="0.25">
      <c r="A124" s="238"/>
      <c r="B124" s="245"/>
      <c r="C124" s="293"/>
      <c r="D124" s="83"/>
      <c r="E124" s="242"/>
      <c r="F124" s="302"/>
      <c r="G124" s="75"/>
      <c r="H124" s="74"/>
      <c r="I124" s="74"/>
      <c r="J124" s="74"/>
      <c r="K124" s="74"/>
      <c r="L124" s="74"/>
      <c r="M124" s="72"/>
      <c r="N124" s="72"/>
      <c r="O124" s="72"/>
      <c r="P124" s="205"/>
      <c r="Q124" s="272">
        <f t="shared" si="65"/>
        <v>0</v>
      </c>
      <c r="R124" s="439"/>
      <c r="W124" s="890" t="s">
        <v>279</v>
      </c>
      <c r="X124" s="890"/>
      <c r="Y124" s="544" t="s">
        <v>266</v>
      </c>
      <c r="Z124" s="544">
        <f>4.5*1.2*0.15+(4.5*0.3*0.1)*2</f>
        <v>1.0799999999999998</v>
      </c>
      <c r="AA124" s="544">
        <v>1.25</v>
      </c>
      <c r="AB124" s="2">
        <f>3800/1.05</f>
        <v>3619.0476190476188</v>
      </c>
      <c r="AC124" s="144">
        <f t="shared" si="70"/>
        <v>4523.8095238095239</v>
      </c>
      <c r="AD124" s="2">
        <v>800</v>
      </c>
      <c r="AE124" s="144">
        <f t="shared" si="71"/>
        <v>1000</v>
      </c>
    </row>
    <row r="125" spans="1:34" x14ac:dyDescent="0.25">
      <c r="A125" s="238"/>
      <c r="B125" s="289" t="s">
        <v>332</v>
      </c>
      <c r="C125" s="300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72"/>
      <c r="N125" s="72"/>
      <c r="O125" s="72"/>
      <c r="P125" s="205"/>
      <c r="Q125" s="272">
        <f t="shared" si="65"/>
        <v>0</v>
      </c>
      <c r="R125" s="439"/>
      <c r="W125" s="890" t="s">
        <v>282</v>
      </c>
      <c r="X125" s="890"/>
      <c r="Y125" s="544" t="s">
        <v>284</v>
      </c>
      <c r="Z125" s="173">
        <f>(5*12+23*1.2+16)*0.616</f>
        <v>63.817599999999999</v>
      </c>
      <c r="AA125" s="544">
        <v>75</v>
      </c>
      <c r="AB125" s="2">
        <f>33/1.05</f>
        <v>31.428571428571427</v>
      </c>
      <c r="AC125" s="144">
        <f t="shared" si="70"/>
        <v>2357.1428571428569</v>
      </c>
      <c r="AD125" s="2">
        <v>12</v>
      </c>
      <c r="AE125" s="144">
        <f t="shared" si="71"/>
        <v>900</v>
      </c>
    </row>
    <row r="126" spans="1:34" x14ac:dyDescent="0.25">
      <c r="A126" s="238"/>
      <c r="B126" s="249"/>
      <c r="C126" s="293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67">
        <f t="shared" ref="I126:I132" si="76">F126*H126</f>
        <v>17160</v>
      </c>
      <c r="J126" s="74">
        <v>75</v>
      </c>
      <c r="K126" s="67">
        <f t="shared" ref="K126:K132" si="77">F126*J126</f>
        <v>5850</v>
      </c>
      <c r="L126" s="72">
        <f t="shared" ref="L126:L132" si="78">I126+K126</f>
        <v>23010</v>
      </c>
      <c r="M126" s="67">
        <f t="shared" ref="M126:M132" si="79">H126/$P$255*$P$263</f>
        <v>388.6171179834011</v>
      </c>
      <c r="N126" s="67">
        <f t="shared" ref="N126:N132" si="80">J126/$P$255*$P$263</f>
        <v>132.4831084034322</v>
      </c>
      <c r="O126" s="72">
        <f t="shared" ref="O126:O129" si="81">N126+M126</f>
        <v>521.10022638683336</v>
      </c>
      <c r="P126" s="203">
        <f t="shared" ref="P126:P129" si="82">O126*F126</f>
        <v>40645.817658173</v>
      </c>
      <c r="Q126" s="272">
        <f t="shared" si="65"/>
        <v>40645.817658172993</v>
      </c>
      <c r="R126" s="439">
        <f t="shared" si="62"/>
        <v>0</v>
      </c>
      <c r="W126" s="890" t="s">
        <v>281</v>
      </c>
      <c r="X126" s="890"/>
      <c r="Y126" s="544" t="s">
        <v>101</v>
      </c>
      <c r="Z126" s="544">
        <f>0.3*4.5*2</f>
        <v>2.6999999999999997</v>
      </c>
      <c r="AA126" s="544">
        <v>3</v>
      </c>
      <c r="AB126" s="2">
        <v>220</v>
      </c>
      <c r="AC126" s="144">
        <f t="shared" si="70"/>
        <v>660</v>
      </c>
      <c r="AD126" s="2">
        <v>200</v>
      </c>
      <c r="AE126" s="144">
        <f t="shared" si="71"/>
        <v>600</v>
      </c>
    </row>
    <row r="127" spans="1:34" x14ac:dyDescent="0.25">
      <c r="A127" s="238"/>
      <c r="B127" s="249"/>
      <c r="C127" s="293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67">
        <f t="shared" si="76"/>
        <v>7733.3333333333321</v>
      </c>
      <c r="J127" s="74">
        <v>75</v>
      </c>
      <c r="K127" s="67">
        <f t="shared" si="77"/>
        <v>4350</v>
      </c>
      <c r="L127" s="72">
        <f t="shared" si="78"/>
        <v>12083.333333333332</v>
      </c>
      <c r="M127" s="67">
        <f t="shared" si="79"/>
        <v>235.52552605054606</v>
      </c>
      <c r="N127" s="67">
        <f t="shared" si="80"/>
        <v>132.4831084034322</v>
      </c>
      <c r="O127" s="72">
        <f t="shared" si="81"/>
        <v>368.00863445397829</v>
      </c>
      <c r="P127" s="203">
        <f t="shared" si="82"/>
        <v>21344.500798330741</v>
      </c>
      <c r="Q127" s="272">
        <f t="shared" si="65"/>
        <v>21344.500798330737</v>
      </c>
      <c r="R127" s="439">
        <f t="shared" si="62"/>
        <v>0</v>
      </c>
      <c r="W127" s="890" t="s">
        <v>379</v>
      </c>
      <c r="X127" s="890"/>
      <c r="Y127" s="544" t="s">
        <v>301</v>
      </c>
      <c r="Z127" s="544">
        <v>1</v>
      </c>
      <c r="AA127" s="544">
        <v>1</v>
      </c>
      <c r="AB127" s="2">
        <v>1000</v>
      </c>
      <c r="AC127" s="144">
        <f t="shared" si="70"/>
        <v>1000</v>
      </c>
      <c r="AD127" s="2">
        <v>800</v>
      </c>
      <c r="AE127" s="144">
        <f t="shared" si="71"/>
        <v>800</v>
      </c>
    </row>
    <row r="128" spans="1:34" x14ac:dyDescent="0.25">
      <c r="A128" s="238"/>
      <c r="B128" s="249"/>
      <c r="C128" s="293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67">
        <f t="shared" si="76"/>
        <v>15321.428571428571</v>
      </c>
      <c r="J128" s="74">
        <v>120</v>
      </c>
      <c r="K128" s="67">
        <f t="shared" si="77"/>
        <v>2340</v>
      </c>
      <c r="L128" s="72">
        <f t="shared" si="78"/>
        <v>17661.428571428572</v>
      </c>
      <c r="M128" s="67">
        <f t="shared" si="79"/>
        <v>1387.9182785121466</v>
      </c>
      <c r="N128" s="67">
        <f t="shared" si="80"/>
        <v>211.9729734454915</v>
      </c>
      <c r="O128" s="72">
        <f t="shared" si="81"/>
        <v>1599.8912519576381</v>
      </c>
      <c r="P128" s="203">
        <f t="shared" si="82"/>
        <v>31197.879413173945</v>
      </c>
      <c r="Q128" s="272">
        <f t="shared" si="65"/>
        <v>31197.879413173945</v>
      </c>
      <c r="R128" s="439">
        <f t="shared" si="62"/>
        <v>0</v>
      </c>
      <c r="AC128" s="146">
        <f>SUM(AC119:AC127)</f>
        <v>25395.238095238092</v>
      </c>
      <c r="AD128" s="18"/>
      <c r="AE128" s="146">
        <f>SUM(AE119:AE127)</f>
        <v>12900</v>
      </c>
    </row>
    <row r="129" spans="1:19" x14ac:dyDescent="0.25">
      <c r="A129" s="238"/>
      <c r="B129" s="249"/>
      <c r="C129" s="293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67">
        <f t="shared" si="76"/>
        <v>2285.7142857142858</v>
      </c>
      <c r="J129" s="74">
        <v>175</v>
      </c>
      <c r="K129" s="67">
        <f t="shared" si="77"/>
        <v>350</v>
      </c>
      <c r="L129" s="72">
        <f t="shared" si="78"/>
        <v>2635.7142857142858</v>
      </c>
      <c r="M129" s="67">
        <f t="shared" si="79"/>
        <v>2018.7902232903953</v>
      </c>
      <c r="N129" s="67">
        <f t="shared" si="80"/>
        <v>309.12725294134174</v>
      </c>
      <c r="O129" s="72">
        <f t="shared" si="81"/>
        <v>2327.9174762317371</v>
      </c>
      <c r="P129" s="203">
        <f t="shared" si="82"/>
        <v>4655.8349524634741</v>
      </c>
      <c r="Q129" s="272">
        <f t="shared" si="65"/>
        <v>4655.8349524634741</v>
      </c>
      <c r="R129" s="439">
        <f t="shared" si="62"/>
        <v>0</v>
      </c>
    </row>
    <row r="130" spans="1:19" x14ac:dyDescent="0.25">
      <c r="A130" s="238"/>
      <c r="B130" s="249"/>
      <c r="C130" s="293">
        <v>5</v>
      </c>
      <c r="D130" s="83" t="s">
        <v>416</v>
      </c>
      <c r="E130" s="306" t="s">
        <v>39</v>
      </c>
      <c r="F130" s="302"/>
      <c r="G130" s="75"/>
      <c r="H130" s="74"/>
      <c r="I130" s="67">
        <f t="shared" si="76"/>
        <v>0</v>
      </c>
      <c r="J130" s="74"/>
      <c r="K130" s="67">
        <f t="shared" si="77"/>
        <v>0</v>
      </c>
      <c r="L130" s="72">
        <f t="shared" si="78"/>
        <v>0</v>
      </c>
      <c r="M130" s="67">
        <f t="shared" si="79"/>
        <v>0</v>
      </c>
      <c r="N130" s="67">
        <f t="shared" si="80"/>
        <v>0</v>
      </c>
      <c r="O130" s="72">
        <f>N130*F130</f>
        <v>0</v>
      </c>
      <c r="P130" s="305" t="s">
        <v>288</v>
      </c>
      <c r="Q130" s="272">
        <f t="shared" si="65"/>
        <v>0</v>
      </c>
      <c r="R130" s="439" t="e">
        <f t="shared" si="62"/>
        <v>#VALUE!</v>
      </c>
    </row>
    <row r="131" spans="1:19" s="1" customFormat="1" x14ac:dyDescent="0.25">
      <c r="A131" s="238"/>
      <c r="B131" s="250"/>
      <c r="C131" s="293">
        <v>6</v>
      </c>
      <c r="D131" s="83" t="s">
        <v>159</v>
      </c>
      <c r="E131" s="306" t="s">
        <v>39</v>
      </c>
      <c r="F131" s="302"/>
      <c r="G131" s="75"/>
      <c r="H131" s="74"/>
      <c r="I131" s="67">
        <f t="shared" si="76"/>
        <v>0</v>
      </c>
      <c r="J131" s="74"/>
      <c r="K131" s="67">
        <f t="shared" si="77"/>
        <v>0</v>
      </c>
      <c r="L131" s="72">
        <f t="shared" si="78"/>
        <v>0</v>
      </c>
      <c r="M131" s="67">
        <f t="shared" si="79"/>
        <v>0</v>
      </c>
      <c r="N131" s="67">
        <f t="shared" si="80"/>
        <v>0</v>
      </c>
      <c r="O131" s="72">
        <f>N131*F131</f>
        <v>0</v>
      </c>
      <c r="P131" s="305" t="s">
        <v>288</v>
      </c>
      <c r="Q131" s="272">
        <f t="shared" si="65"/>
        <v>0</v>
      </c>
      <c r="R131" s="439" t="e">
        <f t="shared" si="62"/>
        <v>#VALUE!</v>
      </c>
      <c r="S131" s="18"/>
    </row>
    <row r="132" spans="1:19" s="1" customFormat="1" x14ac:dyDescent="0.25">
      <c r="A132" s="238"/>
      <c r="B132" s="250"/>
      <c r="C132" s="293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67">
        <f t="shared" si="76"/>
        <v>38806.213592233013</v>
      </c>
      <c r="J132" s="74">
        <f>5878*0.15/1.03</f>
        <v>856.01941747572812</v>
      </c>
      <c r="K132" s="67">
        <f t="shared" si="77"/>
        <v>6848.155339805825</v>
      </c>
      <c r="L132" s="72">
        <f t="shared" si="78"/>
        <v>45654.368932038837</v>
      </c>
      <c r="M132" s="67">
        <f t="shared" si="79"/>
        <v>8568.6130034442485</v>
      </c>
      <c r="N132" s="67">
        <f t="shared" si="80"/>
        <v>1512.1081770783967</v>
      </c>
      <c r="O132" s="72">
        <f t="shared" ref="O132" si="83">N132+M132</f>
        <v>10080.721180522645</v>
      </c>
      <c r="P132" s="203">
        <f t="shared" ref="P132" si="84">O132*F132</f>
        <v>80645.769444181162</v>
      </c>
      <c r="Q132" s="272">
        <f t="shared" si="65"/>
        <v>80645.769444181162</v>
      </c>
      <c r="R132" s="439">
        <f t="shared" si="62"/>
        <v>0</v>
      </c>
      <c r="S132" s="18"/>
    </row>
    <row r="133" spans="1:19" s="1" customFormat="1" ht="15" customHeight="1" x14ac:dyDescent="0.25">
      <c r="A133" s="238"/>
      <c r="B133" s="245"/>
      <c r="C133" s="293"/>
      <c r="D133" s="82"/>
      <c r="E133" s="242"/>
      <c r="F133" s="302"/>
      <c r="G133" s="75"/>
      <c r="H133" s="74"/>
      <c r="I133" s="74"/>
      <c r="J133" s="74"/>
      <c r="K133" s="74"/>
      <c r="L133" s="74"/>
      <c r="M133" s="72"/>
      <c r="N133" s="72"/>
      <c r="O133" s="72"/>
      <c r="P133" s="205"/>
      <c r="Q133" s="272">
        <f t="shared" si="65"/>
        <v>0</v>
      </c>
      <c r="R133" s="439"/>
      <c r="S133" s="18"/>
    </row>
    <row r="134" spans="1:19" x14ac:dyDescent="0.25">
      <c r="A134" s="238"/>
      <c r="B134" s="290" t="s">
        <v>335</v>
      </c>
      <c r="C134" s="291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72"/>
      <c r="N134" s="72"/>
      <c r="O134" s="72"/>
      <c r="P134" s="205"/>
      <c r="Q134" s="272">
        <f t="shared" si="65"/>
        <v>0</v>
      </c>
      <c r="R134" s="439"/>
    </row>
    <row r="135" spans="1:19" s="585" customFormat="1" x14ac:dyDescent="0.25">
      <c r="A135" s="600"/>
      <c r="B135" s="601"/>
      <c r="C135" s="560"/>
      <c r="D135" s="582"/>
      <c r="E135" s="583"/>
      <c r="F135" s="563"/>
      <c r="G135" s="584"/>
      <c r="H135" s="566"/>
      <c r="I135" s="566"/>
      <c r="J135" s="566"/>
      <c r="K135" s="566"/>
      <c r="L135" s="565"/>
      <c r="M135" s="566"/>
      <c r="N135" s="566"/>
      <c r="O135" s="565"/>
      <c r="P135" s="567"/>
      <c r="Q135" s="568"/>
      <c r="R135" s="569"/>
    </row>
    <row r="136" spans="1:19" s="585" customFormat="1" x14ac:dyDescent="0.25">
      <c r="A136" s="600"/>
      <c r="B136" s="601"/>
      <c r="C136" s="560"/>
      <c r="D136" s="582"/>
      <c r="E136" s="583"/>
      <c r="F136" s="563"/>
      <c r="G136" s="584"/>
      <c r="H136" s="566"/>
      <c r="I136" s="566"/>
      <c r="J136" s="566"/>
      <c r="K136" s="566"/>
      <c r="L136" s="565"/>
      <c r="M136" s="566"/>
      <c r="N136" s="566"/>
      <c r="O136" s="565"/>
      <c r="P136" s="567"/>
      <c r="Q136" s="568"/>
      <c r="R136" s="569"/>
    </row>
    <row r="137" spans="1:19" x14ac:dyDescent="0.25">
      <c r="A137" s="238"/>
      <c r="B137" s="249"/>
      <c r="C137" s="293">
        <v>1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AC128/F137</f>
        <v>6348.8095238095229</v>
      </c>
      <c r="I137" s="67">
        <f>F137*H137</f>
        <v>25395.238095238092</v>
      </c>
      <c r="J137" s="74">
        <f>AE128/F137</f>
        <v>3225</v>
      </c>
      <c r="K137" s="67">
        <f t="shared" ref="K137:K138" si="85">F137*J137</f>
        <v>12900</v>
      </c>
      <c r="L137" s="72">
        <f t="shared" ref="L137:L138" si="86">I137+K137</f>
        <v>38295.238095238092</v>
      </c>
      <c r="M137" s="67">
        <f>H137/$P$255*$P$263</f>
        <v>11214.800271674661</v>
      </c>
      <c r="N137" s="67">
        <f>J137/$P$255*$P$263</f>
        <v>5696.7736613475836</v>
      </c>
      <c r="O137" s="72">
        <f t="shared" ref="O137:O138" si="87">N137+M137</f>
        <v>16911.573933022246</v>
      </c>
      <c r="P137" s="203">
        <f t="shared" ref="P137:P138" si="88">O137*F137</f>
        <v>67646.295732088984</v>
      </c>
      <c r="Q137" s="272">
        <f t="shared" ref="Q137:Q144" si="89">L137/$P$255*$P$263</f>
        <v>67646.295732088984</v>
      </c>
      <c r="R137" s="439">
        <f t="shared" ref="R137:R138" si="90">P137-Q137</f>
        <v>0</v>
      </c>
    </row>
    <row r="138" spans="1:19" x14ac:dyDescent="0.25">
      <c r="A138" s="238"/>
      <c r="B138" s="249"/>
      <c r="C138" s="293">
        <v>2</v>
      </c>
      <c r="D138" s="83" t="s">
        <v>337</v>
      </c>
      <c r="E138" s="242">
        <v>56</v>
      </c>
      <c r="F138" s="302">
        <v>58</v>
      </c>
      <c r="G138" s="77" t="s">
        <v>101</v>
      </c>
      <c r="H138" s="328">
        <v>185</v>
      </c>
      <c r="I138" s="67">
        <f>F138*H138</f>
        <v>10730</v>
      </c>
      <c r="J138" s="74">
        <v>185</v>
      </c>
      <c r="K138" s="67">
        <f t="shared" si="85"/>
        <v>10730</v>
      </c>
      <c r="L138" s="72">
        <f t="shared" si="86"/>
        <v>21460</v>
      </c>
      <c r="M138" s="67">
        <f>H138/$P$255*$P$263</f>
        <v>326.79166739513272</v>
      </c>
      <c r="N138" s="67">
        <f>J138/$P$255*$P$263</f>
        <v>326.79166739513272</v>
      </c>
      <c r="O138" s="72">
        <f t="shared" si="87"/>
        <v>653.58333479026544</v>
      </c>
      <c r="P138" s="203">
        <f t="shared" si="88"/>
        <v>37907.833417835398</v>
      </c>
      <c r="Q138" s="272">
        <f t="shared" si="89"/>
        <v>37907.833417835391</v>
      </c>
      <c r="R138" s="439">
        <f t="shared" si="90"/>
        <v>0</v>
      </c>
    </row>
    <row r="139" spans="1:19" x14ac:dyDescent="0.25">
      <c r="A139" s="238"/>
      <c r="B139" s="289"/>
      <c r="C139" s="300"/>
      <c r="D139" s="83"/>
      <c r="E139" s="242"/>
      <c r="F139" s="302"/>
      <c r="G139" s="75"/>
      <c r="H139" s="74"/>
      <c r="I139" s="74"/>
      <c r="J139" s="74"/>
      <c r="K139" s="74"/>
      <c r="L139" s="74"/>
      <c r="M139" s="72"/>
      <c r="N139" s="72"/>
      <c r="O139" s="72"/>
      <c r="P139" s="205"/>
      <c r="Q139" s="272">
        <f t="shared" si="89"/>
        <v>0</v>
      </c>
      <c r="R139" s="439"/>
    </row>
    <row r="140" spans="1:19" s="1" customFormat="1" x14ac:dyDescent="0.25">
      <c r="A140" s="237"/>
      <c r="B140" s="412" t="s">
        <v>338</v>
      </c>
      <c r="C140" s="413" t="s">
        <v>131</v>
      </c>
      <c r="D140" s="82"/>
      <c r="E140" s="242"/>
      <c r="F140" s="302"/>
      <c r="G140" s="77"/>
      <c r="H140" s="74"/>
      <c r="I140" s="74"/>
      <c r="J140" s="74"/>
      <c r="K140" s="67"/>
      <c r="L140" s="72"/>
      <c r="M140" s="67"/>
      <c r="N140" s="67"/>
      <c r="O140" s="72"/>
      <c r="P140" s="203"/>
      <c r="Q140" s="272">
        <f t="shared" si="89"/>
        <v>0</v>
      </c>
      <c r="R140" s="439"/>
      <c r="S140" s="18"/>
    </row>
    <row r="141" spans="1:19" s="224" customFormat="1" x14ac:dyDescent="0.25">
      <c r="A141" s="411"/>
      <c r="B141" s="412"/>
      <c r="C141" s="413">
        <v>1</v>
      </c>
      <c r="D141" s="83" t="s">
        <v>456</v>
      </c>
      <c r="E141" s="242">
        <v>1</v>
      </c>
      <c r="F141" s="302">
        <v>1</v>
      </c>
      <c r="G141" s="77" t="s">
        <v>55</v>
      </c>
      <c r="H141" s="74">
        <f>(23600+74200)*0.85/1.3889/1.07</f>
        <v>55937.496425262238</v>
      </c>
      <c r="I141" s="74">
        <f t="shared" ref="I141:I143" si="91">F141*H141</f>
        <v>55937.496425262238</v>
      </c>
      <c r="J141" s="74">
        <f>(23600+74200)*0.15/1.3889/1.07</f>
        <v>9871.3228985756905</v>
      </c>
      <c r="K141" s="67">
        <f t="shared" ref="K141:K143" si="92">F141*J141</f>
        <v>9871.3228985756905</v>
      </c>
      <c r="L141" s="72">
        <f t="shared" ref="L141:L143" si="93">I141+K141</f>
        <v>65808.819323837932</v>
      </c>
      <c r="M141" s="67">
        <f>H141/$P$255*$P$263</f>
        <v>98810.312036328221</v>
      </c>
      <c r="N141" s="67">
        <f>J141/$P$255*$P$263</f>
        <v>17437.113888763808</v>
      </c>
      <c r="O141" s="72">
        <f t="shared" ref="O141:O143" si="94">N141+M141</f>
        <v>116247.42592509203</v>
      </c>
      <c r="P141" s="203">
        <f t="shared" ref="P141:P143" si="95">O141*F141</f>
        <v>116247.42592509203</v>
      </c>
      <c r="Q141" s="272">
        <f t="shared" si="89"/>
        <v>116247.42592509203</v>
      </c>
      <c r="R141" s="439">
        <f t="shared" ref="R141:R143" si="96">P141-Q141</f>
        <v>0</v>
      </c>
      <c r="S141" s="273"/>
    </row>
    <row r="142" spans="1:19" s="224" customFormat="1" x14ac:dyDescent="0.25">
      <c r="A142" s="411"/>
      <c r="B142" s="412"/>
      <c r="C142" s="413">
        <v>2</v>
      </c>
      <c r="D142" s="83" t="s">
        <v>457</v>
      </c>
      <c r="E142" s="242">
        <v>1</v>
      </c>
      <c r="F142" s="302">
        <v>1</v>
      </c>
      <c r="G142" s="77" t="s">
        <v>55</v>
      </c>
      <c r="H142" s="74">
        <f>(58600+74200)*0.85/1.3889/1.07</f>
        <v>75956.027865795753</v>
      </c>
      <c r="I142" s="74">
        <f t="shared" si="91"/>
        <v>75956.027865795753</v>
      </c>
      <c r="J142" s="74">
        <f>(58600+74200)*0.15/1.3889/1.07</f>
        <v>13404.00491749337</v>
      </c>
      <c r="K142" s="67">
        <f t="shared" si="92"/>
        <v>13404.00491749337</v>
      </c>
      <c r="L142" s="72">
        <f t="shared" si="93"/>
        <v>89360.03278328912</v>
      </c>
      <c r="M142" s="67">
        <f>H142/$P$255*$P$263</f>
        <v>134171.87564851114</v>
      </c>
      <c r="N142" s="67">
        <f>J142/$P$255*$P$263</f>
        <v>23677.389820325494</v>
      </c>
      <c r="O142" s="72">
        <f t="shared" si="94"/>
        <v>157849.26546883665</v>
      </c>
      <c r="P142" s="203">
        <f t="shared" si="95"/>
        <v>157849.26546883665</v>
      </c>
      <c r="Q142" s="272">
        <f t="shared" si="89"/>
        <v>157849.26546883662</v>
      </c>
      <c r="R142" s="439">
        <f t="shared" si="96"/>
        <v>0</v>
      </c>
      <c r="S142" s="273"/>
    </row>
    <row r="143" spans="1:19" s="224" customFormat="1" x14ac:dyDescent="0.25">
      <c r="A143" s="411"/>
      <c r="B143" s="412"/>
      <c r="C143" s="413">
        <v>3</v>
      </c>
      <c r="D143" s="83" t="s">
        <v>418</v>
      </c>
      <c r="E143" s="242">
        <v>1</v>
      </c>
      <c r="F143" s="302">
        <v>1</v>
      </c>
      <c r="G143" s="77" t="s">
        <v>55</v>
      </c>
      <c r="H143" s="74">
        <f>5900*0.85/1.3889/1.03</f>
        <v>3505.6030231369796</v>
      </c>
      <c r="I143" s="74">
        <f t="shared" si="91"/>
        <v>3505.6030231369796</v>
      </c>
      <c r="J143" s="74">
        <f>5900*0.15/1.3889/1.03</f>
        <v>618.63582761240821</v>
      </c>
      <c r="K143" s="67">
        <f t="shared" si="92"/>
        <v>618.63582761240821</v>
      </c>
      <c r="L143" s="72">
        <f t="shared" si="93"/>
        <v>4124.2388507493879</v>
      </c>
      <c r="M143" s="67">
        <f>H143/$P$255*$P$263</f>
        <v>6192.4424711154143</v>
      </c>
      <c r="N143" s="67">
        <f>J143/$P$255*$P$263</f>
        <v>1092.7839654909553</v>
      </c>
      <c r="O143" s="72">
        <f t="shared" si="94"/>
        <v>7285.22643660637</v>
      </c>
      <c r="P143" s="203">
        <f t="shared" si="95"/>
        <v>7285.22643660637</v>
      </c>
      <c r="Q143" s="272">
        <f t="shared" si="89"/>
        <v>7285.2264366063691</v>
      </c>
      <c r="R143" s="439">
        <f t="shared" si="96"/>
        <v>0</v>
      </c>
      <c r="S143" s="273"/>
    </row>
    <row r="144" spans="1:19" s="1" customFormat="1" x14ac:dyDescent="0.25">
      <c r="A144" s="238"/>
      <c r="B144" s="248"/>
      <c r="C144" s="298"/>
      <c r="D144" s="82"/>
      <c r="E144" s="242"/>
      <c r="F144" s="302"/>
      <c r="G144" s="75"/>
      <c r="H144" s="74"/>
      <c r="I144" s="74"/>
      <c r="J144" s="74"/>
      <c r="K144" s="74"/>
      <c r="L144" s="74"/>
      <c r="M144" s="72"/>
      <c r="N144" s="72"/>
      <c r="O144" s="72"/>
      <c r="P144" s="205"/>
      <c r="Q144" s="272">
        <f t="shared" si="89"/>
        <v>0</v>
      </c>
      <c r="R144" s="439"/>
      <c r="S144" s="18"/>
    </row>
    <row r="145" spans="1:39" x14ac:dyDescent="0.25">
      <c r="A145" s="238"/>
      <c r="B145" s="290" t="s">
        <v>339</v>
      </c>
      <c r="C145" s="291" t="s">
        <v>340</v>
      </c>
      <c r="D145" s="83"/>
      <c r="E145" s="242"/>
      <c r="F145" s="302"/>
      <c r="G145" s="75"/>
      <c r="H145" s="74"/>
      <c r="I145" s="74"/>
      <c r="J145" s="74"/>
      <c r="K145" s="74"/>
      <c r="L145" s="74"/>
      <c r="M145" s="72"/>
      <c r="N145" s="72"/>
      <c r="O145" s="72"/>
      <c r="P145" s="205"/>
      <c r="Q145" s="272">
        <f t="shared" ref="Q145:Q208" si="97">L145/$P$255*$P$263</f>
        <v>0</v>
      </c>
      <c r="R145" s="439"/>
    </row>
    <row r="146" spans="1:39" s="585" customFormat="1" x14ac:dyDescent="0.25">
      <c r="A146" s="600"/>
      <c r="B146" s="601"/>
      <c r="C146" s="560">
        <v>1</v>
      </c>
      <c r="D146" s="582" t="s">
        <v>341</v>
      </c>
      <c r="E146" s="583">
        <v>1</v>
      </c>
      <c r="F146" s="563">
        <v>1</v>
      </c>
      <c r="G146" s="584" t="s">
        <v>55</v>
      </c>
      <c r="H146" s="566">
        <f>79415.5*0.7/1.1</f>
        <v>50537.13636363636</v>
      </c>
      <c r="I146" s="566">
        <f>F146*H146</f>
        <v>50537.13636363636</v>
      </c>
      <c r="J146" s="566">
        <f>79415.5*0.3/1.1</f>
        <v>21658.772727272724</v>
      </c>
      <c r="K146" s="566">
        <f t="shared" ref="K146:K148" si="98">F146*J146</f>
        <v>21658.772727272724</v>
      </c>
      <c r="L146" s="565">
        <f t="shared" ref="L146:L148" si="99">I146+K146</f>
        <v>72195.909090909088</v>
      </c>
      <c r="M146" s="566">
        <f>H146/$P$255*$P$263</f>
        <v>89270.89220350227</v>
      </c>
      <c r="N146" s="566">
        <f>J146/$P$255*$P$263</f>
        <v>38258.953801500968</v>
      </c>
      <c r="O146" s="565">
        <f t="shared" ref="O146:O148" si="100">N146+M146</f>
        <v>127529.84600500323</v>
      </c>
      <c r="P146" s="567">
        <f t="shared" ref="P146:P148" si="101">O146*F146</f>
        <v>127529.84600500323</v>
      </c>
      <c r="Q146" s="568">
        <f t="shared" si="97"/>
        <v>127529.84600500324</v>
      </c>
      <c r="R146" s="569">
        <f t="shared" si="62"/>
        <v>0</v>
      </c>
      <c r="T146" s="579"/>
      <c r="AD146" s="579"/>
      <c r="AF146" s="579"/>
    </row>
    <row r="147" spans="1:39" s="585" customFormat="1" x14ac:dyDescent="0.25">
      <c r="A147" s="600"/>
      <c r="B147" s="601"/>
      <c r="C147" s="560">
        <v>2</v>
      </c>
      <c r="D147" s="582" t="s">
        <v>342</v>
      </c>
      <c r="E147" s="583">
        <v>1</v>
      </c>
      <c r="F147" s="563">
        <v>1</v>
      </c>
      <c r="G147" s="584" t="s">
        <v>55</v>
      </c>
      <c r="H147" s="566">
        <f>120317.5*0.7/1.1</f>
        <v>76565.681818181809</v>
      </c>
      <c r="I147" s="566">
        <f>F147*H147</f>
        <v>76565.681818181809</v>
      </c>
      <c r="J147" s="566">
        <f>120317.5*0.3/1.1</f>
        <v>32813.863636363632</v>
      </c>
      <c r="K147" s="566">
        <f t="shared" si="98"/>
        <v>32813.863636363632</v>
      </c>
      <c r="L147" s="565">
        <f t="shared" si="99"/>
        <v>109379.54545454544</v>
      </c>
      <c r="M147" s="566">
        <f>H147/$P$255*$P$263</f>
        <v>135248.79365734503</v>
      </c>
      <c r="N147" s="566">
        <f>J147/$P$255*$P$263</f>
        <v>57963.768710290722</v>
      </c>
      <c r="O147" s="565">
        <f t="shared" si="100"/>
        <v>193212.56236763575</v>
      </c>
      <c r="P147" s="567">
        <f t="shared" si="101"/>
        <v>193212.56236763575</v>
      </c>
      <c r="Q147" s="568">
        <f t="shared" si="97"/>
        <v>193212.56236763572</v>
      </c>
      <c r="R147" s="569">
        <f t="shared" si="62"/>
        <v>0</v>
      </c>
      <c r="T147" s="579"/>
      <c r="AD147" s="579"/>
      <c r="AF147" s="579"/>
    </row>
    <row r="148" spans="1:39" s="585" customFormat="1" x14ac:dyDescent="0.25">
      <c r="A148" s="600"/>
      <c r="B148" s="601"/>
      <c r="C148" s="560">
        <v>3</v>
      </c>
      <c r="D148" s="582" t="s">
        <v>359</v>
      </c>
      <c r="E148" s="583">
        <v>6.3</v>
      </c>
      <c r="F148" s="563">
        <v>6.5</v>
      </c>
      <c r="G148" s="584" t="s">
        <v>100</v>
      </c>
      <c r="H148" s="566">
        <f>(AE212*2+AE228*3)/F148/1.05</f>
        <v>3093.6263736263736</v>
      </c>
      <c r="I148" s="566">
        <f>F148*H148</f>
        <v>20108.571428571428</v>
      </c>
      <c r="J148" s="566">
        <f>(AE219*2+AE235*3)/F148/1.1</f>
        <v>2781.1188811188808</v>
      </c>
      <c r="K148" s="566">
        <f t="shared" si="98"/>
        <v>18077.272727272724</v>
      </c>
      <c r="L148" s="565">
        <f t="shared" si="99"/>
        <v>38185.844155844155</v>
      </c>
      <c r="M148" s="566">
        <f>H148/$P$255*$P$263</f>
        <v>5464.7098428914624</v>
      </c>
      <c r="N148" s="566">
        <f>J148/$P$255*$P$263</f>
        <v>4912.6836561347291</v>
      </c>
      <c r="O148" s="565">
        <f t="shared" si="100"/>
        <v>10377.393499026191</v>
      </c>
      <c r="P148" s="567">
        <f t="shared" si="101"/>
        <v>67453.057743670244</v>
      </c>
      <c r="Q148" s="568">
        <f t="shared" si="97"/>
        <v>67453.057743670244</v>
      </c>
      <c r="R148" s="569">
        <f t="shared" si="62"/>
        <v>0</v>
      </c>
      <c r="T148" s="579"/>
      <c r="AD148" s="579"/>
      <c r="AF148" s="579"/>
    </row>
    <row r="149" spans="1:39" ht="15.75" thickBot="1" x14ac:dyDescent="0.3">
      <c r="A149" s="238"/>
      <c r="B149" s="289"/>
      <c r="C149" s="300"/>
      <c r="D149" s="83"/>
      <c r="E149" s="242"/>
      <c r="F149" s="302"/>
      <c r="G149" s="75"/>
      <c r="H149" s="74"/>
      <c r="I149" s="74"/>
      <c r="J149" s="74"/>
      <c r="K149" s="74"/>
      <c r="L149" s="74"/>
      <c r="M149" s="72"/>
      <c r="N149" s="72"/>
      <c r="O149" s="72"/>
      <c r="P149" s="205"/>
      <c r="Q149" s="272">
        <f t="shared" si="97"/>
        <v>0</v>
      </c>
      <c r="R149" s="439"/>
      <c r="Y149" s="585"/>
      <c r="Z149" s="925" t="s">
        <v>294</v>
      </c>
      <c r="AA149" s="925"/>
      <c r="AB149" s="925"/>
      <c r="AC149" s="586" t="s">
        <v>243</v>
      </c>
      <c r="AD149" s="586" t="s">
        <v>244</v>
      </c>
      <c r="AE149" s="586" t="s">
        <v>245</v>
      </c>
      <c r="AF149" s="587" t="s">
        <v>246</v>
      </c>
      <c r="AG149" s="588" t="s">
        <v>247</v>
      </c>
      <c r="AH149" s="586" t="s">
        <v>248</v>
      </c>
      <c r="AI149" s="589" t="s">
        <v>249</v>
      </c>
    </row>
    <row r="150" spans="1:39" s="234" customFormat="1" ht="15.75" thickBot="1" x14ac:dyDescent="0.3">
      <c r="A150" s="308"/>
      <c r="B150" s="910" t="s">
        <v>343</v>
      </c>
      <c r="C150" s="911"/>
      <c r="D150" s="912"/>
      <c r="E150" s="309"/>
      <c r="F150" s="310"/>
      <c r="G150" s="311"/>
      <c r="H150" s="312"/>
      <c r="I150" s="313">
        <f>SUM(I36:I149)</f>
        <v>2492285.4269018853</v>
      </c>
      <c r="J150" s="312"/>
      <c r="K150" s="313">
        <f>SUM(K36:K149)</f>
        <v>989547.91125196638</v>
      </c>
      <c r="L150" s="313">
        <f>SUM(L36:L149)</f>
        <v>3481833.3381538526</v>
      </c>
      <c r="M150" s="312"/>
      <c r="N150" s="312"/>
      <c r="O150" s="313"/>
      <c r="P150" s="315">
        <f>SUM(P36:P149)</f>
        <v>6150454.714417614</v>
      </c>
      <c r="Q150" s="272">
        <f t="shared" si="97"/>
        <v>6150454.7144176131</v>
      </c>
      <c r="R150" s="439">
        <f t="shared" ref="R150" si="102">P150-Q150</f>
        <v>0</v>
      </c>
      <c r="T150" s="211"/>
      <c r="Y150" s="585"/>
      <c r="Z150" s="926" t="s">
        <v>272</v>
      </c>
      <c r="AA150" s="926"/>
      <c r="AB150" s="926"/>
      <c r="AC150" s="593" t="s">
        <v>251</v>
      </c>
      <c r="AD150" s="594">
        <v>12.5</v>
      </c>
      <c r="AE150" s="594">
        <v>13</v>
      </c>
      <c r="AF150" s="587">
        <f>98/1.06</f>
        <v>92.452830188679243</v>
      </c>
      <c r="AG150" s="588">
        <f>AF150*AE150</f>
        <v>1201.8867924528302</v>
      </c>
      <c r="AH150" s="594">
        <v>16.5</v>
      </c>
      <c r="AI150" s="595">
        <f>AH150*AE150</f>
        <v>214.5</v>
      </c>
      <c r="AJ150" s="277"/>
      <c r="AK150" s="278"/>
      <c r="AL150" s="225"/>
      <c r="AM150" s="282"/>
    </row>
    <row r="151" spans="1:39" s="226" customFormat="1" ht="15.75" x14ac:dyDescent="0.25">
      <c r="A151" s="517" t="s">
        <v>86</v>
      </c>
      <c r="B151" s="513" t="s">
        <v>344</v>
      </c>
      <c r="C151" s="514"/>
      <c r="D151" s="515"/>
      <c r="E151" s="254"/>
      <c r="F151" s="304"/>
      <c r="G151" s="255"/>
      <c r="H151" s="256"/>
      <c r="I151" s="256"/>
      <c r="J151" s="256"/>
      <c r="K151" s="256"/>
      <c r="L151" s="256"/>
      <c r="M151" s="256"/>
      <c r="N151" s="256"/>
      <c r="O151" s="256"/>
      <c r="P151" s="257"/>
      <c r="Q151" s="272">
        <f t="shared" si="97"/>
        <v>0</v>
      </c>
      <c r="R151" s="439"/>
      <c r="T151" s="1"/>
      <c r="Y151" s="18"/>
      <c r="Z151" s="878" t="s">
        <v>252</v>
      </c>
      <c r="AA151" s="878"/>
      <c r="AB151" s="878"/>
      <c r="AC151" s="124" t="s">
        <v>253</v>
      </c>
      <c r="AD151" s="545">
        <v>0.25</v>
      </c>
      <c r="AE151" s="545">
        <v>0.25</v>
      </c>
      <c r="AF151" s="123">
        <f>285/1.06</f>
        <v>268.8679245283019</v>
      </c>
      <c r="AG151" s="196">
        <f>AF151*AE151</f>
        <v>67.216981132075475</v>
      </c>
      <c r="AH151" s="545"/>
      <c r="AI151" s="219">
        <f>AH151*AE151</f>
        <v>0</v>
      </c>
      <c r="AJ151" s="286"/>
      <c r="AK151" s="127"/>
      <c r="AL151" s="285"/>
      <c r="AM151" s="225"/>
    </row>
    <row r="152" spans="1:39" s="1" customFormat="1" x14ac:dyDescent="0.25">
      <c r="A152" s="238"/>
      <c r="B152" s="290" t="s">
        <v>319</v>
      </c>
      <c r="C152" s="291" t="s">
        <v>132</v>
      </c>
      <c r="D152" s="316"/>
      <c r="E152" s="244"/>
      <c r="F152" s="302"/>
      <c r="G152" s="75"/>
      <c r="H152" s="74"/>
      <c r="I152" s="74"/>
      <c r="J152" s="74"/>
      <c r="K152" s="74"/>
      <c r="L152" s="74"/>
      <c r="M152" s="72"/>
      <c r="N152" s="72"/>
      <c r="O152" s="72"/>
      <c r="P152" s="205"/>
      <c r="Q152" s="272">
        <f t="shared" si="97"/>
        <v>0</v>
      </c>
      <c r="R152" s="439"/>
      <c r="S152" s="18"/>
      <c r="Y152" s="273"/>
      <c r="Z152" s="878" t="s">
        <v>254</v>
      </c>
      <c r="AA152" s="878"/>
      <c r="AB152" s="878"/>
      <c r="AC152" s="124" t="s">
        <v>255</v>
      </c>
      <c r="AD152" s="545">
        <v>0.25</v>
      </c>
      <c r="AE152" s="545">
        <v>0.35</v>
      </c>
      <c r="AF152" s="123">
        <f>37/1.06</f>
        <v>34.905660377358487</v>
      </c>
      <c r="AG152" s="196">
        <f>AF152*AE152</f>
        <v>12.216981132075469</v>
      </c>
      <c r="AH152" s="545"/>
      <c r="AI152" s="219">
        <f>AH152*AE152</f>
        <v>0</v>
      </c>
    </row>
    <row r="153" spans="1:39" s="1" customFormat="1" x14ac:dyDescent="0.25">
      <c r="A153" s="238"/>
      <c r="B153" s="317"/>
      <c r="C153" s="318">
        <v>1</v>
      </c>
      <c r="D153" s="83" t="s">
        <v>419</v>
      </c>
      <c r="E153" s="242">
        <f>61+1+5</f>
        <v>67</v>
      </c>
      <c r="F153" s="242">
        <f>61+1+5</f>
        <v>67</v>
      </c>
      <c r="G153" s="73" t="s">
        <v>283</v>
      </c>
      <c r="H153" s="67">
        <f>360/1.05</f>
        <v>342.85714285714283</v>
      </c>
      <c r="I153" s="67">
        <f>F153*H153</f>
        <v>22971.428571428569</v>
      </c>
      <c r="J153" s="67">
        <v>130</v>
      </c>
      <c r="K153" s="67">
        <f t="shared" ref="K153:K156" si="103">F153*J153</f>
        <v>8710</v>
      </c>
      <c r="L153" s="72">
        <f t="shared" ref="L153:L156" si="104">I153+K153</f>
        <v>31681.428571428569</v>
      </c>
      <c r="M153" s="67">
        <f>H153/$P$255*$P$263</f>
        <v>605.63706698711849</v>
      </c>
      <c r="N153" s="67">
        <f>J153/$P$255*$P$263</f>
        <v>229.63738789928246</v>
      </c>
      <c r="O153" s="72">
        <f t="shared" ref="O153:O156" si="105">N153+M153</f>
        <v>835.27445488640092</v>
      </c>
      <c r="P153" s="203">
        <f t="shared" ref="P153:P156" si="106">O153*F153</f>
        <v>55963.388477388864</v>
      </c>
      <c r="Q153" s="272">
        <f t="shared" si="97"/>
        <v>55963.388477388864</v>
      </c>
      <c r="R153" s="439">
        <f t="shared" ref="R153:R159" si="107">P153-Q153</f>
        <v>0</v>
      </c>
      <c r="S153" s="18"/>
      <c r="T153" s="67">
        <f>360/1.05</f>
        <v>342.85714285714283</v>
      </c>
      <c r="Y153" s="273"/>
      <c r="Z153" s="878" t="s">
        <v>256</v>
      </c>
      <c r="AA153" s="878"/>
      <c r="AB153" s="878"/>
      <c r="AC153" s="124" t="s">
        <v>257</v>
      </c>
      <c r="AD153" s="545">
        <v>1</v>
      </c>
      <c r="AE153" s="545">
        <v>1</v>
      </c>
      <c r="AF153" s="123">
        <f>AN64</f>
        <v>0</v>
      </c>
      <c r="AG153" s="196">
        <f>AF153*AE153</f>
        <v>0</v>
      </c>
      <c r="AH153" s="545"/>
      <c r="AI153" s="219">
        <f>AH153*AE153</f>
        <v>0</v>
      </c>
    </row>
    <row r="154" spans="1:39" s="1" customFormat="1" x14ac:dyDescent="0.25">
      <c r="A154" s="238"/>
      <c r="B154" s="317"/>
      <c r="C154" s="318">
        <v>2</v>
      </c>
      <c r="D154" s="83" t="s">
        <v>134</v>
      </c>
      <c r="E154" s="242">
        <v>88</v>
      </c>
      <c r="F154" s="242">
        <v>88</v>
      </c>
      <c r="G154" s="73" t="s">
        <v>283</v>
      </c>
      <c r="H154" s="67">
        <f>837/1.05</f>
        <v>797.14285714285711</v>
      </c>
      <c r="I154" s="67">
        <f>F154*H154</f>
        <v>70148.57142857142</v>
      </c>
      <c r="J154" s="67">
        <f>J153</f>
        <v>130</v>
      </c>
      <c r="K154" s="67">
        <f t="shared" si="103"/>
        <v>11440</v>
      </c>
      <c r="L154" s="72">
        <f t="shared" si="104"/>
        <v>81588.57142857142</v>
      </c>
      <c r="M154" s="67">
        <f>H154/$P$255*$P$263</f>
        <v>1408.1061807450506</v>
      </c>
      <c r="N154" s="67">
        <f>J154/$P$255*$P$263</f>
        <v>229.63738789928246</v>
      </c>
      <c r="O154" s="72">
        <f t="shared" si="105"/>
        <v>1637.743568644333</v>
      </c>
      <c r="P154" s="203">
        <f t="shared" si="106"/>
        <v>144121.43404070131</v>
      </c>
      <c r="Q154" s="272">
        <f t="shared" si="97"/>
        <v>144121.43404070128</v>
      </c>
      <c r="R154" s="439">
        <f t="shared" si="107"/>
        <v>0</v>
      </c>
      <c r="S154" s="18"/>
      <c r="T154" s="67">
        <f>837/1.05</f>
        <v>797.14285714285711</v>
      </c>
      <c r="Y154" s="273"/>
      <c r="Z154" s="126"/>
      <c r="AA154" s="126"/>
      <c r="AB154" s="126"/>
      <c r="AC154" s="126"/>
      <c r="AD154" s="545"/>
      <c r="AE154" s="545"/>
      <c r="AF154" s="123"/>
      <c r="AG154" s="212">
        <f>SUM(AG150:AG153)</f>
        <v>1281.3207547169811</v>
      </c>
      <c r="AH154" s="546"/>
      <c r="AI154" s="212">
        <f>SUM(AI150:AI153)</f>
        <v>214.5</v>
      </c>
    </row>
    <row r="155" spans="1:39" s="1" customFormat="1" x14ac:dyDescent="0.25">
      <c r="A155" s="238"/>
      <c r="B155" s="317"/>
      <c r="C155" s="318">
        <v>3</v>
      </c>
      <c r="D155" s="83" t="s">
        <v>135</v>
      </c>
      <c r="E155" s="242">
        <f>3+1</f>
        <v>4</v>
      </c>
      <c r="F155" s="242">
        <f>3+1</f>
        <v>4</v>
      </c>
      <c r="G155" s="73" t="s">
        <v>283</v>
      </c>
      <c r="H155" s="67">
        <f>260/1.05</f>
        <v>247.61904761904762</v>
      </c>
      <c r="I155" s="67">
        <f>F155*H155</f>
        <v>990.47619047619048</v>
      </c>
      <c r="J155" s="67">
        <f>J153</f>
        <v>130</v>
      </c>
      <c r="K155" s="67">
        <f t="shared" si="103"/>
        <v>520</v>
      </c>
      <c r="L155" s="72">
        <f t="shared" si="104"/>
        <v>1510.4761904761904</v>
      </c>
      <c r="M155" s="67">
        <f>H155/$P$255*$P$263</f>
        <v>437.40454837958561</v>
      </c>
      <c r="N155" s="67">
        <f>J155/$P$255*$P$263</f>
        <v>229.63738789928246</v>
      </c>
      <c r="O155" s="72">
        <f t="shared" si="105"/>
        <v>667.04193627886809</v>
      </c>
      <c r="P155" s="203">
        <f t="shared" si="106"/>
        <v>2668.1677451154724</v>
      </c>
      <c r="Q155" s="272">
        <f t="shared" si="97"/>
        <v>2668.1677451154719</v>
      </c>
      <c r="R155" s="439">
        <f t="shared" si="107"/>
        <v>0</v>
      </c>
      <c r="S155" s="18"/>
      <c r="T155" s="67">
        <f>260/1.05</f>
        <v>247.61904761904762</v>
      </c>
      <c r="U155" s="18"/>
      <c r="V155" s="273"/>
      <c r="W155" s="224"/>
      <c r="X155" s="224"/>
      <c r="Y155" s="273"/>
      <c r="Z155" s="273"/>
      <c r="AA155" s="273"/>
      <c r="AB155" s="273"/>
      <c r="AC155" s="273"/>
      <c r="AD155" s="273"/>
      <c r="AE155" s="273"/>
      <c r="AF155" s="273"/>
      <c r="AG155" s="224"/>
      <c r="AH155" s="273"/>
      <c r="AI155" s="224"/>
    </row>
    <row r="156" spans="1:39" s="1" customFormat="1" x14ac:dyDescent="0.25">
      <c r="A156" s="238"/>
      <c r="B156" s="317"/>
      <c r="C156" s="318">
        <v>4</v>
      </c>
      <c r="D156" s="83" t="s">
        <v>136</v>
      </c>
      <c r="E156" s="242">
        <v>18</v>
      </c>
      <c r="F156" s="242">
        <v>18</v>
      </c>
      <c r="G156" s="73" t="s">
        <v>283</v>
      </c>
      <c r="H156" s="67">
        <f>1980/1.05</f>
        <v>1885.7142857142856</v>
      </c>
      <c r="I156" s="67">
        <f>F156*H156</f>
        <v>33942.857142857138</v>
      </c>
      <c r="J156" s="67">
        <v>210</v>
      </c>
      <c r="K156" s="67">
        <f t="shared" si="103"/>
        <v>3780</v>
      </c>
      <c r="L156" s="72">
        <f t="shared" si="104"/>
        <v>37722.857142857138</v>
      </c>
      <c r="M156" s="67">
        <f>H156/$P$255*$P$263</f>
        <v>3331.0038684291512</v>
      </c>
      <c r="N156" s="67">
        <f>J156/$P$255*$P$263</f>
        <v>370.95270352961012</v>
      </c>
      <c r="O156" s="72">
        <f t="shared" si="105"/>
        <v>3701.9565719587613</v>
      </c>
      <c r="P156" s="203">
        <f t="shared" si="106"/>
        <v>66635.218295257699</v>
      </c>
      <c r="Q156" s="272">
        <f t="shared" si="97"/>
        <v>66635.218295257713</v>
      </c>
      <c r="R156" s="439">
        <f t="shared" si="107"/>
        <v>0</v>
      </c>
      <c r="S156" s="18"/>
      <c r="T156" s="67">
        <f>1980/1.05</f>
        <v>1885.7142857142856</v>
      </c>
      <c r="U156" s="18"/>
      <c r="V156" s="273"/>
      <c r="W156" s="224"/>
      <c r="X156" s="224"/>
      <c r="Y156" s="273"/>
      <c r="Z156" s="904" t="s">
        <v>295</v>
      </c>
      <c r="AA156" s="904"/>
      <c r="AB156" s="904"/>
      <c r="AC156" s="546" t="s">
        <v>243</v>
      </c>
      <c r="AD156" s="546" t="s">
        <v>244</v>
      </c>
      <c r="AE156" s="546" t="s">
        <v>245</v>
      </c>
      <c r="AF156" s="123" t="s">
        <v>246</v>
      </c>
      <c r="AG156" s="196" t="s">
        <v>247</v>
      </c>
      <c r="AH156" s="546" t="s">
        <v>248</v>
      </c>
      <c r="AI156" s="212" t="s">
        <v>249</v>
      </c>
    </row>
    <row r="157" spans="1:39" s="1" customFormat="1" x14ac:dyDescent="0.25">
      <c r="A157" s="238"/>
      <c r="B157" s="319"/>
      <c r="C157" s="318"/>
      <c r="D157" s="83" t="s">
        <v>137</v>
      </c>
      <c r="E157" s="242"/>
      <c r="F157" s="242"/>
      <c r="G157" s="75"/>
      <c r="H157" s="74"/>
      <c r="I157" s="74"/>
      <c r="J157" s="74"/>
      <c r="K157" s="74"/>
      <c r="L157" s="74"/>
      <c r="M157" s="72"/>
      <c r="N157" s="72"/>
      <c r="O157" s="72"/>
      <c r="P157" s="205"/>
      <c r="Q157" s="272">
        <f t="shared" si="97"/>
        <v>0</v>
      </c>
      <c r="R157" s="439"/>
      <c r="S157" s="18"/>
      <c r="T157" s="74"/>
      <c r="U157" s="18"/>
      <c r="V157" s="273"/>
      <c r="W157" s="224"/>
      <c r="X157" s="224"/>
      <c r="Y157" s="18"/>
      <c r="Z157" s="878" t="s">
        <v>271</v>
      </c>
      <c r="AA157" s="878"/>
      <c r="AB157" s="878"/>
      <c r="AC157" s="124" t="s">
        <v>251</v>
      </c>
      <c r="AD157" s="545">
        <v>8.33</v>
      </c>
      <c r="AE157" s="545">
        <v>9</v>
      </c>
      <c r="AF157" s="123">
        <f>143/1.06</f>
        <v>134.90566037735849</v>
      </c>
      <c r="AG157" s="196">
        <f>AF157*AE157</f>
        <v>1214.1509433962265</v>
      </c>
      <c r="AH157" s="545">
        <v>23.9</v>
      </c>
      <c r="AI157" s="219">
        <f>AH157*AE157</f>
        <v>215.1</v>
      </c>
    </row>
    <row r="158" spans="1:39" s="1" customFormat="1" x14ac:dyDescent="0.25">
      <c r="A158" s="238"/>
      <c r="B158" s="317"/>
      <c r="C158" s="318">
        <v>5</v>
      </c>
      <c r="D158" s="83" t="s">
        <v>138</v>
      </c>
      <c r="E158" s="242">
        <v>3</v>
      </c>
      <c r="F158" s="242">
        <v>3</v>
      </c>
      <c r="G158" s="73" t="s">
        <v>283</v>
      </c>
      <c r="H158" s="67">
        <f>1620/1.05</f>
        <v>1542.8571428571429</v>
      </c>
      <c r="I158" s="67">
        <f>F158*H158</f>
        <v>4628.5714285714284</v>
      </c>
      <c r="J158" s="67">
        <v>210</v>
      </c>
      <c r="K158" s="67">
        <f t="shared" ref="K158:K159" si="108">F158*J158</f>
        <v>630</v>
      </c>
      <c r="L158" s="72">
        <f t="shared" ref="L158:L159" si="109">I158+K158</f>
        <v>5258.5714285714284</v>
      </c>
      <c r="M158" s="67">
        <f>H158/$P$255*$P$263</f>
        <v>2725.3668014420336</v>
      </c>
      <c r="N158" s="67">
        <f>J158/$P$255*$P$263</f>
        <v>370.95270352961012</v>
      </c>
      <c r="O158" s="72">
        <f t="shared" ref="O158:O159" si="110">N158+M158</f>
        <v>3096.3195049716437</v>
      </c>
      <c r="P158" s="203">
        <f t="shared" ref="P158:P159" si="111">O158*F158</f>
        <v>9288.9585149149316</v>
      </c>
      <c r="Q158" s="272">
        <f t="shared" si="97"/>
        <v>9288.9585149149316</v>
      </c>
      <c r="R158" s="439">
        <f t="shared" si="107"/>
        <v>0</v>
      </c>
      <c r="S158" s="18"/>
      <c r="T158" s="67">
        <f>1620/1.05</f>
        <v>1542.8571428571429</v>
      </c>
      <c r="U158" s="18"/>
      <c r="V158" s="273"/>
      <c r="W158" s="224"/>
      <c r="X158" s="224"/>
      <c r="Y158" s="18"/>
      <c r="Z158" s="878" t="s">
        <v>252</v>
      </c>
      <c r="AA158" s="878"/>
      <c r="AB158" s="878"/>
      <c r="AC158" s="124" t="s">
        <v>253</v>
      </c>
      <c r="AD158" s="545">
        <v>0.25</v>
      </c>
      <c r="AE158" s="545">
        <v>0.25</v>
      </c>
      <c r="AF158" s="123">
        <f>AF151</f>
        <v>268.8679245283019</v>
      </c>
      <c r="AG158" s="196">
        <f>AF158*AE158</f>
        <v>67.216981132075475</v>
      </c>
      <c r="AH158" s="545"/>
      <c r="AI158" s="219">
        <f>AH158*AE158</f>
        <v>0</v>
      </c>
    </row>
    <row r="159" spans="1:39" s="1" customFormat="1" x14ac:dyDescent="0.25">
      <c r="A159" s="238"/>
      <c r="B159" s="290"/>
      <c r="C159" s="318">
        <v>6</v>
      </c>
      <c r="D159" s="83" t="s">
        <v>139</v>
      </c>
      <c r="E159" s="242">
        <v>44</v>
      </c>
      <c r="F159" s="242">
        <v>44</v>
      </c>
      <c r="G159" s="73" t="s">
        <v>283</v>
      </c>
      <c r="H159" s="74">
        <f>3500/1.05</f>
        <v>3333.333333333333</v>
      </c>
      <c r="I159" s="67">
        <f>F159*H159</f>
        <v>146666.66666666666</v>
      </c>
      <c r="J159" s="67">
        <v>210</v>
      </c>
      <c r="K159" s="67">
        <f t="shared" si="108"/>
        <v>9240</v>
      </c>
      <c r="L159" s="72">
        <f t="shared" si="109"/>
        <v>155906.66666666666</v>
      </c>
      <c r="M159" s="67">
        <f>H159/$P$255*$P$263</f>
        <v>5888.1381512636517</v>
      </c>
      <c r="N159" s="67">
        <f>J159/$P$255*$P$263</f>
        <v>370.95270352961012</v>
      </c>
      <c r="O159" s="72">
        <f t="shared" si="110"/>
        <v>6259.0908547932622</v>
      </c>
      <c r="P159" s="203">
        <f t="shared" si="111"/>
        <v>275399.99761090352</v>
      </c>
      <c r="Q159" s="272">
        <f t="shared" si="97"/>
        <v>275399.99761090352</v>
      </c>
      <c r="R159" s="439">
        <f t="shared" si="107"/>
        <v>0</v>
      </c>
      <c r="S159" s="18"/>
      <c r="T159" s="74">
        <f>3500/1.05</f>
        <v>3333.333333333333</v>
      </c>
      <c r="Y159" s="18"/>
      <c r="Z159" s="878" t="s">
        <v>254</v>
      </c>
      <c r="AA159" s="878"/>
      <c r="AB159" s="878"/>
      <c r="AC159" s="124" t="s">
        <v>255</v>
      </c>
      <c r="AD159" s="545">
        <v>0.25</v>
      </c>
      <c r="AE159" s="545">
        <v>0.35</v>
      </c>
      <c r="AF159" s="123">
        <f>37/1.06</f>
        <v>34.905660377358487</v>
      </c>
      <c r="AG159" s="196">
        <f>AF159*AE159</f>
        <v>12.216981132075469</v>
      </c>
      <c r="AH159" s="545"/>
      <c r="AI159" s="219">
        <f>AH159*AE159</f>
        <v>0</v>
      </c>
    </row>
    <row r="160" spans="1:39" s="1" customFormat="1" x14ac:dyDescent="0.25">
      <c r="A160" s="238"/>
      <c r="B160" s="317"/>
      <c r="C160" s="318"/>
      <c r="D160" s="83" t="s">
        <v>140</v>
      </c>
      <c r="E160" s="242"/>
      <c r="F160" s="242"/>
      <c r="G160" s="68"/>
      <c r="H160" s="67"/>
      <c r="I160" s="67"/>
      <c r="J160" s="67"/>
      <c r="K160" s="67"/>
      <c r="L160" s="72"/>
      <c r="M160" s="67"/>
      <c r="N160" s="67"/>
      <c r="O160" s="72"/>
      <c r="P160" s="203"/>
      <c r="Q160" s="272">
        <f t="shared" si="97"/>
        <v>0</v>
      </c>
      <c r="R160" s="439"/>
      <c r="S160" s="18"/>
      <c r="T160" s="67"/>
      <c r="Y160" s="18"/>
      <c r="Z160" s="878" t="s">
        <v>256</v>
      </c>
      <c r="AA160" s="878"/>
      <c r="AB160" s="878"/>
      <c r="AC160" s="124" t="s">
        <v>257</v>
      </c>
      <c r="AD160" s="545">
        <v>1</v>
      </c>
      <c r="AE160" s="545">
        <v>1</v>
      </c>
      <c r="AF160" s="123">
        <v>0</v>
      </c>
      <c r="AG160" s="196">
        <f>AF160*AE160</f>
        <v>0</v>
      </c>
      <c r="AH160" s="545">
        <v>0</v>
      </c>
      <c r="AI160" s="219">
        <f>AH160*AE160</f>
        <v>0</v>
      </c>
    </row>
    <row r="161" spans="1:38" s="1" customFormat="1" x14ac:dyDescent="0.25">
      <c r="A161" s="238"/>
      <c r="B161" s="317"/>
      <c r="C161" s="318">
        <v>7</v>
      </c>
      <c r="D161" s="83" t="s">
        <v>412</v>
      </c>
      <c r="E161" s="242">
        <v>25</v>
      </c>
      <c r="F161" s="302">
        <v>25</v>
      </c>
      <c r="G161" s="73" t="s">
        <v>283</v>
      </c>
      <c r="H161" s="67">
        <f>3100/1.05</f>
        <v>2952.3809523809523</v>
      </c>
      <c r="I161" s="67">
        <f>F161*H161</f>
        <v>73809.523809523802</v>
      </c>
      <c r="J161" s="67">
        <v>210</v>
      </c>
      <c r="K161" s="67">
        <f t="shared" ref="K161:K174" si="112">F161*J161</f>
        <v>5250</v>
      </c>
      <c r="L161" s="72">
        <f t="shared" ref="L161:L174" si="113">I161+K161</f>
        <v>79059.523809523802</v>
      </c>
      <c r="M161" s="67">
        <f>H161/$P$255*$P$263</f>
        <v>5215.20807683352</v>
      </c>
      <c r="N161" s="67">
        <f>J161/$P$255*$P$263</f>
        <v>370.95270352961012</v>
      </c>
      <c r="O161" s="72">
        <f t="shared" ref="O161:O174" si="114">N161+M161</f>
        <v>5586.1607803631305</v>
      </c>
      <c r="P161" s="203">
        <f t="shared" ref="P161:P174" si="115">O161*F161</f>
        <v>139654.01950907827</v>
      </c>
      <c r="Q161" s="272">
        <f t="shared" si="97"/>
        <v>139654.01950907827</v>
      </c>
      <c r="R161" s="439">
        <f t="shared" ref="R161:R174" si="116">P161-Q161</f>
        <v>0</v>
      </c>
      <c r="S161" s="18"/>
      <c r="T161" s="67">
        <f>3100/1.05</f>
        <v>2952.3809523809523</v>
      </c>
      <c r="Y161" s="18"/>
      <c r="Z161" s="126"/>
      <c r="AA161" s="126"/>
      <c r="AB161" s="126"/>
      <c r="AC161" s="126"/>
      <c r="AD161" s="545"/>
      <c r="AE161" s="545"/>
      <c r="AF161" s="123"/>
      <c r="AG161" s="212">
        <f>SUM(AG157:AG160)</f>
        <v>1293.5849056603774</v>
      </c>
      <c r="AH161" s="546"/>
      <c r="AI161" s="212">
        <f>SUM(AI157:AI160)</f>
        <v>215.1</v>
      </c>
    </row>
    <row r="162" spans="1:38" s="1" customFormat="1" x14ac:dyDescent="0.25">
      <c r="A162" s="238"/>
      <c r="B162" s="317"/>
      <c r="C162" s="318">
        <v>8</v>
      </c>
      <c r="D162" s="83" t="s">
        <v>286</v>
      </c>
      <c r="E162" s="242">
        <v>4</v>
      </c>
      <c r="F162" s="302">
        <v>4</v>
      </c>
      <c r="G162" s="73" t="s">
        <v>283</v>
      </c>
      <c r="H162" s="67">
        <f>2400/1.05</f>
        <v>2285.7142857142858</v>
      </c>
      <c r="I162" s="67">
        <f>F162*H162</f>
        <v>9142.8571428571431</v>
      </c>
      <c r="J162" s="67">
        <v>210</v>
      </c>
      <c r="K162" s="67">
        <f t="shared" si="112"/>
        <v>840</v>
      </c>
      <c r="L162" s="72">
        <f t="shared" si="113"/>
        <v>9982.8571428571431</v>
      </c>
      <c r="M162" s="67">
        <f>H162/$P$255*$P$263</f>
        <v>4037.5804465807905</v>
      </c>
      <c r="N162" s="67">
        <f>J162/$P$255*$P$263</f>
        <v>370.95270352961012</v>
      </c>
      <c r="O162" s="72">
        <f t="shared" si="114"/>
        <v>4408.533150110401</v>
      </c>
      <c r="P162" s="203">
        <f t="shared" si="115"/>
        <v>17634.132600441604</v>
      </c>
      <c r="Q162" s="272">
        <f t="shared" si="97"/>
        <v>17634.132600441601</v>
      </c>
      <c r="R162" s="439">
        <f t="shared" si="116"/>
        <v>0</v>
      </c>
      <c r="S162" s="18"/>
      <c r="T162" s="67">
        <f>2400/1.05</f>
        <v>2285.7142857142858</v>
      </c>
      <c r="Y162" s="18"/>
      <c r="Z162" s="18"/>
      <c r="AA162" s="18"/>
      <c r="AB162" s="18"/>
      <c r="AC162" s="18"/>
      <c r="AD162" s="18"/>
      <c r="AE162" s="18"/>
      <c r="AF162" s="18"/>
      <c r="AH162" s="18"/>
    </row>
    <row r="163" spans="1:38" s="1" customFormat="1" x14ac:dyDescent="0.25">
      <c r="A163" s="238"/>
      <c r="B163" s="317"/>
      <c r="C163" s="318"/>
      <c r="D163" s="83"/>
      <c r="E163" s="242"/>
      <c r="F163" s="302"/>
      <c r="G163" s="73"/>
      <c r="H163" s="67"/>
      <c r="I163" s="67"/>
      <c r="J163" s="67"/>
      <c r="K163" s="67"/>
      <c r="L163" s="72"/>
      <c r="M163" s="67"/>
      <c r="N163" s="67"/>
      <c r="O163" s="72"/>
      <c r="P163" s="203"/>
      <c r="Q163" s="272">
        <f t="shared" si="97"/>
        <v>0</v>
      </c>
      <c r="R163" s="439"/>
      <c r="S163" s="18"/>
      <c r="Y163" s="585"/>
      <c r="Z163" s="925" t="s">
        <v>350</v>
      </c>
      <c r="AA163" s="925"/>
      <c r="AB163" s="925"/>
      <c r="AC163" s="586" t="s">
        <v>243</v>
      </c>
      <c r="AD163" s="586" t="s">
        <v>244</v>
      </c>
      <c r="AE163" s="586" t="s">
        <v>245</v>
      </c>
      <c r="AF163" s="587" t="s">
        <v>246</v>
      </c>
      <c r="AG163" s="588" t="s">
        <v>247</v>
      </c>
      <c r="AH163" s="586" t="s">
        <v>248</v>
      </c>
      <c r="AI163" s="589" t="s">
        <v>249</v>
      </c>
    </row>
    <row r="164" spans="1:38" s="1" customFormat="1" x14ac:dyDescent="0.25">
      <c r="A164" s="238"/>
      <c r="B164" s="290" t="s">
        <v>320</v>
      </c>
      <c r="C164" s="291" t="s">
        <v>420</v>
      </c>
      <c r="D164" s="316"/>
      <c r="E164" s="244"/>
      <c r="F164" s="302"/>
      <c r="G164" s="75"/>
      <c r="H164" s="440">
        <v>0.87</v>
      </c>
      <c r="I164" s="74"/>
      <c r="J164" s="440">
        <v>0.85</v>
      </c>
      <c r="K164" s="74"/>
      <c r="L164" s="74"/>
      <c r="M164" s="72"/>
      <c r="N164" s="72"/>
      <c r="O164" s="72"/>
      <c r="P164" s="205"/>
      <c r="Q164" s="272">
        <f t="shared" si="97"/>
        <v>0</v>
      </c>
      <c r="R164" s="439"/>
      <c r="S164" s="18"/>
      <c r="Y164" s="585"/>
      <c r="Z164" s="926" t="s">
        <v>250</v>
      </c>
      <c r="AA164" s="926"/>
      <c r="AB164" s="926"/>
      <c r="AC164" s="593" t="s">
        <v>251</v>
      </c>
      <c r="AD164" s="594">
        <v>2.77</v>
      </c>
      <c r="AE164" s="594">
        <v>3</v>
      </c>
      <c r="AF164" s="587">
        <f>350/1.07</f>
        <v>327.10280373831773</v>
      </c>
      <c r="AG164" s="588">
        <f>AF164*AE164</f>
        <v>981.30841121495314</v>
      </c>
      <c r="AH164" s="594">
        <v>71.7</v>
      </c>
      <c r="AI164" s="595">
        <f>AH164*AE164</f>
        <v>215.10000000000002</v>
      </c>
    </row>
    <row r="165" spans="1:38" s="1" customFormat="1" x14ac:dyDescent="0.25">
      <c r="A165" s="238"/>
      <c r="B165" s="317"/>
      <c r="C165" s="318">
        <v>1</v>
      </c>
      <c r="D165" s="83" t="s">
        <v>421</v>
      </c>
      <c r="E165" s="539">
        <v>2284</v>
      </c>
      <c r="F165" s="242">
        <v>2450</v>
      </c>
      <c r="G165" s="73" t="s">
        <v>100</v>
      </c>
      <c r="H165" s="67">
        <f>T165/$H$164</f>
        <v>17.241379310344829</v>
      </c>
      <c r="I165" s="67">
        <f>F165*H165</f>
        <v>42241.379310344833</v>
      </c>
      <c r="J165" s="67">
        <f>W165/$J$164</f>
        <v>5.882352941176471</v>
      </c>
      <c r="K165" s="67">
        <f t="shared" si="112"/>
        <v>14411.764705882353</v>
      </c>
      <c r="L165" s="72">
        <f t="shared" si="113"/>
        <v>56653.14401622719</v>
      </c>
      <c r="M165" s="67">
        <f t="shared" ref="M165:M174" si="117">H165/$P$255*$P$263</f>
        <v>30.455886989294758</v>
      </c>
      <c r="N165" s="67">
        <f t="shared" ref="N165:N174" si="118">J165/$P$255*$P$263</f>
        <v>10.39083203164174</v>
      </c>
      <c r="O165" s="72">
        <f t="shared" si="114"/>
        <v>40.846719020936497</v>
      </c>
      <c r="P165" s="203">
        <f t="shared" si="115"/>
        <v>100074.46160129442</v>
      </c>
      <c r="Q165" s="272">
        <f t="shared" si="97"/>
        <v>100074.46160129443</v>
      </c>
      <c r="R165" s="439">
        <f t="shared" si="116"/>
        <v>0</v>
      </c>
      <c r="S165" s="18"/>
      <c r="T165" s="67">
        <v>15</v>
      </c>
      <c r="U165" s="18"/>
      <c r="V165" s="273"/>
      <c r="W165" s="67">
        <v>5</v>
      </c>
      <c r="X165" s="224"/>
      <c r="Y165" s="585"/>
      <c r="Z165" s="926" t="s">
        <v>252</v>
      </c>
      <c r="AA165" s="926"/>
      <c r="AB165" s="926"/>
      <c r="AC165" s="593" t="s">
        <v>253</v>
      </c>
      <c r="AD165" s="594">
        <v>0.25</v>
      </c>
      <c r="AE165" s="594">
        <v>0.25</v>
      </c>
      <c r="AF165" s="587">
        <f>AC44</f>
        <v>268.8679245283019</v>
      </c>
      <c r="AG165" s="588">
        <f>AF165*AE165</f>
        <v>67.216981132075475</v>
      </c>
      <c r="AH165" s="594"/>
      <c r="AI165" s="595">
        <f>AH165*AE165</f>
        <v>0</v>
      </c>
    </row>
    <row r="166" spans="1:38" s="1" customFormat="1" x14ac:dyDescent="0.25">
      <c r="A166" s="238"/>
      <c r="B166" s="317"/>
      <c r="C166" s="318">
        <v>2</v>
      </c>
      <c r="D166" s="83" t="s">
        <v>422</v>
      </c>
      <c r="E166" s="539">
        <v>6464</v>
      </c>
      <c r="F166" s="242">
        <v>6880</v>
      </c>
      <c r="G166" s="73" t="s">
        <v>100</v>
      </c>
      <c r="H166" s="67">
        <f>T166/$H$164</f>
        <v>25.287356321839081</v>
      </c>
      <c r="I166" s="67">
        <f t="shared" ref="I166:I174" si="119">F166*H166</f>
        <v>173977.01149425289</v>
      </c>
      <c r="J166" s="67">
        <f t="shared" ref="J166:J174" si="120">W166/$J$164</f>
        <v>8.2352941176470598</v>
      </c>
      <c r="K166" s="67">
        <f t="shared" si="112"/>
        <v>56658.823529411769</v>
      </c>
      <c r="L166" s="72">
        <f t="shared" si="113"/>
        <v>230635.83502366467</v>
      </c>
      <c r="M166" s="67">
        <f t="shared" si="117"/>
        <v>44.668634250965638</v>
      </c>
      <c r="N166" s="67">
        <f t="shared" si="118"/>
        <v>14.547164844298436</v>
      </c>
      <c r="O166" s="72">
        <f t="shared" si="114"/>
        <v>59.215799095264074</v>
      </c>
      <c r="P166" s="203">
        <f t="shared" si="115"/>
        <v>407404.69777541683</v>
      </c>
      <c r="Q166" s="272">
        <f t="shared" si="97"/>
        <v>407404.69777541689</v>
      </c>
      <c r="R166" s="439">
        <f t="shared" si="116"/>
        <v>0</v>
      </c>
      <c r="S166" s="18"/>
      <c r="T166" s="67">
        <v>22</v>
      </c>
      <c r="U166" s="18"/>
      <c r="V166" s="273"/>
      <c r="W166" s="67">
        <v>7</v>
      </c>
      <c r="X166" s="224"/>
      <c r="Y166" s="585"/>
      <c r="Z166" s="926" t="s">
        <v>254</v>
      </c>
      <c r="AA166" s="926"/>
      <c r="AB166" s="926"/>
      <c r="AC166" s="593" t="s">
        <v>255</v>
      </c>
      <c r="AD166" s="594">
        <v>0.25</v>
      </c>
      <c r="AE166" s="594">
        <v>0.35</v>
      </c>
      <c r="AF166" s="587">
        <f>AC45</f>
        <v>34.905660377358487</v>
      </c>
      <c r="AG166" s="588">
        <f>AF166*AE166</f>
        <v>12.216981132075469</v>
      </c>
      <c r="AH166" s="594"/>
      <c r="AI166" s="595">
        <f>AH166*AE166</f>
        <v>0</v>
      </c>
    </row>
    <row r="167" spans="1:38" s="1" customFormat="1" x14ac:dyDescent="0.25">
      <c r="A167" s="238"/>
      <c r="B167" s="317"/>
      <c r="C167" s="318">
        <v>3</v>
      </c>
      <c r="D167" s="83" t="s">
        <v>423</v>
      </c>
      <c r="E167" s="539">
        <v>1087</v>
      </c>
      <c r="F167" s="242">
        <v>1215</v>
      </c>
      <c r="G167" s="73" t="s">
        <v>100</v>
      </c>
      <c r="H167" s="67">
        <f t="shared" ref="H167:H174" si="121">T167/$H$164</f>
        <v>37.931034482758619</v>
      </c>
      <c r="I167" s="67">
        <f t="shared" si="119"/>
        <v>46086.206896551725</v>
      </c>
      <c r="J167" s="67">
        <f t="shared" si="120"/>
        <v>18.823529411764707</v>
      </c>
      <c r="K167" s="67">
        <f t="shared" si="112"/>
        <v>22870.588235294119</v>
      </c>
      <c r="L167" s="72">
        <f t="shared" si="113"/>
        <v>68956.795131845836</v>
      </c>
      <c r="M167" s="67">
        <f t="shared" si="117"/>
        <v>67.002951376448451</v>
      </c>
      <c r="N167" s="67">
        <f t="shared" si="118"/>
        <v>33.250662501253565</v>
      </c>
      <c r="O167" s="72">
        <f t="shared" si="114"/>
        <v>100.25361387770201</v>
      </c>
      <c r="P167" s="203">
        <f t="shared" si="115"/>
        <v>121808.14086140794</v>
      </c>
      <c r="Q167" s="272">
        <f t="shared" si="97"/>
        <v>121808.14086140794</v>
      </c>
      <c r="R167" s="439">
        <f t="shared" si="116"/>
        <v>0</v>
      </c>
      <c r="S167" s="18"/>
      <c r="T167" s="67">
        <v>33</v>
      </c>
      <c r="U167" s="18"/>
      <c r="V167" s="273"/>
      <c r="W167" s="67">
        <v>16</v>
      </c>
      <c r="X167" s="224"/>
      <c r="Y167" s="585"/>
      <c r="Z167" s="926" t="s">
        <v>256</v>
      </c>
      <c r="AA167" s="926"/>
      <c r="AB167" s="926"/>
      <c r="AC167" s="593" t="s">
        <v>257</v>
      </c>
      <c r="AD167" s="594">
        <v>1</v>
      </c>
      <c r="AE167" s="594">
        <v>1</v>
      </c>
      <c r="AF167" s="587">
        <v>0</v>
      </c>
      <c r="AG167" s="588">
        <f>AF167*AE167</f>
        <v>0</v>
      </c>
      <c r="AH167" s="594">
        <v>0</v>
      </c>
      <c r="AI167" s="595">
        <f>AH167*AE167</f>
        <v>0</v>
      </c>
    </row>
    <row r="168" spans="1:38" s="1" customFormat="1" x14ac:dyDescent="0.25">
      <c r="A168" s="238"/>
      <c r="B168" s="317"/>
      <c r="C168" s="318">
        <v>4</v>
      </c>
      <c r="D168" s="83" t="s">
        <v>430</v>
      </c>
      <c r="E168" s="539">
        <v>1771</v>
      </c>
      <c r="F168" s="242">
        <v>1880</v>
      </c>
      <c r="G168" s="73" t="s">
        <v>100</v>
      </c>
      <c r="H168" s="67">
        <f t="shared" si="121"/>
        <v>60.919540229885058</v>
      </c>
      <c r="I168" s="67">
        <f t="shared" si="119"/>
        <v>114528.7356321839</v>
      </c>
      <c r="J168" s="67">
        <f t="shared" si="120"/>
        <v>18.823529411764707</v>
      </c>
      <c r="K168" s="67">
        <f t="shared" si="112"/>
        <v>35388.23529411765</v>
      </c>
      <c r="L168" s="72">
        <f t="shared" si="113"/>
        <v>149916.97092630155</v>
      </c>
      <c r="M168" s="67">
        <f t="shared" si="117"/>
        <v>107.61080069550812</v>
      </c>
      <c r="N168" s="67">
        <f t="shared" si="118"/>
        <v>33.250662501253565</v>
      </c>
      <c r="O168" s="72">
        <f t="shared" si="114"/>
        <v>140.86146319676169</v>
      </c>
      <c r="P168" s="203">
        <f t="shared" si="115"/>
        <v>264819.55080991198</v>
      </c>
      <c r="Q168" s="272">
        <f t="shared" si="97"/>
        <v>264819.55080991198</v>
      </c>
      <c r="R168" s="439">
        <f t="shared" si="116"/>
        <v>0</v>
      </c>
      <c r="S168" s="18"/>
      <c r="T168" s="67">
        <v>53</v>
      </c>
      <c r="U168" s="18"/>
      <c r="V168" s="273"/>
      <c r="W168" s="67">
        <v>16</v>
      </c>
      <c r="X168" s="224"/>
      <c r="Y168" s="585"/>
      <c r="Z168" s="605"/>
      <c r="AA168" s="605"/>
      <c r="AB168" s="605"/>
      <c r="AC168" s="605"/>
      <c r="AD168" s="594"/>
      <c r="AE168" s="594"/>
      <c r="AF168" s="587"/>
      <c r="AG168" s="589">
        <f>SUM(AG164:AG167)</f>
        <v>1060.7423734791041</v>
      </c>
      <c r="AH168" s="586"/>
      <c r="AI168" s="589">
        <f>SUM(AI164:AI167)</f>
        <v>215.10000000000002</v>
      </c>
    </row>
    <row r="169" spans="1:38" s="1" customFormat="1" x14ac:dyDescent="0.25">
      <c r="A169" s="238"/>
      <c r="B169" s="317"/>
      <c r="C169" s="318">
        <v>5</v>
      </c>
      <c r="D169" s="83" t="s">
        <v>424</v>
      </c>
      <c r="E169" s="242">
        <v>21</v>
      </c>
      <c r="F169" s="242">
        <v>23</v>
      </c>
      <c r="G169" s="73" t="s">
        <v>100</v>
      </c>
      <c r="H169" s="67">
        <f t="shared" si="121"/>
        <v>95.402298850574709</v>
      </c>
      <c r="I169" s="67">
        <f t="shared" si="119"/>
        <v>2194.2528735632181</v>
      </c>
      <c r="J169" s="67">
        <f t="shared" si="120"/>
        <v>29.411764705882355</v>
      </c>
      <c r="K169" s="67">
        <f t="shared" si="112"/>
        <v>676.47058823529414</v>
      </c>
      <c r="L169" s="72">
        <f t="shared" si="113"/>
        <v>2870.7234617985123</v>
      </c>
      <c r="M169" s="67">
        <f t="shared" si="117"/>
        <v>168.52257467409763</v>
      </c>
      <c r="N169" s="67">
        <f t="shared" si="118"/>
        <v>51.954160158208701</v>
      </c>
      <c r="O169" s="72">
        <f t="shared" si="114"/>
        <v>220.47673483230633</v>
      </c>
      <c r="P169" s="203">
        <f t="shared" si="115"/>
        <v>5070.9649011430456</v>
      </c>
      <c r="Q169" s="272">
        <f t="shared" si="97"/>
        <v>5070.9649011430447</v>
      </c>
      <c r="R169" s="439">
        <f t="shared" si="116"/>
        <v>0</v>
      </c>
      <c r="S169" s="18"/>
      <c r="T169" s="67">
        <v>83</v>
      </c>
      <c r="U169" s="18"/>
      <c r="V169" s="273"/>
      <c r="W169" s="67">
        <v>25</v>
      </c>
      <c r="Y169" s="585"/>
      <c r="Z169" s="585"/>
      <c r="AA169" s="585"/>
      <c r="AB169" s="585"/>
      <c r="AC169" s="585"/>
      <c r="AD169" s="585"/>
      <c r="AE169" s="585"/>
      <c r="AF169" s="585"/>
      <c r="AG169" s="579"/>
      <c r="AH169" s="585"/>
      <c r="AI169" s="579"/>
    </row>
    <row r="170" spans="1:38" s="1" customFormat="1" x14ac:dyDescent="0.25">
      <c r="A170" s="238"/>
      <c r="B170" s="319"/>
      <c r="C170" s="318">
        <v>6</v>
      </c>
      <c r="D170" s="83" t="s">
        <v>425</v>
      </c>
      <c r="E170" s="242">
        <v>24</v>
      </c>
      <c r="F170" s="242">
        <v>27</v>
      </c>
      <c r="G170" s="73" t="s">
        <v>100</v>
      </c>
      <c r="H170" s="67">
        <f t="shared" si="121"/>
        <v>149.42528735632183</v>
      </c>
      <c r="I170" s="67">
        <f t="shared" si="119"/>
        <v>4034.4827586206893</v>
      </c>
      <c r="J170" s="67">
        <f t="shared" si="120"/>
        <v>45.882352941176471</v>
      </c>
      <c r="K170" s="67">
        <f t="shared" si="112"/>
        <v>1238.8235294117646</v>
      </c>
      <c r="L170" s="72">
        <f t="shared" si="113"/>
        <v>5273.3062880324542</v>
      </c>
      <c r="M170" s="67">
        <f t="shared" si="117"/>
        <v>263.95102057388783</v>
      </c>
      <c r="N170" s="67">
        <f t="shared" si="118"/>
        <v>81.04848984680558</v>
      </c>
      <c r="O170" s="72">
        <f t="shared" si="114"/>
        <v>344.99951042069341</v>
      </c>
      <c r="P170" s="203">
        <f t="shared" si="115"/>
        <v>9314.9867813587225</v>
      </c>
      <c r="Q170" s="272">
        <f t="shared" si="97"/>
        <v>9314.9867813587225</v>
      </c>
      <c r="R170" s="439">
        <f t="shared" si="116"/>
        <v>0</v>
      </c>
      <c r="S170" s="18"/>
      <c r="T170" s="67">
        <v>130</v>
      </c>
      <c r="U170" s="18"/>
      <c r="V170" s="273"/>
      <c r="W170" s="67">
        <v>39</v>
      </c>
      <c r="X170" s="224"/>
      <c r="Y170" s="585"/>
      <c r="Z170" s="585"/>
      <c r="AA170" s="585"/>
      <c r="AB170" s="585"/>
      <c r="AC170" s="585"/>
      <c r="AD170" s="585"/>
      <c r="AE170" s="585"/>
      <c r="AF170" s="585"/>
      <c r="AG170" s="579"/>
      <c r="AH170" s="585"/>
      <c r="AI170" s="579"/>
    </row>
    <row r="171" spans="1:38" s="1" customFormat="1" x14ac:dyDescent="0.25">
      <c r="A171" s="238"/>
      <c r="B171" s="317"/>
      <c r="C171" s="318">
        <v>7</v>
      </c>
      <c r="D171" s="83" t="s">
        <v>426</v>
      </c>
      <c r="E171" s="242">
        <v>9</v>
      </c>
      <c r="F171" s="242">
        <v>11</v>
      </c>
      <c r="G171" s="73" t="s">
        <v>100</v>
      </c>
      <c r="H171" s="67">
        <f t="shared" si="121"/>
        <v>218.39080459770116</v>
      </c>
      <c r="I171" s="67">
        <f t="shared" si="119"/>
        <v>2402.2988505747126</v>
      </c>
      <c r="J171" s="67">
        <f t="shared" si="120"/>
        <v>67.058823529411768</v>
      </c>
      <c r="K171" s="67">
        <f t="shared" si="112"/>
        <v>737.64705882352951</v>
      </c>
      <c r="L171" s="72">
        <f t="shared" si="113"/>
        <v>3139.9459093982423</v>
      </c>
      <c r="M171" s="67">
        <f t="shared" si="117"/>
        <v>385.7745685310669</v>
      </c>
      <c r="N171" s="67">
        <f t="shared" si="118"/>
        <v>118.45548516071584</v>
      </c>
      <c r="O171" s="72">
        <f t="shared" si="114"/>
        <v>504.23005369178276</v>
      </c>
      <c r="P171" s="203">
        <f t="shared" si="115"/>
        <v>5546.53059060961</v>
      </c>
      <c r="Q171" s="272">
        <f t="shared" si="97"/>
        <v>5546.53059060961</v>
      </c>
      <c r="R171" s="439">
        <f t="shared" si="116"/>
        <v>0</v>
      </c>
      <c r="S171" s="18"/>
      <c r="T171" s="67">
        <v>190</v>
      </c>
      <c r="U171" s="18"/>
      <c r="V171" s="273"/>
      <c r="W171" s="67">
        <v>57</v>
      </c>
      <c r="X171" s="224"/>
      <c r="Y171" s="585"/>
      <c r="Z171" s="927" t="s">
        <v>351</v>
      </c>
      <c r="AA171" s="927"/>
      <c r="AB171" s="927"/>
      <c r="AC171" s="586" t="s">
        <v>243</v>
      </c>
      <c r="AD171" s="586" t="s">
        <v>244</v>
      </c>
      <c r="AE171" s="586" t="s">
        <v>245</v>
      </c>
      <c r="AF171" s="587" t="s">
        <v>246</v>
      </c>
      <c r="AG171" s="588" t="s">
        <v>247</v>
      </c>
      <c r="AH171" s="586" t="s">
        <v>248</v>
      </c>
      <c r="AI171" s="589" t="s">
        <v>249</v>
      </c>
    </row>
    <row r="172" spans="1:38" s="1" customFormat="1" x14ac:dyDescent="0.25">
      <c r="A172" s="238"/>
      <c r="B172" s="317"/>
      <c r="C172" s="318">
        <v>8</v>
      </c>
      <c r="D172" s="83" t="s">
        <v>427</v>
      </c>
      <c r="E172" s="539">
        <v>34</v>
      </c>
      <c r="F172" s="242">
        <v>47</v>
      </c>
      <c r="G172" s="73" t="s">
        <v>100</v>
      </c>
      <c r="H172" s="67">
        <f t="shared" si="121"/>
        <v>356.32183908045977</v>
      </c>
      <c r="I172" s="67">
        <f t="shared" si="119"/>
        <v>16747.126436781607</v>
      </c>
      <c r="J172" s="67">
        <f t="shared" si="120"/>
        <v>109.41176470588236</v>
      </c>
      <c r="K172" s="67">
        <f t="shared" si="112"/>
        <v>5142.3529411764712</v>
      </c>
      <c r="L172" s="72">
        <f t="shared" si="113"/>
        <v>21889.47937795808</v>
      </c>
      <c r="M172" s="67">
        <f t="shared" si="117"/>
        <v>629.42166444542488</v>
      </c>
      <c r="N172" s="67">
        <f t="shared" si="118"/>
        <v>193.26947578853637</v>
      </c>
      <c r="O172" s="72">
        <f t="shared" si="114"/>
        <v>822.69114023396128</v>
      </c>
      <c r="P172" s="203">
        <f t="shared" si="115"/>
        <v>38666.483590996177</v>
      </c>
      <c r="Q172" s="272">
        <f t="shared" si="97"/>
        <v>38666.483590996177</v>
      </c>
      <c r="R172" s="439">
        <f t="shared" si="116"/>
        <v>0</v>
      </c>
      <c r="S172" s="18"/>
      <c r="T172" s="67">
        <v>310</v>
      </c>
      <c r="U172" s="18"/>
      <c r="V172" s="273"/>
      <c r="W172" s="67">
        <v>93</v>
      </c>
      <c r="Y172" s="585"/>
      <c r="Z172" s="926" t="s">
        <v>352</v>
      </c>
      <c r="AA172" s="926"/>
      <c r="AB172" s="926"/>
      <c r="AC172" s="593" t="s">
        <v>251</v>
      </c>
      <c r="AD172" s="594">
        <v>8.33</v>
      </c>
      <c r="AE172" s="594">
        <v>9</v>
      </c>
      <c r="AF172" s="587">
        <f>130/1.06</f>
        <v>122.64150943396226</v>
      </c>
      <c r="AG172" s="588">
        <f>AF172*AE172</f>
        <v>1103.7735849056603</v>
      </c>
      <c r="AH172" s="594">
        <f>AH157</f>
        <v>23.9</v>
      </c>
      <c r="AI172" s="595">
        <f>AH172*AE172</f>
        <v>215.1</v>
      </c>
    </row>
    <row r="173" spans="1:38" s="1" customFormat="1" x14ac:dyDescent="0.25">
      <c r="A173" s="238"/>
      <c r="B173" s="317"/>
      <c r="C173" s="318">
        <v>9</v>
      </c>
      <c r="D173" s="83" t="s">
        <v>428</v>
      </c>
      <c r="E173" s="539">
        <v>27</v>
      </c>
      <c r="F173" s="242">
        <v>37</v>
      </c>
      <c r="G173" s="73" t="s">
        <v>100</v>
      </c>
      <c r="H173" s="67">
        <f t="shared" si="121"/>
        <v>1018.3908045977012</v>
      </c>
      <c r="I173" s="67">
        <f t="shared" si="119"/>
        <v>37680.45977011494</v>
      </c>
      <c r="J173" s="67">
        <f t="shared" si="120"/>
        <v>311.76470588235293</v>
      </c>
      <c r="K173" s="67">
        <f t="shared" si="112"/>
        <v>11535.294117647058</v>
      </c>
      <c r="L173" s="72">
        <f t="shared" si="113"/>
        <v>49215.753887761995</v>
      </c>
      <c r="M173" s="67">
        <f t="shared" si="117"/>
        <v>1798.9277248343437</v>
      </c>
      <c r="N173" s="67">
        <f t="shared" si="118"/>
        <v>550.71409767701209</v>
      </c>
      <c r="O173" s="72">
        <f t="shared" si="114"/>
        <v>2349.6418225113557</v>
      </c>
      <c r="P173" s="203">
        <f t="shared" si="115"/>
        <v>86936.747432920165</v>
      </c>
      <c r="Q173" s="272">
        <f t="shared" si="97"/>
        <v>86936.74743292015</v>
      </c>
      <c r="R173" s="439">
        <f t="shared" si="116"/>
        <v>0</v>
      </c>
      <c r="S173" s="18"/>
      <c r="T173" s="67">
        <v>886</v>
      </c>
      <c r="U173" s="18"/>
      <c r="V173" s="273"/>
      <c r="W173" s="67">
        <v>265</v>
      </c>
      <c r="Y173" s="585"/>
      <c r="Z173" s="926" t="s">
        <v>252</v>
      </c>
      <c r="AA173" s="926"/>
      <c r="AB173" s="926"/>
      <c r="AC173" s="593" t="s">
        <v>253</v>
      </c>
      <c r="AD173" s="594">
        <v>0.25</v>
      </c>
      <c r="AE173" s="594">
        <v>0.25</v>
      </c>
      <c r="AF173" s="587">
        <f>260/1.06</f>
        <v>245.28301886792451</v>
      </c>
      <c r="AG173" s="588">
        <f>AF173*AE173</f>
        <v>61.320754716981128</v>
      </c>
      <c r="AH173" s="594"/>
      <c r="AI173" s="595">
        <f>AH173*AE173</f>
        <v>0</v>
      </c>
    </row>
    <row r="174" spans="1:38" s="1" customFormat="1" x14ac:dyDescent="0.25">
      <c r="A174" s="238"/>
      <c r="B174" s="317"/>
      <c r="C174" s="318">
        <v>10</v>
      </c>
      <c r="D174" s="83" t="s">
        <v>429</v>
      </c>
      <c r="E174" s="539">
        <v>102</v>
      </c>
      <c r="F174" s="242">
        <v>125</v>
      </c>
      <c r="G174" s="73" t="s">
        <v>100</v>
      </c>
      <c r="H174" s="67">
        <f t="shared" si="121"/>
        <v>1650.5747126436781</v>
      </c>
      <c r="I174" s="67">
        <f t="shared" si="119"/>
        <v>206321.83908045976</v>
      </c>
      <c r="J174" s="67">
        <f t="shared" si="120"/>
        <v>505.88235294117646</v>
      </c>
      <c r="K174" s="67">
        <f t="shared" si="112"/>
        <v>63235.294117647056</v>
      </c>
      <c r="L174" s="72">
        <f t="shared" si="113"/>
        <v>269557.13319810684</v>
      </c>
      <c r="M174" s="67">
        <f t="shared" si="117"/>
        <v>2915.6435811084843</v>
      </c>
      <c r="N174" s="67">
        <f t="shared" si="118"/>
        <v>893.61155472118958</v>
      </c>
      <c r="O174" s="72">
        <f t="shared" si="114"/>
        <v>3809.2551358296741</v>
      </c>
      <c r="P174" s="203">
        <f t="shared" si="115"/>
        <v>476156.89197870926</v>
      </c>
      <c r="Q174" s="272">
        <f t="shared" si="97"/>
        <v>476156.89197870926</v>
      </c>
      <c r="R174" s="439">
        <f t="shared" si="116"/>
        <v>0</v>
      </c>
      <c r="S174" s="18"/>
      <c r="T174" s="67">
        <v>1436</v>
      </c>
      <c r="U174" s="18"/>
      <c r="V174" s="273"/>
      <c r="W174" s="67">
        <v>430</v>
      </c>
      <c r="Y174" s="585"/>
      <c r="Z174" s="926" t="s">
        <v>254</v>
      </c>
      <c r="AA174" s="926"/>
      <c r="AB174" s="926"/>
      <c r="AC174" s="593" t="s">
        <v>255</v>
      </c>
      <c r="AD174" s="594">
        <v>0.25</v>
      </c>
      <c r="AE174" s="594">
        <v>0.35</v>
      </c>
      <c r="AF174" s="587">
        <f>37/1.06</f>
        <v>34.905660377358487</v>
      </c>
      <c r="AG174" s="588">
        <f>AF174*AE174</f>
        <v>12.216981132075469</v>
      </c>
      <c r="AH174" s="594"/>
      <c r="AI174" s="595">
        <f>AH174*AE174</f>
        <v>0</v>
      </c>
    </row>
    <row r="175" spans="1:38" s="1" customFormat="1" x14ac:dyDescent="0.25">
      <c r="A175" s="238"/>
      <c r="B175" s="317"/>
      <c r="C175" s="318"/>
      <c r="D175" s="83"/>
      <c r="E175" s="242"/>
      <c r="F175" s="242"/>
      <c r="G175" s="73"/>
      <c r="H175" s="67"/>
      <c r="I175" s="67"/>
      <c r="J175" s="67"/>
      <c r="K175" s="67"/>
      <c r="L175" s="72"/>
      <c r="M175" s="67"/>
      <c r="N175" s="67"/>
      <c r="O175" s="72"/>
      <c r="P175" s="203"/>
      <c r="Q175" s="272">
        <f t="shared" si="97"/>
        <v>0</v>
      </c>
      <c r="R175" s="439"/>
      <c r="S175" s="18"/>
      <c r="T175" s="67"/>
      <c r="U175" s="18"/>
      <c r="V175" s="273"/>
      <c r="W175" s="67"/>
      <c r="X175" s="550"/>
      <c r="Y175" s="585"/>
      <c r="Z175" s="926" t="s">
        <v>256</v>
      </c>
      <c r="AA175" s="926"/>
      <c r="AB175" s="926"/>
      <c r="AC175" s="593" t="s">
        <v>257</v>
      </c>
      <c r="AD175" s="594">
        <v>1</v>
      </c>
      <c r="AE175" s="594">
        <v>1</v>
      </c>
      <c r="AF175" s="587">
        <v>0</v>
      </c>
      <c r="AG175" s="588">
        <f>AF175*AE175</f>
        <v>0</v>
      </c>
      <c r="AH175" s="594">
        <v>0</v>
      </c>
      <c r="AI175" s="595">
        <f>AH175*AE175</f>
        <v>0</v>
      </c>
      <c r="AJ175" s="385"/>
      <c r="AK175" s="385"/>
      <c r="AL175" s="385"/>
    </row>
    <row r="176" spans="1:38" s="1" customFormat="1" x14ac:dyDescent="0.25">
      <c r="A176" s="238"/>
      <c r="B176" s="290" t="s">
        <v>321</v>
      </c>
      <c r="C176" s="291" t="s">
        <v>431</v>
      </c>
      <c r="D176" s="316"/>
      <c r="E176" s="244"/>
      <c r="F176" s="302"/>
      <c r="G176" s="75"/>
      <c r="H176" s="74"/>
      <c r="I176" s="74"/>
      <c r="J176" s="74"/>
      <c r="K176" s="74"/>
      <c r="L176" s="74"/>
      <c r="M176" s="72"/>
      <c r="N176" s="72"/>
      <c r="O176" s="72"/>
      <c r="P176" s="205"/>
      <c r="Q176" s="272">
        <f t="shared" si="97"/>
        <v>0</v>
      </c>
      <c r="R176" s="439"/>
      <c r="S176" s="18"/>
      <c r="T176" s="74"/>
      <c r="W176" s="74"/>
      <c r="Y176" s="585"/>
      <c r="Z176" s="605"/>
      <c r="AA176" s="605"/>
      <c r="AB176" s="605"/>
      <c r="AC176" s="605"/>
      <c r="AD176" s="594"/>
      <c r="AE176" s="594"/>
      <c r="AF176" s="587"/>
      <c r="AG176" s="589">
        <f>SUM(AG172:AG175)</f>
        <v>1177.3113207547169</v>
      </c>
      <c r="AH176" s="586"/>
      <c r="AI176" s="589">
        <f>SUM(AI172:AI175)</f>
        <v>215.1</v>
      </c>
    </row>
    <row r="177" spans="1:35" s="1" customFormat="1" x14ac:dyDescent="0.25">
      <c r="A177" s="238"/>
      <c r="B177" s="317"/>
      <c r="C177" s="318">
        <v>1</v>
      </c>
      <c r="D177" s="83" t="s">
        <v>432</v>
      </c>
      <c r="E177" s="242">
        <v>24</v>
      </c>
      <c r="F177" s="242">
        <v>24</v>
      </c>
      <c r="G177" s="73" t="s">
        <v>28</v>
      </c>
      <c r="H177" s="67">
        <f t="shared" ref="H177:H183" si="122">T177/$H$164</f>
        <v>108.04597701149426</v>
      </c>
      <c r="I177" s="67">
        <f>F177*H177</f>
        <v>2593.1034482758623</v>
      </c>
      <c r="J177" s="67">
        <f t="shared" ref="J177:J183" si="123">W177/$J$164</f>
        <v>44.705882352941181</v>
      </c>
      <c r="K177" s="67">
        <f t="shared" ref="K177:K183" si="124">F177*J177</f>
        <v>1072.9411764705883</v>
      </c>
      <c r="L177" s="72">
        <f t="shared" ref="L177:L183" si="125">I177+K177</f>
        <v>3666.0446247464506</v>
      </c>
      <c r="M177" s="67">
        <f t="shared" ref="M177:M183" si="126">H177/$P$255*$P$263</f>
        <v>190.85689179958044</v>
      </c>
      <c r="N177" s="67">
        <f t="shared" ref="N177:N183" si="127">J177/$P$255*$P$263</f>
        <v>78.97032344047723</v>
      </c>
      <c r="O177" s="72">
        <f t="shared" ref="O177:O183" si="128">N177+M177</f>
        <v>269.82721524005768</v>
      </c>
      <c r="P177" s="203">
        <f t="shared" ref="P177:P183" si="129">O177*F177</f>
        <v>6475.8531657613839</v>
      </c>
      <c r="Q177" s="272">
        <f t="shared" si="97"/>
        <v>6475.8531657613848</v>
      </c>
      <c r="R177" s="439">
        <f t="shared" ref="R177:R183" si="130">P177-Q177</f>
        <v>0</v>
      </c>
      <c r="S177" s="18"/>
      <c r="T177" s="67">
        <v>94</v>
      </c>
      <c r="U177" s="18"/>
      <c r="V177" s="273"/>
      <c r="W177" s="67">
        <v>38</v>
      </c>
      <c r="X177" s="224"/>
      <c r="Y177" s="585"/>
      <c r="Z177" s="585"/>
      <c r="AA177" s="585"/>
      <c r="AB177" s="585"/>
      <c r="AC177" s="585"/>
      <c r="AD177" s="585"/>
      <c r="AE177" s="585"/>
      <c r="AF177" s="585"/>
      <c r="AG177" s="579"/>
      <c r="AH177" s="585"/>
      <c r="AI177" s="579"/>
    </row>
    <row r="178" spans="1:35" s="1" customFormat="1" x14ac:dyDescent="0.25">
      <c r="A178" s="238"/>
      <c r="B178" s="317"/>
      <c r="C178" s="318">
        <v>2</v>
      </c>
      <c r="D178" s="83" t="s">
        <v>433</v>
      </c>
      <c r="E178" s="242">
        <v>6</v>
      </c>
      <c r="F178" s="242">
        <v>6</v>
      </c>
      <c r="G178" s="73" t="s">
        <v>28</v>
      </c>
      <c r="H178" s="67">
        <f t="shared" si="122"/>
        <v>163.2183908045977</v>
      </c>
      <c r="I178" s="67">
        <f t="shared" ref="I178:I180" si="131">F178*H178</f>
        <v>979.31034482758628</v>
      </c>
      <c r="J178" s="67">
        <f t="shared" si="123"/>
        <v>52.941176470588239</v>
      </c>
      <c r="K178" s="67">
        <f t="shared" si="124"/>
        <v>317.64705882352945</v>
      </c>
      <c r="L178" s="72">
        <f t="shared" si="125"/>
        <v>1296.9574036511158</v>
      </c>
      <c r="M178" s="67">
        <f t="shared" si="126"/>
        <v>288.31573016532366</v>
      </c>
      <c r="N178" s="67">
        <f t="shared" si="127"/>
        <v>93.517488284775666</v>
      </c>
      <c r="O178" s="72">
        <f t="shared" si="128"/>
        <v>381.83321845009931</v>
      </c>
      <c r="P178" s="203">
        <f t="shared" si="129"/>
        <v>2290.9993107005957</v>
      </c>
      <c r="Q178" s="272">
        <f t="shared" si="97"/>
        <v>2290.9993107005962</v>
      </c>
      <c r="R178" s="439">
        <f t="shared" si="130"/>
        <v>0</v>
      </c>
      <c r="S178" s="18"/>
      <c r="T178" s="67">
        <v>142</v>
      </c>
      <c r="U178" s="18"/>
      <c r="V178" s="273"/>
      <c r="W178" s="67">
        <v>45</v>
      </c>
      <c r="X178" s="224"/>
      <c r="Y178" s="585"/>
      <c r="Z178" s="585"/>
      <c r="AA178" s="585"/>
      <c r="AB178" s="585"/>
      <c r="AC178" s="585"/>
      <c r="AD178" s="585"/>
      <c r="AE178" s="585"/>
      <c r="AF178" s="585"/>
      <c r="AG178" s="579"/>
      <c r="AH178" s="585"/>
      <c r="AI178" s="579"/>
    </row>
    <row r="179" spans="1:35" s="1" customFormat="1" x14ac:dyDescent="0.25">
      <c r="A179" s="238"/>
      <c r="B179" s="317"/>
      <c r="C179" s="318">
        <v>3</v>
      </c>
      <c r="D179" s="83" t="s">
        <v>434</v>
      </c>
      <c r="E179" s="242">
        <v>3</v>
      </c>
      <c r="F179" s="242">
        <v>3</v>
      </c>
      <c r="G179" s="73" t="s">
        <v>28</v>
      </c>
      <c r="H179" s="67">
        <f t="shared" si="122"/>
        <v>235.63218390804599</v>
      </c>
      <c r="I179" s="67">
        <f t="shared" si="131"/>
        <v>706.89655172413791</v>
      </c>
      <c r="J179" s="67">
        <f t="shared" si="123"/>
        <v>72.941176470588232</v>
      </c>
      <c r="K179" s="67">
        <f t="shared" si="124"/>
        <v>218.8235294117647</v>
      </c>
      <c r="L179" s="72">
        <f t="shared" si="125"/>
        <v>925.72008113590255</v>
      </c>
      <c r="M179" s="67">
        <f t="shared" si="126"/>
        <v>416.2304555203616</v>
      </c>
      <c r="N179" s="67">
        <f t="shared" si="127"/>
        <v>128.84631719235756</v>
      </c>
      <c r="O179" s="72">
        <f t="shared" si="128"/>
        <v>545.07677271271916</v>
      </c>
      <c r="P179" s="203">
        <f t="shared" si="129"/>
        <v>1635.2303181381576</v>
      </c>
      <c r="Q179" s="272">
        <f t="shared" si="97"/>
        <v>1635.2303181381574</v>
      </c>
      <c r="R179" s="439">
        <f t="shared" si="130"/>
        <v>0</v>
      </c>
      <c r="S179" s="18"/>
      <c r="T179" s="67">
        <v>205</v>
      </c>
      <c r="U179" s="18"/>
      <c r="V179" s="273"/>
      <c r="W179" s="67">
        <v>62</v>
      </c>
      <c r="X179" s="273"/>
      <c r="Y179" s="585"/>
      <c r="Z179" s="927" t="s">
        <v>351</v>
      </c>
      <c r="AA179" s="927"/>
      <c r="AB179" s="927"/>
      <c r="AC179" s="586" t="s">
        <v>243</v>
      </c>
      <c r="AD179" s="586" t="s">
        <v>244</v>
      </c>
      <c r="AE179" s="586" t="s">
        <v>245</v>
      </c>
      <c r="AF179" s="587" t="s">
        <v>246</v>
      </c>
      <c r="AG179" s="587" t="s">
        <v>247</v>
      </c>
      <c r="AH179" s="586" t="s">
        <v>248</v>
      </c>
      <c r="AI179" s="586" t="s">
        <v>249</v>
      </c>
    </row>
    <row r="180" spans="1:35" s="1" customFormat="1" x14ac:dyDescent="0.25">
      <c r="A180" s="238"/>
      <c r="B180" s="317"/>
      <c r="C180" s="318">
        <v>4</v>
      </c>
      <c r="D180" s="83" t="s">
        <v>435</v>
      </c>
      <c r="E180" s="242">
        <v>4</v>
      </c>
      <c r="F180" s="242">
        <v>4</v>
      </c>
      <c r="G180" s="73" t="s">
        <v>28</v>
      </c>
      <c r="H180" s="67">
        <f t="shared" si="122"/>
        <v>168.9655172413793</v>
      </c>
      <c r="I180" s="67">
        <f t="shared" si="131"/>
        <v>675.86206896551721</v>
      </c>
      <c r="J180" s="67">
        <f t="shared" si="123"/>
        <v>51.764705882352942</v>
      </c>
      <c r="K180" s="67">
        <f t="shared" si="124"/>
        <v>207.05882352941177</v>
      </c>
      <c r="L180" s="72">
        <f t="shared" si="125"/>
        <v>882.92089249492892</v>
      </c>
      <c r="M180" s="67">
        <f t="shared" si="126"/>
        <v>298.46769249508856</v>
      </c>
      <c r="N180" s="67">
        <f t="shared" si="127"/>
        <v>91.439321878447316</v>
      </c>
      <c r="O180" s="72">
        <f t="shared" si="128"/>
        <v>389.90701437353584</v>
      </c>
      <c r="P180" s="203">
        <f t="shared" si="129"/>
        <v>1559.6280574941434</v>
      </c>
      <c r="Q180" s="272">
        <f t="shared" si="97"/>
        <v>1559.6280574941436</v>
      </c>
      <c r="R180" s="439">
        <f t="shared" si="130"/>
        <v>0</v>
      </c>
      <c r="S180" s="18"/>
      <c r="T180" s="67">
        <v>147</v>
      </c>
      <c r="U180" s="18"/>
      <c r="V180" s="273"/>
      <c r="W180" s="67">
        <v>44</v>
      </c>
      <c r="X180" s="273"/>
      <c r="Y180" s="585"/>
      <c r="Z180" s="926" t="s">
        <v>353</v>
      </c>
      <c r="AA180" s="926"/>
      <c r="AB180" s="926"/>
      <c r="AC180" s="593" t="s">
        <v>251</v>
      </c>
      <c r="AD180" s="594">
        <v>8.33</v>
      </c>
      <c r="AE180" s="594">
        <v>9</v>
      </c>
      <c r="AF180" s="587">
        <f>143/1.06</f>
        <v>134.90566037735849</v>
      </c>
      <c r="AG180" s="587">
        <f>AF180*AE180</f>
        <v>1214.1509433962265</v>
      </c>
      <c r="AH180" s="594">
        <f>AH172</f>
        <v>23.9</v>
      </c>
      <c r="AI180" s="595">
        <f>AH180*AE180</f>
        <v>215.1</v>
      </c>
    </row>
    <row r="181" spans="1:35" s="1" customFormat="1" x14ac:dyDescent="0.25">
      <c r="A181" s="238"/>
      <c r="B181" s="317"/>
      <c r="C181" s="318">
        <v>5</v>
      </c>
      <c r="D181" s="83" t="s">
        <v>436</v>
      </c>
      <c r="E181" s="242">
        <v>104</v>
      </c>
      <c r="F181" s="242">
        <v>104</v>
      </c>
      <c r="G181" s="73" t="s">
        <v>28</v>
      </c>
      <c r="H181" s="67">
        <f t="shared" si="122"/>
        <v>275.86206896551727</v>
      </c>
      <c r="I181" s="67">
        <f>F181*H181</f>
        <v>28689.655172413797</v>
      </c>
      <c r="J181" s="67">
        <f t="shared" si="123"/>
        <v>84.705882352941174</v>
      </c>
      <c r="K181" s="67">
        <f t="shared" si="124"/>
        <v>8809.4117647058829</v>
      </c>
      <c r="L181" s="72">
        <f t="shared" si="125"/>
        <v>37499.066937119678</v>
      </c>
      <c r="M181" s="67">
        <f t="shared" si="126"/>
        <v>487.29419182871612</v>
      </c>
      <c r="N181" s="67">
        <f t="shared" si="127"/>
        <v>149.62798125564103</v>
      </c>
      <c r="O181" s="72">
        <f t="shared" si="128"/>
        <v>636.92217308435715</v>
      </c>
      <c r="P181" s="203">
        <f t="shared" si="129"/>
        <v>66239.906000773146</v>
      </c>
      <c r="Q181" s="272">
        <f t="shared" si="97"/>
        <v>66239.906000773146</v>
      </c>
      <c r="R181" s="439">
        <f t="shared" si="130"/>
        <v>0</v>
      </c>
      <c r="S181" s="18"/>
      <c r="T181" s="67">
        <v>240</v>
      </c>
      <c r="U181" s="18"/>
      <c r="V181" s="273"/>
      <c r="W181" s="67">
        <v>72</v>
      </c>
      <c r="X181" s="224"/>
      <c r="Y181" s="585"/>
      <c r="Z181" s="926" t="s">
        <v>252</v>
      </c>
      <c r="AA181" s="926"/>
      <c r="AB181" s="926"/>
      <c r="AC181" s="593" t="s">
        <v>253</v>
      </c>
      <c r="AD181" s="594">
        <v>0.25</v>
      </c>
      <c r="AE181" s="594">
        <v>0.25</v>
      </c>
      <c r="AF181" s="587">
        <f>260/1.06</f>
        <v>245.28301886792451</v>
      </c>
      <c r="AG181" s="587">
        <f>AF181*AE181</f>
        <v>61.320754716981128</v>
      </c>
      <c r="AH181" s="594"/>
      <c r="AI181" s="595">
        <f>AH181*AE181</f>
        <v>0</v>
      </c>
    </row>
    <row r="182" spans="1:35" s="1" customFormat="1" x14ac:dyDescent="0.25">
      <c r="A182" s="238"/>
      <c r="B182" s="317"/>
      <c r="C182" s="318">
        <v>6</v>
      </c>
      <c r="D182" s="83" t="s">
        <v>437</v>
      </c>
      <c r="E182" s="242">
        <v>5</v>
      </c>
      <c r="F182" s="242">
        <v>5</v>
      </c>
      <c r="G182" s="73" t="s">
        <v>28</v>
      </c>
      <c r="H182" s="67">
        <f t="shared" si="122"/>
        <v>180.45977011494253</v>
      </c>
      <c r="I182" s="67">
        <f t="shared" ref="I182:I183" si="132">F182*H182</f>
        <v>902.29885057471267</v>
      </c>
      <c r="J182" s="67">
        <f t="shared" si="123"/>
        <v>55.294117647058826</v>
      </c>
      <c r="K182" s="67">
        <f t="shared" si="124"/>
        <v>276.47058823529414</v>
      </c>
      <c r="L182" s="72">
        <f t="shared" si="125"/>
        <v>1178.7694388100067</v>
      </c>
      <c r="M182" s="67">
        <f t="shared" si="126"/>
        <v>318.77161715461841</v>
      </c>
      <c r="N182" s="67">
        <f t="shared" si="127"/>
        <v>97.673821097432352</v>
      </c>
      <c r="O182" s="72">
        <f t="shared" si="128"/>
        <v>416.44543825205074</v>
      </c>
      <c r="P182" s="203">
        <f t="shared" si="129"/>
        <v>2082.2271912602537</v>
      </c>
      <c r="Q182" s="272">
        <f t="shared" si="97"/>
        <v>2082.2271912602541</v>
      </c>
      <c r="R182" s="439">
        <f t="shared" si="130"/>
        <v>0</v>
      </c>
      <c r="S182" s="18"/>
      <c r="T182" s="67">
        <v>157</v>
      </c>
      <c r="U182" s="18"/>
      <c r="V182" s="273"/>
      <c r="W182" s="67">
        <v>47</v>
      </c>
      <c r="X182" s="224"/>
      <c r="Y182" s="585"/>
      <c r="Z182" s="926" t="s">
        <v>254</v>
      </c>
      <c r="AA182" s="926"/>
      <c r="AB182" s="926"/>
      <c r="AC182" s="593" t="s">
        <v>255</v>
      </c>
      <c r="AD182" s="594">
        <v>0.25</v>
      </c>
      <c r="AE182" s="594">
        <v>0.35</v>
      </c>
      <c r="AF182" s="587">
        <f>37/1.06</f>
        <v>34.905660377358487</v>
      </c>
      <c r="AG182" s="587">
        <f>AF182*AE182</f>
        <v>12.216981132075469</v>
      </c>
      <c r="AH182" s="594"/>
      <c r="AI182" s="595">
        <f>AH182*AE182</f>
        <v>0</v>
      </c>
    </row>
    <row r="183" spans="1:35" s="1" customFormat="1" x14ac:dyDescent="0.25">
      <c r="A183" s="238"/>
      <c r="B183" s="317"/>
      <c r="C183" s="318">
        <v>7</v>
      </c>
      <c r="D183" s="83" t="s">
        <v>438</v>
      </c>
      <c r="E183" s="242">
        <v>10</v>
      </c>
      <c r="F183" s="242">
        <v>10</v>
      </c>
      <c r="G183" s="73" t="s">
        <v>28</v>
      </c>
      <c r="H183" s="67">
        <f t="shared" si="122"/>
        <v>758.62068965517244</v>
      </c>
      <c r="I183" s="67">
        <f t="shared" si="132"/>
        <v>7586.2068965517246</v>
      </c>
      <c r="J183" s="67">
        <f t="shared" si="123"/>
        <v>155.29411764705884</v>
      </c>
      <c r="K183" s="67">
        <f t="shared" si="124"/>
        <v>1552.9411764705883</v>
      </c>
      <c r="L183" s="72">
        <f t="shared" si="125"/>
        <v>9139.148073022312</v>
      </c>
      <c r="M183" s="67">
        <f t="shared" si="126"/>
        <v>1340.0590275289692</v>
      </c>
      <c r="N183" s="67">
        <f t="shared" si="127"/>
        <v>274.31796563534198</v>
      </c>
      <c r="O183" s="72">
        <f t="shared" si="128"/>
        <v>1614.3769931643112</v>
      </c>
      <c r="P183" s="203">
        <f t="shared" si="129"/>
        <v>16143.769931643112</v>
      </c>
      <c r="Q183" s="272">
        <f t="shared" si="97"/>
        <v>16143.769931643112</v>
      </c>
      <c r="R183" s="439">
        <f t="shared" si="130"/>
        <v>0</v>
      </c>
      <c r="S183" s="18"/>
      <c r="T183" s="67">
        <v>660</v>
      </c>
      <c r="U183" s="18"/>
      <c r="V183" s="273"/>
      <c r="W183" s="67">
        <v>132</v>
      </c>
      <c r="X183" s="273"/>
      <c r="Y183" s="585"/>
      <c r="Z183" s="926" t="s">
        <v>256</v>
      </c>
      <c r="AA183" s="926"/>
      <c r="AB183" s="926"/>
      <c r="AC183" s="593" t="s">
        <v>257</v>
      </c>
      <c r="AD183" s="594">
        <v>1</v>
      </c>
      <c r="AE183" s="594">
        <v>1</v>
      </c>
      <c r="AF183" s="587">
        <f>AX104</f>
        <v>0</v>
      </c>
      <c r="AG183" s="587">
        <f>AF183*AE183</f>
        <v>0</v>
      </c>
      <c r="AH183" s="594"/>
      <c r="AI183" s="595">
        <f>AH183*AE183</f>
        <v>0</v>
      </c>
    </row>
    <row r="184" spans="1:35" s="1" customFormat="1" x14ac:dyDescent="0.25">
      <c r="A184" s="238"/>
      <c r="B184" s="317"/>
      <c r="C184" s="318"/>
      <c r="D184" s="83"/>
      <c r="E184" s="242"/>
      <c r="F184" s="242"/>
      <c r="G184" s="73"/>
      <c r="H184" s="67"/>
      <c r="I184" s="67"/>
      <c r="J184" s="67"/>
      <c r="K184" s="67"/>
      <c r="L184" s="72"/>
      <c r="M184" s="67"/>
      <c r="N184" s="67"/>
      <c r="O184" s="72"/>
      <c r="P184" s="203"/>
      <c r="Q184" s="272">
        <f t="shared" si="97"/>
        <v>0</v>
      </c>
      <c r="R184" s="439"/>
      <c r="S184" s="18"/>
      <c r="U184" s="18"/>
      <c r="V184" s="273"/>
      <c r="W184" s="67"/>
      <c r="X184" s="273"/>
      <c r="Y184" s="585"/>
      <c r="Z184" s="605"/>
      <c r="AA184" s="605"/>
      <c r="AB184" s="605"/>
      <c r="AC184" s="605"/>
      <c r="AD184" s="594"/>
      <c r="AE184" s="594"/>
      <c r="AF184" s="587"/>
      <c r="AG184" s="589">
        <f>SUM(AG180:AG183)</f>
        <v>1287.6886792452831</v>
      </c>
      <c r="AH184" s="586"/>
      <c r="AI184" s="589">
        <f>SUM(AI180:AI183)</f>
        <v>215.1</v>
      </c>
    </row>
    <row r="185" spans="1:35" s="1" customFormat="1" x14ac:dyDescent="0.25">
      <c r="A185" s="238"/>
      <c r="B185" s="290" t="s">
        <v>439</v>
      </c>
      <c r="C185" s="291" t="s">
        <v>454</v>
      </c>
      <c r="D185" s="316"/>
      <c r="E185" s="244"/>
      <c r="F185" s="244"/>
      <c r="G185" s="75"/>
      <c r="H185" s="440">
        <v>0.87</v>
      </c>
      <c r="I185" s="74"/>
      <c r="J185" s="74"/>
      <c r="K185" s="74"/>
      <c r="L185" s="74"/>
      <c r="M185" s="72"/>
      <c r="N185" s="72"/>
      <c r="O185" s="72"/>
      <c r="P185" s="205"/>
      <c r="Q185" s="272">
        <f t="shared" si="97"/>
        <v>0</v>
      </c>
      <c r="R185" s="439"/>
      <c r="S185" s="18"/>
      <c r="W185" s="74"/>
      <c r="Y185" s="585"/>
      <c r="Z185" s="606"/>
      <c r="AA185" s="606"/>
      <c r="AB185" s="607"/>
      <c r="AC185" s="608"/>
      <c r="AD185" s="608"/>
      <c r="AE185" s="608"/>
      <c r="AF185" s="609"/>
      <c r="AG185" s="610"/>
      <c r="AH185" s="611"/>
      <c r="AI185" s="589"/>
    </row>
    <row r="186" spans="1:35" s="1" customFormat="1" x14ac:dyDescent="0.25">
      <c r="A186" s="238"/>
      <c r="B186" s="317"/>
      <c r="C186" s="318">
        <v>1</v>
      </c>
      <c r="D186" s="83" t="s">
        <v>440</v>
      </c>
      <c r="E186" s="242">
        <v>1</v>
      </c>
      <c r="F186" s="242">
        <v>1</v>
      </c>
      <c r="G186" s="73" t="s">
        <v>55</v>
      </c>
      <c r="H186" s="67">
        <f>T186/$H$185</f>
        <v>20235.632183908045</v>
      </c>
      <c r="I186" s="67">
        <f>F186*H186</f>
        <v>20235.632183908045</v>
      </c>
      <c r="J186" s="67">
        <f t="shared" ref="J186:J190" si="133">W186/$J$164</f>
        <v>4117.6470588235297</v>
      </c>
      <c r="K186" s="67">
        <f t="shared" ref="K186:K198" si="134">F186*J186</f>
        <v>4117.6470588235297</v>
      </c>
      <c r="L186" s="72">
        <f t="shared" ref="L186:L198" si="135">I186+K186</f>
        <v>24353.279242731573</v>
      </c>
      <c r="M186" s="67">
        <f>H186/$P$255*$P$263</f>
        <v>35745.059363102271</v>
      </c>
      <c r="N186" s="67">
        <f>J186/$P$255*$P$263</f>
        <v>7273.5824221492185</v>
      </c>
      <c r="O186" s="72">
        <f t="shared" ref="O186:O198" si="136">N186+M186</f>
        <v>43018.641785251486</v>
      </c>
      <c r="P186" s="203">
        <f t="shared" ref="P186:P198" si="137">O186*F186</f>
        <v>43018.641785251486</v>
      </c>
      <c r="Q186" s="272">
        <f t="shared" si="97"/>
        <v>43018.641785251493</v>
      </c>
      <c r="R186" s="439">
        <f t="shared" ref="R186:R198" si="138">P186-Q186</f>
        <v>0</v>
      </c>
      <c r="S186" s="18"/>
      <c r="T186" s="67">
        <f>17605</f>
        <v>17605</v>
      </c>
      <c r="U186" s="18"/>
      <c r="V186" s="273"/>
      <c r="W186" s="67">
        <v>3500</v>
      </c>
      <c r="X186" s="224"/>
      <c r="Y186" s="585"/>
      <c r="Z186" s="928"/>
      <c r="AA186" s="928"/>
      <c r="AB186" s="612"/>
      <c r="AC186" s="613"/>
      <c r="AD186" s="613"/>
      <c r="AE186" s="614"/>
      <c r="AF186" s="615"/>
      <c r="AG186" s="616"/>
      <c r="AH186" s="611"/>
      <c r="AI186" s="617"/>
    </row>
    <row r="187" spans="1:35" s="1" customFormat="1" x14ac:dyDescent="0.25">
      <c r="A187" s="238"/>
      <c r="B187" s="317"/>
      <c r="C187" s="318">
        <v>2</v>
      </c>
      <c r="D187" s="83" t="s">
        <v>441</v>
      </c>
      <c r="E187" s="242">
        <v>1</v>
      </c>
      <c r="F187" s="242">
        <v>1</v>
      </c>
      <c r="G187" s="73" t="s">
        <v>55</v>
      </c>
      <c r="H187" s="67">
        <f t="shared" ref="H187:H198" si="139">T187/$H$185</f>
        <v>24827.586206896551</v>
      </c>
      <c r="I187" s="67">
        <f t="shared" ref="I187:I189" si="140">F187*H187</f>
        <v>24827.586206896551</v>
      </c>
      <c r="J187" s="67">
        <f t="shared" si="133"/>
        <v>5882.3529411764712</v>
      </c>
      <c r="K187" s="67">
        <f t="shared" si="134"/>
        <v>5882.3529411764712</v>
      </c>
      <c r="L187" s="72">
        <f t="shared" si="135"/>
        <v>30709.939148073023</v>
      </c>
      <c r="M187" s="67">
        <f>H187/$P$255*$P$263</f>
        <v>43856.477264584442</v>
      </c>
      <c r="N187" s="67">
        <f>J187/$P$255*$P$263</f>
        <v>10390.832031641741</v>
      </c>
      <c r="O187" s="72">
        <f t="shared" si="136"/>
        <v>54247.309296226187</v>
      </c>
      <c r="P187" s="203">
        <f t="shared" si="137"/>
        <v>54247.309296226187</v>
      </c>
      <c r="Q187" s="272">
        <f t="shared" si="97"/>
        <v>54247.30929622618</v>
      </c>
      <c r="R187" s="439">
        <f t="shared" si="138"/>
        <v>0</v>
      </c>
      <c r="S187" s="18"/>
      <c r="T187" s="67">
        <f>21600</f>
        <v>21600</v>
      </c>
      <c r="U187" s="18"/>
      <c r="V187" s="273"/>
      <c r="W187" s="67">
        <v>5000</v>
      </c>
      <c r="X187" s="224"/>
      <c r="Y187" s="585"/>
      <c r="Z187" s="928"/>
      <c r="AA187" s="928"/>
      <c r="AB187" s="612"/>
      <c r="AC187" s="613"/>
      <c r="AD187" s="613"/>
      <c r="AE187" s="614"/>
      <c r="AF187" s="615"/>
      <c r="AG187" s="616"/>
      <c r="AH187" s="611"/>
      <c r="AI187" s="617"/>
    </row>
    <row r="188" spans="1:35" s="1" customFormat="1" x14ac:dyDescent="0.25">
      <c r="A188" s="238"/>
      <c r="B188" s="317"/>
      <c r="C188" s="318">
        <v>3</v>
      </c>
      <c r="D188" s="83" t="s">
        <v>442</v>
      </c>
      <c r="E188" s="242">
        <v>1</v>
      </c>
      <c r="F188" s="242">
        <v>1</v>
      </c>
      <c r="G188" s="73" t="s">
        <v>55</v>
      </c>
      <c r="H188" s="67">
        <f t="shared" si="139"/>
        <v>24827.586206896551</v>
      </c>
      <c r="I188" s="67">
        <f t="shared" si="140"/>
        <v>24827.586206896551</v>
      </c>
      <c r="J188" s="67">
        <f t="shared" si="133"/>
        <v>5882.3529411764712</v>
      </c>
      <c r="K188" s="67">
        <f t="shared" si="134"/>
        <v>5882.3529411764712</v>
      </c>
      <c r="L188" s="72">
        <f t="shared" si="135"/>
        <v>30709.939148073023</v>
      </c>
      <c r="M188" s="67">
        <f>H188/$P$255*$P$263</f>
        <v>43856.477264584442</v>
      </c>
      <c r="N188" s="67">
        <f>J188/$P$255*$P$263</f>
        <v>10390.832031641741</v>
      </c>
      <c r="O188" s="72">
        <f t="shared" si="136"/>
        <v>54247.309296226187</v>
      </c>
      <c r="P188" s="203">
        <f t="shared" si="137"/>
        <v>54247.309296226187</v>
      </c>
      <c r="Q188" s="272">
        <f t="shared" si="97"/>
        <v>54247.30929622618</v>
      </c>
      <c r="R188" s="439">
        <f t="shared" si="138"/>
        <v>0</v>
      </c>
      <c r="S188" s="18"/>
      <c r="T188" s="67">
        <f>21600</f>
        <v>21600</v>
      </c>
      <c r="U188" s="18"/>
      <c r="V188" s="273"/>
      <c r="W188" s="67">
        <v>5000</v>
      </c>
      <c r="X188" s="273"/>
      <c r="Y188" s="585"/>
      <c r="Z188" s="605"/>
      <c r="AA188" s="605"/>
      <c r="AB188" s="605"/>
      <c r="AC188" s="605"/>
      <c r="AD188" s="605"/>
      <c r="AE188" s="605"/>
      <c r="AF188" s="619"/>
      <c r="AG188" s="616"/>
      <c r="AH188" s="611"/>
      <c r="AI188" s="589"/>
    </row>
    <row r="189" spans="1:35" s="1" customFormat="1" x14ac:dyDescent="0.25">
      <c r="A189" s="238"/>
      <c r="B189" s="317"/>
      <c r="C189" s="318">
        <v>4</v>
      </c>
      <c r="D189" s="83" t="s">
        <v>443</v>
      </c>
      <c r="E189" s="242">
        <v>1</v>
      </c>
      <c r="F189" s="242">
        <v>1</v>
      </c>
      <c r="G189" s="73" t="s">
        <v>55</v>
      </c>
      <c r="H189" s="67">
        <f t="shared" si="139"/>
        <v>25280.459770114943</v>
      </c>
      <c r="I189" s="67">
        <f t="shared" si="140"/>
        <v>25280.459770114943</v>
      </c>
      <c r="J189" s="67">
        <f t="shared" si="133"/>
        <v>4117.6470588235297</v>
      </c>
      <c r="K189" s="67">
        <f t="shared" si="134"/>
        <v>4117.6470588235297</v>
      </c>
      <c r="L189" s="72">
        <f t="shared" si="135"/>
        <v>29398.106828938471</v>
      </c>
      <c r="M189" s="67">
        <f>H189/$P$255*$P$263</f>
        <v>44656.451896169921</v>
      </c>
      <c r="N189" s="67">
        <f>J189/$P$255*$P$263</f>
        <v>7273.5824221492185</v>
      </c>
      <c r="O189" s="72">
        <f t="shared" si="136"/>
        <v>51930.034318319143</v>
      </c>
      <c r="P189" s="203">
        <f t="shared" si="137"/>
        <v>51930.034318319143</v>
      </c>
      <c r="Q189" s="272">
        <f t="shared" si="97"/>
        <v>51930.034318319136</v>
      </c>
      <c r="R189" s="439">
        <f t="shared" si="138"/>
        <v>0</v>
      </c>
      <c r="S189" s="18"/>
      <c r="T189" s="67">
        <f>21994</f>
        <v>21994</v>
      </c>
      <c r="U189" s="18"/>
      <c r="V189" s="273"/>
      <c r="W189" s="67">
        <v>3500</v>
      </c>
      <c r="X189" s="273"/>
      <c r="Y189" s="585"/>
      <c r="Z189" s="605"/>
      <c r="AA189" s="605"/>
      <c r="AB189" s="605"/>
      <c r="AC189" s="605"/>
      <c r="AD189" s="605"/>
      <c r="AE189" s="605"/>
      <c r="AF189" s="592"/>
      <c r="AG189" s="621"/>
      <c r="AH189" s="605"/>
      <c r="AI189" s="595"/>
    </row>
    <row r="190" spans="1:35" s="1" customFormat="1" x14ac:dyDescent="0.25">
      <c r="A190" s="238"/>
      <c r="B190" s="317"/>
      <c r="C190" s="318">
        <v>5</v>
      </c>
      <c r="D190" s="83" t="s">
        <v>444</v>
      </c>
      <c r="E190" s="242">
        <v>1</v>
      </c>
      <c r="F190" s="242">
        <v>1</v>
      </c>
      <c r="G190" s="73" t="s">
        <v>55</v>
      </c>
      <c r="H190" s="67">
        <f t="shared" si="139"/>
        <v>49827.586206896551</v>
      </c>
      <c r="I190" s="67">
        <f>F190*H190</f>
        <v>49827.586206896551</v>
      </c>
      <c r="J190" s="67">
        <f t="shared" si="133"/>
        <v>5882.3529411764712</v>
      </c>
      <c r="K190" s="67">
        <f t="shared" si="134"/>
        <v>5882.3529411764712</v>
      </c>
      <c r="L190" s="72">
        <f t="shared" si="135"/>
        <v>55709.939148073019</v>
      </c>
      <c r="M190" s="67">
        <f>H190/$P$255*$P$263</f>
        <v>88017.513399061834</v>
      </c>
      <c r="N190" s="67">
        <f>J190/$P$255*$P$263</f>
        <v>10390.832031641741</v>
      </c>
      <c r="O190" s="72">
        <f t="shared" si="136"/>
        <v>98408.345430703572</v>
      </c>
      <c r="P190" s="203">
        <f t="shared" si="137"/>
        <v>98408.345430703572</v>
      </c>
      <c r="Q190" s="272">
        <f t="shared" si="97"/>
        <v>98408.345430703586</v>
      </c>
      <c r="R190" s="439">
        <f t="shared" si="138"/>
        <v>0</v>
      </c>
      <c r="S190" s="18"/>
      <c r="T190" s="67">
        <f>43350</f>
        <v>43350</v>
      </c>
      <c r="U190" s="18"/>
      <c r="V190" s="273"/>
      <c r="W190" s="67">
        <v>5000</v>
      </c>
      <c r="X190" s="224"/>
      <c r="Y190" s="585"/>
      <c r="Z190" s="929" t="s">
        <v>267</v>
      </c>
      <c r="AA190" s="929"/>
      <c r="AB190" s="622" t="s">
        <v>243</v>
      </c>
      <c r="AC190" s="622" t="s">
        <v>244</v>
      </c>
      <c r="AD190" s="622" t="s">
        <v>245</v>
      </c>
      <c r="AE190" s="622" t="s">
        <v>246</v>
      </c>
      <c r="AF190" s="622" t="s">
        <v>247</v>
      </c>
      <c r="AG190" s="623" t="s">
        <v>248</v>
      </c>
      <c r="AH190" s="622" t="s">
        <v>249</v>
      </c>
      <c r="AI190" s="595"/>
    </row>
    <row r="191" spans="1:35" s="1" customFormat="1" x14ac:dyDescent="0.25">
      <c r="A191" s="238"/>
      <c r="B191" s="317"/>
      <c r="C191" s="318"/>
      <c r="D191" s="83" t="s">
        <v>445</v>
      </c>
      <c r="E191" s="242"/>
      <c r="F191" s="242"/>
      <c r="G191" s="73"/>
      <c r="H191" s="67"/>
      <c r="I191" s="67"/>
      <c r="J191" s="67"/>
      <c r="K191" s="67"/>
      <c r="L191" s="72"/>
      <c r="M191" s="67"/>
      <c r="N191" s="67"/>
      <c r="O191" s="72"/>
      <c r="P191" s="203"/>
      <c r="Q191" s="272">
        <f t="shared" si="97"/>
        <v>0</v>
      </c>
      <c r="R191" s="439"/>
      <c r="S191" s="18"/>
      <c r="T191" s="67"/>
      <c r="U191" s="18"/>
      <c r="V191" s="273"/>
      <c r="W191" s="67"/>
      <c r="X191" s="224"/>
      <c r="Y191" s="585"/>
      <c r="Z191" s="624"/>
      <c r="AA191" s="625" t="s">
        <v>265</v>
      </c>
      <c r="AB191" s="625" t="s">
        <v>268</v>
      </c>
      <c r="AC191" s="625">
        <v>8.0000000000000002E-3</v>
      </c>
      <c r="AD191" s="625">
        <v>0.01</v>
      </c>
      <c r="AE191" s="625">
        <v>1000</v>
      </c>
      <c r="AF191" s="625">
        <f>AE191*AD191</f>
        <v>10</v>
      </c>
      <c r="AG191" s="626">
        <v>600</v>
      </c>
      <c r="AH191" s="625">
        <f>AG191*AD191</f>
        <v>6</v>
      </c>
      <c r="AI191" s="595"/>
    </row>
    <row r="192" spans="1:35" s="1" customFormat="1" x14ac:dyDescent="0.25">
      <c r="A192" s="238"/>
      <c r="B192" s="317"/>
      <c r="C192" s="318">
        <v>6</v>
      </c>
      <c r="D192" s="83" t="s">
        <v>446</v>
      </c>
      <c r="E192" s="242">
        <v>2</v>
      </c>
      <c r="F192" s="242">
        <v>2</v>
      </c>
      <c r="G192" s="73" t="s">
        <v>28</v>
      </c>
      <c r="H192" s="67">
        <f t="shared" si="139"/>
        <v>1206.8965517241379</v>
      </c>
      <c r="I192" s="67">
        <f t="shared" ref="I192:I193" si="141">F192*H192</f>
        <v>2413.7931034482758</v>
      </c>
      <c r="J192" s="67">
        <f t="shared" ref="J192:J198" si="142">W192/$J$164</f>
        <v>305.88235294117646</v>
      </c>
      <c r="K192" s="67">
        <f t="shared" si="134"/>
        <v>611.76470588235293</v>
      </c>
      <c r="L192" s="72">
        <f t="shared" si="135"/>
        <v>3025.5578093306285</v>
      </c>
      <c r="M192" s="67">
        <f t="shared" ref="M192:M198" si="143">H192/$P$255*$P$263</f>
        <v>2131.9120892506326</v>
      </c>
      <c r="N192" s="67">
        <f t="shared" ref="N192:N198" si="144">J192/$P$255*$P$263</f>
        <v>540.3232656453705</v>
      </c>
      <c r="O192" s="72">
        <f t="shared" si="136"/>
        <v>2672.2353548960032</v>
      </c>
      <c r="P192" s="203">
        <f t="shared" si="137"/>
        <v>5344.4707097920063</v>
      </c>
      <c r="Q192" s="272">
        <f t="shared" si="97"/>
        <v>5344.4707097920063</v>
      </c>
      <c r="R192" s="439">
        <f t="shared" si="138"/>
        <v>0</v>
      </c>
      <c r="S192" s="18"/>
      <c r="T192" s="67">
        <v>1050</v>
      </c>
      <c r="U192" s="18"/>
      <c r="V192" s="273"/>
      <c r="W192" s="67">
        <v>260</v>
      </c>
      <c r="X192" s="273"/>
      <c r="Y192" s="585"/>
      <c r="Z192" s="624"/>
      <c r="AA192" s="625" t="s">
        <v>264</v>
      </c>
      <c r="AB192" s="625" t="s">
        <v>253</v>
      </c>
      <c r="AC192" s="625">
        <v>0.14399999999999999</v>
      </c>
      <c r="AD192" s="625">
        <v>0.17</v>
      </c>
      <c r="AE192" s="626">
        <f>230/1.075</f>
        <v>213.95348837209303</v>
      </c>
      <c r="AF192" s="626">
        <f>AE192*AD192</f>
        <v>36.372093023255822</v>
      </c>
      <c r="AG192" s="626">
        <v>150</v>
      </c>
      <c r="AH192" s="625">
        <f>AG192*AD192</f>
        <v>25.500000000000004</v>
      </c>
      <c r="AI192" s="589"/>
    </row>
    <row r="193" spans="1:35" s="1" customFormat="1" x14ac:dyDescent="0.25">
      <c r="A193" s="238"/>
      <c r="B193" s="317"/>
      <c r="C193" s="318">
        <v>7</v>
      </c>
      <c r="D193" s="83" t="s">
        <v>447</v>
      </c>
      <c r="E193" s="242">
        <v>2</v>
      </c>
      <c r="F193" s="242">
        <v>2</v>
      </c>
      <c r="G193" s="73" t="s">
        <v>28</v>
      </c>
      <c r="H193" s="67">
        <f t="shared" si="139"/>
        <v>1206.8965517241379</v>
      </c>
      <c r="I193" s="67">
        <f t="shared" si="141"/>
        <v>2413.7931034482758</v>
      </c>
      <c r="J193" s="67">
        <f t="shared" si="142"/>
        <v>305.88235294117646</v>
      </c>
      <c r="K193" s="67">
        <f t="shared" si="134"/>
        <v>611.76470588235293</v>
      </c>
      <c r="L193" s="72">
        <f t="shared" si="135"/>
        <v>3025.5578093306285</v>
      </c>
      <c r="M193" s="67">
        <f t="shared" si="143"/>
        <v>2131.9120892506326</v>
      </c>
      <c r="N193" s="67">
        <f t="shared" si="144"/>
        <v>540.3232656453705</v>
      </c>
      <c r="O193" s="72">
        <f t="shared" si="136"/>
        <v>2672.2353548960032</v>
      </c>
      <c r="P193" s="203">
        <f t="shared" si="137"/>
        <v>5344.4707097920063</v>
      </c>
      <c r="Q193" s="272">
        <f t="shared" si="97"/>
        <v>5344.4707097920063</v>
      </c>
      <c r="R193" s="439">
        <f t="shared" si="138"/>
        <v>0</v>
      </c>
      <c r="S193" s="18"/>
      <c r="T193" s="67">
        <v>1050</v>
      </c>
      <c r="U193" s="18"/>
      <c r="V193" s="273"/>
      <c r="W193" s="67">
        <v>260</v>
      </c>
      <c r="X193" s="273"/>
      <c r="Y193" s="585"/>
      <c r="Z193" s="624"/>
      <c r="AA193" s="625" t="s">
        <v>269</v>
      </c>
      <c r="AB193" s="625" t="s">
        <v>253</v>
      </c>
      <c r="AC193" s="625">
        <v>5</v>
      </c>
      <c r="AD193" s="625">
        <v>5</v>
      </c>
      <c r="AE193" s="627">
        <f>50/1.05</f>
        <v>47.61904761904762</v>
      </c>
      <c r="AF193" s="627">
        <f>AE193*AD193</f>
        <v>238.0952380952381</v>
      </c>
      <c r="AG193" s="626">
        <v>20</v>
      </c>
      <c r="AH193" s="625">
        <f>AG193*AD193</f>
        <v>100</v>
      </c>
      <c r="AI193" s="617"/>
    </row>
    <row r="194" spans="1:35" s="1" customFormat="1" x14ac:dyDescent="0.25">
      <c r="A194" s="238"/>
      <c r="B194" s="317"/>
      <c r="C194" s="318">
        <v>8</v>
      </c>
      <c r="D194" s="83" t="s">
        <v>448</v>
      </c>
      <c r="E194" s="242">
        <v>9</v>
      </c>
      <c r="F194" s="242">
        <v>9</v>
      </c>
      <c r="G194" s="73" t="s">
        <v>28</v>
      </c>
      <c r="H194" s="67">
        <f t="shared" si="139"/>
        <v>1206.8965517241379</v>
      </c>
      <c r="I194" s="67">
        <f>F194*H194</f>
        <v>10862.068965517241</v>
      </c>
      <c r="J194" s="67">
        <f t="shared" si="142"/>
        <v>305.88235294117646</v>
      </c>
      <c r="K194" s="67">
        <f t="shared" si="134"/>
        <v>2752.9411764705883</v>
      </c>
      <c r="L194" s="72">
        <f t="shared" si="135"/>
        <v>13615.01014198783</v>
      </c>
      <c r="M194" s="67">
        <f t="shared" si="143"/>
        <v>2131.9120892506326</v>
      </c>
      <c r="N194" s="67">
        <f t="shared" si="144"/>
        <v>540.3232656453705</v>
      </c>
      <c r="O194" s="72">
        <f t="shared" si="136"/>
        <v>2672.2353548960032</v>
      </c>
      <c r="P194" s="203">
        <f t="shared" si="137"/>
        <v>24050.118194064027</v>
      </c>
      <c r="Q194" s="272">
        <f t="shared" si="97"/>
        <v>24050.118194064027</v>
      </c>
      <c r="R194" s="439">
        <f t="shared" si="138"/>
        <v>0</v>
      </c>
      <c r="S194" s="18"/>
      <c r="T194" s="67">
        <v>1050</v>
      </c>
      <c r="U194" s="18"/>
      <c r="V194" s="273"/>
      <c r="W194" s="67">
        <v>260</v>
      </c>
      <c r="X194" s="224"/>
      <c r="Y194" s="585"/>
      <c r="Z194" s="624"/>
      <c r="AA194" s="628"/>
      <c r="AB194" s="628"/>
      <c r="AC194" s="628"/>
      <c r="AD194" s="628"/>
      <c r="AE194" s="628"/>
      <c r="AF194" s="623">
        <f>SUM(AF191:AF193)</f>
        <v>284.46733111849392</v>
      </c>
      <c r="AG194" s="629"/>
      <c r="AH194" s="630">
        <f>SUM(AH191:AH193)</f>
        <v>131.5</v>
      </c>
      <c r="AI194" s="617"/>
    </row>
    <row r="195" spans="1:35" s="1" customFormat="1" x14ac:dyDescent="0.25">
      <c r="A195" s="238"/>
      <c r="B195" s="317"/>
      <c r="C195" s="318">
        <v>9</v>
      </c>
      <c r="D195" s="83" t="s">
        <v>449</v>
      </c>
      <c r="E195" s="242">
        <v>5</v>
      </c>
      <c r="F195" s="242">
        <v>5</v>
      </c>
      <c r="G195" s="73" t="s">
        <v>28</v>
      </c>
      <c r="H195" s="67">
        <f t="shared" si="139"/>
        <v>3333.3333333333335</v>
      </c>
      <c r="I195" s="67">
        <f t="shared" ref="I195:I198" si="145">F195*H195</f>
        <v>16666.666666666668</v>
      </c>
      <c r="J195" s="67">
        <f t="shared" si="142"/>
        <v>470.58823529411768</v>
      </c>
      <c r="K195" s="67">
        <f t="shared" si="134"/>
        <v>2352.9411764705883</v>
      </c>
      <c r="L195" s="72">
        <f t="shared" si="135"/>
        <v>19019.607843137255</v>
      </c>
      <c r="M195" s="67">
        <f t="shared" si="143"/>
        <v>5888.1381512636526</v>
      </c>
      <c r="N195" s="67">
        <f t="shared" si="144"/>
        <v>831.26656253133922</v>
      </c>
      <c r="O195" s="72">
        <f t="shared" si="136"/>
        <v>6719.4047137949919</v>
      </c>
      <c r="P195" s="203">
        <f t="shared" si="137"/>
        <v>33597.023568974961</v>
      </c>
      <c r="Q195" s="272">
        <f t="shared" si="97"/>
        <v>33597.023568974961</v>
      </c>
      <c r="R195" s="439">
        <f t="shared" si="138"/>
        <v>0</v>
      </c>
      <c r="S195" s="18"/>
      <c r="T195" s="67">
        <v>2900</v>
      </c>
      <c r="U195" s="18"/>
      <c r="V195" s="273"/>
      <c r="W195" s="67">
        <v>400</v>
      </c>
      <c r="X195" s="224"/>
      <c r="Y195" s="224"/>
      <c r="Z195" s="224"/>
      <c r="AA195" s="224"/>
      <c r="AB195" s="224"/>
      <c r="AC195" s="224"/>
      <c r="AD195" s="224"/>
      <c r="AE195" s="224"/>
      <c r="AF195" s="224"/>
    </row>
    <row r="196" spans="1:35" s="1" customFormat="1" x14ac:dyDescent="0.25">
      <c r="A196" s="238"/>
      <c r="B196" s="317"/>
      <c r="C196" s="318">
        <v>10</v>
      </c>
      <c r="D196" s="83" t="s">
        <v>451</v>
      </c>
      <c r="E196" s="242">
        <v>240</v>
      </c>
      <c r="F196" s="242">
        <v>247</v>
      </c>
      <c r="G196" s="73" t="s">
        <v>453</v>
      </c>
      <c r="H196" s="67">
        <f t="shared" si="139"/>
        <v>31.781344350866043</v>
      </c>
      <c r="I196" s="67">
        <f t="shared" si="145"/>
        <v>7849.9920546639123</v>
      </c>
      <c r="J196" s="67">
        <f t="shared" si="142"/>
        <v>12.941176470588236</v>
      </c>
      <c r="K196" s="67">
        <f t="shared" si="134"/>
        <v>3196.4705882352941</v>
      </c>
      <c r="L196" s="72">
        <f t="shared" si="135"/>
        <v>11046.462642899207</v>
      </c>
      <c r="M196" s="67">
        <f t="shared" si="143"/>
        <v>56.139883851234565</v>
      </c>
      <c r="N196" s="67">
        <f t="shared" si="144"/>
        <v>22.859830469611829</v>
      </c>
      <c r="O196" s="72">
        <f t="shared" si="136"/>
        <v>78.999714320846394</v>
      </c>
      <c r="P196" s="203">
        <f t="shared" si="137"/>
        <v>19512.929437249059</v>
      </c>
      <c r="Q196" s="272">
        <f t="shared" si="97"/>
        <v>19512.929437249062</v>
      </c>
      <c r="R196" s="439">
        <f t="shared" si="138"/>
        <v>0</v>
      </c>
      <c r="S196" s="18"/>
      <c r="T196" s="67">
        <f>30/1.085</f>
        <v>27.649769585253456</v>
      </c>
      <c r="U196" s="18"/>
      <c r="V196" s="273"/>
      <c r="W196" s="67">
        <v>11</v>
      </c>
    </row>
    <row r="197" spans="1:35" s="1" customFormat="1" x14ac:dyDescent="0.25">
      <c r="A197" s="238"/>
      <c r="B197" s="317"/>
      <c r="C197" s="318">
        <v>11</v>
      </c>
      <c r="D197" s="83" t="s">
        <v>450</v>
      </c>
      <c r="E197" s="242">
        <v>240</v>
      </c>
      <c r="F197" s="242">
        <v>247</v>
      </c>
      <c r="G197" s="73" t="s">
        <v>283</v>
      </c>
      <c r="H197" s="67">
        <f t="shared" si="139"/>
        <v>18.390804597701148</v>
      </c>
      <c r="I197" s="67">
        <f t="shared" si="145"/>
        <v>4542.5287356321833</v>
      </c>
      <c r="J197" s="67">
        <f t="shared" si="142"/>
        <v>7.0588235294117645</v>
      </c>
      <c r="K197" s="67">
        <f t="shared" si="134"/>
        <v>1743.5294117647059</v>
      </c>
      <c r="L197" s="72">
        <f t="shared" si="135"/>
        <v>6286.0581473968887</v>
      </c>
      <c r="M197" s="67">
        <f t="shared" si="143"/>
        <v>32.486279455247733</v>
      </c>
      <c r="N197" s="67">
        <f t="shared" si="144"/>
        <v>12.468998437970086</v>
      </c>
      <c r="O197" s="72">
        <f t="shared" si="136"/>
        <v>44.955277893217819</v>
      </c>
      <c r="P197" s="203">
        <f t="shared" si="137"/>
        <v>11103.9536396248</v>
      </c>
      <c r="Q197" s="272">
        <f t="shared" si="97"/>
        <v>11103.9536396248</v>
      </c>
      <c r="R197" s="439">
        <f t="shared" si="138"/>
        <v>0</v>
      </c>
      <c r="S197" s="18"/>
      <c r="T197" s="67">
        <v>16</v>
      </c>
      <c r="U197" s="18"/>
      <c r="V197" s="273"/>
      <c r="W197" s="67">
        <v>6</v>
      </c>
    </row>
    <row r="198" spans="1:35" s="1" customFormat="1" x14ac:dyDescent="0.25">
      <c r="A198" s="238"/>
      <c r="B198" s="317"/>
      <c r="C198" s="318">
        <v>12</v>
      </c>
      <c r="D198" s="83" t="s">
        <v>452</v>
      </c>
      <c r="E198" s="242">
        <v>95</v>
      </c>
      <c r="F198" s="242">
        <v>100</v>
      </c>
      <c r="G198" s="73" t="s">
        <v>283</v>
      </c>
      <c r="H198" s="67">
        <f t="shared" si="139"/>
        <v>28.735632183908045</v>
      </c>
      <c r="I198" s="67">
        <f t="shared" si="145"/>
        <v>2873.5632183908046</v>
      </c>
      <c r="J198" s="67">
        <f t="shared" si="142"/>
        <v>10.588235294117647</v>
      </c>
      <c r="K198" s="67">
        <f t="shared" si="134"/>
        <v>1058.8235294117646</v>
      </c>
      <c r="L198" s="72">
        <f t="shared" si="135"/>
        <v>3932.3867478025695</v>
      </c>
      <c r="M198" s="67">
        <f t="shared" si="143"/>
        <v>50.759811648824588</v>
      </c>
      <c r="N198" s="67">
        <f t="shared" si="144"/>
        <v>18.703497656955129</v>
      </c>
      <c r="O198" s="72">
        <f t="shared" si="136"/>
        <v>69.463309305779717</v>
      </c>
      <c r="P198" s="203">
        <f t="shared" si="137"/>
        <v>6946.3309305779712</v>
      </c>
      <c r="Q198" s="272">
        <f t="shared" si="97"/>
        <v>6946.3309305779721</v>
      </c>
      <c r="R198" s="439">
        <f t="shared" si="138"/>
        <v>0</v>
      </c>
      <c r="S198" s="18"/>
      <c r="T198" s="67">
        <v>25</v>
      </c>
      <c r="U198" s="18"/>
      <c r="V198" s="273"/>
      <c r="W198" s="67">
        <v>9</v>
      </c>
    </row>
    <row r="199" spans="1:35" s="1" customFormat="1" x14ac:dyDescent="0.25">
      <c r="A199" s="238"/>
      <c r="B199" s="317"/>
      <c r="C199" s="318"/>
      <c r="D199" s="83"/>
      <c r="E199" s="242"/>
      <c r="F199" s="242"/>
      <c r="G199" s="73"/>
      <c r="H199" s="67"/>
      <c r="I199" s="67"/>
      <c r="J199" s="67"/>
      <c r="K199" s="67"/>
      <c r="L199" s="72"/>
      <c r="M199" s="67"/>
      <c r="N199" s="67"/>
      <c r="O199" s="72"/>
      <c r="P199" s="203"/>
      <c r="Q199" s="272">
        <f t="shared" si="97"/>
        <v>0</v>
      </c>
      <c r="R199" s="439"/>
      <c r="S199" s="18"/>
      <c r="U199" s="18"/>
      <c r="V199" s="273"/>
      <c r="W199" s="67"/>
      <c r="X199" s="273"/>
      <c r="Y199" s="273"/>
      <c r="Z199" s="273"/>
      <c r="AA199" s="273"/>
      <c r="AB199" s="273"/>
      <c r="AC199" s="273"/>
      <c r="AD199" s="224"/>
      <c r="AE199" s="273"/>
      <c r="AF199" s="224"/>
      <c r="AG199" s="406"/>
    </row>
    <row r="200" spans="1:35" s="1" customFormat="1" x14ac:dyDescent="0.25">
      <c r="A200" s="238"/>
      <c r="B200" s="290" t="s">
        <v>329</v>
      </c>
      <c r="C200" s="291" t="s">
        <v>458</v>
      </c>
      <c r="D200" s="316"/>
      <c r="E200" s="244"/>
      <c r="F200" s="244"/>
      <c r="G200" s="75"/>
      <c r="H200" s="74"/>
      <c r="I200" s="74"/>
      <c r="J200" s="74"/>
      <c r="K200" s="74"/>
      <c r="L200" s="74"/>
      <c r="M200" s="72"/>
      <c r="N200" s="72"/>
      <c r="O200" s="72"/>
      <c r="P200" s="205"/>
      <c r="Q200" s="272">
        <f t="shared" si="97"/>
        <v>0</v>
      </c>
      <c r="R200" s="439"/>
      <c r="S200" s="18"/>
      <c r="W200" s="74"/>
    </row>
    <row r="201" spans="1:35" s="1" customFormat="1" x14ac:dyDescent="0.25">
      <c r="A201" s="238"/>
      <c r="B201" s="317"/>
      <c r="C201" s="318">
        <v>1</v>
      </c>
      <c r="D201" s="83" t="s">
        <v>459</v>
      </c>
      <c r="E201" s="539">
        <v>1337</v>
      </c>
      <c r="F201" s="242">
        <v>1446</v>
      </c>
      <c r="G201" s="73" t="s">
        <v>100</v>
      </c>
      <c r="H201" s="67">
        <f>10</f>
        <v>10</v>
      </c>
      <c r="I201" s="67">
        <f>F201*H201</f>
        <v>14460</v>
      </c>
      <c r="J201" s="67">
        <f t="shared" ref="J201:J209" si="146">W201/$J$164</f>
        <v>4.7058823529411766</v>
      </c>
      <c r="K201" s="67">
        <f t="shared" ref="K201:K209" si="147">F201*J201</f>
        <v>6804.7058823529414</v>
      </c>
      <c r="L201" s="72">
        <f t="shared" ref="L201:L209" si="148">I201+K201</f>
        <v>21264.705882352941</v>
      </c>
      <c r="M201" s="67">
        <f t="shared" ref="M201:M209" si="149">H201/$P$255*$P$263</f>
        <v>17.664414453790958</v>
      </c>
      <c r="N201" s="67">
        <f t="shared" ref="N201:N209" si="150">J201/$P$255*$P$263</f>
        <v>8.3126656253133913</v>
      </c>
      <c r="O201" s="72">
        <f t="shared" ref="O201:O209" si="151">N201+M201</f>
        <v>25.977080079104347</v>
      </c>
      <c r="P201" s="203">
        <f t="shared" ref="P201:P209" si="152">O201*F201</f>
        <v>37562.857794384887</v>
      </c>
      <c r="Q201" s="272">
        <f t="shared" si="97"/>
        <v>37562.857794384887</v>
      </c>
      <c r="R201" s="439">
        <f t="shared" ref="R201:R209" si="153">P201-Q201</f>
        <v>0</v>
      </c>
      <c r="S201" s="18"/>
      <c r="U201" s="18"/>
      <c r="V201" s="273"/>
      <c r="W201" s="67">
        <v>4</v>
      </c>
      <c r="X201" s="224"/>
      <c r="Y201" s="224"/>
      <c r="Z201" s="224"/>
      <c r="AA201" s="224"/>
      <c r="AB201" s="224"/>
      <c r="AC201" s="224"/>
      <c r="AD201" s="224"/>
      <c r="AE201" s="224"/>
      <c r="AF201" s="224"/>
    </row>
    <row r="202" spans="1:35" s="1" customFormat="1" x14ac:dyDescent="0.25">
      <c r="A202" s="238"/>
      <c r="B202" s="317"/>
      <c r="C202" s="318">
        <v>2</v>
      </c>
      <c r="D202" s="83" t="s">
        <v>460</v>
      </c>
      <c r="E202" s="539">
        <v>1113</v>
      </c>
      <c r="F202" s="242">
        <v>1320</v>
      </c>
      <c r="G202" s="73" t="s">
        <v>100</v>
      </c>
      <c r="H202" s="67">
        <f>25</f>
        <v>25</v>
      </c>
      <c r="I202" s="67">
        <f t="shared" ref="I202:I204" si="154">F202*H202</f>
        <v>33000</v>
      </c>
      <c r="J202" s="67">
        <f t="shared" si="146"/>
        <v>10.588235294117647</v>
      </c>
      <c r="K202" s="67">
        <f t="shared" si="147"/>
        <v>13976.470588235294</v>
      </c>
      <c r="L202" s="72">
        <f t="shared" si="148"/>
        <v>46976.470588235294</v>
      </c>
      <c r="M202" s="67">
        <f t="shared" si="149"/>
        <v>44.161036134477392</v>
      </c>
      <c r="N202" s="67">
        <f t="shared" si="150"/>
        <v>18.703497656955129</v>
      </c>
      <c r="O202" s="72">
        <f t="shared" si="151"/>
        <v>62.864533791432521</v>
      </c>
      <c r="P202" s="203">
        <f t="shared" si="152"/>
        <v>82981.184604690934</v>
      </c>
      <c r="Q202" s="272">
        <f t="shared" si="97"/>
        <v>82981.184604690934</v>
      </c>
      <c r="R202" s="439">
        <f t="shared" si="153"/>
        <v>0</v>
      </c>
      <c r="S202" s="18"/>
      <c r="U202" s="18"/>
      <c r="V202" s="273"/>
      <c r="W202" s="67">
        <v>9</v>
      </c>
      <c r="X202" s="224"/>
      <c r="Y202" s="224"/>
      <c r="Z202" s="224"/>
      <c r="AA202" s="224"/>
      <c r="AB202" s="224"/>
      <c r="AC202" s="224"/>
      <c r="AD202" s="224"/>
      <c r="AE202" s="224"/>
      <c r="AF202" s="224"/>
    </row>
    <row r="203" spans="1:35" s="1" customFormat="1" x14ac:dyDescent="0.25">
      <c r="A203" s="238"/>
      <c r="B203" s="317"/>
      <c r="C203" s="318">
        <v>3</v>
      </c>
      <c r="D203" s="83" t="s">
        <v>461</v>
      </c>
      <c r="E203" s="242">
        <v>33</v>
      </c>
      <c r="F203" s="242">
        <v>33</v>
      </c>
      <c r="G203" s="73" t="s">
        <v>28</v>
      </c>
      <c r="H203" s="67">
        <f>258</f>
        <v>258</v>
      </c>
      <c r="I203" s="67">
        <f t="shared" si="154"/>
        <v>8514</v>
      </c>
      <c r="J203" s="67">
        <f t="shared" si="146"/>
        <v>117.64705882352942</v>
      </c>
      <c r="K203" s="67">
        <f t="shared" si="147"/>
        <v>3882.3529411764707</v>
      </c>
      <c r="L203" s="72">
        <f t="shared" si="148"/>
        <v>12396.35294117647</v>
      </c>
      <c r="M203" s="67">
        <f t="shared" si="149"/>
        <v>455.74189290780674</v>
      </c>
      <c r="N203" s="67">
        <f t="shared" si="150"/>
        <v>207.8166406328348</v>
      </c>
      <c r="O203" s="72">
        <f t="shared" si="151"/>
        <v>663.55853354064152</v>
      </c>
      <c r="P203" s="203">
        <f t="shared" si="152"/>
        <v>21897.431606841172</v>
      </c>
      <c r="Q203" s="272">
        <f t="shared" si="97"/>
        <v>21897.431606841168</v>
      </c>
      <c r="R203" s="439">
        <f t="shared" si="153"/>
        <v>0</v>
      </c>
      <c r="S203" s="18"/>
      <c r="U203" s="18"/>
      <c r="V203" s="273"/>
      <c r="W203" s="67">
        <v>100</v>
      </c>
      <c r="X203" s="273"/>
      <c r="Y203" s="273"/>
      <c r="Z203" s="273"/>
      <c r="AA203" s="273"/>
      <c r="AB203" s="273"/>
      <c r="AC203" s="273"/>
      <c r="AD203" s="224"/>
      <c r="AE203" s="273"/>
      <c r="AF203" s="224"/>
      <c r="AG203" s="406"/>
    </row>
    <row r="204" spans="1:35" s="1" customFormat="1" x14ac:dyDescent="0.25">
      <c r="A204" s="238"/>
      <c r="B204" s="317"/>
      <c r="C204" s="318">
        <v>4</v>
      </c>
      <c r="D204" s="83" t="s">
        <v>462</v>
      </c>
      <c r="E204" s="242">
        <v>33</v>
      </c>
      <c r="F204" s="242">
        <v>33</v>
      </c>
      <c r="G204" s="73" t="s">
        <v>28</v>
      </c>
      <c r="H204" s="67">
        <f>456</f>
        <v>456</v>
      </c>
      <c r="I204" s="67">
        <f t="shared" si="154"/>
        <v>15048</v>
      </c>
      <c r="J204" s="67">
        <f t="shared" si="146"/>
        <v>117.64705882352942</v>
      </c>
      <c r="K204" s="67">
        <f t="shared" si="147"/>
        <v>3882.3529411764707</v>
      </c>
      <c r="L204" s="72">
        <f t="shared" si="148"/>
        <v>18930.352941176472</v>
      </c>
      <c r="M204" s="67">
        <f t="shared" si="149"/>
        <v>805.49729909286771</v>
      </c>
      <c r="N204" s="67">
        <f t="shared" si="150"/>
        <v>207.8166406328348</v>
      </c>
      <c r="O204" s="72">
        <f t="shared" si="151"/>
        <v>1013.3139397257025</v>
      </c>
      <c r="P204" s="203">
        <f t="shared" si="152"/>
        <v>33439.360010948185</v>
      </c>
      <c r="Q204" s="272">
        <f t="shared" si="97"/>
        <v>33439.360010948185</v>
      </c>
      <c r="R204" s="439">
        <f t="shared" si="153"/>
        <v>0</v>
      </c>
      <c r="S204" s="18"/>
      <c r="U204" s="18"/>
      <c r="V204" s="273"/>
      <c r="W204" s="67">
        <v>100</v>
      </c>
      <c r="X204" s="273"/>
      <c r="Y204" s="273"/>
      <c r="Z204" s="273"/>
      <c r="AA204" s="273"/>
      <c r="AB204" s="273"/>
      <c r="AC204" s="273"/>
      <c r="AD204" s="224"/>
      <c r="AE204" s="273"/>
      <c r="AF204" s="224"/>
    </row>
    <row r="205" spans="1:35" s="1" customFormat="1" x14ac:dyDescent="0.25">
      <c r="A205" s="238"/>
      <c r="B205" s="317"/>
      <c r="C205" s="318">
        <v>1</v>
      </c>
      <c r="D205" s="83" t="s">
        <v>463</v>
      </c>
      <c r="E205" s="242">
        <v>1</v>
      </c>
      <c r="F205" s="242">
        <v>1</v>
      </c>
      <c r="G205" s="73" t="s">
        <v>251</v>
      </c>
      <c r="H205" s="67">
        <f>4500</f>
        <v>4500</v>
      </c>
      <c r="I205" s="67">
        <f>F205*H205</f>
        <v>4500</v>
      </c>
      <c r="J205" s="67">
        <f t="shared" si="146"/>
        <v>1058.8235294117646</v>
      </c>
      <c r="K205" s="67">
        <f t="shared" si="147"/>
        <v>1058.8235294117646</v>
      </c>
      <c r="L205" s="72">
        <f t="shared" si="148"/>
        <v>5558.8235294117649</v>
      </c>
      <c r="M205" s="67">
        <f t="shared" si="149"/>
        <v>7948.9865042059309</v>
      </c>
      <c r="N205" s="67">
        <f t="shared" si="150"/>
        <v>1870.349765695513</v>
      </c>
      <c r="O205" s="72">
        <f t="shared" si="151"/>
        <v>9819.3362699014433</v>
      </c>
      <c r="P205" s="203">
        <f t="shared" si="152"/>
        <v>9819.3362699014433</v>
      </c>
      <c r="Q205" s="272">
        <f t="shared" si="97"/>
        <v>9819.3362699014433</v>
      </c>
      <c r="R205" s="439">
        <f t="shared" si="153"/>
        <v>0</v>
      </c>
      <c r="S205" s="18"/>
      <c r="U205" s="18"/>
      <c r="V205" s="273"/>
      <c r="W205" s="67">
        <v>900</v>
      </c>
      <c r="X205" s="224"/>
      <c r="Y205" s="224"/>
      <c r="Z205" s="224"/>
      <c r="AA205" s="224"/>
      <c r="AB205" s="224"/>
      <c r="AC205" s="224"/>
      <c r="AD205" s="224"/>
      <c r="AE205" s="224"/>
      <c r="AF205" s="224"/>
    </row>
    <row r="206" spans="1:35" s="1" customFormat="1" x14ac:dyDescent="0.25">
      <c r="A206" s="238"/>
      <c r="B206" s="317"/>
      <c r="C206" s="318">
        <v>2</v>
      </c>
      <c r="D206" s="83" t="s">
        <v>464</v>
      </c>
      <c r="E206" s="242">
        <v>1</v>
      </c>
      <c r="F206" s="242">
        <v>1</v>
      </c>
      <c r="G206" s="73" t="s">
        <v>251</v>
      </c>
      <c r="H206" s="67">
        <f>15000</f>
        <v>15000</v>
      </c>
      <c r="I206" s="67">
        <f t="shared" ref="I206:I208" si="155">F206*H206</f>
        <v>15000</v>
      </c>
      <c r="J206" s="67">
        <f t="shared" si="146"/>
        <v>3529.4117647058824</v>
      </c>
      <c r="K206" s="67">
        <f t="shared" si="147"/>
        <v>3529.4117647058824</v>
      </c>
      <c r="L206" s="72">
        <f t="shared" si="148"/>
        <v>18529.411764705881</v>
      </c>
      <c r="M206" s="67">
        <f t="shared" si="149"/>
        <v>26496.621680686436</v>
      </c>
      <c r="N206" s="67">
        <f t="shared" si="150"/>
        <v>6234.4992189850445</v>
      </c>
      <c r="O206" s="72">
        <f t="shared" si="151"/>
        <v>32731.120899671481</v>
      </c>
      <c r="P206" s="203">
        <f t="shared" si="152"/>
        <v>32731.120899671481</v>
      </c>
      <c r="Q206" s="272">
        <f t="shared" si="97"/>
        <v>32731.120899671478</v>
      </c>
      <c r="R206" s="439">
        <f t="shared" si="153"/>
        <v>0</v>
      </c>
      <c r="S206" s="18"/>
      <c r="U206" s="18"/>
      <c r="V206" s="273"/>
      <c r="W206" s="67">
        <v>3000</v>
      </c>
      <c r="X206" s="224"/>
      <c r="Y206" s="224"/>
      <c r="Z206" s="224"/>
      <c r="AA206" s="224"/>
      <c r="AB206" s="224"/>
      <c r="AC206" s="224"/>
      <c r="AD206" s="224"/>
      <c r="AE206" s="224"/>
      <c r="AF206" s="224"/>
    </row>
    <row r="207" spans="1:35" s="1" customFormat="1" x14ac:dyDescent="0.25">
      <c r="A207" s="238"/>
      <c r="B207" s="317"/>
      <c r="C207" s="318">
        <v>3</v>
      </c>
      <c r="D207" s="83" t="s">
        <v>465</v>
      </c>
      <c r="E207" s="242">
        <v>1</v>
      </c>
      <c r="F207" s="242">
        <v>1</v>
      </c>
      <c r="G207" s="73" t="s">
        <v>243</v>
      </c>
      <c r="H207" s="67">
        <f>12000</f>
        <v>12000</v>
      </c>
      <c r="I207" s="67">
        <f t="shared" si="155"/>
        <v>12000</v>
      </c>
      <c r="J207" s="67">
        <f t="shared" si="146"/>
        <v>529.41176470588232</v>
      </c>
      <c r="K207" s="67">
        <f t="shared" si="147"/>
        <v>529.41176470588232</v>
      </c>
      <c r="L207" s="72">
        <f t="shared" si="148"/>
        <v>12529.411764705883</v>
      </c>
      <c r="M207" s="67">
        <f t="shared" si="149"/>
        <v>21197.297344549148</v>
      </c>
      <c r="N207" s="67">
        <f t="shared" si="150"/>
        <v>935.17488284775652</v>
      </c>
      <c r="O207" s="72">
        <f t="shared" si="151"/>
        <v>22132.472227396906</v>
      </c>
      <c r="P207" s="203">
        <f t="shared" si="152"/>
        <v>22132.472227396906</v>
      </c>
      <c r="Q207" s="272">
        <f t="shared" si="97"/>
        <v>22132.472227396906</v>
      </c>
      <c r="R207" s="439">
        <f t="shared" si="153"/>
        <v>0</v>
      </c>
      <c r="S207" s="18"/>
      <c r="U207" s="18"/>
      <c r="V207" s="273"/>
      <c r="W207" s="67">
        <v>450</v>
      </c>
      <c r="X207" s="273"/>
      <c r="Y207" s="273"/>
      <c r="Z207" s="273"/>
      <c r="AA207" s="273"/>
      <c r="AB207" s="273"/>
      <c r="AC207" s="273"/>
      <c r="AD207" s="224"/>
      <c r="AE207" s="273"/>
      <c r="AF207" s="224"/>
      <c r="AG207" s="406">
        <f>AE220*2+AE236*3</f>
        <v>40999</v>
      </c>
    </row>
    <row r="208" spans="1:35" s="1" customFormat="1" x14ac:dyDescent="0.25">
      <c r="A208" s="238"/>
      <c r="B208" s="317"/>
      <c r="C208" s="318">
        <v>4</v>
      </c>
      <c r="D208" s="83" t="s">
        <v>466</v>
      </c>
      <c r="E208" s="242">
        <v>2</v>
      </c>
      <c r="F208" s="242">
        <v>2</v>
      </c>
      <c r="G208" s="73" t="s">
        <v>283</v>
      </c>
      <c r="H208" s="67">
        <f>5612</f>
        <v>5612</v>
      </c>
      <c r="I208" s="67">
        <f t="shared" si="155"/>
        <v>11224</v>
      </c>
      <c r="J208" s="67">
        <f t="shared" si="146"/>
        <v>2352.9411764705883</v>
      </c>
      <c r="K208" s="67">
        <f t="shared" si="147"/>
        <v>4705.8823529411766</v>
      </c>
      <c r="L208" s="72">
        <f t="shared" si="148"/>
        <v>15929.882352941177</v>
      </c>
      <c r="M208" s="67">
        <f t="shared" si="149"/>
        <v>9913.2693914674855</v>
      </c>
      <c r="N208" s="67">
        <f t="shared" si="150"/>
        <v>4156.3328126566958</v>
      </c>
      <c r="O208" s="72">
        <f t="shared" si="151"/>
        <v>14069.602204124181</v>
      </c>
      <c r="P208" s="203">
        <f t="shared" si="152"/>
        <v>28139.204408248363</v>
      </c>
      <c r="Q208" s="272">
        <f t="shared" si="97"/>
        <v>28139.204408248359</v>
      </c>
      <c r="R208" s="439">
        <f t="shared" si="153"/>
        <v>0</v>
      </c>
      <c r="S208" s="18"/>
      <c r="U208" s="18"/>
      <c r="V208" s="273"/>
      <c r="W208" s="67">
        <v>2000</v>
      </c>
      <c r="X208" s="273"/>
      <c r="Y208" s="273"/>
      <c r="Z208" s="273"/>
      <c r="AA208" s="273"/>
      <c r="AB208" s="273"/>
      <c r="AC208" s="273"/>
      <c r="AD208" s="224"/>
      <c r="AE208" s="273"/>
      <c r="AF208" s="224"/>
    </row>
    <row r="209" spans="1:39" s="1" customFormat="1" x14ac:dyDescent="0.25">
      <c r="A209" s="238"/>
      <c r="B209" s="317"/>
      <c r="C209" s="318">
        <v>5</v>
      </c>
      <c r="D209" s="83" t="s">
        <v>467</v>
      </c>
      <c r="E209" s="242">
        <v>1</v>
      </c>
      <c r="F209" s="242">
        <v>1</v>
      </c>
      <c r="G209" s="73" t="s">
        <v>301</v>
      </c>
      <c r="H209" s="67">
        <f>7500+3000</f>
        <v>10500</v>
      </c>
      <c r="I209" s="67">
        <f>F209*H209</f>
        <v>10500</v>
      </c>
      <c r="J209" s="67">
        <f t="shared" si="146"/>
        <v>6470.588235294118</v>
      </c>
      <c r="K209" s="67">
        <f t="shared" si="147"/>
        <v>6470.588235294118</v>
      </c>
      <c r="L209" s="72">
        <f t="shared" si="148"/>
        <v>16970.588235294119</v>
      </c>
      <c r="M209" s="67">
        <f t="shared" si="149"/>
        <v>18547.635176480508</v>
      </c>
      <c r="N209" s="67">
        <f t="shared" si="150"/>
        <v>11429.915234805914</v>
      </c>
      <c r="O209" s="72">
        <f t="shared" si="151"/>
        <v>29977.550411286422</v>
      </c>
      <c r="P209" s="203">
        <f t="shared" si="152"/>
        <v>29977.550411286422</v>
      </c>
      <c r="Q209" s="272">
        <f t="shared" ref="Q209:Q238" si="156">L209/$P$255*$P$263</f>
        <v>29977.550411286418</v>
      </c>
      <c r="R209" s="439">
        <f t="shared" si="153"/>
        <v>0</v>
      </c>
      <c r="S209" s="18"/>
      <c r="U209" s="18"/>
      <c r="V209" s="273"/>
      <c r="W209" s="67">
        <f>2500+3000</f>
        <v>5500</v>
      </c>
      <c r="X209" s="550" t="s">
        <v>7</v>
      </c>
      <c r="Y209" s="550" t="s">
        <v>6</v>
      </c>
      <c r="Z209" s="550" t="s">
        <v>5</v>
      </c>
      <c r="AA209" s="897" t="s">
        <v>380</v>
      </c>
      <c r="AB209" s="897"/>
      <c r="AC209" s="897"/>
      <c r="AD209" s="897" t="s">
        <v>381</v>
      </c>
      <c r="AE209" s="897"/>
      <c r="AF209" s="384"/>
      <c r="AG209" s="385"/>
      <c r="AH209" s="385"/>
      <c r="AI209" s="385"/>
      <c r="AJ209" s="385"/>
      <c r="AK209" s="385" t="s">
        <v>397</v>
      </c>
      <c r="AL209" s="385" t="s">
        <v>398</v>
      </c>
    </row>
    <row r="210" spans="1:39" ht="15.75" thickBot="1" x14ac:dyDescent="0.3">
      <c r="A210" s="238"/>
      <c r="B210" s="249"/>
      <c r="C210" s="293"/>
      <c r="D210" s="83"/>
      <c r="E210" s="242"/>
      <c r="F210" s="302"/>
      <c r="G210" s="68"/>
      <c r="H210" s="67"/>
      <c r="I210" s="67"/>
      <c r="J210" s="67"/>
      <c r="K210" s="67"/>
      <c r="L210" s="67"/>
      <c r="M210" s="72"/>
      <c r="N210" s="72"/>
      <c r="O210" s="72"/>
      <c r="P210" s="205"/>
      <c r="Q210" s="272">
        <f t="shared" si="156"/>
        <v>0</v>
      </c>
      <c r="R210" s="439"/>
      <c r="V210" s="273"/>
      <c r="W210" s="368" t="s">
        <v>400</v>
      </c>
      <c r="X210" s="550"/>
      <c r="Y210" s="550"/>
      <c r="Z210" s="550"/>
      <c r="AA210" s="550"/>
      <c r="AB210" s="550"/>
      <c r="AC210" s="550"/>
      <c r="AD210" s="550"/>
      <c r="AE210" s="550"/>
      <c r="AF210" s="386"/>
      <c r="AG210" s="386">
        <v>0.6</v>
      </c>
      <c r="AH210" s="387">
        <v>1.8</v>
      </c>
      <c r="AI210" s="385">
        <f>AG210*AH210</f>
        <v>1.08</v>
      </c>
      <c r="AJ210" s="387">
        <f>AG210+AH210</f>
        <v>2.4</v>
      </c>
      <c r="AK210" s="385">
        <v>0.6</v>
      </c>
      <c r="AL210" s="385">
        <v>0.15</v>
      </c>
    </row>
    <row r="211" spans="1:39" s="234" customFormat="1" ht="15.75" thickBot="1" x14ac:dyDescent="0.3">
      <c r="A211" s="308"/>
      <c r="B211" s="910" t="s">
        <v>345</v>
      </c>
      <c r="C211" s="911"/>
      <c r="D211" s="912"/>
      <c r="E211" s="309"/>
      <c r="F211" s="310"/>
      <c r="G211" s="311"/>
      <c r="H211" s="312"/>
      <c r="I211" s="313">
        <f>SUM(I151:I210)</f>
        <v>1367515.3352402137</v>
      </c>
      <c r="J211" s="312"/>
      <c r="K211" s="313">
        <f>SUM(K151:K210)</f>
        <v>347811.17647058825</v>
      </c>
      <c r="L211" s="313">
        <f>SUM(L151:L210)</f>
        <v>1715326.5117108023</v>
      </c>
      <c r="M211" s="312"/>
      <c r="N211" s="312"/>
      <c r="O211" s="313"/>
      <c r="P211" s="315">
        <f>SUM(P151:P210)</f>
        <v>3030023.842643511</v>
      </c>
      <c r="Q211" s="272">
        <f t="shared" si="156"/>
        <v>3030023.8426435124</v>
      </c>
      <c r="R211" s="439">
        <f t="shared" ref="R211:R224" si="157">P211-Q211</f>
        <v>0</v>
      </c>
      <c r="T211" s="443"/>
      <c r="U211" s="275"/>
      <c r="V211" s="276"/>
      <c r="W211" s="550" t="s">
        <v>9</v>
      </c>
      <c r="X211" s="550" t="s">
        <v>382</v>
      </c>
      <c r="Y211" s="369">
        <f>+Y214*1.2</f>
        <v>2.2680000000000002</v>
      </c>
      <c r="Z211" s="370" t="s">
        <v>383</v>
      </c>
      <c r="AA211" s="371" t="s">
        <v>384</v>
      </c>
      <c r="AB211" s="372">
        <v>2300</v>
      </c>
      <c r="AC211" s="370" t="s">
        <v>385</v>
      </c>
      <c r="AD211" s="373" t="s">
        <v>384</v>
      </c>
      <c r="AE211" s="374">
        <f>Y211*AB211</f>
        <v>5216.4000000000005</v>
      </c>
      <c r="AF211" s="386"/>
      <c r="AG211" s="385">
        <v>0.15</v>
      </c>
      <c r="AH211" s="385">
        <v>1.8</v>
      </c>
      <c r="AI211" s="385">
        <f>AG211*AH211</f>
        <v>0.27</v>
      </c>
      <c r="AJ211" s="387">
        <f t="shared" ref="AJ211" si="158">AG211+AH211</f>
        <v>1.95</v>
      </c>
      <c r="AK211" s="385">
        <v>1.8</v>
      </c>
      <c r="AL211" s="385">
        <v>0.6</v>
      </c>
      <c r="AM211" s="282"/>
    </row>
    <row r="212" spans="1:39" ht="15.75" x14ac:dyDescent="0.25">
      <c r="A212" s="321" t="s">
        <v>346</v>
      </c>
      <c r="B212" s="320" t="s">
        <v>356</v>
      </c>
      <c r="C212" s="292"/>
      <c r="D212" s="83"/>
      <c r="E212" s="242"/>
      <c r="F212" s="302"/>
      <c r="G212" s="68"/>
      <c r="H212" s="67"/>
      <c r="I212" s="67"/>
      <c r="J212" s="67"/>
      <c r="K212" s="67"/>
      <c r="L212" s="67"/>
      <c r="M212" s="72"/>
      <c r="N212" s="72"/>
      <c r="O212" s="72"/>
      <c r="P212" s="205"/>
      <c r="Q212" s="272">
        <f t="shared" si="156"/>
        <v>0</v>
      </c>
      <c r="R212" s="439"/>
      <c r="V212" s="273"/>
      <c r="W212" s="375"/>
      <c r="X212" s="376"/>
      <c r="Y212" s="370"/>
      <c r="Z212" s="370"/>
      <c r="AA212" s="371"/>
      <c r="AB212" s="370"/>
      <c r="AC212" s="373" t="s">
        <v>386</v>
      </c>
      <c r="AD212" s="373" t="s">
        <v>384</v>
      </c>
      <c r="AE212" s="377">
        <f>SUM(AE211:AE211)</f>
        <v>5216.4000000000005</v>
      </c>
      <c r="AF212" s="386"/>
      <c r="AG212" s="385">
        <v>0.15</v>
      </c>
      <c r="AH212" s="385">
        <v>0.6</v>
      </c>
      <c r="AI212" s="385">
        <f>AG212*AH212</f>
        <v>0.09</v>
      </c>
      <c r="AJ212" s="387">
        <f>AG212+AH212</f>
        <v>0.75</v>
      </c>
      <c r="AK212" s="385">
        <v>0.15</v>
      </c>
      <c r="AL212" s="385">
        <v>1.8</v>
      </c>
    </row>
    <row r="213" spans="1:39" x14ac:dyDescent="0.25">
      <c r="A213" s="238"/>
      <c r="B213" s="290" t="s">
        <v>319</v>
      </c>
      <c r="C213" s="291" t="s">
        <v>403</v>
      </c>
      <c r="D213" s="83"/>
      <c r="E213" s="242"/>
      <c r="F213" s="242"/>
      <c r="G213" s="77"/>
      <c r="H213" s="74"/>
      <c r="I213" s="74"/>
      <c r="J213" s="74"/>
      <c r="K213" s="74"/>
      <c r="L213" s="72"/>
      <c r="M213" s="74"/>
      <c r="N213" s="74"/>
      <c r="O213" s="72"/>
      <c r="P213" s="203"/>
      <c r="Q213" s="272">
        <f t="shared" si="156"/>
        <v>0</v>
      </c>
      <c r="R213" s="439"/>
      <c r="V213" s="273"/>
      <c r="W213" s="375"/>
      <c r="X213" s="376"/>
      <c r="Y213" s="370"/>
      <c r="Z213" s="370"/>
      <c r="AA213" s="371"/>
      <c r="AB213" s="370"/>
      <c r="AC213" s="373"/>
      <c r="AD213" s="373"/>
      <c r="AE213" s="378"/>
      <c r="AF213" s="386"/>
      <c r="AG213" s="385">
        <v>0.15</v>
      </c>
      <c r="AH213" s="385">
        <v>0.6</v>
      </c>
      <c r="AI213" s="385">
        <f>AG213*AH213</f>
        <v>0.09</v>
      </c>
      <c r="AJ213" s="387">
        <f>AG213+AH213</f>
        <v>0.75</v>
      </c>
      <c r="AK213" s="385"/>
      <c r="AL213" s="385">
        <v>0.6</v>
      </c>
    </row>
    <row r="214" spans="1:39" x14ac:dyDescent="0.25">
      <c r="A214" s="238"/>
      <c r="B214" s="249"/>
      <c r="C214" s="293">
        <v>1</v>
      </c>
      <c r="D214" s="83" t="s">
        <v>404</v>
      </c>
      <c r="E214" s="242">
        <v>10</v>
      </c>
      <c r="F214" s="242">
        <v>10</v>
      </c>
      <c r="G214" s="77" t="s">
        <v>28</v>
      </c>
      <c r="H214" s="74"/>
      <c r="I214" s="74">
        <f t="shared" ref="I214:I224" si="159">F214*H214</f>
        <v>0</v>
      </c>
      <c r="J214" s="74">
        <f>750+100</f>
        <v>850</v>
      </c>
      <c r="K214" s="74">
        <f t="shared" ref="K214:K224" si="160">F214*J214</f>
        <v>8500</v>
      </c>
      <c r="L214" s="72">
        <f t="shared" ref="L214:L224" si="161">I214+K214</f>
        <v>8500</v>
      </c>
      <c r="M214" s="74" t="s">
        <v>469</v>
      </c>
      <c r="N214" s="74">
        <f t="shared" ref="N214:N224" si="162">J214/$P$255*$P$263</f>
        <v>1501.4752285722313</v>
      </c>
      <c r="O214" s="72">
        <f>N214</f>
        <v>1501.4752285722313</v>
      </c>
      <c r="P214" s="203">
        <f t="shared" ref="P214:P224" si="163">O214*F214</f>
        <v>15014.752285722314</v>
      </c>
      <c r="Q214" s="272">
        <f t="shared" si="156"/>
        <v>15014.752285722314</v>
      </c>
      <c r="R214" s="439">
        <f t="shared" si="157"/>
        <v>0</v>
      </c>
      <c r="V214" s="273"/>
      <c r="W214" s="550" t="s">
        <v>10</v>
      </c>
      <c r="X214" s="379" t="s">
        <v>387</v>
      </c>
      <c r="Y214" s="380">
        <f>AI218</f>
        <v>1.8900000000000003</v>
      </c>
      <c r="Z214" s="370" t="s">
        <v>383</v>
      </c>
      <c r="AA214" s="371" t="s">
        <v>384</v>
      </c>
      <c r="AB214" s="372">
        <v>400</v>
      </c>
      <c r="AC214" s="370" t="s">
        <v>385</v>
      </c>
      <c r="AD214" s="373" t="s">
        <v>384</v>
      </c>
      <c r="AE214" s="378">
        <f t="shared" ref="AE214:AE218" si="164">Y214*AB214</f>
        <v>756.00000000000011</v>
      </c>
      <c r="AF214" s="386"/>
      <c r="AG214" s="385">
        <v>0.2</v>
      </c>
      <c r="AH214" s="385">
        <v>1.8</v>
      </c>
      <c r="AI214" s="385">
        <f>AG214*AH214</f>
        <v>0.36000000000000004</v>
      </c>
      <c r="AJ214" s="387">
        <f>AG214+AH214</f>
        <v>2</v>
      </c>
      <c r="AK214" s="385"/>
      <c r="AL214" s="385">
        <v>0.2</v>
      </c>
    </row>
    <row r="215" spans="1:39" x14ac:dyDescent="0.25">
      <c r="A215" s="524"/>
      <c r="B215" s="249"/>
      <c r="C215" s="293">
        <v>2</v>
      </c>
      <c r="D215" s="83" t="s">
        <v>405</v>
      </c>
      <c r="E215" s="242">
        <v>3</v>
      </c>
      <c r="F215" s="242">
        <v>3</v>
      </c>
      <c r="G215" s="77" t="s">
        <v>28</v>
      </c>
      <c r="H215" s="74"/>
      <c r="I215" s="74">
        <f>F215*H215</f>
        <v>0</v>
      </c>
      <c r="J215" s="74">
        <f>750+100</f>
        <v>850</v>
      </c>
      <c r="K215" s="74">
        <f>F215*J215</f>
        <v>2550</v>
      </c>
      <c r="L215" s="72">
        <f>I215+K215</f>
        <v>2550</v>
      </c>
      <c r="M215" s="74" t="s">
        <v>469</v>
      </c>
      <c r="N215" s="74">
        <f t="shared" si="162"/>
        <v>1501.4752285722313</v>
      </c>
      <c r="O215" s="72">
        <f t="shared" ref="O215:O221" si="165">N215</f>
        <v>1501.4752285722313</v>
      </c>
      <c r="P215" s="203">
        <f>O215*F215</f>
        <v>4504.4256857166938</v>
      </c>
      <c r="Q215" s="272">
        <f t="shared" si="156"/>
        <v>4504.4256857166947</v>
      </c>
      <c r="R215" s="439">
        <f>P215-Q215</f>
        <v>0</v>
      </c>
      <c r="V215" s="273"/>
      <c r="W215" s="550"/>
      <c r="X215" s="379" t="s">
        <v>388</v>
      </c>
      <c r="Y215" s="380">
        <f>AJ218</f>
        <v>7.85</v>
      </c>
      <c r="Z215" s="370" t="s">
        <v>383</v>
      </c>
      <c r="AA215" s="371"/>
      <c r="AB215" s="372">
        <v>100</v>
      </c>
      <c r="AC215" s="370" t="s">
        <v>385</v>
      </c>
      <c r="AD215" s="373"/>
      <c r="AE215" s="378">
        <f t="shared" si="164"/>
        <v>785</v>
      </c>
      <c r="AF215" s="386"/>
      <c r="AG215" s="385"/>
      <c r="AH215" s="385"/>
      <c r="AI215" s="385"/>
      <c r="AJ215" s="387"/>
      <c r="AK215" s="385"/>
      <c r="AL215" s="385"/>
    </row>
    <row r="216" spans="1:39" x14ac:dyDescent="0.25">
      <c r="A216" s="525"/>
      <c r="B216" s="249"/>
      <c r="C216" s="293">
        <v>3</v>
      </c>
      <c r="D216" s="83" t="s">
        <v>406</v>
      </c>
      <c r="E216" s="242">
        <v>7</v>
      </c>
      <c r="F216" s="242">
        <v>7</v>
      </c>
      <c r="G216" s="77" t="s">
        <v>28</v>
      </c>
      <c r="H216" s="74"/>
      <c r="I216" s="74">
        <f t="shared" si="159"/>
        <v>0</v>
      </c>
      <c r="J216" s="74">
        <f>600+100</f>
        <v>700</v>
      </c>
      <c r="K216" s="74">
        <f t="shared" si="160"/>
        <v>4900</v>
      </c>
      <c r="L216" s="72">
        <f t="shared" si="161"/>
        <v>4900</v>
      </c>
      <c r="M216" s="74" t="s">
        <v>469</v>
      </c>
      <c r="N216" s="74">
        <f t="shared" si="162"/>
        <v>1236.5090117653669</v>
      </c>
      <c r="O216" s="72">
        <f t="shared" si="165"/>
        <v>1236.5090117653669</v>
      </c>
      <c r="P216" s="203">
        <f t="shared" si="163"/>
        <v>8655.5630823575684</v>
      </c>
      <c r="Q216" s="272">
        <f t="shared" si="156"/>
        <v>8655.5630823575702</v>
      </c>
      <c r="R216" s="439">
        <f t="shared" si="157"/>
        <v>0</v>
      </c>
      <c r="V216" s="273"/>
      <c r="W216" s="550"/>
      <c r="X216" s="379" t="s">
        <v>389</v>
      </c>
      <c r="Y216" s="380">
        <f>AK218</f>
        <v>2.5499999999999998</v>
      </c>
      <c r="Z216" s="370" t="s">
        <v>100</v>
      </c>
      <c r="AA216" s="371"/>
      <c r="AB216" s="372">
        <v>400</v>
      </c>
      <c r="AC216" s="381" t="s">
        <v>390</v>
      </c>
      <c r="AD216" s="373"/>
      <c r="AE216" s="378">
        <f t="shared" si="164"/>
        <v>1019.9999999999999</v>
      </c>
      <c r="AF216" s="386"/>
      <c r="AG216" s="385"/>
      <c r="AH216" s="385"/>
      <c r="AI216" s="385"/>
      <c r="AJ216" s="387"/>
      <c r="AK216" s="385"/>
      <c r="AL216" s="385"/>
    </row>
    <row r="217" spans="1:39" x14ac:dyDescent="0.25">
      <c r="A217" s="238"/>
      <c r="B217" s="249"/>
      <c r="C217" s="293">
        <v>4</v>
      </c>
      <c r="D217" s="83" t="s">
        <v>407</v>
      </c>
      <c r="E217" s="242">
        <v>7</v>
      </c>
      <c r="F217" s="242">
        <v>7</v>
      </c>
      <c r="G217" s="77" t="s">
        <v>28</v>
      </c>
      <c r="H217" s="74"/>
      <c r="I217" s="74">
        <f t="shared" si="159"/>
        <v>0</v>
      </c>
      <c r="J217" s="74">
        <f>300+100</f>
        <v>400</v>
      </c>
      <c r="K217" s="74">
        <f t="shared" si="160"/>
        <v>2800</v>
      </c>
      <c r="L217" s="72">
        <f t="shared" si="161"/>
        <v>2800</v>
      </c>
      <c r="M217" s="74" t="s">
        <v>469</v>
      </c>
      <c r="N217" s="74">
        <f t="shared" si="162"/>
        <v>706.57657815163827</v>
      </c>
      <c r="O217" s="72">
        <f t="shared" si="165"/>
        <v>706.57657815163827</v>
      </c>
      <c r="P217" s="203">
        <f t="shared" si="163"/>
        <v>4946.0360470614678</v>
      </c>
      <c r="Q217" s="272">
        <f t="shared" si="156"/>
        <v>4946.0360470614678</v>
      </c>
      <c r="R217" s="439">
        <f t="shared" si="157"/>
        <v>0</v>
      </c>
      <c r="V217" s="273"/>
      <c r="W217" s="550"/>
      <c r="X217" s="379" t="s">
        <v>391</v>
      </c>
      <c r="Y217" s="380">
        <f>AL218</f>
        <v>3.35</v>
      </c>
      <c r="Z217" s="370" t="s">
        <v>100</v>
      </c>
      <c r="AA217" s="371"/>
      <c r="AB217" s="372">
        <v>400</v>
      </c>
      <c r="AC217" s="381" t="s">
        <v>390</v>
      </c>
      <c r="AD217" s="373"/>
      <c r="AE217" s="378">
        <f t="shared" si="164"/>
        <v>1340</v>
      </c>
      <c r="AF217" s="386"/>
      <c r="AG217" s="385"/>
      <c r="AH217" s="385"/>
      <c r="AI217" s="385"/>
      <c r="AJ217" s="387"/>
      <c r="AK217" s="385"/>
      <c r="AL217" s="385"/>
    </row>
    <row r="218" spans="1:39" x14ac:dyDescent="0.25">
      <c r="A218" s="238"/>
      <c r="B218" s="249"/>
      <c r="C218" s="293">
        <v>5</v>
      </c>
      <c r="D218" s="83" t="s">
        <v>408</v>
      </c>
      <c r="E218" s="242">
        <v>2</v>
      </c>
      <c r="F218" s="242">
        <v>2</v>
      </c>
      <c r="G218" s="77" t="s">
        <v>28</v>
      </c>
      <c r="H218" s="74"/>
      <c r="I218" s="74">
        <f t="shared" si="159"/>
        <v>0</v>
      </c>
      <c r="J218" s="74">
        <f>400+100</f>
        <v>500</v>
      </c>
      <c r="K218" s="74">
        <f t="shared" si="160"/>
        <v>1000</v>
      </c>
      <c r="L218" s="72">
        <f t="shared" si="161"/>
        <v>1000</v>
      </c>
      <c r="M218" s="74" t="s">
        <v>469</v>
      </c>
      <c r="N218" s="74">
        <f t="shared" si="162"/>
        <v>883.22072268954787</v>
      </c>
      <c r="O218" s="72">
        <f t="shared" si="165"/>
        <v>883.22072268954787</v>
      </c>
      <c r="P218" s="203">
        <f t="shared" si="163"/>
        <v>1766.4414453790957</v>
      </c>
      <c r="Q218" s="272">
        <f t="shared" si="156"/>
        <v>1766.4414453790957</v>
      </c>
      <c r="R218" s="439">
        <f t="shared" si="157"/>
        <v>0</v>
      </c>
      <c r="V218" s="273"/>
      <c r="W218" s="550"/>
      <c r="X218" s="379" t="s">
        <v>392</v>
      </c>
      <c r="Y218" s="382">
        <v>2</v>
      </c>
      <c r="Z218" s="370" t="s">
        <v>393</v>
      </c>
      <c r="AA218" s="373"/>
      <c r="AB218" s="372">
        <v>500</v>
      </c>
      <c r="AC218" s="381" t="s">
        <v>394</v>
      </c>
      <c r="AD218" s="373"/>
      <c r="AE218" s="374">
        <f t="shared" si="164"/>
        <v>1000</v>
      </c>
      <c r="AF218" s="386"/>
      <c r="AG218" s="385"/>
      <c r="AH218" s="385"/>
      <c r="AI218" s="388">
        <f>SUM(AI210:AI214)</f>
        <v>1.8900000000000003</v>
      </c>
      <c r="AJ218" s="388">
        <f>SUM(AJ210:AJ214)</f>
        <v>7.85</v>
      </c>
      <c r="AK218" s="388">
        <f>SUM(AK210:AK213)</f>
        <v>2.5499999999999998</v>
      </c>
      <c r="AL218" s="388">
        <f>SUM(AL210:AL214)</f>
        <v>3.35</v>
      </c>
    </row>
    <row r="219" spans="1:39" s="585" customFormat="1" x14ac:dyDescent="0.25">
      <c r="A219" s="600"/>
      <c r="B219" s="601"/>
      <c r="C219" s="560">
        <v>6</v>
      </c>
      <c r="D219" s="582" t="s">
        <v>507</v>
      </c>
      <c r="E219" s="583">
        <v>2</v>
      </c>
      <c r="F219" s="583">
        <v>2</v>
      </c>
      <c r="G219" s="584" t="s">
        <v>28</v>
      </c>
      <c r="H219" s="566">
        <f>2500/1.07</f>
        <v>2336.4485981308408</v>
      </c>
      <c r="I219" s="566">
        <f t="shared" si="159"/>
        <v>4672.8971962616815</v>
      </c>
      <c r="J219" s="566">
        <f>400+100</f>
        <v>500</v>
      </c>
      <c r="K219" s="566">
        <f t="shared" si="160"/>
        <v>1000</v>
      </c>
      <c r="L219" s="565">
        <f t="shared" si="161"/>
        <v>5672.8971962616815</v>
      </c>
      <c r="M219" s="656">
        <f t="shared" ref="M219:M220" si="166">H219/$P$255*$P$263</f>
        <v>4127.1996387362042</v>
      </c>
      <c r="N219" s="566">
        <f t="shared" si="162"/>
        <v>883.22072268954787</v>
      </c>
      <c r="O219" s="565">
        <f t="shared" si="165"/>
        <v>883.22072268954787</v>
      </c>
      <c r="P219" s="567">
        <f t="shared" si="163"/>
        <v>1766.4414453790957</v>
      </c>
      <c r="Q219" s="568">
        <f t="shared" si="156"/>
        <v>10020.840722851504</v>
      </c>
      <c r="R219" s="569">
        <f t="shared" si="157"/>
        <v>-8254.3992774724084</v>
      </c>
      <c r="T219" s="579"/>
      <c r="W219" s="637"/>
      <c r="X219" s="638"/>
      <c r="Y219" s="639"/>
      <c r="Z219" s="639"/>
      <c r="AA219" s="640"/>
      <c r="AB219" s="639"/>
      <c r="AC219" s="640" t="s">
        <v>395</v>
      </c>
      <c r="AD219" s="640" t="s">
        <v>384</v>
      </c>
      <c r="AE219" s="641">
        <f>SUM(AE214:AE218)</f>
        <v>4901</v>
      </c>
      <c r="AF219" s="642"/>
      <c r="AG219" s="643"/>
      <c r="AH219" s="643"/>
      <c r="AI219" s="643"/>
      <c r="AJ219" s="644"/>
      <c r="AK219" s="643"/>
      <c r="AL219" s="643"/>
    </row>
    <row r="220" spans="1:39" s="585" customFormat="1" ht="15.75" thickBot="1" x14ac:dyDescent="0.3">
      <c r="A220" s="600"/>
      <c r="B220" s="601"/>
      <c r="C220" s="560">
        <v>7</v>
      </c>
      <c r="D220" s="582" t="s">
        <v>508</v>
      </c>
      <c r="E220" s="583">
        <v>2</v>
      </c>
      <c r="F220" s="583">
        <v>2</v>
      </c>
      <c r="G220" s="584" t="s">
        <v>28</v>
      </c>
      <c r="H220" s="566">
        <f>1500/1.07</f>
        <v>1401.8691588785045</v>
      </c>
      <c r="I220" s="566">
        <f t="shared" si="159"/>
        <v>2803.7383177570091</v>
      </c>
      <c r="J220" s="566">
        <f>200+100</f>
        <v>300</v>
      </c>
      <c r="K220" s="566">
        <f t="shared" si="160"/>
        <v>600</v>
      </c>
      <c r="L220" s="565">
        <f t="shared" si="161"/>
        <v>3403.7383177570091</v>
      </c>
      <c r="M220" s="656">
        <f t="shared" si="166"/>
        <v>2476.3197832417227</v>
      </c>
      <c r="N220" s="566">
        <f t="shared" si="162"/>
        <v>529.93243361372879</v>
      </c>
      <c r="O220" s="565">
        <f t="shared" si="165"/>
        <v>529.93243361372879</v>
      </c>
      <c r="P220" s="567">
        <f t="shared" si="163"/>
        <v>1059.8648672274576</v>
      </c>
      <c r="Q220" s="568">
        <f t="shared" si="156"/>
        <v>6012.504433710902</v>
      </c>
      <c r="R220" s="569">
        <f t="shared" si="157"/>
        <v>-4952.6395664834445</v>
      </c>
      <c r="T220" s="579"/>
      <c r="W220" s="637"/>
      <c r="X220" s="638"/>
      <c r="Y220" s="639"/>
      <c r="Z220" s="639"/>
      <c r="AA220" s="640"/>
      <c r="AB220" s="639"/>
      <c r="AC220" s="640" t="s">
        <v>396</v>
      </c>
      <c r="AD220" s="640" t="s">
        <v>384</v>
      </c>
      <c r="AE220" s="645">
        <f>AE212+AE219</f>
        <v>10117.400000000001</v>
      </c>
      <c r="AF220" s="642"/>
      <c r="AG220" s="643"/>
      <c r="AH220" s="643"/>
      <c r="AI220" s="643"/>
      <c r="AJ220" s="644"/>
      <c r="AK220" s="643"/>
      <c r="AL220" s="643"/>
    </row>
    <row r="221" spans="1:39" ht="15.75" thickTop="1" x14ac:dyDescent="0.25">
      <c r="A221" s="238"/>
      <c r="B221" s="249"/>
      <c r="C221" s="293">
        <v>8</v>
      </c>
      <c r="D221" s="83" t="s">
        <v>358</v>
      </c>
      <c r="E221" s="242">
        <v>10</v>
      </c>
      <c r="F221" s="242">
        <v>10</v>
      </c>
      <c r="G221" s="77" t="s">
        <v>28</v>
      </c>
      <c r="H221" s="74"/>
      <c r="I221" s="74">
        <f t="shared" si="159"/>
        <v>0</v>
      </c>
      <c r="J221" s="74">
        <f>250+100</f>
        <v>350</v>
      </c>
      <c r="K221" s="74">
        <f t="shared" si="160"/>
        <v>3500</v>
      </c>
      <c r="L221" s="72">
        <f t="shared" si="161"/>
        <v>3500</v>
      </c>
      <c r="M221" s="74" t="s">
        <v>469</v>
      </c>
      <c r="N221" s="74">
        <f t="shared" si="162"/>
        <v>618.25450588268347</v>
      </c>
      <c r="O221" s="72">
        <f t="shared" si="165"/>
        <v>618.25450588268347</v>
      </c>
      <c r="P221" s="203">
        <f t="shared" si="163"/>
        <v>6182.545058826835</v>
      </c>
      <c r="Q221" s="272">
        <f t="shared" si="156"/>
        <v>6182.545058826835</v>
      </c>
      <c r="R221" s="439">
        <f t="shared" si="157"/>
        <v>0</v>
      </c>
      <c r="V221" s="273"/>
      <c r="W221" s="389"/>
      <c r="X221" s="390"/>
      <c r="Y221" s="391"/>
      <c r="Z221" s="391"/>
      <c r="AA221" s="392"/>
      <c r="AB221" s="391"/>
      <c r="AC221" s="392"/>
      <c r="AD221" s="392"/>
      <c r="AE221" s="378"/>
      <c r="AF221" s="393"/>
      <c r="AG221" s="394"/>
      <c r="AH221" s="394"/>
      <c r="AI221" s="394"/>
      <c r="AJ221" s="395"/>
      <c r="AK221" s="394"/>
      <c r="AL221" s="394"/>
    </row>
    <row r="222" spans="1:39" x14ac:dyDescent="0.25">
      <c r="A222" s="238"/>
      <c r="B222" s="249"/>
      <c r="C222" s="293">
        <v>9</v>
      </c>
      <c r="D222" s="83" t="s">
        <v>468</v>
      </c>
      <c r="E222" s="242">
        <v>12</v>
      </c>
      <c r="F222" s="242">
        <v>12</v>
      </c>
      <c r="G222" s="77" t="s">
        <v>28</v>
      </c>
      <c r="H222" s="74">
        <f>550/1.05</f>
        <v>523.80952380952374</v>
      </c>
      <c r="I222" s="74">
        <f t="shared" si="159"/>
        <v>6285.7142857142844</v>
      </c>
      <c r="J222" s="74">
        <f>150+100</f>
        <v>250</v>
      </c>
      <c r="K222" s="74">
        <f t="shared" si="160"/>
        <v>3000</v>
      </c>
      <c r="L222" s="72">
        <f t="shared" si="161"/>
        <v>9285.7142857142844</v>
      </c>
      <c r="M222" s="74">
        <f>H222/$P$255*$P$263</f>
        <v>925.27885234143093</v>
      </c>
      <c r="N222" s="74">
        <f t="shared" si="162"/>
        <v>441.61036134477393</v>
      </c>
      <c r="O222" s="72">
        <f t="shared" ref="O222:O224" si="167">N222+M222</f>
        <v>1366.8892136862048</v>
      </c>
      <c r="P222" s="203">
        <f t="shared" si="163"/>
        <v>16402.670564234457</v>
      </c>
      <c r="Q222" s="272">
        <f t="shared" si="156"/>
        <v>16402.670564234457</v>
      </c>
      <c r="R222" s="439">
        <f t="shared" si="157"/>
        <v>0</v>
      </c>
      <c r="V222" s="273"/>
      <c r="W222" s="396"/>
      <c r="X222" s="397"/>
      <c r="Y222" s="397"/>
      <c r="Z222" s="397"/>
      <c r="AA222" s="397"/>
      <c r="AB222" s="397"/>
      <c r="AC222" s="397"/>
      <c r="AD222" s="397"/>
      <c r="AE222" s="397"/>
      <c r="AF222" s="393"/>
      <c r="AG222" s="393"/>
      <c r="AH222" s="395"/>
      <c r="AI222" s="394"/>
      <c r="AJ222" s="395"/>
      <c r="AK222" s="394"/>
      <c r="AL222" s="394"/>
    </row>
    <row r="223" spans="1:39" x14ac:dyDescent="0.25">
      <c r="A223" s="238"/>
      <c r="B223" s="249"/>
      <c r="C223" s="293">
        <v>10</v>
      </c>
      <c r="D223" s="83" t="s">
        <v>470</v>
      </c>
      <c r="E223" s="242">
        <v>2</v>
      </c>
      <c r="F223" s="242">
        <v>2</v>
      </c>
      <c r="G223" s="77" t="s">
        <v>28</v>
      </c>
      <c r="H223" s="74">
        <f>6000/1.05</f>
        <v>5714.2857142857138</v>
      </c>
      <c r="I223" s="74">
        <f t="shared" si="159"/>
        <v>11428.571428571428</v>
      </c>
      <c r="J223" s="74">
        <v>1500</v>
      </c>
      <c r="K223" s="74">
        <f t="shared" si="160"/>
        <v>3000</v>
      </c>
      <c r="L223" s="72">
        <f t="shared" si="161"/>
        <v>14428.571428571428</v>
      </c>
      <c r="M223" s="74">
        <f>H223/$P$255*$P$263</f>
        <v>10093.951116451975</v>
      </c>
      <c r="N223" s="74">
        <f t="shared" si="162"/>
        <v>2649.6621680686435</v>
      </c>
      <c r="O223" s="72">
        <f t="shared" si="167"/>
        <v>12743.613284520619</v>
      </c>
      <c r="P223" s="203">
        <f t="shared" si="163"/>
        <v>25487.226569041239</v>
      </c>
      <c r="Q223" s="272">
        <f t="shared" si="156"/>
        <v>25487.226569041235</v>
      </c>
      <c r="R223" s="439">
        <f t="shared" si="157"/>
        <v>0</v>
      </c>
      <c r="V223" s="273"/>
      <c r="AD223" s="18"/>
      <c r="AF223" s="384"/>
      <c r="AG223" s="385"/>
      <c r="AH223" s="385"/>
      <c r="AI223" s="385"/>
      <c r="AJ223" s="385"/>
      <c r="AK223" s="385" t="s">
        <v>397</v>
      </c>
      <c r="AL223" s="385" t="s">
        <v>398</v>
      </c>
    </row>
    <row r="224" spans="1:39" x14ac:dyDescent="0.25">
      <c r="A224" s="238"/>
      <c r="B224" s="249"/>
      <c r="C224" s="293">
        <v>11</v>
      </c>
      <c r="D224" s="83" t="s">
        <v>467</v>
      </c>
      <c r="E224" s="242">
        <v>1</v>
      </c>
      <c r="F224" s="242">
        <v>1</v>
      </c>
      <c r="G224" s="77" t="s">
        <v>301</v>
      </c>
      <c r="H224" s="74">
        <v>10000</v>
      </c>
      <c r="I224" s="74">
        <f t="shared" si="159"/>
        <v>10000</v>
      </c>
      <c r="J224" s="74">
        <v>4000</v>
      </c>
      <c r="K224" s="74">
        <f t="shared" si="160"/>
        <v>4000</v>
      </c>
      <c r="L224" s="72">
        <f t="shared" si="161"/>
        <v>14000</v>
      </c>
      <c r="M224" s="74">
        <f>H224/$P$255*$P$263</f>
        <v>17664.41445379096</v>
      </c>
      <c r="N224" s="74">
        <f t="shared" si="162"/>
        <v>7065.765781516383</v>
      </c>
      <c r="O224" s="72">
        <f t="shared" si="167"/>
        <v>24730.180235307344</v>
      </c>
      <c r="P224" s="203">
        <f t="shared" si="163"/>
        <v>24730.180235307344</v>
      </c>
      <c r="Q224" s="272">
        <f t="shared" si="156"/>
        <v>24730.18023530734</v>
      </c>
      <c r="R224" s="439">
        <f t="shared" si="157"/>
        <v>0</v>
      </c>
      <c r="V224" s="273"/>
      <c r="W224" s="550" t="s">
        <v>4</v>
      </c>
      <c r="X224" s="550" t="s">
        <v>7</v>
      </c>
      <c r="Y224" s="550" t="s">
        <v>6</v>
      </c>
      <c r="Z224" s="550" t="s">
        <v>5</v>
      </c>
      <c r="AA224" s="897" t="s">
        <v>380</v>
      </c>
      <c r="AB224" s="897"/>
      <c r="AC224" s="897"/>
      <c r="AD224" s="897" t="s">
        <v>381</v>
      </c>
      <c r="AE224" s="897"/>
      <c r="AF224" s="384"/>
      <c r="AG224" s="385"/>
      <c r="AH224" s="385"/>
      <c r="AI224" s="385"/>
      <c r="AJ224" s="385"/>
      <c r="AK224" s="385"/>
      <c r="AL224" s="385"/>
    </row>
    <row r="225" spans="1:39" x14ac:dyDescent="0.25">
      <c r="A225" s="238"/>
      <c r="B225" s="249"/>
      <c r="C225" s="293"/>
      <c r="D225" s="83"/>
      <c r="E225" s="242"/>
      <c r="F225" s="302"/>
      <c r="G225" s="77"/>
      <c r="H225" s="74"/>
      <c r="I225" s="74"/>
      <c r="J225" s="74"/>
      <c r="K225" s="74"/>
      <c r="L225" s="74"/>
      <c r="M225" s="72"/>
      <c r="N225" s="72"/>
      <c r="O225" s="72"/>
      <c r="P225" s="205"/>
      <c r="Q225" s="272">
        <f t="shared" si="156"/>
        <v>0</v>
      </c>
      <c r="R225" s="439"/>
      <c r="W225" s="368" t="s">
        <v>399</v>
      </c>
      <c r="X225" s="550"/>
      <c r="Y225" s="550"/>
      <c r="Z225" s="550"/>
      <c r="AA225" s="550"/>
      <c r="AB225" s="550"/>
      <c r="AC225" s="550"/>
      <c r="AD225" s="550"/>
      <c r="AE225" s="550"/>
      <c r="AF225" s="386"/>
      <c r="AG225" s="386">
        <v>0.6</v>
      </c>
      <c r="AH225" s="387">
        <v>1</v>
      </c>
      <c r="AI225" s="385">
        <f>AG225*AH225</f>
        <v>0.6</v>
      </c>
      <c r="AJ225" s="387">
        <f>AG225+AH225</f>
        <v>1.6</v>
      </c>
      <c r="AK225" s="385">
        <v>0.6</v>
      </c>
      <c r="AL225" s="385">
        <v>0.15</v>
      </c>
    </row>
    <row r="226" spans="1:39" x14ac:dyDescent="0.25">
      <c r="A226" s="238"/>
      <c r="B226" s="290" t="s">
        <v>320</v>
      </c>
      <c r="C226" s="291" t="s">
        <v>355</v>
      </c>
      <c r="D226" s="83"/>
      <c r="E226" s="242"/>
      <c r="F226" s="242"/>
      <c r="G226" s="77"/>
      <c r="H226" s="74"/>
      <c r="I226" s="74"/>
      <c r="J226" s="74"/>
      <c r="K226" s="74"/>
      <c r="L226" s="72"/>
      <c r="M226" s="74"/>
      <c r="N226" s="74"/>
      <c r="O226" s="72"/>
      <c r="P226" s="203"/>
      <c r="Q226" s="272">
        <f t="shared" si="156"/>
        <v>0</v>
      </c>
      <c r="R226" s="439"/>
      <c r="V226" s="273"/>
      <c r="W226" s="550" t="s">
        <v>9</v>
      </c>
      <c r="X226" s="550" t="s">
        <v>382</v>
      </c>
      <c r="Y226" s="369">
        <f>+Y230*1.2</f>
        <v>1.548</v>
      </c>
      <c r="Z226" s="370" t="s">
        <v>383</v>
      </c>
      <c r="AA226" s="371" t="s">
        <v>384</v>
      </c>
      <c r="AB226" s="372">
        <v>2300</v>
      </c>
      <c r="AC226" s="370" t="s">
        <v>385</v>
      </c>
      <c r="AD226" s="373" t="s">
        <v>384</v>
      </c>
      <c r="AE226" s="374">
        <f>Y226*AB226</f>
        <v>3560.4</v>
      </c>
      <c r="AF226" s="386"/>
      <c r="AG226" s="385">
        <v>0.15</v>
      </c>
      <c r="AH226" s="385">
        <v>1</v>
      </c>
      <c r="AI226" s="385">
        <f>AG226*AH226</f>
        <v>0.15</v>
      </c>
      <c r="AJ226" s="387">
        <f t="shared" ref="AJ226" si="168">AG226+AH226</f>
        <v>1.1499999999999999</v>
      </c>
      <c r="AK226" s="385">
        <v>1</v>
      </c>
      <c r="AL226" s="385">
        <v>0.6</v>
      </c>
    </row>
    <row r="227" spans="1:39" s="585" customFormat="1" x14ac:dyDescent="0.25">
      <c r="A227" s="600"/>
      <c r="B227" s="646"/>
      <c r="C227" s="560">
        <v>1</v>
      </c>
      <c r="D227" s="582" t="s">
        <v>493</v>
      </c>
      <c r="E227" s="583">
        <v>5</v>
      </c>
      <c r="F227" s="583">
        <v>5</v>
      </c>
      <c r="G227" s="584" t="s">
        <v>283</v>
      </c>
      <c r="H227" s="566"/>
      <c r="I227" s="566">
        <f t="shared" ref="I227:I234" si="169">F227*H227</f>
        <v>0</v>
      </c>
      <c r="J227" s="566">
        <f>300+100</f>
        <v>400</v>
      </c>
      <c r="K227" s="566">
        <f t="shared" ref="K227:K234" si="170">F227*J227</f>
        <v>2000</v>
      </c>
      <c r="L227" s="565">
        <f t="shared" ref="L227:L234" si="171">I227+K227</f>
        <v>2000</v>
      </c>
      <c r="M227" s="566" t="s">
        <v>469</v>
      </c>
      <c r="N227" s="566">
        <f t="shared" ref="N227:N234" si="172">J227/$P$255*$P$263</f>
        <v>706.57657815163827</v>
      </c>
      <c r="O227" s="565">
        <f>N227</f>
        <v>706.57657815163827</v>
      </c>
      <c r="P227" s="567">
        <f t="shared" ref="P227:P234" si="173">O227*F227</f>
        <v>3532.8828907581915</v>
      </c>
      <c r="Q227" s="568">
        <f t="shared" si="156"/>
        <v>3532.8828907581915</v>
      </c>
      <c r="R227" s="569">
        <f t="shared" ref="R227:R234" si="174">P227-Q227</f>
        <v>0</v>
      </c>
      <c r="T227" s="579"/>
      <c r="W227" s="647"/>
      <c r="X227" s="647"/>
      <c r="Y227" s="648"/>
      <c r="Z227" s="639"/>
      <c r="AA227" s="649"/>
      <c r="AB227" s="650"/>
      <c r="AC227" s="639"/>
      <c r="AD227" s="640"/>
      <c r="AE227" s="651"/>
      <c r="AF227" s="642"/>
      <c r="AG227" s="643"/>
      <c r="AH227" s="643"/>
      <c r="AI227" s="643"/>
      <c r="AJ227" s="644"/>
      <c r="AK227" s="643"/>
      <c r="AL227" s="643"/>
    </row>
    <row r="228" spans="1:39" x14ac:dyDescent="0.25">
      <c r="A228" s="238"/>
      <c r="B228" s="249"/>
      <c r="C228" s="293">
        <v>2</v>
      </c>
      <c r="D228" s="83" t="s">
        <v>361</v>
      </c>
      <c r="E228" s="242">
        <v>10</v>
      </c>
      <c r="F228" s="242">
        <v>10</v>
      </c>
      <c r="G228" s="77" t="s">
        <v>283</v>
      </c>
      <c r="H228" s="74"/>
      <c r="I228" s="74">
        <f t="shared" si="169"/>
        <v>0</v>
      </c>
      <c r="J228" s="74">
        <f>150+100</f>
        <v>250</v>
      </c>
      <c r="K228" s="74">
        <f t="shared" si="170"/>
        <v>2500</v>
      </c>
      <c r="L228" s="72">
        <f t="shared" si="171"/>
        <v>2500</v>
      </c>
      <c r="M228" s="74" t="s">
        <v>469</v>
      </c>
      <c r="N228" s="74">
        <f t="shared" si="172"/>
        <v>441.61036134477393</v>
      </c>
      <c r="O228" s="72">
        <f>N228</f>
        <v>441.61036134477393</v>
      </c>
      <c r="P228" s="203">
        <f t="shared" si="173"/>
        <v>4416.103613447739</v>
      </c>
      <c r="Q228" s="272">
        <f t="shared" si="156"/>
        <v>4416.1036134477399</v>
      </c>
      <c r="R228" s="439">
        <f t="shared" si="174"/>
        <v>0</v>
      </c>
      <c r="V228" s="287"/>
      <c r="W228" s="375"/>
      <c r="X228" s="376"/>
      <c r="Y228" s="370"/>
      <c r="Z228" s="370"/>
      <c r="AA228" s="371"/>
      <c r="AB228" s="370"/>
      <c r="AC228" s="373" t="s">
        <v>386</v>
      </c>
      <c r="AD228" s="373" t="s">
        <v>384</v>
      </c>
      <c r="AE228" s="377">
        <f>SUM(AE226:AE226)</f>
        <v>3560.4</v>
      </c>
      <c r="AF228" s="386"/>
      <c r="AG228" s="385">
        <v>0.15</v>
      </c>
      <c r="AH228" s="385">
        <v>0.6</v>
      </c>
      <c r="AI228" s="385">
        <f>AG228*AH228</f>
        <v>0.09</v>
      </c>
      <c r="AJ228" s="387">
        <f>AG228+AH228</f>
        <v>0.75</v>
      </c>
      <c r="AK228" s="385">
        <v>0.15</v>
      </c>
      <c r="AL228" s="385">
        <v>1</v>
      </c>
    </row>
    <row r="229" spans="1:39" s="585" customFormat="1" x14ac:dyDescent="0.25">
      <c r="A229" s="600"/>
      <c r="B229" s="601"/>
      <c r="C229" s="560">
        <v>3</v>
      </c>
      <c r="D229" s="582" t="s">
        <v>509</v>
      </c>
      <c r="E229" s="583">
        <v>1</v>
      </c>
      <c r="F229" s="583">
        <v>1</v>
      </c>
      <c r="G229" s="584" t="s">
        <v>55</v>
      </c>
      <c r="H229" s="566">
        <f>4000/1.07</f>
        <v>3738.3177570093458</v>
      </c>
      <c r="I229" s="566">
        <f t="shared" si="169"/>
        <v>3738.3177570093458</v>
      </c>
      <c r="J229" s="566">
        <f>600+100</f>
        <v>700</v>
      </c>
      <c r="K229" s="566">
        <f t="shared" si="170"/>
        <v>700</v>
      </c>
      <c r="L229" s="565">
        <f t="shared" si="171"/>
        <v>4438.3177570093458</v>
      </c>
      <c r="M229" s="656">
        <f t="shared" ref="M229" si="175">H229/$P$255*$P$263</f>
        <v>6603.5194219779287</v>
      </c>
      <c r="N229" s="566">
        <f t="shared" si="172"/>
        <v>1236.5090117653669</v>
      </c>
      <c r="O229" s="565">
        <f t="shared" ref="O229:O232" si="176">N229</f>
        <v>1236.5090117653669</v>
      </c>
      <c r="P229" s="567">
        <f t="shared" si="173"/>
        <v>1236.5090117653669</v>
      </c>
      <c r="Q229" s="568">
        <f t="shared" si="156"/>
        <v>7840.028433743295</v>
      </c>
      <c r="R229" s="569">
        <f t="shared" si="174"/>
        <v>-6603.5194219779278</v>
      </c>
      <c r="T229" s="579"/>
      <c r="V229" s="652"/>
      <c r="W229" s="637"/>
      <c r="X229" s="638"/>
      <c r="Y229" s="639"/>
      <c r="Z229" s="639"/>
      <c r="AA229" s="649"/>
      <c r="AB229" s="639"/>
      <c r="AC229" s="640"/>
      <c r="AD229" s="640"/>
      <c r="AE229" s="651"/>
      <c r="AF229" s="642"/>
      <c r="AG229" s="643">
        <v>0.15</v>
      </c>
      <c r="AH229" s="643">
        <v>0.6</v>
      </c>
      <c r="AI229" s="643">
        <f>AG229*AH229</f>
        <v>0.09</v>
      </c>
      <c r="AJ229" s="644">
        <f>AG229+AH229</f>
        <v>0.75</v>
      </c>
      <c r="AK229" s="643"/>
      <c r="AL229" s="643">
        <v>0.6</v>
      </c>
    </row>
    <row r="230" spans="1:39" s="585" customFormat="1" x14ac:dyDescent="0.25">
      <c r="A230" s="600"/>
      <c r="B230" s="601"/>
      <c r="C230" s="560">
        <v>4</v>
      </c>
      <c r="D230" s="582" t="s">
        <v>518</v>
      </c>
      <c r="E230" s="583">
        <v>7</v>
      </c>
      <c r="F230" s="583">
        <v>7</v>
      </c>
      <c r="G230" s="584" t="s">
        <v>28</v>
      </c>
      <c r="H230" s="566">
        <f>(1.1*0.6)*(1850+200)+300</f>
        <v>1653</v>
      </c>
      <c r="I230" s="566">
        <f t="shared" si="169"/>
        <v>11571</v>
      </c>
      <c r="J230" s="566">
        <v>1200</v>
      </c>
      <c r="K230" s="566">
        <f t="shared" si="170"/>
        <v>8400</v>
      </c>
      <c r="L230" s="565">
        <f t="shared" si="171"/>
        <v>19971</v>
      </c>
      <c r="M230" s="566" t="s">
        <v>469</v>
      </c>
      <c r="N230" s="566">
        <f t="shared" si="172"/>
        <v>2119.7297344549152</v>
      </c>
      <c r="O230" s="565">
        <f t="shared" si="176"/>
        <v>2119.7297344549152</v>
      </c>
      <c r="P230" s="567">
        <f t="shared" si="173"/>
        <v>14838.108141184406</v>
      </c>
      <c r="Q230" s="568">
        <f t="shared" si="156"/>
        <v>35277.602105665916</v>
      </c>
      <c r="R230" s="569">
        <f t="shared" si="174"/>
        <v>-20439.493964481509</v>
      </c>
      <c r="T230" s="579"/>
      <c r="V230" s="652"/>
      <c r="W230" s="647" t="s">
        <v>10</v>
      </c>
      <c r="X230" s="653" t="s">
        <v>387</v>
      </c>
      <c r="Y230" s="654">
        <f>AI234</f>
        <v>1.29</v>
      </c>
      <c r="Z230" s="639" t="s">
        <v>383</v>
      </c>
      <c r="AA230" s="649" t="s">
        <v>384</v>
      </c>
      <c r="AB230" s="650">
        <v>400</v>
      </c>
      <c r="AC230" s="639" t="s">
        <v>385</v>
      </c>
      <c r="AD230" s="640" t="s">
        <v>384</v>
      </c>
      <c r="AE230" s="651">
        <f t="shared" ref="AE230:AE234" si="177">Y230*AB230</f>
        <v>516</v>
      </c>
      <c r="AF230" s="642"/>
      <c r="AG230" s="643">
        <v>0.2</v>
      </c>
      <c r="AH230" s="643">
        <v>1.8</v>
      </c>
      <c r="AI230" s="643">
        <f>AG230*AH230</f>
        <v>0.36000000000000004</v>
      </c>
      <c r="AJ230" s="644">
        <f>AG230+AH230</f>
        <v>2</v>
      </c>
      <c r="AK230" s="643"/>
      <c r="AL230" s="643">
        <v>0.2</v>
      </c>
    </row>
    <row r="231" spans="1:39" s="585" customFormat="1" x14ac:dyDescent="0.25">
      <c r="A231" s="600"/>
      <c r="B231" s="601"/>
      <c r="C231" s="560">
        <v>5</v>
      </c>
      <c r="D231" s="582" t="s">
        <v>519</v>
      </c>
      <c r="E231" s="583">
        <v>2</v>
      </c>
      <c r="F231" s="583">
        <v>2</v>
      </c>
      <c r="G231" s="584" t="s">
        <v>283</v>
      </c>
      <c r="H231" s="566"/>
      <c r="I231" s="566">
        <f t="shared" si="169"/>
        <v>0</v>
      </c>
      <c r="J231" s="566">
        <f>350+100</f>
        <v>450</v>
      </c>
      <c r="K231" s="566">
        <f t="shared" si="170"/>
        <v>900</v>
      </c>
      <c r="L231" s="565">
        <f t="shared" si="171"/>
        <v>900</v>
      </c>
      <c r="M231" s="566" t="s">
        <v>469</v>
      </c>
      <c r="N231" s="566">
        <f t="shared" si="172"/>
        <v>794.89865042059307</v>
      </c>
      <c r="O231" s="565">
        <f t="shared" si="176"/>
        <v>794.89865042059307</v>
      </c>
      <c r="P231" s="567">
        <f t="shared" si="173"/>
        <v>1589.7973008411861</v>
      </c>
      <c r="Q231" s="568">
        <f t="shared" si="156"/>
        <v>1589.7973008411861</v>
      </c>
      <c r="R231" s="569">
        <f t="shared" si="174"/>
        <v>0</v>
      </c>
      <c r="T231" s="579"/>
      <c r="V231" s="652"/>
      <c r="W231" s="647"/>
      <c r="X231" s="653" t="s">
        <v>388</v>
      </c>
      <c r="Y231" s="654">
        <f>AJ234</f>
        <v>6.25</v>
      </c>
      <c r="Z231" s="639" t="s">
        <v>383</v>
      </c>
      <c r="AA231" s="649"/>
      <c r="AB231" s="650">
        <v>100</v>
      </c>
      <c r="AC231" s="639" t="s">
        <v>385</v>
      </c>
      <c r="AD231" s="640"/>
      <c r="AE231" s="651">
        <f t="shared" si="177"/>
        <v>625</v>
      </c>
      <c r="AF231" s="642"/>
      <c r="AG231" s="643"/>
      <c r="AH231" s="643"/>
      <c r="AI231" s="643"/>
      <c r="AJ231" s="644"/>
      <c r="AK231" s="643"/>
      <c r="AL231" s="643"/>
    </row>
    <row r="232" spans="1:39" s="585" customFormat="1" x14ac:dyDescent="0.25">
      <c r="A232" s="600"/>
      <c r="B232" s="601"/>
      <c r="C232" s="560">
        <v>6</v>
      </c>
      <c r="D232" s="582" t="s">
        <v>521</v>
      </c>
      <c r="E232" s="583">
        <v>2</v>
      </c>
      <c r="F232" s="583">
        <v>2</v>
      </c>
      <c r="G232" s="584" t="s">
        <v>283</v>
      </c>
      <c r="H232" s="566"/>
      <c r="I232" s="566">
        <f t="shared" si="169"/>
        <v>0</v>
      </c>
      <c r="J232" s="566">
        <f>350+100</f>
        <v>450</v>
      </c>
      <c r="K232" s="566">
        <f t="shared" si="170"/>
        <v>900</v>
      </c>
      <c r="L232" s="565">
        <f t="shared" si="171"/>
        <v>900</v>
      </c>
      <c r="M232" s="566" t="s">
        <v>469</v>
      </c>
      <c r="N232" s="566">
        <f t="shared" si="172"/>
        <v>794.89865042059307</v>
      </c>
      <c r="O232" s="565">
        <f t="shared" si="176"/>
        <v>794.89865042059307</v>
      </c>
      <c r="P232" s="567">
        <f t="shared" si="173"/>
        <v>1589.7973008411861</v>
      </c>
      <c r="Q232" s="568">
        <f t="shared" si="156"/>
        <v>1589.7973008411861</v>
      </c>
      <c r="R232" s="569">
        <f t="shared" si="174"/>
        <v>0</v>
      </c>
      <c r="T232" s="579"/>
      <c r="V232" s="652"/>
      <c r="W232" s="647"/>
      <c r="X232" s="653" t="s">
        <v>389</v>
      </c>
      <c r="Y232" s="654">
        <f>AK234</f>
        <v>1.75</v>
      </c>
      <c r="Z232" s="639" t="s">
        <v>100</v>
      </c>
      <c r="AA232" s="649"/>
      <c r="AB232" s="650">
        <v>400</v>
      </c>
      <c r="AC232" s="655" t="s">
        <v>390</v>
      </c>
      <c r="AD232" s="640"/>
      <c r="AE232" s="651">
        <f t="shared" si="177"/>
        <v>700</v>
      </c>
      <c r="AF232" s="642"/>
      <c r="AG232" s="643"/>
      <c r="AH232" s="643"/>
      <c r="AI232" s="643"/>
      <c r="AJ232" s="644"/>
      <c r="AK232" s="643"/>
      <c r="AL232" s="643"/>
    </row>
    <row r="233" spans="1:39" x14ac:dyDescent="0.25">
      <c r="A233" s="238"/>
      <c r="B233" s="249"/>
      <c r="C233" s="293">
        <v>7</v>
      </c>
      <c r="D233" s="83" t="s">
        <v>360</v>
      </c>
      <c r="E233" s="242">
        <f>35.04+6</f>
        <v>41.04</v>
      </c>
      <c r="F233" s="242">
        <v>42</v>
      </c>
      <c r="G233" s="77" t="s">
        <v>100</v>
      </c>
      <c r="H233" s="74">
        <f>(480/2.4)/1.075</f>
        <v>186.04651162790699</v>
      </c>
      <c r="I233" s="74">
        <f t="shared" si="169"/>
        <v>7813.9534883720935</v>
      </c>
      <c r="J233" s="74">
        <f>65+100</f>
        <v>165</v>
      </c>
      <c r="K233" s="74">
        <f t="shared" si="170"/>
        <v>6930</v>
      </c>
      <c r="L233" s="72">
        <f t="shared" si="171"/>
        <v>14743.953488372093</v>
      </c>
      <c r="M233" s="74">
        <f>H233/$P$255*$P$263</f>
        <v>328.64026890773874</v>
      </c>
      <c r="N233" s="74">
        <f t="shared" si="172"/>
        <v>291.46283848755081</v>
      </c>
      <c r="O233" s="72">
        <f t="shared" ref="O233:O234" si="178">N233+M233</f>
        <v>620.1031073952895</v>
      </c>
      <c r="P233" s="203">
        <f t="shared" si="173"/>
        <v>26044.330510602158</v>
      </c>
      <c r="Q233" s="272">
        <f t="shared" si="156"/>
        <v>26044.330510602162</v>
      </c>
      <c r="R233" s="439">
        <f t="shared" si="174"/>
        <v>0</v>
      </c>
      <c r="V233" s="287"/>
      <c r="W233" s="550"/>
      <c r="X233" s="379" t="s">
        <v>391</v>
      </c>
      <c r="Y233" s="380">
        <f>AL234</f>
        <v>2.5500000000000003</v>
      </c>
      <c r="Z233" s="370" t="s">
        <v>100</v>
      </c>
      <c r="AA233" s="371"/>
      <c r="AB233" s="372">
        <v>400</v>
      </c>
      <c r="AC233" s="381" t="s">
        <v>390</v>
      </c>
      <c r="AD233" s="373"/>
      <c r="AE233" s="378">
        <f t="shared" si="177"/>
        <v>1020.0000000000001</v>
      </c>
      <c r="AF233" s="386"/>
      <c r="AG233" s="385"/>
      <c r="AH233" s="385"/>
      <c r="AI233" s="385"/>
      <c r="AJ233" s="387"/>
      <c r="AK233" s="385"/>
      <c r="AL233" s="385"/>
    </row>
    <row r="234" spans="1:39" x14ac:dyDescent="0.25">
      <c r="A234" s="238"/>
      <c r="B234" s="249"/>
      <c r="C234" s="293">
        <v>8</v>
      </c>
      <c r="D234" s="83" t="s">
        <v>411</v>
      </c>
      <c r="E234" s="242">
        <f>0.6*2</f>
        <v>1.2</v>
      </c>
      <c r="F234" s="242">
        <v>2.4</v>
      </c>
      <c r="G234" s="73" t="s">
        <v>100</v>
      </c>
      <c r="H234" s="67">
        <f>1850/1.075</f>
        <v>1720.9302325581396</v>
      </c>
      <c r="I234" s="67">
        <f t="shared" si="169"/>
        <v>4130.2325581395344</v>
      </c>
      <c r="J234" s="67">
        <f>160+100</f>
        <v>260</v>
      </c>
      <c r="K234" s="67">
        <f t="shared" si="170"/>
        <v>624</v>
      </c>
      <c r="L234" s="72">
        <f t="shared" si="171"/>
        <v>4754.2325581395344</v>
      </c>
      <c r="M234" s="67">
        <f>H234/$P$255*$P$263</f>
        <v>3039.9224873965836</v>
      </c>
      <c r="N234" s="67">
        <f t="shared" si="172"/>
        <v>459.27477579856492</v>
      </c>
      <c r="O234" s="72">
        <f t="shared" si="178"/>
        <v>3499.1972631951485</v>
      </c>
      <c r="P234" s="203">
        <f t="shared" si="173"/>
        <v>8398.0734316683556</v>
      </c>
      <c r="Q234" s="272">
        <f t="shared" si="156"/>
        <v>8398.0734316683556</v>
      </c>
      <c r="R234" s="439">
        <f t="shared" si="174"/>
        <v>0</v>
      </c>
      <c r="V234" s="287"/>
      <c r="W234" s="550"/>
      <c r="X234" s="379" t="s">
        <v>392</v>
      </c>
      <c r="Y234" s="382">
        <v>1</v>
      </c>
      <c r="Z234" s="370" t="s">
        <v>393</v>
      </c>
      <c r="AA234" s="373"/>
      <c r="AB234" s="372">
        <v>500</v>
      </c>
      <c r="AC234" s="381" t="s">
        <v>394</v>
      </c>
      <c r="AD234" s="373"/>
      <c r="AE234" s="374">
        <f t="shared" si="177"/>
        <v>500</v>
      </c>
      <c r="AF234" s="386"/>
      <c r="AG234" s="385"/>
      <c r="AH234" s="385"/>
      <c r="AI234" s="388">
        <f>SUM(AI225:AI230)</f>
        <v>1.29</v>
      </c>
      <c r="AJ234" s="388">
        <f>SUM(AJ225:AJ230)</f>
        <v>6.25</v>
      </c>
      <c r="AK234" s="388">
        <f>SUM(AK225:AK229)</f>
        <v>1.75</v>
      </c>
      <c r="AL234" s="388">
        <f>SUM(AL225:AL230)</f>
        <v>2.5500000000000003</v>
      </c>
    </row>
    <row r="235" spans="1:39" ht="15.75" thickBot="1" x14ac:dyDescent="0.3">
      <c r="A235" s="238"/>
      <c r="B235" s="249"/>
      <c r="C235" s="293"/>
      <c r="D235" s="83"/>
      <c r="E235" s="242"/>
      <c r="F235" s="242"/>
      <c r="G235" s="73"/>
      <c r="H235" s="67"/>
      <c r="I235" s="67"/>
      <c r="J235" s="67"/>
      <c r="K235" s="67"/>
      <c r="L235" s="72"/>
      <c r="M235" s="67"/>
      <c r="N235" s="67"/>
      <c r="O235" s="72"/>
      <c r="P235" s="203"/>
      <c r="Q235" s="272">
        <f t="shared" si="156"/>
        <v>0</v>
      </c>
      <c r="R235" s="439"/>
      <c r="V235" s="27"/>
      <c r="W235" s="375"/>
      <c r="X235" s="376"/>
      <c r="Y235" s="370"/>
      <c r="Z235" s="370"/>
      <c r="AA235" s="373"/>
      <c r="AB235" s="370"/>
      <c r="AC235" s="373" t="s">
        <v>395</v>
      </c>
      <c r="AD235" s="373" t="s">
        <v>384</v>
      </c>
      <c r="AE235" s="377">
        <f>SUM(AE230:AE234)</f>
        <v>3361</v>
      </c>
      <c r="AF235" s="386"/>
      <c r="AG235" s="385"/>
      <c r="AH235" s="385"/>
      <c r="AI235" s="385"/>
      <c r="AJ235" s="387"/>
      <c r="AK235" s="385"/>
      <c r="AL235" s="385"/>
    </row>
    <row r="236" spans="1:39" s="234" customFormat="1" ht="15.75" thickBot="1" x14ac:dyDescent="0.3">
      <c r="A236" s="308"/>
      <c r="B236" s="910" t="s">
        <v>348</v>
      </c>
      <c r="C236" s="911"/>
      <c r="D236" s="912"/>
      <c r="E236" s="309"/>
      <c r="F236" s="310"/>
      <c r="G236" s="311"/>
      <c r="H236" s="312"/>
      <c r="I236" s="313">
        <f>SUM(I212:I235)</f>
        <v>62444.425031825376</v>
      </c>
      <c r="J236" s="312"/>
      <c r="K236" s="313">
        <f>SUM(K212:K235)</f>
        <v>57804</v>
      </c>
      <c r="L236" s="313">
        <f>SUM(L212:L235)</f>
        <v>120248.42503182538</v>
      </c>
      <c r="M236" s="312"/>
      <c r="N236" s="312"/>
      <c r="O236" s="313"/>
      <c r="P236" s="315">
        <f>SUM(P212:P235)</f>
        <v>172161.74948736219</v>
      </c>
      <c r="Q236" s="272">
        <f t="shared" si="156"/>
        <v>212411.80171777745</v>
      </c>
      <c r="R236" s="439">
        <f t="shared" ref="R236" si="179">P236-Q236</f>
        <v>-40250.052230415255</v>
      </c>
      <c r="T236" s="443"/>
      <c r="U236" s="275"/>
      <c r="V236" s="402"/>
      <c r="W236" s="375"/>
      <c r="X236" s="376"/>
      <c r="Y236" s="370"/>
      <c r="Z236" s="370"/>
      <c r="AA236" s="373"/>
      <c r="AB236" s="370"/>
      <c r="AC236" s="373" t="s">
        <v>396</v>
      </c>
      <c r="AD236" s="373" t="s">
        <v>384</v>
      </c>
      <c r="AE236" s="383">
        <f>AE228+AE235</f>
        <v>6921.4</v>
      </c>
      <c r="AF236" s="386"/>
      <c r="AG236" s="385"/>
      <c r="AH236" s="385"/>
      <c r="AI236" s="385"/>
      <c r="AJ236" s="387"/>
      <c r="AK236" s="385"/>
      <c r="AL236" s="385"/>
      <c r="AM236" s="282"/>
    </row>
    <row r="237" spans="1:39" s="1" customFormat="1" x14ac:dyDescent="0.25">
      <c r="A237" s="500"/>
      <c r="B237" s="501"/>
      <c r="C237" s="293"/>
      <c r="D237" s="502"/>
      <c r="E237" s="503"/>
      <c r="F237" s="504"/>
      <c r="G237" s="504"/>
      <c r="H237" s="504"/>
      <c r="I237" s="504"/>
      <c r="J237" s="504"/>
      <c r="K237" s="504"/>
      <c r="L237" s="504">
        <f>SUM(L236,L211,L150,L35)</f>
        <v>6708402.3820879459</v>
      </c>
      <c r="M237" s="504"/>
      <c r="N237" s="504"/>
      <c r="O237" s="504"/>
      <c r="P237" s="505"/>
      <c r="Q237" s="272">
        <f t="shared" si="156"/>
        <v>11850000</v>
      </c>
      <c r="R237" s="439"/>
      <c r="V237" s="211"/>
      <c r="W237" s="506"/>
      <c r="X237" s="507"/>
      <c r="Y237" s="508"/>
      <c r="Z237" s="508"/>
      <c r="AA237" s="509"/>
      <c r="AB237" s="508"/>
      <c r="AC237" s="510"/>
      <c r="AD237" s="510"/>
      <c r="AE237" s="511"/>
      <c r="AF237" s="508"/>
      <c r="AG237" s="512"/>
      <c r="AH237" s="512"/>
      <c r="AI237" s="512"/>
      <c r="AJ237" s="512"/>
      <c r="AK237" s="512"/>
      <c r="AL237" s="512"/>
    </row>
    <row r="238" spans="1:39" s="287" customFormat="1" ht="20.25" customHeight="1" thickBot="1" x14ac:dyDescent="0.3">
      <c r="A238" s="329"/>
      <c r="B238" s="901" t="s">
        <v>347</v>
      </c>
      <c r="C238" s="902"/>
      <c r="D238" s="903"/>
      <c r="E238" s="330"/>
      <c r="F238" s="331"/>
      <c r="G238" s="332"/>
      <c r="H238" s="547"/>
      <c r="I238" s="547">
        <f>I236+I211+I150+I35</f>
        <v>4902450.0387019599</v>
      </c>
      <c r="J238" s="547"/>
      <c r="K238" s="547">
        <f>K236+K211+K150+K35</f>
        <v>1805952.3433859849</v>
      </c>
      <c r="L238" s="547">
        <f>L236+L211+L150+L35</f>
        <v>6708402.3820879459</v>
      </c>
      <c r="M238" s="922">
        <f>P236+P211+P150+P35</f>
        <v>11809749.947769584</v>
      </c>
      <c r="N238" s="922"/>
      <c r="O238" s="922"/>
      <c r="P238" s="923"/>
      <c r="Q238" s="272">
        <f t="shared" si="156"/>
        <v>11850000</v>
      </c>
      <c r="R238" s="439">
        <f>M238-Q238</f>
        <v>-40250.052230415866</v>
      </c>
      <c r="T238" s="443"/>
      <c r="V238" s="446"/>
      <c r="W238" s="447"/>
      <c r="X238" s="448"/>
      <c r="Y238" s="448"/>
      <c r="Z238" s="448"/>
      <c r="AA238" s="448"/>
      <c r="AB238" s="448"/>
      <c r="AC238" s="448"/>
      <c r="AD238" s="448"/>
      <c r="AE238" s="448"/>
      <c r="AF238" s="449"/>
      <c r="AG238" s="449"/>
      <c r="AH238" s="450"/>
      <c r="AI238" s="451"/>
      <c r="AJ238" s="450"/>
      <c r="AK238" s="451"/>
      <c r="AL238" s="451"/>
    </row>
    <row r="239" spans="1:39" s="528" customFormat="1" x14ac:dyDescent="0.25">
      <c r="A239" s="521"/>
      <c r="B239" s="526"/>
      <c r="C239" s="527"/>
      <c r="E239" s="529"/>
      <c r="F239" s="530"/>
      <c r="G239" s="521"/>
      <c r="H239" s="522"/>
      <c r="I239" s="522"/>
      <c r="J239" s="522"/>
      <c r="K239" s="522"/>
      <c r="L239" s="522"/>
      <c r="M239" s="523"/>
      <c r="N239" s="523"/>
      <c r="O239" s="523"/>
      <c r="P239" s="523"/>
      <c r="Q239" s="523"/>
      <c r="R239" s="523"/>
      <c r="T239" s="523"/>
      <c r="V239" s="531"/>
      <c r="W239" s="549" t="s">
        <v>4</v>
      </c>
      <c r="X239" s="549" t="s">
        <v>7</v>
      </c>
      <c r="Y239" s="549" t="s">
        <v>6</v>
      </c>
      <c r="Z239" s="549" t="s">
        <v>5</v>
      </c>
      <c r="AA239" s="896" t="s">
        <v>380</v>
      </c>
      <c r="AB239" s="896"/>
      <c r="AC239" s="896"/>
      <c r="AD239" s="896" t="s">
        <v>381</v>
      </c>
      <c r="AE239" s="896"/>
      <c r="AF239" s="453"/>
      <c r="AG239" s="454"/>
      <c r="AH239" s="454"/>
      <c r="AI239" s="454"/>
      <c r="AJ239" s="454"/>
      <c r="AK239" s="454" t="s">
        <v>397</v>
      </c>
      <c r="AL239" s="454" t="s">
        <v>398</v>
      </c>
    </row>
    <row r="240" spans="1:39" s="528" customFormat="1" x14ac:dyDescent="0.25">
      <c r="A240" s="521"/>
      <c r="B240" s="526"/>
      <c r="C240" s="527"/>
      <c r="E240" s="529"/>
      <c r="F240" s="530"/>
      <c r="G240" s="521"/>
      <c r="H240" s="522"/>
      <c r="I240" s="522"/>
      <c r="J240" s="522"/>
      <c r="K240" s="522"/>
      <c r="L240" s="522"/>
      <c r="M240" s="523"/>
      <c r="N240" s="523"/>
      <c r="O240" s="523"/>
      <c r="P240" s="523"/>
      <c r="Q240" s="523"/>
      <c r="R240" s="523"/>
      <c r="T240" s="523"/>
      <c r="V240" s="531"/>
      <c r="W240" s="455" t="s">
        <v>401</v>
      </c>
      <c r="X240" s="549"/>
      <c r="Y240" s="549"/>
      <c r="Z240" s="549"/>
      <c r="AA240" s="549"/>
      <c r="AB240" s="549"/>
      <c r="AC240" s="549"/>
      <c r="AD240" s="549"/>
      <c r="AE240" s="549"/>
      <c r="AF240" s="456"/>
      <c r="AG240" s="456">
        <v>0.6</v>
      </c>
      <c r="AH240" s="457">
        <v>2.25</v>
      </c>
      <c r="AI240" s="454">
        <f>AG240*AH240</f>
        <v>1.3499999999999999</v>
      </c>
      <c r="AJ240" s="457">
        <f>AG240+AH240</f>
        <v>2.85</v>
      </c>
      <c r="AK240" s="454">
        <v>0.6</v>
      </c>
      <c r="AL240" s="454">
        <v>0.1</v>
      </c>
    </row>
    <row r="241" spans="1:38" s="528" customFormat="1" x14ac:dyDescent="0.25">
      <c r="A241" s="521"/>
      <c r="B241" s="526"/>
      <c r="C241" s="527"/>
      <c r="E241" s="529"/>
      <c r="F241" s="530"/>
      <c r="G241" s="518"/>
      <c r="H241" s="519"/>
      <c r="I241" s="519"/>
      <c r="J241" s="519"/>
      <c r="K241" s="519"/>
      <c r="L241" s="519"/>
      <c r="M241" s="520"/>
      <c r="N241" s="520"/>
      <c r="O241" s="520"/>
      <c r="P241" s="520"/>
      <c r="Q241" s="520"/>
      <c r="R241" s="520"/>
      <c r="T241" s="523"/>
      <c r="V241" s="531"/>
      <c r="W241" s="549" t="s">
        <v>9</v>
      </c>
      <c r="X241" s="549" t="s">
        <v>382</v>
      </c>
      <c r="Y241" s="458">
        <f>+Y244*1.2</f>
        <v>2.2094999999999998</v>
      </c>
      <c r="Z241" s="459" t="s">
        <v>383</v>
      </c>
      <c r="AA241" s="460" t="s">
        <v>384</v>
      </c>
      <c r="AB241" s="461">
        <v>2300</v>
      </c>
      <c r="AC241" s="459" t="s">
        <v>385</v>
      </c>
      <c r="AD241" s="462" t="s">
        <v>384</v>
      </c>
      <c r="AE241" s="463">
        <f>Y241*AB241</f>
        <v>5081.8499999999995</v>
      </c>
      <c r="AF241" s="456"/>
      <c r="AG241" s="454">
        <v>0.1</v>
      </c>
      <c r="AH241" s="454">
        <v>2.25</v>
      </c>
      <c r="AI241" s="454">
        <f>AG241*AH241</f>
        <v>0.22500000000000001</v>
      </c>
      <c r="AJ241" s="457">
        <f t="shared" ref="AJ241" si="180">AG241+AH241</f>
        <v>2.35</v>
      </c>
      <c r="AK241" s="454">
        <v>2.25</v>
      </c>
      <c r="AL241" s="454">
        <v>0.6</v>
      </c>
    </row>
    <row r="242" spans="1:38" s="528" customFormat="1" x14ac:dyDescent="0.25">
      <c r="A242" s="521"/>
      <c r="B242" s="526"/>
      <c r="C242" s="527"/>
      <c r="E242" s="529"/>
      <c r="F242" s="530"/>
      <c r="G242" s="518"/>
      <c r="H242" s="519"/>
      <c r="Q242" s="520"/>
      <c r="R242" s="520"/>
      <c r="T242" s="523"/>
      <c r="V242" s="531"/>
      <c r="W242" s="464"/>
      <c r="X242" s="465"/>
      <c r="Y242" s="459"/>
      <c r="Z242" s="459"/>
      <c r="AA242" s="460"/>
      <c r="AB242" s="459"/>
      <c r="AC242" s="462" t="s">
        <v>386</v>
      </c>
      <c r="AD242" s="462" t="s">
        <v>384</v>
      </c>
      <c r="AE242" s="466">
        <f>SUM(AE241:AE241)</f>
        <v>5081.8499999999995</v>
      </c>
      <c r="AF242" s="456"/>
      <c r="AG242" s="454">
        <v>0.1</v>
      </c>
      <c r="AH242" s="454">
        <v>0.6</v>
      </c>
      <c r="AI242" s="454">
        <f>AG242*AH242</f>
        <v>0.06</v>
      </c>
      <c r="AJ242" s="457">
        <f>AG242+AH242</f>
        <v>0.7</v>
      </c>
      <c r="AK242" s="454">
        <v>0.1</v>
      </c>
      <c r="AL242" s="454">
        <v>2.25</v>
      </c>
    </row>
    <row r="243" spans="1:38" s="528" customFormat="1" ht="15.75" x14ac:dyDescent="0.25">
      <c r="A243" s="532" t="s">
        <v>18</v>
      </c>
      <c r="B243" s="533"/>
      <c r="C243" s="534"/>
      <c r="D243" s="535"/>
      <c r="E243" s="529"/>
      <c r="F243" s="530"/>
      <c r="G243" s="521"/>
      <c r="H243" s="522"/>
      <c r="Q243" s="523"/>
      <c r="R243" s="520"/>
      <c r="T243" s="523"/>
      <c r="V243" s="531"/>
      <c r="W243" s="464"/>
      <c r="X243" s="465"/>
      <c r="Y243" s="459"/>
      <c r="Z243" s="459"/>
      <c r="AA243" s="460"/>
      <c r="AB243" s="459"/>
      <c r="AC243" s="462"/>
      <c r="AD243" s="462"/>
      <c r="AE243" s="467"/>
      <c r="AF243" s="456"/>
      <c r="AG243" s="454">
        <v>0.1</v>
      </c>
      <c r="AH243" s="454">
        <v>0.6</v>
      </c>
      <c r="AI243" s="454">
        <f>AG243*AH243</f>
        <v>0.06</v>
      </c>
      <c r="AJ243" s="457">
        <f>AG243+AH243</f>
        <v>0.7</v>
      </c>
      <c r="AK243" s="454"/>
      <c r="AL243" s="454">
        <v>0.6</v>
      </c>
    </row>
    <row r="244" spans="1:38" s="522" customFormat="1" ht="15.75" x14ac:dyDescent="0.25">
      <c r="A244" s="536"/>
      <c r="B244" s="533"/>
      <c r="C244" s="534"/>
      <c r="D244" s="537"/>
      <c r="R244" s="519"/>
      <c r="V244" s="538"/>
      <c r="W244" s="549" t="s">
        <v>10</v>
      </c>
      <c r="X244" s="469" t="s">
        <v>387</v>
      </c>
      <c r="Y244" s="470">
        <f>AI248</f>
        <v>1.8412500000000001</v>
      </c>
      <c r="Z244" s="459" t="s">
        <v>383</v>
      </c>
      <c r="AA244" s="460" t="s">
        <v>384</v>
      </c>
      <c r="AB244" s="461">
        <v>400</v>
      </c>
      <c r="AC244" s="459" t="s">
        <v>385</v>
      </c>
      <c r="AD244" s="462" t="s">
        <v>384</v>
      </c>
      <c r="AE244" s="467">
        <f t="shared" ref="AE244:AE248" si="181">Y244*AB244</f>
        <v>736.5</v>
      </c>
      <c r="AF244" s="456"/>
      <c r="AG244" s="454">
        <v>6.5000000000000002E-2</v>
      </c>
      <c r="AH244" s="454">
        <v>2.25</v>
      </c>
      <c r="AI244" s="454">
        <f>AG244*AH244</f>
        <v>0.14624999999999999</v>
      </c>
      <c r="AJ244" s="457">
        <f>AG244+AH244</f>
        <v>2.3149999999999999</v>
      </c>
      <c r="AK244" s="454"/>
      <c r="AL244" s="454">
        <v>0.1</v>
      </c>
    </row>
    <row r="245" spans="1:38" s="522" customFormat="1" ht="15.75" x14ac:dyDescent="0.25">
      <c r="A245" s="532" t="s">
        <v>19</v>
      </c>
      <c r="B245" s="533"/>
      <c r="C245" s="534"/>
      <c r="D245" s="535"/>
      <c r="R245" s="519"/>
      <c r="V245" s="538"/>
      <c r="W245" s="549"/>
      <c r="X245" s="469" t="s">
        <v>388</v>
      </c>
      <c r="Y245" s="470">
        <f>AJ248</f>
        <v>8.9150000000000009</v>
      </c>
      <c r="Z245" s="459" t="s">
        <v>383</v>
      </c>
      <c r="AA245" s="460"/>
      <c r="AB245" s="461">
        <v>100</v>
      </c>
      <c r="AC245" s="459" t="s">
        <v>385</v>
      </c>
      <c r="AD245" s="462"/>
      <c r="AE245" s="467">
        <f t="shared" si="181"/>
        <v>891.50000000000011</v>
      </c>
      <c r="AF245" s="456"/>
      <c r="AG245" s="454"/>
      <c r="AH245" s="454"/>
      <c r="AI245" s="454"/>
      <c r="AJ245" s="457"/>
      <c r="AK245" s="454"/>
      <c r="AL245" s="454"/>
    </row>
    <row r="246" spans="1:38" s="522" customFormat="1" ht="15.75" x14ac:dyDescent="0.25">
      <c r="A246" s="536"/>
      <c r="B246" s="533"/>
      <c r="C246" s="534"/>
      <c r="D246" s="535"/>
      <c r="R246" s="519"/>
      <c r="V246" s="538"/>
      <c r="W246" s="549"/>
      <c r="X246" s="469" t="s">
        <v>389</v>
      </c>
      <c r="Y246" s="470">
        <f>AK248</f>
        <v>2.95</v>
      </c>
      <c r="Z246" s="459" t="s">
        <v>100</v>
      </c>
      <c r="AA246" s="460"/>
      <c r="AB246" s="461">
        <v>400</v>
      </c>
      <c r="AC246" s="471" t="s">
        <v>390</v>
      </c>
      <c r="AD246" s="462"/>
      <c r="AE246" s="467">
        <f t="shared" si="181"/>
        <v>1180</v>
      </c>
      <c r="AF246" s="456"/>
      <c r="AG246" s="454"/>
      <c r="AH246" s="454"/>
      <c r="AI246" s="454"/>
      <c r="AJ246" s="457"/>
      <c r="AK246" s="454"/>
      <c r="AL246" s="454"/>
    </row>
    <row r="247" spans="1:38" s="522" customFormat="1" ht="15.75" x14ac:dyDescent="0.25">
      <c r="A247" s="536"/>
      <c r="B247" s="533"/>
      <c r="C247" s="534"/>
      <c r="D247" s="535"/>
      <c r="R247" s="519"/>
      <c r="V247" s="538"/>
      <c r="W247" s="549"/>
      <c r="X247" s="469" t="s">
        <v>391</v>
      </c>
      <c r="Y247" s="470">
        <f>AL248</f>
        <v>3.6500000000000004</v>
      </c>
      <c r="Z247" s="459" t="s">
        <v>100</v>
      </c>
      <c r="AA247" s="460"/>
      <c r="AB247" s="461">
        <v>400</v>
      </c>
      <c r="AC247" s="471" t="s">
        <v>390</v>
      </c>
      <c r="AD247" s="462"/>
      <c r="AE247" s="467">
        <f t="shared" si="181"/>
        <v>1460.0000000000002</v>
      </c>
      <c r="AF247" s="456"/>
      <c r="AG247" s="454"/>
      <c r="AH247" s="454"/>
      <c r="AI247" s="454"/>
      <c r="AJ247" s="457"/>
      <c r="AK247" s="454"/>
      <c r="AL247" s="454"/>
    </row>
    <row r="248" spans="1:38" s="522" customFormat="1" ht="15.75" x14ac:dyDescent="0.25">
      <c r="A248" s="532" t="s">
        <v>20</v>
      </c>
      <c r="B248" s="533"/>
      <c r="C248" s="534"/>
      <c r="D248" s="535"/>
      <c r="R248" s="519"/>
      <c r="V248" s="538"/>
      <c r="W248" s="549"/>
      <c r="X248" s="469" t="s">
        <v>392</v>
      </c>
      <c r="Y248" s="472">
        <v>1</v>
      </c>
      <c r="Z248" s="459" t="s">
        <v>393</v>
      </c>
      <c r="AA248" s="462"/>
      <c r="AB248" s="461">
        <v>500</v>
      </c>
      <c r="AC248" s="471" t="s">
        <v>394</v>
      </c>
      <c r="AD248" s="462"/>
      <c r="AE248" s="463">
        <f t="shared" si="181"/>
        <v>500</v>
      </c>
      <c r="AF248" s="456"/>
      <c r="AG248" s="454"/>
      <c r="AH248" s="454"/>
      <c r="AI248" s="473">
        <f>SUM(AI240:AI244)</f>
        <v>1.8412500000000001</v>
      </c>
      <c r="AJ248" s="473">
        <f>SUM(AJ240:AJ244)</f>
        <v>8.9150000000000009</v>
      </c>
      <c r="AK248" s="473">
        <f>SUM(AK240:AK243)</f>
        <v>2.95</v>
      </c>
      <c r="AL248" s="473">
        <f>SUM(AL240:AL244)</f>
        <v>3.6500000000000004</v>
      </c>
    </row>
    <row r="249" spans="1:38" s="522" customFormat="1" ht="15.75" x14ac:dyDescent="0.25">
      <c r="A249" s="532" t="s">
        <v>349</v>
      </c>
      <c r="B249" s="533"/>
      <c r="C249" s="534"/>
      <c r="D249" s="535"/>
      <c r="R249" s="519"/>
      <c r="V249" s="538"/>
      <c r="W249" s="464"/>
      <c r="X249" s="465"/>
      <c r="Y249" s="459"/>
      <c r="Z249" s="459"/>
      <c r="AA249" s="462"/>
      <c r="AB249" s="459"/>
      <c r="AC249" s="462" t="s">
        <v>395</v>
      </c>
      <c r="AD249" s="462" t="s">
        <v>384</v>
      </c>
      <c r="AE249" s="466">
        <f>SUM(AE244:AE248)</f>
        <v>4768</v>
      </c>
      <c r="AF249" s="456"/>
      <c r="AG249" s="454"/>
      <c r="AH249" s="454"/>
      <c r="AI249" s="454"/>
      <c r="AJ249" s="457"/>
      <c r="AK249" s="454"/>
      <c r="AL249" s="454"/>
    </row>
    <row r="250" spans="1:38" s="528" customFormat="1" ht="15.75" thickBot="1" x14ac:dyDescent="0.3">
      <c r="A250" s="521"/>
      <c r="B250" s="526"/>
      <c r="C250" s="527"/>
      <c r="E250" s="529"/>
      <c r="F250" s="530"/>
      <c r="G250" s="541"/>
      <c r="H250" s="542"/>
      <c r="Q250" s="523"/>
      <c r="R250" s="520"/>
      <c r="T250" s="523"/>
      <c r="V250" s="531"/>
      <c r="W250" s="464"/>
      <c r="X250" s="465"/>
      <c r="Y250" s="459"/>
      <c r="Z250" s="459"/>
      <c r="AA250" s="462"/>
      <c r="AB250" s="459"/>
      <c r="AC250" s="462" t="s">
        <v>396</v>
      </c>
      <c r="AD250" s="462" t="s">
        <v>384</v>
      </c>
      <c r="AE250" s="474">
        <f>AE242+AE249</f>
        <v>9849.8499999999985</v>
      </c>
      <c r="AF250" s="456"/>
      <c r="AG250" s="454"/>
      <c r="AH250" s="454"/>
      <c r="AI250" s="454"/>
      <c r="AJ250" s="457"/>
      <c r="AK250" s="454"/>
      <c r="AL250" s="454"/>
    </row>
    <row r="251" spans="1:38" s="528" customFormat="1" ht="16.5" thickTop="1" x14ac:dyDescent="0.25">
      <c r="A251" s="521"/>
      <c r="B251" s="526"/>
      <c r="C251" s="527"/>
      <c r="E251" s="529"/>
      <c r="F251" s="530"/>
      <c r="G251" s="541"/>
      <c r="H251" s="542"/>
      <c r="I251" s="542"/>
      <c r="J251" s="554"/>
      <c r="K251" s="554"/>
      <c r="L251" s="429"/>
      <c r="M251" s="428"/>
      <c r="N251" s="426"/>
      <c r="O251" s="422"/>
      <c r="P251" s="422"/>
      <c r="Q251" s="523"/>
      <c r="R251" s="520"/>
      <c r="T251" s="523"/>
      <c r="V251" s="531"/>
      <c r="W251" s="464"/>
      <c r="X251" s="465"/>
      <c r="Y251" s="459"/>
      <c r="Z251" s="459"/>
      <c r="AA251" s="462"/>
      <c r="AB251" s="459"/>
      <c r="AC251" s="462"/>
      <c r="AD251" s="462"/>
      <c r="AE251" s="467"/>
      <c r="AF251" s="456"/>
      <c r="AG251" s="454"/>
      <c r="AH251" s="454"/>
      <c r="AI251" s="454"/>
      <c r="AJ251" s="457"/>
      <c r="AK251" s="454"/>
      <c r="AL251" s="454"/>
    </row>
    <row r="252" spans="1:38" s="528" customFormat="1" ht="15.75" x14ac:dyDescent="0.25">
      <c r="A252" s="521"/>
      <c r="B252" s="526"/>
      <c r="C252" s="527"/>
      <c r="E252" s="529"/>
      <c r="F252" s="530"/>
      <c r="G252" s="541"/>
      <c r="H252" s="542"/>
      <c r="I252" s="542"/>
      <c r="J252" s="554"/>
      <c r="K252" s="554"/>
      <c r="L252" s="429"/>
      <c r="M252" s="428"/>
      <c r="N252" s="426"/>
      <c r="O252" s="422"/>
      <c r="P252" s="422"/>
      <c r="Q252" s="523"/>
      <c r="R252" s="520"/>
      <c r="T252" s="523"/>
      <c r="V252" s="531"/>
      <c r="W252" s="464"/>
      <c r="X252" s="465"/>
      <c r="Y252" s="459"/>
      <c r="Z252" s="459"/>
      <c r="AA252" s="462"/>
      <c r="AB252" s="459"/>
      <c r="AC252" s="462"/>
      <c r="AD252" s="462"/>
      <c r="AE252" s="467"/>
      <c r="AF252" s="456"/>
      <c r="AG252" s="454"/>
      <c r="AH252" s="454"/>
      <c r="AI252" s="454"/>
      <c r="AJ252" s="457"/>
      <c r="AK252" s="454"/>
      <c r="AL252" s="454"/>
    </row>
    <row r="253" spans="1:38" s="528" customFormat="1" ht="15.75" x14ac:dyDescent="0.25">
      <c r="A253" s="521"/>
      <c r="B253" s="526"/>
      <c r="C253" s="527"/>
      <c r="E253" s="529"/>
      <c r="F253" s="530"/>
      <c r="G253" s="541"/>
      <c r="H253" s="542"/>
      <c r="I253" s="542"/>
      <c r="J253" s="554"/>
      <c r="K253" s="554"/>
      <c r="L253" s="429"/>
      <c r="M253" s="428"/>
      <c r="N253" s="426"/>
      <c r="O253" s="422"/>
      <c r="P253" s="422"/>
      <c r="Q253" s="523"/>
      <c r="R253" s="520"/>
      <c r="T253" s="523"/>
      <c r="V253" s="531"/>
      <c r="W253" s="549" t="s">
        <v>4</v>
      </c>
      <c r="X253" s="549" t="s">
        <v>7</v>
      </c>
      <c r="Y253" s="549" t="s">
        <v>6</v>
      </c>
      <c r="Z253" s="549" t="s">
        <v>5</v>
      </c>
      <c r="AA253" s="896" t="s">
        <v>380</v>
      </c>
      <c r="AB253" s="896"/>
      <c r="AC253" s="896"/>
      <c r="AD253" s="896" t="s">
        <v>381</v>
      </c>
      <c r="AE253" s="896"/>
      <c r="AF253" s="453"/>
      <c r="AG253" s="454"/>
      <c r="AH253" s="454"/>
      <c r="AI253" s="454"/>
      <c r="AJ253" s="454"/>
      <c r="AK253" s="454" t="s">
        <v>397</v>
      </c>
      <c r="AL253" s="454" t="s">
        <v>398</v>
      </c>
    </row>
    <row r="254" spans="1:38" s="528" customFormat="1" x14ac:dyDescent="0.25">
      <c r="A254" s="521"/>
      <c r="B254" s="526"/>
      <c r="C254" s="527"/>
      <c r="E254" s="529"/>
      <c r="F254" s="530"/>
      <c r="G254" s="541"/>
      <c r="H254" s="542"/>
      <c r="I254" s="519"/>
      <c r="J254" s="519"/>
      <c r="K254" s="519"/>
      <c r="L254" s="519"/>
      <c r="M254" s="520"/>
      <c r="N254" s="520"/>
      <c r="O254" s="520"/>
      <c r="P254" s="520"/>
      <c r="Q254" s="523"/>
      <c r="R254" s="520"/>
      <c r="T254" s="523"/>
      <c r="V254" s="531"/>
      <c r="W254" s="455" t="s">
        <v>402</v>
      </c>
      <c r="X254" s="549"/>
      <c r="Y254" s="549"/>
      <c r="Z254" s="549"/>
      <c r="AA254" s="549"/>
      <c r="AB254" s="549"/>
      <c r="AC254" s="549"/>
      <c r="AD254" s="549"/>
      <c r="AE254" s="549"/>
      <c r="AF254" s="456"/>
      <c r="AG254" s="456">
        <v>0.6</v>
      </c>
      <c r="AH254" s="457">
        <v>3.2</v>
      </c>
      <c r="AI254" s="454">
        <f>AG254*AH254</f>
        <v>1.92</v>
      </c>
      <c r="AJ254" s="457">
        <f>AG254+AH254</f>
        <v>3.8000000000000003</v>
      </c>
      <c r="AK254" s="454">
        <v>0.6</v>
      </c>
      <c r="AL254" s="454">
        <v>0.1</v>
      </c>
    </row>
    <row r="255" spans="1:38" s="528" customFormat="1" ht="15.75" x14ac:dyDescent="0.25">
      <c r="A255" s="521"/>
      <c r="B255" s="526"/>
      <c r="C255" s="527"/>
      <c r="E255" s="529"/>
      <c r="F255" s="530"/>
      <c r="G255" s="541"/>
      <c r="H255" s="542"/>
      <c r="I255" s="522"/>
      <c r="J255" s="417"/>
      <c r="K255" s="417"/>
      <c r="L255" s="553"/>
      <c r="M255" s="419"/>
      <c r="N255" s="420" t="s">
        <v>178</v>
      </c>
      <c r="O255" s="420"/>
      <c r="P255" s="420">
        <f>L238</f>
        <v>6708402.3820879459</v>
      </c>
      <c r="Q255" s="523"/>
      <c r="R255" s="520"/>
      <c r="T255" s="523"/>
      <c r="V255" s="531"/>
      <c r="W255" s="549" t="s">
        <v>9</v>
      </c>
      <c r="X255" s="549" t="s">
        <v>382</v>
      </c>
      <c r="Y255" s="458">
        <f>+Y258*1.2</f>
        <v>3.0816000000000003</v>
      </c>
      <c r="Z255" s="459" t="s">
        <v>383</v>
      </c>
      <c r="AA255" s="460" t="s">
        <v>384</v>
      </c>
      <c r="AB255" s="461">
        <v>2300</v>
      </c>
      <c r="AC255" s="459" t="s">
        <v>385</v>
      </c>
      <c r="AD255" s="462" t="s">
        <v>384</v>
      </c>
      <c r="AE255" s="463">
        <f>Y255*AB255</f>
        <v>7087.6800000000012</v>
      </c>
      <c r="AF255" s="456"/>
      <c r="AG255" s="454">
        <v>0.1</v>
      </c>
      <c r="AH255" s="454">
        <v>3.2</v>
      </c>
      <c r="AI255" s="454">
        <f>AG255*AH255</f>
        <v>0.32000000000000006</v>
      </c>
      <c r="AJ255" s="457">
        <f t="shared" ref="AJ255" si="182">AG255+AH255</f>
        <v>3.3000000000000003</v>
      </c>
      <c r="AK255" s="454">
        <v>3.2</v>
      </c>
      <c r="AL255" s="454">
        <v>0.6</v>
      </c>
    </row>
    <row r="256" spans="1:38" s="528" customFormat="1" ht="15.75" x14ac:dyDescent="0.25">
      <c r="A256" s="521"/>
      <c r="B256" s="526"/>
      <c r="C256" s="527"/>
      <c r="E256" s="529"/>
      <c r="F256" s="530"/>
      <c r="G256" s="541"/>
      <c r="H256" s="542"/>
      <c r="I256" s="522"/>
      <c r="J256" s="421"/>
      <c r="K256" s="421"/>
      <c r="L256" s="553"/>
      <c r="M256" s="420"/>
      <c r="N256" s="422"/>
      <c r="O256" s="422"/>
      <c r="P256" s="422"/>
      <c r="Q256" s="523"/>
      <c r="R256" s="520"/>
      <c r="T256" s="523"/>
      <c r="V256" s="531"/>
      <c r="W256" s="464"/>
      <c r="X256" s="465"/>
      <c r="Y256" s="459"/>
      <c r="Z256" s="459"/>
      <c r="AA256" s="460"/>
      <c r="AB256" s="459"/>
      <c r="AC256" s="462" t="s">
        <v>386</v>
      </c>
      <c r="AD256" s="462" t="s">
        <v>384</v>
      </c>
      <c r="AE256" s="466">
        <f>SUM(AE255:AE255)</f>
        <v>7087.6800000000012</v>
      </c>
      <c r="AF256" s="456"/>
      <c r="AG256" s="454">
        <v>0.1</v>
      </c>
      <c r="AH256" s="454">
        <v>0.6</v>
      </c>
      <c r="AI256" s="454">
        <f>AG256*AH256</f>
        <v>0.06</v>
      </c>
      <c r="AJ256" s="457">
        <f>AG256+AH256</f>
        <v>0.7</v>
      </c>
      <c r="AK256" s="454">
        <v>0.1</v>
      </c>
      <c r="AL256" s="454">
        <v>3.2</v>
      </c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22"/>
      <c r="J257" s="921" t="s">
        <v>179</v>
      </c>
      <c r="K257" s="921"/>
      <c r="L257" s="423" t="s">
        <v>180</v>
      </c>
      <c r="M257" s="420" t="s">
        <v>181</v>
      </c>
      <c r="N257" s="424">
        <f>P255*0.03</f>
        <v>201252.07146263839</v>
      </c>
      <c r="O257" s="422"/>
      <c r="P257" s="422">
        <f>N257+P255</f>
        <v>6909654.4535505846</v>
      </c>
      <c r="Q257" s="523"/>
      <c r="R257" s="520"/>
      <c r="T257" s="523"/>
      <c r="V257" s="531"/>
      <c r="W257" s="464"/>
      <c r="X257" s="465"/>
      <c r="Y257" s="459"/>
      <c r="Z257" s="459"/>
      <c r="AA257" s="460"/>
      <c r="AB257" s="459"/>
      <c r="AC257" s="462"/>
      <c r="AD257" s="462"/>
      <c r="AE257" s="467"/>
      <c r="AF257" s="456"/>
      <c r="AG257" s="454">
        <v>0.1</v>
      </c>
      <c r="AH257" s="454">
        <v>0.6</v>
      </c>
      <c r="AI257" s="454">
        <f>AG257*AH257</f>
        <v>0.06</v>
      </c>
      <c r="AJ257" s="457">
        <f>AG257+AH257</f>
        <v>0.7</v>
      </c>
      <c r="AK257" s="454"/>
      <c r="AL257" s="454">
        <v>0.6</v>
      </c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22"/>
      <c r="J258" s="921" t="s">
        <v>182</v>
      </c>
      <c r="K258" s="921"/>
      <c r="L258" s="423" t="s">
        <v>180</v>
      </c>
      <c r="M258" s="420" t="s">
        <v>183</v>
      </c>
      <c r="N258" s="424">
        <f>SUM(L257:L305)</f>
        <v>328828.34994462901</v>
      </c>
      <c r="O258" s="422"/>
      <c r="P258" s="422">
        <f>P257+N258</f>
        <v>7238482.8034952134</v>
      </c>
      <c r="Q258" s="523"/>
      <c r="R258" s="520"/>
      <c r="T258" s="523"/>
      <c r="V258" s="531"/>
      <c r="W258" s="549" t="s">
        <v>10</v>
      </c>
      <c r="X258" s="469" t="s">
        <v>387</v>
      </c>
      <c r="Y258" s="470">
        <f>AI262</f>
        <v>2.5680000000000005</v>
      </c>
      <c r="Z258" s="459" t="s">
        <v>383</v>
      </c>
      <c r="AA258" s="460" t="s">
        <v>384</v>
      </c>
      <c r="AB258" s="461">
        <v>400</v>
      </c>
      <c r="AC258" s="459" t="s">
        <v>385</v>
      </c>
      <c r="AD258" s="462" t="s">
        <v>384</v>
      </c>
      <c r="AE258" s="467">
        <f t="shared" ref="AE258:AE262" si="183">Y258*AB258</f>
        <v>1027.2000000000003</v>
      </c>
      <c r="AF258" s="456"/>
      <c r="AG258" s="454">
        <v>6.5000000000000002E-2</v>
      </c>
      <c r="AH258" s="454">
        <v>3.2</v>
      </c>
      <c r="AI258" s="454">
        <f>AG258*AH258</f>
        <v>0.20800000000000002</v>
      </c>
      <c r="AJ258" s="457">
        <f>AG258+AH258</f>
        <v>3.2650000000000001</v>
      </c>
      <c r="AK258" s="454"/>
      <c r="AL258" s="454">
        <v>0.1</v>
      </c>
    </row>
    <row r="259" spans="1:38" s="528" customFormat="1" ht="15.75" x14ac:dyDescent="0.25">
      <c r="A259" s="521"/>
      <c r="B259" s="526"/>
      <c r="C259" s="527"/>
      <c r="E259" s="529"/>
      <c r="F259" s="530"/>
      <c r="G259" s="541"/>
      <c r="H259" s="542"/>
      <c r="I259" s="522"/>
      <c r="J259" s="921" t="s">
        <v>184</v>
      </c>
      <c r="K259" s="921"/>
      <c r="L259" s="423" t="s">
        <v>161</v>
      </c>
      <c r="M259" s="420" t="s">
        <v>185</v>
      </c>
      <c r="N259" s="424"/>
      <c r="O259" s="422"/>
      <c r="P259" s="422">
        <f>P258+N259</f>
        <v>7238482.8034952134</v>
      </c>
      <c r="Q259" s="523"/>
      <c r="R259" s="520"/>
      <c r="T259" s="523"/>
      <c r="V259" s="531"/>
      <c r="W259" s="549"/>
      <c r="X259" s="469" t="s">
        <v>388</v>
      </c>
      <c r="Y259" s="470">
        <f>AJ262</f>
        <v>11.765000000000001</v>
      </c>
      <c r="Z259" s="459" t="s">
        <v>383</v>
      </c>
      <c r="AA259" s="460"/>
      <c r="AB259" s="461">
        <v>100</v>
      </c>
      <c r="AC259" s="459" t="s">
        <v>385</v>
      </c>
      <c r="AD259" s="462"/>
      <c r="AE259" s="467">
        <f t="shared" si="183"/>
        <v>1176.5</v>
      </c>
      <c r="AF259" s="456"/>
      <c r="AG259" s="454"/>
      <c r="AH259" s="454"/>
      <c r="AI259" s="454"/>
      <c r="AJ259" s="457"/>
      <c r="AK259" s="454"/>
      <c r="AL259" s="454"/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22"/>
      <c r="J260" s="921" t="s">
        <v>186</v>
      </c>
      <c r="K260" s="921"/>
      <c r="L260" s="423" t="s">
        <v>161</v>
      </c>
      <c r="M260" s="420" t="s">
        <v>187</v>
      </c>
      <c r="N260" s="424">
        <f>P259*0.15</f>
        <v>1085772.4205242819</v>
      </c>
      <c r="O260" s="422"/>
      <c r="P260" s="422">
        <f>P259+N260</f>
        <v>8324255.2240194958</v>
      </c>
      <c r="Q260" s="523"/>
      <c r="R260" s="520"/>
      <c r="T260" s="523"/>
      <c r="V260" s="531"/>
      <c r="W260" s="549"/>
      <c r="X260" s="469" t="s">
        <v>389</v>
      </c>
      <c r="Y260" s="470">
        <f>AK262</f>
        <v>3.9000000000000004</v>
      </c>
      <c r="Z260" s="459" t="s">
        <v>100</v>
      </c>
      <c r="AA260" s="460"/>
      <c r="AB260" s="461">
        <v>400</v>
      </c>
      <c r="AC260" s="471" t="s">
        <v>390</v>
      </c>
      <c r="AD260" s="462"/>
      <c r="AE260" s="467">
        <f t="shared" si="183"/>
        <v>1560.0000000000002</v>
      </c>
      <c r="AF260" s="456"/>
      <c r="AG260" s="454"/>
      <c r="AH260" s="454"/>
      <c r="AI260" s="454"/>
      <c r="AJ260" s="457"/>
      <c r="AK260" s="454"/>
      <c r="AL260" s="454"/>
    </row>
    <row r="261" spans="1:38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22" t="s">
        <v>495</v>
      </c>
      <c r="J261" s="921" t="s">
        <v>188</v>
      </c>
      <c r="K261" s="921"/>
      <c r="L261" s="425"/>
      <c r="M261" s="420" t="s">
        <v>190</v>
      </c>
      <c r="N261" s="424">
        <f>P260*0.1</f>
        <v>832425.52240194962</v>
      </c>
      <c r="O261" s="422"/>
      <c r="P261" s="422">
        <f>P260+N261</f>
        <v>9156680.7464214452</v>
      </c>
      <c r="Q261" s="523"/>
      <c r="R261" s="520"/>
      <c r="T261" s="523"/>
      <c r="V261" s="531"/>
      <c r="W261" s="549"/>
      <c r="X261" s="469" t="s">
        <v>391</v>
      </c>
      <c r="Y261" s="470">
        <f>AL262</f>
        <v>4.5999999999999996</v>
      </c>
      <c r="Z261" s="459" t="s">
        <v>100</v>
      </c>
      <c r="AA261" s="460"/>
      <c r="AB261" s="461">
        <v>400</v>
      </c>
      <c r="AC261" s="471" t="s">
        <v>390</v>
      </c>
      <c r="AD261" s="462"/>
      <c r="AE261" s="467">
        <f t="shared" si="183"/>
        <v>1839.9999999999998</v>
      </c>
      <c r="AF261" s="456"/>
      <c r="AG261" s="454"/>
      <c r="AH261" s="454"/>
      <c r="AI261" s="454"/>
      <c r="AJ261" s="457"/>
      <c r="AK261" s="454"/>
      <c r="AL261" s="454"/>
    </row>
    <row r="262" spans="1:38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42"/>
      <c r="J262" s="924" t="s">
        <v>191</v>
      </c>
      <c r="K262" s="924"/>
      <c r="L262" s="429" t="s">
        <v>180</v>
      </c>
      <c r="M262" s="428"/>
      <c r="N262" s="426"/>
      <c r="O262" s="422"/>
      <c r="P262" s="422"/>
      <c r="Q262" s="523"/>
      <c r="R262" s="520"/>
      <c r="T262" s="523"/>
      <c r="V262" s="531"/>
      <c r="W262" s="549"/>
      <c r="X262" s="469" t="s">
        <v>392</v>
      </c>
      <c r="Y262" s="472">
        <v>1</v>
      </c>
      <c r="Z262" s="459" t="s">
        <v>393</v>
      </c>
      <c r="AA262" s="462"/>
      <c r="AB262" s="461">
        <v>500</v>
      </c>
      <c r="AC262" s="471" t="s">
        <v>394</v>
      </c>
      <c r="AD262" s="462"/>
      <c r="AE262" s="463">
        <f t="shared" si="183"/>
        <v>500</v>
      </c>
      <c r="AF262" s="456"/>
      <c r="AG262" s="454"/>
      <c r="AH262" s="454"/>
      <c r="AI262" s="473">
        <f>SUM(AI254:AI258)</f>
        <v>2.5680000000000005</v>
      </c>
      <c r="AJ262" s="473">
        <f>SUM(AJ254:AJ258)</f>
        <v>11.765000000000001</v>
      </c>
      <c r="AK262" s="473">
        <f>SUM(AK254:AK257)</f>
        <v>3.9000000000000004</v>
      </c>
      <c r="AL262" s="473">
        <f>SUM(AL254:AL258)</f>
        <v>4.5999999999999996</v>
      </c>
    </row>
    <row r="263" spans="1:38" s="528" customFormat="1" ht="15.75" x14ac:dyDescent="0.25">
      <c r="A263" s="521"/>
      <c r="B263" s="526"/>
      <c r="C263" s="527"/>
      <c r="E263" s="529"/>
      <c r="F263" s="530"/>
      <c r="G263" s="541"/>
      <c r="H263" s="542"/>
      <c r="I263" s="542"/>
      <c r="J263" s="924" t="s">
        <v>472</v>
      </c>
      <c r="K263" s="924"/>
      <c r="L263" s="429">
        <f>4*17000/1.05</f>
        <v>64761.904761904756</v>
      </c>
      <c r="M263" s="428" t="s">
        <v>193</v>
      </c>
      <c r="N263" s="426">
        <f>SUM(N257:N261)</f>
        <v>2448278.3643334992</v>
      </c>
      <c r="O263" s="427"/>
      <c r="P263" s="428">
        <v>11850000</v>
      </c>
      <c r="Q263" s="523"/>
      <c r="R263" s="520"/>
      <c r="T263" s="523"/>
      <c r="V263" s="531"/>
      <c r="W263" s="464"/>
      <c r="X263" s="465"/>
      <c r="Y263" s="459"/>
      <c r="Z263" s="459"/>
      <c r="AA263" s="462"/>
      <c r="AB263" s="459"/>
      <c r="AC263" s="462" t="s">
        <v>395</v>
      </c>
      <c r="AD263" s="462" t="s">
        <v>384</v>
      </c>
      <c r="AE263" s="466">
        <f>SUM(AE258:AE262)</f>
        <v>6103.7000000000007</v>
      </c>
      <c r="AF263" s="456"/>
      <c r="AG263" s="454"/>
      <c r="AH263" s="454"/>
      <c r="AI263" s="454"/>
      <c r="AJ263" s="457"/>
      <c r="AK263" s="454"/>
      <c r="AL263" s="454"/>
    </row>
    <row r="264" spans="1:38" s="528" customFormat="1" ht="16.5" thickBot="1" x14ac:dyDescent="0.3">
      <c r="A264" s="521"/>
      <c r="B264" s="526"/>
      <c r="C264" s="527"/>
      <c r="E264" s="529"/>
      <c r="F264" s="530"/>
      <c r="G264" s="541"/>
      <c r="H264" s="542"/>
      <c r="I264" s="542"/>
      <c r="J264" s="924" t="s">
        <v>194</v>
      </c>
      <c r="K264" s="924"/>
      <c r="L264" s="429">
        <v>30000</v>
      </c>
      <c r="M264" s="428" t="s">
        <v>195</v>
      </c>
      <c r="N264" s="426">
        <f>SUM(N257:N262)</f>
        <v>2448278.3643334992</v>
      </c>
      <c r="O264" s="427"/>
      <c r="P264" s="428">
        <f>P263-P261</f>
        <v>2693319.2535785548</v>
      </c>
      <c r="Q264" s="523"/>
      <c r="R264" s="520"/>
      <c r="T264" s="523"/>
      <c r="V264" s="531"/>
      <c r="W264" s="464"/>
      <c r="X264" s="465"/>
      <c r="Y264" s="459"/>
      <c r="Z264" s="459"/>
      <c r="AA264" s="462"/>
      <c r="AB264" s="459"/>
      <c r="AC264" s="462" t="s">
        <v>396</v>
      </c>
      <c r="AD264" s="462" t="s">
        <v>384</v>
      </c>
      <c r="AE264" s="474">
        <f>AE256+AE263</f>
        <v>13191.380000000001</v>
      </c>
      <c r="AF264" s="456"/>
      <c r="AG264" s="454"/>
      <c r="AH264" s="454"/>
      <c r="AI264" s="454"/>
      <c r="AJ264" s="457"/>
      <c r="AK264" s="454"/>
      <c r="AL264" s="454"/>
    </row>
    <row r="265" spans="1:38" s="528" customFormat="1" ht="16.5" thickTop="1" x14ac:dyDescent="0.25">
      <c r="A265" s="521"/>
      <c r="B265" s="526"/>
      <c r="C265" s="527"/>
      <c r="E265" s="529"/>
      <c r="F265" s="530"/>
      <c r="G265" s="541"/>
      <c r="H265" s="542"/>
      <c r="I265" s="542"/>
      <c r="J265" s="924" t="s">
        <v>196</v>
      </c>
      <c r="K265" s="924"/>
      <c r="L265" s="429">
        <v>15000</v>
      </c>
      <c r="M265" s="428"/>
      <c r="N265" s="427"/>
      <c r="O265" s="422"/>
      <c r="P265" s="420"/>
      <c r="Q265" s="523"/>
      <c r="R265" s="520"/>
      <c r="T265" s="523"/>
      <c r="V265" s="531"/>
    </row>
    <row r="266" spans="1:38" s="528" customFormat="1" ht="15.75" x14ac:dyDescent="0.25">
      <c r="A266" s="521"/>
      <c r="B266" s="526"/>
      <c r="C266" s="527"/>
      <c r="E266" s="529"/>
      <c r="F266" s="530"/>
      <c r="G266" s="521"/>
      <c r="H266" s="522"/>
      <c r="I266" s="522"/>
      <c r="J266" s="921" t="s">
        <v>197</v>
      </c>
      <c r="K266" s="921"/>
      <c r="L266" s="423">
        <v>18000</v>
      </c>
      <c r="M266" s="428"/>
      <c r="N266" s="422"/>
      <c r="O266" s="422"/>
      <c r="P266" s="422"/>
      <c r="Q266" s="523"/>
      <c r="R266" s="520"/>
      <c r="T266" s="523"/>
      <c r="V266" s="531"/>
    </row>
    <row r="267" spans="1:38" s="528" customFormat="1" ht="15.75" x14ac:dyDescent="0.25">
      <c r="A267" s="521"/>
      <c r="B267" s="526"/>
      <c r="C267" s="527"/>
      <c r="E267" s="529"/>
      <c r="F267" s="530"/>
      <c r="G267" s="521"/>
      <c r="H267" s="522"/>
      <c r="I267" s="522"/>
      <c r="J267" s="921" t="s">
        <v>198</v>
      </c>
      <c r="K267" s="921"/>
      <c r="L267" s="423">
        <f>3*6000</f>
        <v>18000</v>
      </c>
      <c r="M267" s="422"/>
      <c r="N267" s="422"/>
      <c r="O267" s="422"/>
      <c r="P267" s="422"/>
      <c r="Q267" s="523"/>
      <c r="R267" s="520"/>
      <c r="T267" s="523"/>
      <c r="V267" s="531"/>
    </row>
    <row r="268" spans="1:38" ht="15.75" x14ac:dyDescent="0.25">
      <c r="D268" s="528"/>
      <c r="E268" s="529"/>
      <c r="F268" s="530"/>
      <c r="G268" s="521"/>
      <c r="H268" s="522"/>
      <c r="I268" s="522" t="s">
        <v>494</v>
      </c>
      <c r="J268" s="921" t="s">
        <v>199</v>
      </c>
      <c r="K268" s="921"/>
      <c r="L268" s="482"/>
      <c r="M268" s="422"/>
      <c r="N268" s="422"/>
      <c r="O268" s="422"/>
      <c r="P268" s="422"/>
      <c r="Q268" s="523"/>
      <c r="R268" s="520"/>
      <c r="V268" s="446"/>
      <c r="AD268" s="18"/>
      <c r="AF268" s="18"/>
    </row>
    <row r="269" spans="1:38" ht="15.75" x14ac:dyDescent="0.25">
      <c r="D269" s="528"/>
      <c r="E269" s="529"/>
      <c r="F269" s="530"/>
      <c r="G269" s="521"/>
      <c r="H269" s="522"/>
      <c r="I269" s="522"/>
      <c r="J269" s="921" t="s">
        <v>200</v>
      </c>
      <c r="K269" s="921"/>
      <c r="L269" s="425">
        <f>4*10000/1.075</f>
        <v>37209.302325581397</v>
      </c>
      <c r="M269" s="422"/>
      <c r="N269" s="422"/>
      <c r="O269" s="422"/>
      <c r="P269" s="422"/>
      <c r="Q269" s="523"/>
      <c r="R269" s="520"/>
      <c r="V269" s="446"/>
      <c r="AD269" s="18"/>
      <c r="AF269" s="18"/>
    </row>
    <row r="270" spans="1:38" ht="15.75" x14ac:dyDescent="0.25">
      <c r="D270" s="528"/>
      <c r="E270" s="529"/>
      <c r="F270" s="530"/>
      <c r="G270" s="521"/>
      <c r="H270" s="522"/>
      <c r="I270" s="522"/>
      <c r="J270" s="921" t="s">
        <v>201</v>
      </c>
      <c r="K270" s="921"/>
      <c r="L270" s="423" t="s">
        <v>180</v>
      </c>
      <c r="M270" s="422"/>
      <c r="N270" s="422"/>
      <c r="O270" s="422"/>
      <c r="P270" s="422"/>
      <c r="Q270" s="523"/>
      <c r="V270" s="446"/>
      <c r="AD270" s="18"/>
      <c r="AF270" s="18"/>
    </row>
    <row r="271" spans="1:38" ht="15.75" x14ac:dyDescent="0.25">
      <c r="D271" s="528"/>
      <c r="E271" s="529"/>
      <c r="F271" s="530"/>
      <c r="G271" s="521"/>
      <c r="H271" s="522"/>
      <c r="I271" s="522" t="s">
        <v>494</v>
      </c>
      <c r="J271" s="921" t="s">
        <v>202</v>
      </c>
      <c r="K271" s="921"/>
      <c r="L271" s="482"/>
      <c r="M271" s="422"/>
      <c r="N271" s="422"/>
      <c r="O271" s="422"/>
      <c r="P271" s="422"/>
      <c r="Q271" s="523"/>
      <c r="V271" s="446"/>
      <c r="AD271" s="18"/>
      <c r="AF271" s="18"/>
    </row>
    <row r="272" spans="1:38" ht="15.75" x14ac:dyDescent="0.25">
      <c r="D272" s="528"/>
      <c r="E272" s="529"/>
      <c r="F272" s="530"/>
      <c r="G272" s="521"/>
      <c r="H272" s="522"/>
      <c r="I272" s="522"/>
      <c r="J272" s="921" t="s">
        <v>203</v>
      </c>
      <c r="K272" s="921"/>
      <c r="L272" s="423">
        <v>16000</v>
      </c>
      <c r="M272" s="422"/>
      <c r="N272" s="422"/>
      <c r="O272" s="422"/>
      <c r="P272" s="422"/>
      <c r="Q272" s="523"/>
      <c r="V272" s="446"/>
      <c r="AD272" s="18"/>
      <c r="AF272" s="18"/>
    </row>
    <row r="273" spans="9:38" ht="15.75" x14ac:dyDescent="0.25">
      <c r="J273" s="894" t="s">
        <v>204</v>
      </c>
      <c r="K273" s="894"/>
      <c r="L273" s="423" t="s">
        <v>180</v>
      </c>
      <c r="M273" s="422"/>
      <c r="N273" s="422"/>
      <c r="O273" s="422"/>
      <c r="P273" s="422"/>
      <c r="V273" s="446"/>
      <c r="AD273" s="18"/>
      <c r="AF273" s="18"/>
    </row>
    <row r="274" spans="9:38" ht="15.75" x14ac:dyDescent="0.25">
      <c r="I274" s="2" t="s">
        <v>494</v>
      </c>
      <c r="J274" s="894" t="s">
        <v>205</v>
      </c>
      <c r="K274" s="894"/>
      <c r="L274" s="482"/>
      <c r="M274" s="422"/>
      <c r="N274" s="422"/>
      <c r="O274" s="422"/>
      <c r="P274" s="422"/>
      <c r="V274" s="446"/>
      <c r="AD274" s="18"/>
      <c r="AF274" s="18"/>
    </row>
    <row r="275" spans="9:38" ht="15.75" x14ac:dyDescent="0.25">
      <c r="I275" s="2" t="s">
        <v>494</v>
      </c>
      <c r="J275" s="894" t="s">
        <v>206</v>
      </c>
      <c r="K275" s="894"/>
      <c r="L275" s="482"/>
      <c r="M275" s="422"/>
      <c r="N275" s="422"/>
      <c r="O275" s="422"/>
      <c r="P275" s="422"/>
      <c r="V275" s="446"/>
      <c r="AD275" s="18"/>
      <c r="AF275" s="18"/>
    </row>
    <row r="276" spans="9:38" ht="15.75" x14ac:dyDescent="0.25">
      <c r="I276" s="2" t="s">
        <v>494</v>
      </c>
      <c r="J276" s="894" t="s">
        <v>473</v>
      </c>
      <c r="K276" s="894"/>
      <c r="L276" s="482"/>
      <c r="M276" s="422"/>
      <c r="N276" s="422"/>
      <c r="O276" s="422"/>
      <c r="P276" s="422"/>
      <c r="V276" s="446"/>
      <c r="AD276" s="18"/>
      <c r="AF276" s="18"/>
    </row>
    <row r="277" spans="9:38" ht="15.75" x14ac:dyDescent="0.25">
      <c r="I277" s="2" t="s">
        <v>494</v>
      </c>
      <c r="J277" s="894" t="s">
        <v>208</v>
      </c>
      <c r="K277" s="894"/>
      <c r="L277" s="482"/>
      <c r="M277" s="422"/>
      <c r="N277" s="422"/>
      <c r="O277" s="422"/>
      <c r="P277" s="422"/>
      <c r="V277" s="27"/>
    </row>
    <row r="278" spans="9:38" ht="15.75" x14ac:dyDescent="0.25">
      <c r="I278" s="2" t="s">
        <v>496</v>
      </c>
      <c r="J278" s="894" t="s">
        <v>209</v>
      </c>
      <c r="K278" s="894"/>
      <c r="L278" s="482"/>
      <c r="M278" s="422"/>
      <c r="N278" s="422"/>
      <c r="O278" s="422"/>
      <c r="P278" s="422"/>
      <c r="V278" s="27"/>
    </row>
    <row r="279" spans="9:38" ht="15.75" x14ac:dyDescent="0.25">
      <c r="J279" s="894" t="s">
        <v>474</v>
      </c>
      <c r="K279" s="894"/>
      <c r="L279" s="423">
        <v>15000</v>
      </c>
      <c r="M279" s="422"/>
      <c r="N279" s="422"/>
      <c r="O279" s="422"/>
      <c r="P279" s="422"/>
      <c r="V279" s="27"/>
    </row>
    <row r="280" spans="9:38" ht="15.75" x14ac:dyDescent="0.25">
      <c r="I280" s="2" t="s">
        <v>494</v>
      </c>
      <c r="J280" s="894" t="s">
        <v>211</v>
      </c>
      <c r="K280" s="894"/>
      <c r="L280" s="482"/>
      <c r="M280" s="422"/>
      <c r="N280" s="422"/>
      <c r="O280" s="422"/>
      <c r="P280" s="422"/>
      <c r="V280" s="27"/>
    </row>
    <row r="281" spans="9:38" ht="15.75" x14ac:dyDescent="0.25">
      <c r="J281" s="894" t="s">
        <v>212</v>
      </c>
      <c r="K281" s="894"/>
      <c r="L281" s="423">
        <v>15000</v>
      </c>
      <c r="M281" s="422"/>
      <c r="N281" s="422"/>
      <c r="O281" s="422"/>
      <c r="P281" s="422"/>
      <c r="V281" s="27"/>
    </row>
    <row r="282" spans="9:38" ht="15.75" x14ac:dyDescent="0.25">
      <c r="J282" s="894" t="s">
        <v>475</v>
      </c>
      <c r="K282" s="894"/>
      <c r="L282" s="423">
        <f>4*12000/1.12</f>
        <v>42857.142857142855</v>
      </c>
      <c r="M282" s="422"/>
      <c r="N282" s="422"/>
      <c r="O282" s="422"/>
      <c r="P282" s="422"/>
      <c r="V282" s="27"/>
    </row>
    <row r="283" spans="9:38" ht="15.75" x14ac:dyDescent="0.25">
      <c r="J283" s="894" t="s">
        <v>214</v>
      </c>
      <c r="K283" s="894"/>
      <c r="L283" s="423" t="s">
        <v>189</v>
      </c>
      <c r="M283" s="422"/>
      <c r="N283" s="422"/>
      <c r="O283" s="422"/>
      <c r="P283" s="422"/>
      <c r="V283" s="27"/>
      <c r="W283" s="397"/>
      <c r="X283" s="400"/>
      <c r="Y283" s="401"/>
      <c r="Z283" s="391"/>
      <c r="AA283" s="398"/>
      <c r="AB283" s="399"/>
      <c r="AC283" s="403"/>
      <c r="AD283" s="392"/>
      <c r="AE283" s="378"/>
      <c r="AF283" s="393"/>
      <c r="AG283" s="394"/>
      <c r="AH283" s="394"/>
      <c r="AI283" s="394"/>
      <c r="AJ283" s="395"/>
      <c r="AK283" s="394"/>
      <c r="AL283" s="394"/>
    </row>
    <row r="284" spans="9:38" ht="15.75" x14ac:dyDescent="0.25">
      <c r="J284" s="894" t="s">
        <v>476</v>
      </c>
      <c r="K284" s="894"/>
      <c r="L284" s="423">
        <v>10000</v>
      </c>
      <c r="M284" s="422"/>
      <c r="N284" s="422"/>
      <c r="O284" s="422"/>
      <c r="P284" s="422"/>
      <c r="V284" s="27"/>
      <c r="W284" s="397"/>
      <c r="X284" s="400"/>
      <c r="Y284" s="401"/>
      <c r="Z284" s="391"/>
      <c r="AA284" s="398"/>
      <c r="AB284" s="399"/>
      <c r="AC284" s="403"/>
      <c r="AD284" s="392"/>
      <c r="AE284" s="378"/>
      <c r="AF284" s="393"/>
      <c r="AG284" s="394"/>
      <c r="AH284" s="394"/>
      <c r="AI284" s="394"/>
      <c r="AJ284" s="395"/>
      <c r="AK284" s="394"/>
      <c r="AL284" s="394"/>
    </row>
    <row r="285" spans="9:38" ht="15.75" x14ac:dyDescent="0.25">
      <c r="J285" s="894" t="s">
        <v>477</v>
      </c>
      <c r="K285" s="894"/>
      <c r="L285" s="429"/>
      <c r="M285" s="422"/>
      <c r="N285" s="422"/>
      <c r="O285" s="422"/>
      <c r="P285" s="422"/>
      <c r="V285" s="27"/>
      <c r="W285" s="397"/>
      <c r="X285" s="400"/>
      <c r="Y285" s="404"/>
      <c r="Z285" s="391"/>
      <c r="AA285" s="392"/>
      <c r="AB285" s="399"/>
      <c r="AC285" s="403"/>
      <c r="AD285" s="392"/>
      <c r="AE285" s="378"/>
      <c r="AF285" s="393"/>
      <c r="AG285" s="394"/>
      <c r="AH285" s="394"/>
      <c r="AI285" s="405"/>
      <c r="AJ285" s="405"/>
      <c r="AK285" s="405"/>
      <c r="AL285" s="405"/>
    </row>
    <row r="286" spans="9:38" ht="15.75" x14ac:dyDescent="0.25">
      <c r="J286" s="894" t="s">
        <v>217</v>
      </c>
      <c r="K286" s="894"/>
      <c r="L286" s="429" t="s">
        <v>180</v>
      </c>
      <c r="M286" s="422"/>
      <c r="N286" s="422"/>
      <c r="O286" s="422"/>
      <c r="P286" s="422"/>
      <c r="V286" s="27"/>
      <c r="W286" s="389"/>
      <c r="X286" s="390"/>
      <c r="Y286" s="391"/>
      <c r="Z286" s="391"/>
      <c r="AA286" s="392"/>
      <c r="AB286" s="391"/>
      <c r="AC286" s="392"/>
      <c r="AD286" s="392"/>
      <c r="AE286" s="378"/>
      <c r="AF286" s="393"/>
      <c r="AG286" s="394"/>
      <c r="AH286" s="394"/>
      <c r="AI286" s="394"/>
      <c r="AJ286" s="395"/>
      <c r="AK286" s="394"/>
      <c r="AL286" s="394"/>
    </row>
    <row r="287" spans="9:38" ht="15.75" x14ac:dyDescent="0.25">
      <c r="J287" s="894" t="s">
        <v>478</v>
      </c>
      <c r="K287" s="894"/>
      <c r="L287" s="429">
        <v>3500</v>
      </c>
      <c r="M287" s="422"/>
      <c r="N287" s="422"/>
      <c r="O287" s="422"/>
      <c r="P287" s="422"/>
      <c r="V287" s="27"/>
      <c r="W287" s="389"/>
      <c r="X287" s="390"/>
      <c r="Y287" s="391"/>
      <c r="Z287" s="391"/>
      <c r="AA287" s="392"/>
      <c r="AB287" s="391"/>
      <c r="AC287" s="392"/>
      <c r="AD287" s="392"/>
      <c r="AE287" s="378"/>
      <c r="AF287" s="393"/>
      <c r="AG287" s="394"/>
      <c r="AH287" s="394"/>
      <c r="AI287" s="394"/>
      <c r="AJ287" s="395"/>
      <c r="AK287" s="394"/>
      <c r="AL287" s="394"/>
    </row>
    <row r="288" spans="9:38" ht="15.75" x14ac:dyDescent="0.25">
      <c r="J288" s="894" t="s">
        <v>219</v>
      </c>
      <c r="K288" s="894"/>
      <c r="L288" s="429" t="s">
        <v>180</v>
      </c>
      <c r="M288" s="422"/>
      <c r="N288" s="422"/>
      <c r="O288" s="422"/>
      <c r="P288" s="422"/>
      <c r="V288" s="27"/>
      <c r="W288" s="273"/>
      <c r="X288" s="273"/>
      <c r="Y288" s="273"/>
      <c r="Z288" s="273"/>
      <c r="AA288" s="273"/>
      <c r="AB288" s="273"/>
      <c r="AC288" s="273"/>
      <c r="AD288" s="224"/>
      <c r="AE288" s="273"/>
      <c r="AF288" s="224"/>
      <c r="AG288" s="1"/>
      <c r="AH288" s="1"/>
      <c r="AI288" s="1"/>
      <c r="AJ288" s="1"/>
      <c r="AK288" s="1"/>
      <c r="AL288" s="1"/>
    </row>
    <row r="289" spans="9:16" ht="15.75" x14ac:dyDescent="0.25">
      <c r="J289" s="894" t="s">
        <v>220</v>
      </c>
      <c r="K289" s="894"/>
      <c r="L289" s="429">
        <v>3500</v>
      </c>
      <c r="M289" s="422"/>
      <c r="N289" s="422"/>
      <c r="O289" s="422"/>
      <c r="P289" s="422"/>
    </row>
    <row r="290" spans="9:16" ht="15.75" x14ac:dyDescent="0.25">
      <c r="J290" s="894" t="s">
        <v>221</v>
      </c>
      <c r="K290" s="894"/>
      <c r="L290" s="429">
        <v>3500</v>
      </c>
      <c r="M290" s="422"/>
      <c r="N290" s="422"/>
      <c r="O290" s="422"/>
      <c r="P290" s="422"/>
    </row>
    <row r="291" spans="9:16" ht="15.75" x14ac:dyDescent="0.25">
      <c r="J291" s="894" t="s">
        <v>479</v>
      </c>
      <c r="K291" s="894"/>
      <c r="L291" s="423">
        <v>0</v>
      </c>
      <c r="M291" s="422"/>
      <c r="N291" s="422"/>
      <c r="O291" s="422"/>
      <c r="P291" s="422"/>
    </row>
    <row r="292" spans="9:16" ht="15.75" x14ac:dyDescent="0.25">
      <c r="J292" s="894" t="s">
        <v>223</v>
      </c>
      <c r="K292" s="894"/>
      <c r="L292" s="423">
        <v>12000</v>
      </c>
      <c r="M292" s="430"/>
      <c r="N292" s="422"/>
      <c r="O292" s="422"/>
      <c r="P292" s="422"/>
    </row>
    <row r="293" spans="9:16" ht="15.75" x14ac:dyDescent="0.25">
      <c r="J293" s="894" t="s">
        <v>480</v>
      </c>
      <c r="K293" s="894"/>
      <c r="L293" s="423" t="s">
        <v>189</v>
      </c>
      <c r="M293" s="431"/>
      <c r="N293" s="431"/>
      <c r="O293" s="431"/>
      <c r="P293" s="431"/>
    </row>
    <row r="294" spans="9:16" ht="15.75" x14ac:dyDescent="0.25">
      <c r="J294" s="893" t="s">
        <v>481</v>
      </c>
      <c r="K294" s="893"/>
      <c r="L294" s="432">
        <v>8500</v>
      </c>
      <c r="M294" s="431"/>
      <c r="N294" s="431"/>
      <c r="O294" s="431"/>
      <c r="P294" s="431"/>
    </row>
    <row r="295" spans="9:16" ht="15.75" x14ac:dyDescent="0.25">
      <c r="J295" s="894" t="s">
        <v>482</v>
      </c>
      <c r="K295" s="894"/>
      <c r="L295" s="423">
        <v>8500</v>
      </c>
      <c r="M295" s="431"/>
      <c r="N295" s="431"/>
      <c r="O295" s="431"/>
      <c r="P295" s="431"/>
    </row>
    <row r="296" spans="9:16" ht="15.75" x14ac:dyDescent="0.25">
      <c r="J296" s="895" t="s">
        <v>483</v>
      </c>
      <c r="K296" s="895"/>
      <c r="L296" s="552" t="s">
        <v>189</v>
      </c>
      <c r="M296" s="434"/>
      <c r="N296" s="434"/>
      <c r="O296" s="434"/>
      <c r="P296" s="434"/>
    </row>
    <row r="297" spans="9:16" ht="15.75" x14ac:dyDescent="0.25">
      <c r="I297" s="2" t="s">
        <v>494</v>
      </c>
      <c r="J297" s="895" t="s">
        <v>484</v>
      </c>
      <c r="K297" s="895"/>
      <c r="L297" s="485"/>
      <c r="M297" s="434"/>
      <c r="N297" s="434"/>
      <c r="O297" s="434"/>
      <c r="P297" s="434"/>
    </row>
    <row r="298" spans="9:16" ht="15.75" x14ac:dyDescent="0.25">
      <c r="J298" s="895" t="s">
        <v>485</v>
      </c>
      <c r="K298" s="895"/>
      <c r="L298" s="552" t="s">
        <v>189</v>
      </c>
      <c r="M298" s="434"/>
      <c r="N298" s="434"/>
      <c r="O298" s="434"/>
      <c r="P298" s="434"/>
    </row>
    <row r="299" spans="9:16" ht="15.75" x14ac:dyDescent="0.25">
      <c r="J299" s="895" t="s">
        <v>486</v>
      </c>
      <c r="K299" s="895"/>
      <c r="L299" s="552" t="s">
        <v>189</v>
      </c>
      <c r="M299" s="434"/>
      <c r="N299" s="434"/>
      <c r="O299" s="434"/>
      <c r="P299" s="434"/>
    </row>
    <row r="300" spans="9:16" ht="15.75" x14ac:dyDescent="0.25">
      <c r="J300" s="892" t="s">
        <v>222</v>
      </c>
      <c r="K300" s="892"/>
      <c r="L300" s="552">
        <v>7500</v>
      </c>
      <c r="M300" s="434"/>
      <c r="N300" s="434"/>
      <c r="O300" s="434"/>
      <c r="P300" s="434"/>
    </row>
    <row r="301" spans="9:16" ht="15.75" x14ac:dyDescent="0.25">
      <c r="J301" s="892" t="s">
        <v>487</v>
      </c>
      <c r="K301" s="892"/>
      <c r="L301" s="552"/>
      <c r="M301" s="434"/>
      <c r="N301" s="434"/>
      <c r="O301" s="434"/>
      <c r="P301" s="434"/>
    </row>
    <row r="302" spans="9:16" ht="15.75" x14ac:dyDescent="0.25">
      <c r="J302" s="892" t="s">
        <v>213</v>
      </c>
      <c r="K302" s="892"/>
      <c r="L302" s="552" t="s">
        <v>161</v>
      </c>
      <c r="M302" s="434"/>
      <c r="N302" s="434"/>
      <c r="O302" s="434"/>
      <c r="P302" s="434"/>
    </row>
    <row r="303" spans="9:16" ht="15.75" x14ac:dyDescent="0.25">
      <c r="I303" s="2" t="s">
        <v>494</v>
      </c>
      <c r="J303" s="892" t="s">
        <v>488</v>
      </c>
      <c r="K303" s="892"/>
      <c r="L303" s="485"/>
      <c r="M303" s="434"/>
      <c r="N303" s="434"/>
      <c r="O303" s="434"/>
      <c r="P303" s="434"/>
    </row>
    <row r="304" spans="9:16" ht="15.75" x14ac:dyDescent="0.25">
      <c r="J304" s="892" t="s">
        <v>489</v>
      </c>
      <c r="K304" s="892"/>
      <c r="L304" s="552"/>
      <c r="M304" s="434"/>
      <c r="N304" s="434"/>
      <c r="O304" s="434"/>
      <c r="P304" s="434"/>
    </row>
  </sheetData>
  <mergeCells count="142">
    <mergeCell ref="J301:K301"/>
    <mergeCell ref="J302:K302"/>
    <mergeCell ref="J303:K303"/>
    <mergeCell ref="J304:K304"/>
    <mergeCell ref="J295:K295"/>
    <mergeCell ref="J296:K296"/>
    <mergeCell ref="J297:K297"/>
    <mergeCell ref="J298:K298"/>
    <mergeCell ref="J299:K299"/>
    <mergeCell ref="J300:K300"/>
    <mergeCell ref="J289:K289"/>
    <mergeCell ref="J290:K290"/>
    <mergeCell ref="J291:K291"/>
    <mergeCell ref="J292:K292"/>
    <mergeCell ref="J293:K293"/>
    <mergeCell ref="J294:K294"/>
    <mergeCell ref="J283:K283"/>
    <mergeCell ref="J284:K284"/>
    <mergeCell ref="J285:K285"/>
    <mergeCell ref="J286:K286"/>
    <mergeCell ref="J287:K287"/>
    <mergeCell ref="J288:K288"/>
    <mergeCell ref="J277:K277"/>
    <mergeCell ref="J278:K278"/>
    <mergeCell ref="J279:K279"/>
    <mergeCell ref="J280:K280"/>
    <mergeCell ref="J281:K281"/>
    <mergeCell ref="J282:K282"/>
    <mergeCell ref="J271:K271"/>
    <mergeCell ref="J272:K272"/>
    <mergeCell ref="J273:K273"/>
    <mergeCell ref="J274:K274"/>
    <mergeCell ref="J275:K275"/>
    <mergeCell ref="J276:K276"/>
    <mergeCell ref="J265:K265"/>
    <mergeCell ref="J266:K266"/>
    <mergeCell ref="J267:K267"/>
    <mergeCell ref="J268:K268"/>
    <mergeCell ref="J269:K269"/>
    <mergeCell ref="J270:K270"/>
    <mergeCell ref="J259:K259"/>
    <mergeCell ref="J260:K260"/>
    <mergeCell ref="J261:K261"/>
    <mergeCell ref="J262:K262"/>
    <mergeCell ref="J263:K263"/>
    <mergeCell ref="J264:K264"/>
    <mergeCell ref="AA239:AC239"/>
    <mergeCell ref="AD239:AE239"/>
    <mergeCell ref="AA253:AC253"/>
    <mergeCell ref="AD253:AE253"/>
    <mergeCell ref="J257:K257"/>
    <mergeCell ref="J258:K258"/>
    <mergeCell ref="B211:D211"/>
    <mergeCell ref="AA224:AC224"/>
    <mergeCell ref="AD224:AE224"/>
    <mergeCell ref="B236:D236"/>
    <mergeCell ref="B238:D238"/>
    <mergeCell ref="M238:P238"/>
    <mergeCell ref="Z183:AB183"/>
    <mergeCell ref="Z186:AA186"/>
    <mergeCell ref="Z187:AA187"/>
    <mergeCell ref="Z190:AA190"/>
    <mergeCell ref="AA209:AC209"/>
    <mergeCell ref="AD209:AE209"/>
    <mergeCell ref="Z174:AB174"/>
    <mergeCell ref="Z175:AB175"/>
    <mergeCell ref="Z179:AB179"/>
    <mergeCell ref="Z180:AB180"/>
    <mergeCell ref="Z181:AB181"/>
    <mergeCell ref="Z182:AB182"/>
    <mergeCell ref="Z165:AB165"/>
    <mergeCell ref="Z166:AB166"/>
    <mergeCell ref="Z167:AB167"/>
    <mergeCell ref="Z171:AB171"/>
    <mergeCell ref="Z172:AB172"/>
    <mergeCell ref="Z173:AB173"/>
    <mergeCell ref="Z157:AB157"/>
    <mergeCell ref="Z158:AB158"/>
    <mergeCell ref="Z159:AB159"/>
    <mergeCell ref="Z160:AB160"/>
    <mergeCell ref="Z163:AB163"/>
    <mergeCell ref="Z164:AB164"/>
    <mergeCell ref="B150:D150"/>
    <mergeCell ref="Z150:AB150"/>
    <mergeCell ref="Z151:AB151"/>
    <mergeCell ref="Z152:AB152"/>
    <mergeCell ref="Z153:AB153"/>
    <mergeCell ref="Z156:AB156"/>
    <mergeCell ref="W123:X123"/>
    <mergeCell ref="W124:X124"/>
    <mergeCell ref="W125:X125"/>
    <mergeCell ref="W126:X126"/>
    <mergeCell ref="W127:X127"/>
    <mergeCell ref="Z149:AB149"/>
    <mergeCell ref="Y115:AA115"/>
    <mergeCell ref="W118:X118"/>
    <mergeCell ref="W119:X119"/>
    <mergeCell ref="W120:X120"/>
    <mergeCell ref="W121:X121"/>
    <mergeCell ref="W122:X122"/>
    <mergeCell ref="Y109:AA109"/>
    <mergeCell ref="Y110:AA110"/>
    <mergeCell ref="Y111:AA111"/>
    <mergeCell ref="Y112:AA112"/>
    <mergeCell ref="Y113:AA113"/>
    <mergeCell ref="Y114:AA114"/>
    <mergeCell ref="Y103:AA103"/>
    <mergeCell ref="Y104:AA104"/>
    <mergeCell ref="Y105:AA105"/>
    <mergeCell ref="Y106:AA106"/>
    <mergeCell ref="Y107:AA107"/>
    <mergeCell ref="V108:AA108"/>
    <mergeCell ref="W58:Y58"/>
    <mergeCell ref="W59:Y59"/>
    <mergeCell ref="W60:Y60"/>
    <mergeCell ref="W61:Y61"/>
    <mergeCell ref="W62:Y62"/>
    <mergeCell ref="Y101:AA101"/>
    <mergeCell ref="W50:Y50"/>
    <mergeCell ref="W51:Y51"/>
    <mergeCell ref="W52:Y52"/>
    <mergeCell ref="W53:Y53"/>
    <mergeCell ref="W54:Y54"/>
    <mergeCell ref="W57:Y57"/>
    <mergeCell ref="B35:D35"/>
    <mergeCell ref="W42:Y42"/>
    <mergeCell ref="W43:Y43"/>
    <mergeCell ref="W44:Y44"/>
    <mergeCell ref="W45:Y45"/>
    <mergeCell ref="W46:Y46"/>
    <mergeCell ref="I14:I15"/>
    <mergeCell ref="J14:J15"/>
    <mergeCell ref="K14:K15"/>
    <mergeCell ref="L14:L15"/>
    <mergeCell ref="M14:O14"/>
    <mergeCell ref="P14:P15"/>
    <mergeCell ref="A14:A15"/>
    <mergeCell ref="B14:D15"/>
    <mergeCell ref="E14:E15"/>
    <mergeCell ref="F14:F15"/>
    <mergeCell ref="G14:G15"/>
    <mergeCell ref="H14:H15"/>
  </mergeCells>
  <printOptions horizontalCentered="1"/>
  <pageMargins left="0.25" right="0.25" top="0.75" bottom="0.5" header="0.3" footer="0.3"/>
  <pageSetup paperSize="197" scale="54" orientation="portrait" r:id="rId1"/>
  <headerFooter>
    <oddFooter>Page &amp;P of &amp;N</oddFooter>
  </headerFooter>
  <rowBreaks count="2" manualBreakCount="2">
    <brk id="108" max="15" man="1"/>
    <brk id="215" max="15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7:AU309"/>
  <sheetViews>
    <sheetView showGridLines="0" view="pageBreakPreview" topLeftCell="G226" zoomScale="80" zoomScaleNormal="85" zoomScaleSheetLayoutView="80" workbookViewId="0">
      <selection activeCell="P268" sqref="P268"/>
    </sheetView>
  </sheetViews>
  <sheetFormatPr defaultRowHeight="15" outlineLevelCol="1" x14ac:dyDescent="0.25"/>
  <cols>
    <col min="1" max="1" width="8.140625" style="19" customWidth="1"/>
    <col min="2" max="2" width="3.42578125" style="153" customWidth="1"/>
    <col min="3" max="3" width="5.42578125" style="294" customWidth="1"/>
    <col min="4" max="4" width="82.42578125" style="18" customWidth="1"/>
    <col min="5" max="5" width="10.85546875" style="60" customWidth="1" outlineLevel="1"/>
    <col min="6" max="6" width="10.140625" style="91" customWidth="1"/>
    <col min="7" max="7" width="9.28515625" style="19" customWidth="1"/>
    <col min="8" max="11" width="11.7109375" style="2" customWidth="1" outlineLevel="1"/>
    <col min="12" max="12" width="14.140625" style="2" customWidth="1" outlineLevel="1"/>
    <col min="13" max="15" width="14.28515625" style="1" customWidth="1"/>
    <col min="16" max="16" width="19.42578125" style="1" customWidth="1"/>
    <col min="17" max="17" width="13.7109375" style="1" customWidth="1"/>
    <col min="18" max="18" width="14" style="1" customWidth="1"/>
    <col min="19" max="19" width="9.140625" style="18"/>
    <col min="20" max="20" width="10.5703125" style="1" bestFit="1" customWidth="1"/>
    <col min="21" max="21" width="9.140625" style="18"/>
    <col min="22" max="22" width="4.140625" style="18" customWidth="1"/>
    <col min="23" max="23" width="20.140625" style="18" customWidth="1"/>
    <col min="24" max="24" width="20.28515625" style="18" customWidth="1"/>
    <col min="25" max="25" width="15.42578125" style="18" customWidth="1"/>
    <col min="26" max="26" width="10.7109375" style="18" customWidth="1"/>
    <col min="27" max="27" width="12.85546875" style="18" customWidth="1"/>
    <col min="28" max="29" width="10.7109375" style="18" customWidth="1"/>
    <col min="30" max="30" width="14.42578125" style="1" customWidth="1"/>
    <col min="31" max="31" width="10.7109375" style="18" customWidth="1"/>
    <col min="32" max="32" width="13.42578125" style="1" customWidth="1"/>
    <col min="33" max="33" width="10.7109375" style="18" customWidth="1"/>
    <col min="34" max="34" width="13.140625" style="18" customWidth="1"/>
    <col min="35" max="41" width="9.140625" style="18"/>
    <col min="42" max="42" width="12" style="18" customWidth="1"/>
    <col min="43" max="43" width="9.140625" style="18"/>
    <col min="44" max="44" width="14.28515625" style="18" customWidth="1"/>
    <col min="45" max="45" width="11.7109375" style="18" customWidth="1"/>
    <col min="46" max="16384" width="9.140625" style="18"/>
  </cols>
  <sheetData>
    <row r="7" spans="1:44" s="28" customFormat="1" ht="15.75" x14ac:dyDescent="0.25">
      <c r="A7" s="236" t="s">
        <v>0</v>
      </c>
      <c r="B7" s="165" t="s">
        <v>1</v>
      </c>
      <c r="C7" s="299"/>
      <c r="D7" s="435" t="s">
        <v>2</v>
      </c>
      <c r="E7" s="189"/>
      <c r="F7" s="324"/>
      <c r="G7" s="445"/>
      <c r="H7" s="327"/>
      <c r="I7" s="327"/>
      <c r="J7" s="327"/>
      <c r="K7" s="327"/>
      <c r="L7" s="327"/>
      <c r="M7" s="325"/>
      <c r="N7" s="325"/>
      <c r="O7" s="325"/>
      <c r="P7" s="325"/>
      <c r="Q7" s="325"/>
      <c r="R7" s="325"/>
      <c r="T7" s="325"/>
      <c r="AD7" s="325"/>
      <c r="AF7" s="325"/>
    </row>
    <row r="8" spans="1:44" s="28" customFormat="1" ht="15.75" x14ac:dyDescent="0.25">
      <c r="A8" s="236" t="s">
        <v>3</v>
      </c>
      <c r="B8" s="165" t="s">
        <v>1</v>
      </c>
      <c r="C8" s="299"/>
      <c r="D8" s="28" t="s">
        <v>17</v>
      </c>
      <c r="E8" s="189"/>
      <c r="F8" s="324"/>
      <c r="G8" s="236"/>
      <c r="H8" s="327"/>
      <c r="I8" s="327"/>
      <c r="J8" s="327"/>
      <c r="K8" s="327"/>
      <c r="L8" s="327"/>
      <c r="M8" s="325"/>
      <c r="N8" s="325"/>
      <c r="O8" s="325"/>
      <c r="P8" s="325"/>
      <c r="Q8" s="325"/>
      <c r="R8" s="325"/>
      <c r="T8" s="325"/>
      <c r="AD8" s="325"/>
      <c r="AF8" s="325"/>
    </row>
    <row r="9" spans="1:44" s="28" customFormat="1" ht="15.75" x14ac:dyDescent="0.25">
      <c r="A9" s="236" t="s">
        <v>22</v>
      </c>
      <c r="B9" s="165" t="s">
        <v>1</v>
      </c>
      <c r="C9" s="299"/>
      <c r="D9" s="334" t="s">
        <v>471</v>
      </c>
      <c r="E9" s="189"/>
      <c r="F9" s="324"/>
      <c r="G9" s="236"/>
      <c r="H9" s="327"/>
      <c r="I9" s="327"/>
      <c r="J9" s="327"/>
      <c r="K9" s="327"/>
      <c r="L9" s="327"/>
      <c r="M9" s="325"/>
      <c r="N9" s="325"/>
      <c r="O9" s="325"/>
      <c r="P9" s="325"/>
      <c r="Q9" s="325"/>
      <c r="R9" s="325"/>
      <c r="T9" s="325"/>
      <c r="AD9" s="325"/>
      <c r="AF9" s="325"/>
    </row>
    <row r="10" spans="1:44" s="28" customFormat="1" ht="15.75" x14ac:dyDescent="0.25">
      <c r="A10" s="236" t="s">
        <v>24</v>
      </c>
      <c r="B10" s="165" t="s">
        <v>1</v>
      </c>
      <c r="C10" s="299"/>
      <c r="D10" s="436">
        <f ca="1">NOW()</f>
        <v>42072.462732870372</v>
      </c>
      <c r="E10" s="326"/>
      <c r="F10" s="324"/>
      <c r="G10" s="236"/>
      <c r="H10" s="327"/>
      <c r="I10" s="327"/>
      <c r="J10" s="327"/>
      <c r="K10" s="327"/>
      <c r="L10" s="327"/>
      <c r="M10" s="325"/>
      <c r="N10" s="325"/>
      <c r="O10" s="325"/>
      <c r="P10" s="325"/>
      <c r="Q10" s="325"/>
      <c r="R10" s="325"/>
      <c r="T10" s="325"/>
      <c r="AD10" s="325"/>
      <c r="AF10" s="325"/>
    </row>
    <row r="11" spans="1:44" ht="15.75" x14ac:dyDescent="0.25">
      <c r="A11" s="235"/>
      <c r="D11" s="21"/>
      <c r="E11" s="181"/>
      <c r="AL11" s="288" t="s">
        <v>317</v>
      </c>
      <c r="AM11" s="227"/>
      <c r="AN11" s="228"/>
      <c r="AO11" s="228"/>
      <c r="AP11" s="232">
        <f>9200000*0.3</f>
        <v>2760000</v>
      </c>
      <c r="AQ11" s="228"/>
      <c r="AR11" s="227"/>
    </row>
    <row r="12" spans="1:44" x14ac:dyDescent="0.25">
      <c r="A12" s="235"/>
      <c r="D12" s="21"/>
      <c r="E12" s="181"/>
      <c r="T12" s="224"/>
      <c r="U12" s="273"/>
      <c r="V12" s="273"/>
      <c r="AD12" s="224"/>
      <c r="AE12" s="273"/>
      <c r="AF12" s="224"/>
      <c r="AG12" s="273"/>
      <c r="AH12" s="273"/>
      <c r="AI12" s="273"/>
      <c r="AJ12" s="273"/>
      <c r="AK12" s="273"/>
      <c r="AL12" s="227" t="s">
        <v>310</v>
      </c>
      <c r="AM12" s="227"/>
      <c r="AN12" s="228"/>
      <c r="AO12" s="228"/>
      <c r="AP12" s="228"/>
      <c r="AQ12" s="228"/>
      <c r="AR12" s="229">
        <f>AP11*0.006</f>
        <v>16560</v>
      </c>
    </row>
    <row r="13" spans="1:44" ht="15.75" thickBot="1" x14ac:dyDescent="0.3">
      <c r="T13" s="224"/>
      <c r="U13" s="273"/>
      <c r="V13" s="273"/>
      <c r="AK13" s="273"/>
      <c r="AL13" s="227" t="s">
        <v>312</v>
      </c>
      <c r="AM13" s="227"/>
      <c r="AN13" s="228"/>
      <c r="AO13" s="228"/>
      <c r="AP13" s="228"/>
      <c r="AQ13" s="228"/>
      <c r="AR13" s="229">
        <f>(AR12*0.125)+30</f>
        <v>2100</v>
      </c>
    </row>
    <row r="14" spans="1:44" s="19" customFormat="1" x14ac:dyDescent="0.25">
      <c r="A14" s="906" t="s">
        <v>4</v>
      </c>
      <c r="B14" s="864" t="s">
        <v>7</v>
      </c>
      <c r="C14" s="908"/>
      <c r="D14" s="865"/>
      <c r="E14" s="915" t="s">
        <v>81</v>
      </c>
      <c r="F14" s="917" t="s">
        <v>6</v>
      </c>
      <c r="G14" s="868" t="s">
        <v>5</v>
      </c>
      <c r="H14" s="870" t="s">
        <v>174</v>
      </c>
      <c r="I14" s="870" t="s">
        <v>175</v>
      </c>
      <c r="J14" s="870" t="s">
        <v>176</v>
      </c>
      <c r="K14" s="870" t="s">
        <v>177</v>
      </c>
      <c r="L14" s="870" t="s">
        <v>178</v>
      </c>
      <c r="M14" s="872" t="s">
        <v>8</v>
      </c>
      <c r="N14" s="873"/>
      <c r="O14" s="874"/>
      <c r="P14" s="919" t="s">
        <v>11</v>
      </c>
      <c r="Q14" s="2"/>
      <c r="R14" s="2"/>
      <c r="T14" s="441"/>
      <c r="U14" s="274"/>
      <c r="V14" s="274"/>
      <c r="AK14" s="274"/>
      <c r="AL14" s="227" t="s">
        <v>314</v>
      </c>
      <c r="AM14" s="227"/>
      <c r="AN14" s="228"/>
      <c r="AO14" s="228"/>
      <c r="AP14" s="228"/>
      <c r="AQ14" s="228"/>
      <c r="AR14" s="229">
        <f>AR12*0.12</f>
        <v>1987.1999999999998</v>
      </c>
    </row>
    <row r="15" spans="1:44" s="19" customFormat="1" ht="15.75" thickBot="1" x14ac:dyDescent="0.3">
      <c r="A15" s="907"/>
      <c r="B15" s="866"/>
      <c r="C15" s="909"/>
      <c r="D15" s="867"/>
      <c r="E15" s="916"/>
      <c r="F15" s="918"/>
      <c r="G15" s="869"/>
      <c r="H15" s="871"/>
      <c r="I15" s="871"/>
      <c r="J15" s="871"/>
      <c r="K15" s="871"/>
      <c r="L15" s="871"/>
      <c r="M15" s="54" t="s">
        <v>9</v>
      </c>
      <c r="N15" s="54" t="s">
        <v>10</v>
      </c>
      <c r="O15" s="54" t="s">
        <v>230</v>
      </c>
      <c r="P15" s="920"/>
      <c r="Q15" s="2"/>
      <c r="R15" s="2"/>
      <c r="T15" s="441"/>
      <c r="U15" s="274"/>
      <c r="V15" s="274"/>
      <c r="AK15" s="274"/>
      <c r="AL15" s="227" t="s">
        <v>299</v>
      </c>
      <c r="AM15" s="227"/>
      <c r="AN15" s="228"/>
      <c r="AO15" s="228"/>
      <c r="AP15" s="228"/>
      <c r="AQ15" s="228"/>
      <c r="AR15" s="229">
        <f>AR12*0.002</f>
        <v>33.119999999999997</v>
      </c>
    </row>
    <row r="16" spans="1:44" s="226" customFormat="1" ht="15.75" x14ac:dyDescent="0.25">
      <c r="A16" s="322" t="s">
        <v>80</v>
      </c>
      <c r="B16" s="251" t="s">
        <v>315</v>
      </c>
      <c r="C16" s="295"/>
      <c r="D16" s="259"/>
      <c r="E16" s="70"/>
      <c r="F16" s="301"/>
      <c r="G16" s="260"/>
      <c r="H16" s="76"/>
      <c r="I16" s="76"/>
      <c r="J16" s="76"/>
      <c r="K16" s="76"/>
      <c r="L16" s="76"/>
      <c r="M16" s="76"/>
      <c r="N16" s="76"/>
      <c r="O16" s="76"/>
      <c r="P16" s="205"/>
      <c r="Q16" s="224"/>
      <c r="R16" s="224"/>
      <c r="T16" s="224"/>
      <c r="U16" s="275"/>
      <c r="V16" s="276"/>
      <c r="AK16" s="278"/>
      <c r="AL16" s="227" t="s">
        <v>302</v>
      </c>
      <c r="AM16" s="227"/>
      <c r="AN16" s="228"/>
      <c r="AO16" s="228"/>
      <c r="AP16" s="228"/>
      <c r="AQ16" s="228"/>
      <c r="AR16" s="229">
        <v>200</v>
      </c>
    </row>
    <row r="17" spans="1:44" s="225" customFormat="1" x14ac:dyDescent="0.25">
      <c r="A17" s="263"/>
      <c r="B17" s="261"/>
      <c r="C17" s="318">
        <v>1</v>
      </c>
      <c r="D17" s="516" t="s">
        <v>300</v>
      </c>
      <c r="E17" s="71">
        <v>1</v>
      </c>
      <c r="F17" s="302">
        <v>1</v>
      </c>
      <c r="G17" s="262" t="s">
        <v>301</v>
      </c>
      <c r="H17" s="72">
        <v>7500</v>
      </c>
      <c r="I17" s="72">
        <f>H17*F17</f>
        <v>7500</v>
      </c>
      <c r="J17" s="72">
        <v>7500</v>
      </c>
      <c r="K17" s="72">
        <f>J17*F17</f>
        <v>7500</v>
      </c>
      <c r="L17" s="72">
        <f>I17+K17</f>
        <v>15000</v>
      </c>
      <c r="M17" s="566">
        <f t="shared" ref="M17:M33" si="0">H17/$P$260*$P$268</f>
        <v>10455.776576558943</v>
      </c>
      <c r="N17" s="566">
        <f t="shared" ref="N17:N33" si="1">J17/$P$260*$P$268</f>
        <v>10455.776576558943</v>
      </c>
      <c r="O17" s="565">
        <f t="shared" ref="O17:O33" si="2">N17+M17</f>
        <v>20911.553153117886</v>
      </c>
      <c r="P17" s="567">
        <f t="shared" ref="P17:P33" si="3">O17*F17</f>
        <v>20911.553153117886</v>
      </c>
      <c r="Q17" s="568">
        <f t="shared" ref="Q17:Q33" si="4">L17/$P$260*$P$268</f>
        <v>20911.553153117886</v>
      </c>
      <c r="R17" s="569">
        <f t="shared" ref="R17:R33" si="5">P17-Q17</f>
        <v>0</v>
      </c>
      <c r="S17" s="230"/>
      <c r="T17" s="439"/>
      <c r="U17" s="275"/>
      <c r="V17" s="276"/>
      <c r="AK17" s="278"/>
      <c r="AL17" s="285" t="s">
        <v>304</v>
      </c>
      <c r="AM17" s="285"/>
      <c r="AN17" s="286"/>
      <c r="AO17" s="286"/>
      <c r="AP17" s="286"/>
      <c r="AQ17" s="286"/>
      <c r="AR17" s="690">
        <f>SUM(AR12:AR16)</f>
        <v>20880.32</v>
      </c>
    </row>
    <row r="18" spans="1:44" s="226" customFormat="1" x14ac:dyDescent="0.25">
      <c r="A18" s="263"/>
      <c r="B18" s="261"/>
      <c r="C18" s="293">
        <v>2</v>
      </c>
      <c r="D18" s="259" t="s">
        <v>303</v>
      </c>
      <c r="E18" s="71">
        <v>1</v>
      </c>
      <c r="F18" s="302">
        <v>1</v>
      </c>
      <c r="G18" s="262" t="s">
        <v>301</v>
      </c>
      <c r="H18" s="72">
        <v>10000</v>
      </c>
      <c r="I18" s="72">
        <f t="shared" ref="I18:I33" si="6">H18*F18</f>
        <v>10000</v>
      </c>
      <c r="J18" s="72">
        <v>8000</v>
      </c>
      <c r="K18" s="72">
        <f t="shared" ref="K18:K33" si="7">J18*F18</f>
        <v>8000</v>
      </c>
      <c r="L18" s="72">
        <f t="shared" ref="L18:L33" si="8">I18+K18</f>
        <v>18000</v>
      </c>
      <c r="M18" s="566">
        <f t="shared" si="0"/>
        <v>13941.035435411923</v>
      </c>
      <c r="N18" s="566">
        <f t="shared" si="1"/>
        <v>11152.828348329538</v>
      </c>
      <c r="O18" s="565">
        <f t="shared" si="2"/>
        <v>25093.863783741461</v>
      </c>
      <c r="P18" s="567">
        <f t="shared" si="3"/>
        <v>25093.863783741461</v>
      </c>
      <c r="Q18" s="568">
        <f t="shared" si="4"/>
        <v>25093.863783741461</v>
      </c>
      <c r="R18" s="569">
        <f t="shared" si="5"/>
        <v>0</v>
      </c>
      <c r="S18" s="230"/>
      <c r="T18" s="439"/>
      <c r="U18" s="275"/>
      <c r="V18" s="276"/>
      <c r="AK18" s="279"/>
      <c r="AL18" s="227" t="s">
        <v>306</v>
      </c>
      <c r="AM18" s="227"/>
      <c r="AN18" s="228"/>
      <c r="AO18" s="228"/>
      <c r="AP18" s="228"/>
      <c r="AQ18" s="228"/>
      <c r="AR18" s="229"/>
    </row>
    <row r="19" spans="1:44" s="226" customFormat="1" x14ac:dyDescent="0.25">
      <c r="A19" s="263"/>
      <c r="B19" s="261"/>
      <c r="C19" s="293">
        <v>3</v>
      </c>
      <c r="D19" s="259" t="s">
        <v>305</v>
      </c>
      <c r="E19" s="71">
        <v>1</v>
      </c>
      <c r="F19" s="302">
        <v>1</v>
      </c>
      <c r="G19" s="262" t="s">
        <v>301</v>
      </c>
      <c r="H19" s="72">
        <v>5000</v>
      </c>
      <c r="I19" s="72">
        <f t="shared" si="6"/>
        <v>5000</v>
      </c>
      <c r="J19" s="72">
        <v>10000</v>
      </c>
      <c r="K19" s="72">
        <f t="shared" si="7"/>
        <v>10000</v>
      </c>
      <c r="L19" s="72">
        <f t="shared" si="8"/>
        <v>15000</v>
      </c>
      <c r="M19" s="566">
        <f t="shared" si="0"/>
        <v>6970.5177177059613</v>
      </c>
      <c r="N19" s="566">
        <f t="shared" si="1"/>
        <v>13941.035435411923</v>
      </c>
      <c r="O19" s="565">
        <f t="shared" si="2"/>
        <v>20911.553153117886</v>
      </c>
      <c r="P19" s="567">
        <f t="shared" si="3"/>
        <v>20911.553153117886</v>
      </c>
      <c r="Q19" s="568">
        <f t="shared" si="4"/>
        <v>20911.553153117886</v>
      </c>
      <c r="R19" s="569">
        <f t="shared" si="5"/>
        <v>0</v>
      </c>
      <c r="S19" s="230"/>
      <c r="T19" s="439"/>
      <c r="U19" s="275"/>
      <c r="V19" s="264"/>
      <c r="AK19" s="278"/>
      <c r="AL19" s="227"/>
      <c r="AM19" s="227"/>
      <c r="AN19" s="228"/>
      <c r="AO19" s="228"/>
      <c r="AP19" s="228"/>
      <c r="AQ19" s="228"/>
      <c r="AR19" s="229"/>
    </row>
    <row r="20" spans="1:44" s="226" customFormat="1" ht="15.75" x14ac:dyDescent="0.25">
      <c r="A20" s="263"/>
      <c r="B20" s="261"/>
      <c r="C20" s="293">
        <v>4</v>
      </c>
      <c r="D20" s="481" t="s">
        <v>504</v>
      </c>
      <c r="E20" s="71">
        <v>1</v>
      </c>
      <c r="F20" s="302">
        <v>1</v>
      </c>
      <c r="G20" s="262" t="s">
        <v>301</v>
      </c>
      <c r="H20" s="72"/>
      <c r="I20" s="72">
        <f t="shared" si="6"/>
        <v>0</v>
      </c>
      <c r="J20" s="74">
        <f>4*(24000+16000+16000)/1.05</f>
        <v>213333.33333333331</v>
      </c>
      <c r="K20" s="72">
        <f t="shared" si="7"/>
        <v>213333.33333333331</v>
      </c>
      <c r="L20" s="72">
        <f t="shared" si="8"/>
        <v>213333.33333333331</v>
      </c>
      <c r="M20" s="566">
        <f t="shared" si="0"/>
        <v>0</v>
      </c>
      <c r="N20" s="566">
        <f t="shared" si="1"/>
        <v>297408.75595545431</v>
      </c>
      <c r="O20" s="565">
        <f t="shared" si="2"/>
        <v>297408.75595545431</v>
      </c>
      <c r="P20" s="567">
        <f t="shared" si="3"/>
        <v>297408.75595545431</v>
      </c>
      <c r="Q20" s="568">
        <f t="shared" si="4"/>
        <v>297408.75595545431</v>
      </c>
      <c r="R20" s="569">
        <f t="shared" si="5"/>
        <v>0</v>
      </c>
      <c r="S20" s="230"/>
      <c r="T20" s="439"/>
      <c r="U20" s="275"/>
      <c r="V20" s="280"/>
      <c r="AK20" s="278"/>
      <c r="AL20" s="233" t="s">
        <v>308</v>
      </c>
      <c r="AM20" s="227"/>
      <c r="AN20" s="228"/>
      <c r="AO20" s="228"/>
      <c r="AP20" s="232">
        <f>9200000*0.3</f>
        <v>2760000</v>
      </c>
      <c r="AQ20" s="228"/>
      <c r="AR20" s="229"/>
    </row>
    <row r="21" spans="1:44" s="226" customFormat="1" x14ac:dyDescent="0.25">
      <c r="A21" s="263"/>
      <c r="B21" s="261"/>
      <c r="C21" s="293">
        <v>5</v>
      </c>
      <c r="D21" s="259" t="s">
        <v>307</v>
      </c>
      <c r="E21" s="71">
        <v>1</v>
      </c>
      <c r="F21" s="302">
        <v>1</v>
      </c>
      <c r="G21" s="262" t="s">
        <v>301</v>
      </c>
      <c r="H21" s="72">
        <f>(AR17+AR26+AR33)/1.07</f>
        <v>53503.15887850467</v>
      </c>
      <c r="I21" s="72">
        <f t="shared" si="6"/>
        <v>53503.15887850467</v>
      </c>
      <c r="J21" s="72">
        <v>2500</v>
      </c>
      <c r="K21" s="72">
        <f t="shared" si="7"/>
        <v>2500</v>
      </c>
      <c r="L21" s="72">
        <f t="shared" si="8"/>
        <v>56003.15887850467</v>
      </c>
      <c r="M21" s="566">
        <f t="shared" si="0"/>
        <v>74588.943383170772</v>
      </c>
      <c r="N21" s="566">
        <f t="shared" si="1"/>
        <v>3485.2588588529807</v>
      </c>
      <c r="O21" s="565">
        <f t="shared" si="2"/>
        <v>78074.202242023748</v>
      </c>
      <c r="P21" s="567">
        <f t="shared" si="3"/>
        <v>78074.202242023748</v>
      </c>
      <c r="Q21" s="568">
        <f t="shared" si="4"/>
        <v>78074.202242023748</v>
      </c>
      <c r="R21" s="569">
        <f t="shared" si="5"/>
        <v>0</v>
      </c>
      <c r="S21" s="230"/>
      <c r="T21" s="439"/>
      <c r="U21" s="275"/>
      <c r="V21" s="281"/>
      <c r="AK21" s="278"/>
      <c r="AL21" s="227" t="s">
        <v>310</v>
      </c>
      <c r="AM21" s="227"/>
      <c r="AN21" s="228"/>
      <c r="AO21" s="228"/>
      <c r="AP21" s="228"/>
      <c r="AQ21" s="228"/>
      <c r="AR21" s="229">
        <f>AP20*0.0055</f>
        <v>15180</v>
      </c>
    </row>
    <row r="22" spans="1:44" s="226" customFormat="1" x14ac:dyDescent="0.25">
      <c r="A22" s="263"/>
      <c r="B22" s="261"/>
      <c r="C22" s="293">
        <v>6</v>
      </c>
      <c r="D22" s="499" t="s">
        <v>505</v>
      </c>
      <c r="E22" s="71">
        <v>1</v>
      </c>
      <c r="F22" s="302">
        <v>1</v>
      </c>
      <c r="G22" s="262" t="s">
        <v>301</v>
      </c>
      <c r="H22" s="72">
        <v>35000</v>
      </c>
      <c r="I22" s="72">
        <f t="shared" si="6"/>
        <v>35000</v>
      </c>
      <c r="J22" s="72">
        <v>5000</v>
      </c>
      <c r="K22" s="72">
        <f t="shared" si="7"/>
        <v>5000</v>
      </c>
      <c r="L22" s="72">
        <f t="shared" si="8"/>
        <v>40000</v>
      </c>
      <c r="M22" s="566">
        <f t="shared" si="0"/>
        <v>48793.624023941731</v>
      </c>
      <c r="N22" s="566">
        <f t="shared" si="1"/>
        <v>6970.5177177059613</v>
      </c>
      <c r="O22" s="565">
        <f t="shared" si="2"/>
        <v>55764.141741647691</v>
      </c>
      <c r="P22" s="567">
        <f t="shared" si="3"/>
        <v>55764.141741647691</v>
      </c>
      <c r="Q22" s="568">
        <f t="shared" si="4"/>
        <v>55764.141741647691</v>
      </c>
      <c r="R22" s="569">
        <f t="shared" si="5"/>
        <v>0</v>
      </c>
      <c r="S22" s="230"/>
      <c r="T22" s="442"/>
      <c r="U22" s="275"/>
      <c r="V22" s="276"/>
      <c r="AK22" s="278"/>
      <c r="AL22" s="227" t="s">
        <v>312</v>
      </c>
      <c r="AM22" s="227"/>
      <c r="AN22" s="228"/>
      <c r="AO22" s="228"/>
      <c r="AP22" s="228"/>
      <c r="AQ22" s="228"/>
      <c r="AR22" s="229">
        <f>(AR21*0.125)+30</f>
        <v>1927.5</v>
      </c>
    </row>
    <row r="23" spans="1:44" s="226" customFormat="1" x14ac:dyDescent="0.25">
      <c r="A23" s="263"/>
      <c r="B23" s="261"/>
      <c r="C23" s="293">
        <v>7</v>
      </c>
      <c r="D23" s="499" t="s">
        <v>488</v>
      </c>
      <c r="E23" s="71">
        <v>1</v>
      </c>
      <c r="F23" s="302">
        <v>1</v>
      </c>
      <c r="G23" s="262" t="s">
        <v>301</v>
      </c>
      <c r="H23" s="72">
        <f>135*800</f>
        <v>108000</v>
      </c>
      <c r="I23" s="72">
        <f t="shared" si="6"/>
        <v>108000</v>
      </c>
      <c r="J23" s="72"/>
      <c r="K23" s="72">
        <f t="shared" si="7"/>
        <v>0</v>
      </c>
      <c r="L23" s="72">
        <f t="shared" si="8"/>
        <v>108000</v>
      </c>
      <c r="M23" s="566">
        <f t="shared" si="0"/>
        <v>150563.18270244877</v>
      </c>
      <c r="N23" s="566">
        <f t="shared" si="1"/>
        <v>0</v>
      </c>
      <c r="O23" s="565">
        <f t="shared" si="2"/>
        <v>150563.18270244877</v>
      </c>
      <c r="P23" s="567">
        <f t="shared" si="3"/>
        <v>150563.18270244877</v>
      </c>
      <c r="Q23" s="568">
        <f t="shared" si="4"/>
        <v>150563.18270244877</v>
      </c>
      <c r="R23" s="569">
        <f t="shared" si="5"/>
        <v>0</v>
      </c>
      <c r="S23" s="230"/>
      <c r="T23" s="442"/>
      <c r="U23" s="275"/>
      <c r="V23" s="276"/>
      <c r="AK23" s="278"/>
      <c r="AL23" s="227" t="s">
        <v>314</v>
      </c>
      <c r="AM23" s="227"/>
      <c r="AN23" s="228"/>
      <c r="AO23" s="228"/>
      <c r="AP23" s="228"/>
      <c r="AQ23" s="228"/>
      <c r="AR23" s="229">
        <f>AR21*0.12</f>
        <v>1821.6</v>
      </c>
    </row>
    <row r="24" spans="1:44" s="225" customFormat="1" x14ac:dyDescent="0.25">
      <c r="A24" s="263"/>
      <c r="B24" s="261"/>
      <c r="C24" s="318">
        <v>8</v>
      </c>
      <c r="D24" s="516" t="s">
        <v>309</v>
      </c>
      <c r="E24" s="71">
        <v>1</v>
      </c>
      <c r="F24" s="302">
        <v>1</v>
      </c>
      <c r="G24" s="262" t="s">
        <v>301</v>
      </c>
      <c r="H24" s="72"/>
      <c r="I24" s="72">
        <f t="shared" si="6"/>
        <v>0</v>
      </c>
      <c r="J24" s="72"/>
      <c r="K24" s="72">
        <f t="shared" si="7"/>
        <v>0</v>
      </c>
      <c r="L24" s="72">
        <f t="shared" si="8"/>
        <v>0</v>
      </c>
      <c r="M24" s="566">
        <f t="shared" si="0"/>
        <v>0</v>
      </c>
      <c r="N24" s="566">
        <f t="shared" si="1"/>
        <v>0</v>
      </c>
      <c r="O24" s="565">
        <f t="shared" si="2"/>
        <v>0</v>
      </c>
      <c r="P24" s="567">
        <f t="shared" si="3"/>
        <v>0</v>
      </c>
      <c r="Q24" s="568">
        <f t="shared" si="4"/>
        <v>0</v>
      </c>
      <c r="R24" s="569">
        <f t="shared" si="5"/>
        <v>0</v>
      </c>
      <c r="S24" s="230"/>
      <c r="T24" s="442"/>
      <c r="U24" s="275"/>
      <c r="V24" s="276"/>
      <c r="AK24" s="278"/>
      <c r="AL24" s="285" t="s">
        <v>299</v>
      </c>
      <c r="AM24" s="285"/>
      <c r="AN24" s="286"/>
      <c r="AO24" s="286"/>
      <c r="AP24" s="286"/>
      <c r="AQ24" s="286"/>
      <c r="AR24" s="127">
        <f>AR21*0.002</f>
        <v>30.36</v>
      </c>
    </row>
    <row r="25" spans="1:44" s="226" customFormat="1" x14ac:dyDescent="0.25">
      <c r="A25" s="263"/>
      <c r="B25" s="261"/>
      <c r="C25" s="293">
        <v>9</v>
      </c>
      <c r="D25" s="499" t="s">
        <v>499</v>
      </c>
      <c r="E25" s="71">
        <f>(60*10)+(60*12)</f>
        <v>1320</v>
      </c>
      <c r="F25" s="71">
        <f>(60*10)+(60*12)</f>
        <v>1320</v>
      </c>
      <c r="G25" s="262" t="s">
        <v>506</v>
      </c>
      <c r="H25" s="486">
        <f>155+47*5</f>
        <v>390</v>
      </c>
      <c r="I25" s="72">
        <f t="shared" si="6"/>
        <v>514800</v>
      </c>
      <c r="J25" s="72">
        <v>76</v>
      </c>
      <c r="K25" s="72">
        <f t="shared" si="7"/>
        <v>100320</v>
      </c>
      <c r="L25" s="72">
        <f t="shared" si="8"/>
        <v>615120</v>
      </c>
      <c r="M25" s="566">
        <f t="shared" si="0"/>
        <v>543.70038198106499</v>
      </c>
      <c r="N25" s="566">
        <f t="shared" si="1"/>
        <v>105.95186930913061</v>
      </c>
      <c r="O25" s="565">
        <f t="shared" si="2"/>
        <v>649.65225129019564</v>
      </c>
      <c r="P25" s="567">
        <f t="shared" si="3"/>
        <v>857540.97170305823</v>
      </c>
      <c r="Q25" s="568">
        <f t="shared" si="4"/>
        <v>857540.97170305823</v>
      </c>
      <c r="R25" s="569">
        <f t="shared" si="5"/>
        <v>0</v>
      </c>
      <c r="S25" s="230"/>
      <c r="T25" s="442"/>
      <c r="U25" s="275"/>
      <c r="V25" s="276"/>
      <c r="AK25" s="278"/>
      <c r="AL25" s="590" t="s">
        <v>302</v>
      </c>
      <c r="AM25" s="590"/>
      <c r="AN25" s="591"/>
      <c r="AO25" s="591"/>
      <c r="AP25" s="591"/>
      <c r="AQ25" s="591"/>
      <c r="AR25" s="592">
        <v>200</v>
      </c>
    </row>
    <row r="26" spans="1:44" s="226" customFormat="1" x14ac:dyDescent="0.25">
      <c r="A26" s="263"/>
      <c r="B26" s="261"/>
      <c r="C26" s="293">
        <v>10</v>
      </c>
      <c r="D26" s="499" t="s">
        <v>500</v>
      </c>
      <c r="E26" s="71">
        <v>1</v>
      </c>
      <c r="F26" s="302">
        <v>1</v>
      </c>
      <c r="G26" s="262" t="s">
        <v>301</v>
      </c>
      <c r="H26" s="72">
        <f>4*12000/1.03</f>
        <v>46601.941747572811</v>
      </c>
      <c r="I26" s="72">
        <f t="shared" si="6"/>
        <v>46601.941747572811</v>
      </c>
      <c r="J26" s="72">
        <v>4000</v>
      </c>
      <c r="K26" s="72">
        <f t="shared" si="7"/>
        <v>4000</v>
      </c>
      <c r="L26" s="72">
        <f t="shared" si="8"/>
        <v>50601.941747572811</v>
      </c>
      <c r="M26" s="566">
        <f t="shared" si="0"/>
        <v>64967.932126191481</v>
      </c>
      <c r="N26" s="566">
        <f t="shared" si="1"/>
        <v>5576.4141741647691</v>
      </c>
      <c r="O26" s="565">
        <f t="shared" si="2"/>
        <v>70544.34630035625</v>
      </c>
      <c r="P26" s="567">
        <f t="shared" si="3"/>
        <v>70544.34630035625</v>
      </c>
      <c r="Q26" s="568">
        <f t="shared" si="4"/>
        <v>70544.34630035625</v>
      </c>
      <c r="R26" s="569">
        <f t="shared" si="5"/>
        <v>0</v>
      </c>
      <c r="S26" s="230"/>
      <c r="T26" s="442"/>
      <c r="U26" s="275"/>
      <c r="V26" s="276"/>
      <c r="AK26" s="278"/>
      <c r="AL26" s="590" t="s">
        <v>304</v>
      </c>
      <c r="AM26" s="590"/>
      <c r="AN26" s="591"/>
      <c r="AO26" s="591"/>
      <c r="AP26" s="591"/>
      <c r="AQ26" s="591"/>
      <c r="AR26" s="596">
        <f>SUM(AR20:AR25)</f>
        <v>19159.46</v>
      </c>
    </row>
    <row r="27" spans="1:44" s="573" customFormat="1" x14ac:dyDescent="0.25">
      <c r="A27" s="577"/>
      <c r="B27" s="578"/>
      <c r="C27" s="560">
        <v>11</v>
      </c>
      <c r="D27" s="561" t="s">
        <v>311</v>
      </c>
      <c r="E27" s="562">
        <v>1</v>
      </c>
      <c r="F27" s="563">
        <v>1</v>
      </c>
      <c r="G27" s="564" t="s">
        <v>301</v>
      </c>
      <c r="H27" s="565"/>
      <c r="I27" s="565">
        <f t="shared" si="6"/>
        <v>0</v>
      </c>
      <c r="J27" s="565"/>
      <c r="K27" s="565">
        <f t="shared" si="7"/>
        <v>0</v>
      </c>
      <c r="L27" s="565">
        <f t="shared" si="8"/>
        <v>0</v>
      </c>
      <c r="M27" s="566">
        <f t="shared" si="0"/>
        <v>0</v>
      </c>
      <c r="N27" s="566">
        <f t="shared" si="1"/>
        <v>0</v>
      </c>
      <c r="O27" s="565">
        <f t="shared" si="2"/>
        <v>0</v>
      </c>
      <c r="P27" s="567">
        <f t="shared" si="3"/>
        <v>0</v>
      </c>
      <c r="Q27" s="568">
        <f t="shared" si="4"/>
        <v>0</v>
      </c>
      <c r="R27" s="569">
        <f t="shared" si="5"/>
        <v>0</v>
      </c>
      <c r="T27" s="579"/>
      <c r="U27" s="571"/>
      <c r="V27" s="572"/>
      <c r="AK27" s="574"/>
      <c r="AL27" s="227"/>
      <c r="AM27" s="227"/>
      <c r="AN27" s="228"/>
      <c r="AO27" s="228"/>
      <c r="AP27" s="228"/>
      <c r="AQ27" s="228"/>
      <c r="AR27" s="229"/>
    </row>
    <row r="28" spans="1:44" s="226" customFormat="1" ht="15.75" x14ac:dyDescent="0.25">
      <c r="A28" s="265"/>
      <c r="B28" s="258"/>
      <c r="C28" s="293">
        <v>12</v>
      </c>
      <c r="D28" s="259" t="s">
        <v>313</v>
      </c>
      <c r="E28" s="71">
        <v>1</v>
      </c>
      <c r="F28" s="302">
        <v>1</v>
      </c>
      <c r="G28" s="262" t="s">
        <v>301</v>
      </c>
      <c r="H28" s="72">
        <v>10000</v>
      </c>
      <c r="I28" s="72">
        <f t="shared" si="6"/>
        <v>10000</v>
      </c>
      <c r="J28" s="72">
        <v>15000</v>
      </c>
      <c r="K28" s="72">
        <f t="shared" si="7"/>
        <v>15000</v>
      </c>
      <c r="L28" s="72">
        <f t="shared" si="8"/>
        <v>25000</v>
      </c>
      <c r="M28" s="566">
        <f t="shared" si="0"/>
        <v>13941.035435411923</v>
      </c>
      <c r="N28" s="566">
        <f t="shared" si="1"/>
        <v>20911.553153117886</v>
      </c>
      <c r="O28" s="565">
        <f t="shared" si="2"/>
        <v>34852.588588529805</v>
      </c>
      <c r="P28" s="567">
        <f t="shared" si="3"/>
        <v>34852.588588529805</v>
      </c>
      <c r="Q28" s="568">
        <f t="shared" si="4"/>
        <v>34852.588588529812</v>
      </c>
      <c r="R28" s="569">
        <f t="shared" si="5"/>
        <v>0</v>
      </c>
      <c r="T28" s="224"/>
      <c r="U28" s="275"/>
      <c r="V28" s="276"/>
      <c r="AK28" s="278"/>
      <c r="AL28" s="288" t="s">
        <v>318</v>
      </c>
      <c r="AM28" s="227"/>
      <c r="AN28" s="228"/>
      <c r="AO28" s="228"/>
      <c r="AP28" s="232">
        <f>9200000</f>
        <v>9200000</v>
      </c>
      <c r="AQ28" s="228"/>
      <c r="AR28" s="229"/>
    </row>
    <row r="29" spans="1:44" s="226" customFormat="1" x14ac:dyDescent="0.25">
      <c r="A29" s="263"/>
      <c r="B29" s="261"/>
      <c r="C29" s="293">
        <v>13</v>
      </c>
      <c r="D29" s="481" t="s">
        <v>497</v>
      </c>
      <c r="E29" s="71">
        <v>1</v>
      </c>
      <c r="F29" s="302">
        <v>1</v>
      </c>
      <c r="G29" s="262" t="s">
        <v>301</v>
      </c>
      <c r="H29" s="72">
        <v>45000</v>
      </c>
      <c r="I29" s="72">
        <f t="shared" si="6"/>
        <v>45000</v>
      </c>
      <c r="J29" s="72"/>
      <c r="K29" s="72">
        <f t="shared" si="7"/>
        <v>0</v>
      </c>
      <c r="L29" s="72">
        <f t="shared" si="8"/>
        <v>45000</v>
      </c>
      <c r="M29" s="566">
        <f t="shared" si="0"/>
        <v>62734.65945935365</v>
      </c>
      <c r="N29" s="566">
        <f t="shared" si="1"/>
        <v>0</v>
      </c>
      <c r="O29" s="565">
        <f t="shared" si="2"/>
        <v>62734.65945935365</v>
      </c>
      <c r="P29" s="567">
        <f t="shared" si="3"/>
        <v>62734.65945935365</v>
      </c>
      <c r="Q29" s="568">
        <f t="shared" si="4"/>
        <v>62734.65945935365</v>
      </c>
      <c r="R29" s="569">
        <f t="shared" si="5"/>
        <v>0</v>
      </c>
      <c r="S29" s="230"/>
      <c r="T29" s="439"/>
      <c r="U29" s="275"/>
      <c r="V29" s="281"/>
      <c r="AK29" s="278"/>
      <c r="AL29" s="227" t="s">
        <v>310</v>
      </c>
      <c r="AM29" s="227"/>
      <c r="AN29" s="228"/>
      <c r="AO29" s="228"/>
      <c r="AP29" s="228"/>
      <c r="AQ29" s="228"/>
      <c r="AR29" s="229">
        <f>AP28*0.0015</f>
        <v>13800</v>
      </c>
    </row>
    <row r="30" spans="1:44" s="226" customFormat="1" x14ac:dyDescent="0.25">
      <c r="A30" s="263"/>
      <c r="B30" s="261"/>
      <c r="C30" s="293">
        <v>14</v>
      </c>
      <c r="D30" s="481" t="s">
        <v>498</v>
      </c>
      <c r="E30" s="71">
        <v>1</v>
      </c>
      <c r="F30" s="302">
        <v>1</v>
      </c>
      <c r="G30" s="262" t="s">
        <v>301</v>
      </c>
      <c r="H30" s="484">
        <f>4*8500/1.05</f>
        <v>32380.952380952378</v>
      </c>
      <c r="I30" s="72">
        <f t="shared" si="6"/>
        <v>32380.952380952378</v>
      </c>
      <c r="J30" s="72">
        <v>2000</v>
      </c>
      <c r="K30" s="72">
        <f t="shared" si="7"/>
        <v>2000</v>
      </c>
      <c r="L30" s="72">
        <f t="shared" si="8"/>
        <v>34380.952380952382</v>
      </c>
      <c r="M30" s="566">
        <f t="shared" si="0"/>
        <v>45142.400457524316</v>
      </c>
      <c r="N30" s="566">
        <f t="shared" si="1"/>
        <v>2788.2070870823845</v>
      </c>
      <c r="O30" s="565">
        <f t="shared" si="2"/>
        <v>47930.607544606697</v>
      </c>
      <c r="P30" s="567">
        <f t="shared" si="3"/>
        <v>47930.607544606697</v>
      </c>
      <c r="Q30" s="568">
        <f t="shared" si="4"/>
        <v>47930.607544606712</v>
      </c>
      <c r="R30" s="569">
        <f t="shared" si="5"/>
        <v>0</v>
      </c>
      <c r="S30" s="230"/>
      <c r="T30" s="442"/>
      <c r="U30" s="275"/>
      <c r="V30" s="276"/>
      <c r="AK30" s="278"/>
      <c r="AL30" s="590" t="s">
        <v>312</v>
      </c>
      <c r="AM30" s="590"/>
      <c r="AN30" s="591"/>
      <c r="AO30" s="591"/>
      <c r="AP30" s="591"/>
      <c r="AQ30" s="591"/>
      <c r="AR30" s="592">
        <f>AR29*0.125</f>
        <v>1725</v>
      </c>
    </row>
    <row r="31" spans="1:44" s="226" customFormat="1" x14ac:dyDescent="0.25">
      <c r="A31" s="265"/>
      <c r="B31" s="258"/>
      <c r="C31" s="293">
        <v>15</v>
      </c>
      <c r="D31" s="481" t="s">
        <v>501</v>
      </c>
      <c r="E31" s="71">
        <v>1</v>
      </c>
      <c r="F31" s="302">
        <v>1</v>
      </c>
      <c r="G31" s="262" t="s">
        <v>301</v>
      </c>
      <c r="H31" s="483">
        <f>(4*14000/1.03+20000/1.03)*0.7</f>
        <v>51650.485436893199</v>
      </c>
      <c r="I31" s="72">
        <f t="shared" si="6"/>
        <v>51650.485436893199</v>
      </c>
      <c r="J31" s="483">
        <f>(4*14000/1.03+20000/1.03)*0.3</f>
        <v>22135.922330097088</v>
      </c>
      <c r="K31" s="72">
        <f t="shared" si="7"/>
        <v>22135.922330097088</v>
      </c>
      <c r="L31" s="72">
        <f t="shared" si="8"/>
        <v>73786.407766990291</v>
      </c>
      <c r="M31" s="566">
        <f t="shared" si="0"/>
        <v>72006.124773195566</v>
      </c>
      <c r="N31" s="566">
        <f t="shared" si="1"/>
        <v>30859.767759940954</v>
      </c>
      <c r="O31" s="565">
        <f t="shared" si="2"/>
        <v>102865.89253313652</v>
      </c>
      <c r="P31" s="567">
        <f t="shared" si="3"/>
        <v>102865.89253313652</v>
      </c>
      <c r="Q31" s="568">
        <f t="shared" si="4"/>
        <v>102865.89253313652</v>
      </c>
      <c r="R31" s="569">
        <f t="shared" si="5"/>
        <v>0</v>
      </c>
      <c r="T31" s="224"/>
      <c r="U31" s="275"/>
      <c r="V31" s="276"/>
      <c r="AK31" s="278"/>
      <c r="AL31" s="590" t="s">
        <v>314</v>
      </c>
      <c r="AM31" s="590"/>
      <c r="AN31" s="591"/>
      <c r="AO31" s="591"/>
      <c r="AP31" s="591"/>
      <c r="AQ31" s="591"/>
      <c r="AR31" s="592">
        <f>AR29*0.12</f>
        <v>1656</v>
      </c>
    </row>
    <row r="32" spans="1:44" s="226" customFormat="1" x14ac:dyDescent="0.25">
      <c r="A32" s="265"/>
      <c r="B32" s="258"/>
      <c r="C32" s="293">
        <v>16</v>
      </c>
      <c r="D32" s="481" t="s">
        <v>502</v>
      </c>
      <c r="E32" s="71">
        <v>1</v>
      </c>
      <c r="F32" s="302">
        <v>1</v>
      </c>
      <c r="G32" s="262" t="s">
        <v>301</v>
      </c>
      <c r="H32" s="72">
        <f>3000*5</f>
        <v>15000</v>
      </c>
      <c r="I32" s="72">
        <f t="shared" si="6"/>
        <v>15000</v>
      </c>
      <c r="J32" s="72">
        <f>1700*5</f>
        <v>8500</v>
      </c>
      <c r="K32" s="72">
        <f t="shared" si="7"/>
        <v>8500</v>
      </c>
      <c r="L32" s="72">
        <f t="shared" si="8"/>
        <v>23500</v>
      </c>
      <c r="M32" s="566">
        <f t="shared" si="0"/>
        <v>20911.553153117886</v>
      </c>
      <c r="N32" s="566">
        <f t="shared" si="1"/>
        <v>11849.880120100135</v>
      </c>
      <c r="O32" s="565">
        <f t="shared" si="2"/>
        <v>32761.433273218019</v>
      </c>
      <c r="P32" s="567">
        <f t="shared" si="3"/>
        <v>32761.433273218019</v>
      </c>
      <c r="Q32" s="568">
        <f t="shared" si="4"/>
        <v>32761.433273218016</v>
      </c>
      <c r="R32" s="569">
        <f t="shared" si="5"/>
        <v>0</v>
      </c>
      <c r="T32" s="224"/>
      <c r="U32" s="275"/>
      <c r="V32" s="276"/>
      <c r="AK32" s="278"/>
      <c r="AL32" s="590" t="s">
        <v>299</v>
      </c>
      <c r="AM32" s="590"/>
      <c r="AN32" s="591"/>
      <c r="AO32" s="591"/>
      <c r="AP32" s="591"/>
      <c r="AQ32" s="591"/>
      <c r="AR32" s="592">
        <f>AR29*0.002</f>
        <v>27.6</v>
      </c>
    </row>
    <row r="33" spans="1:44" s="226" customFormat="1" x14ac:dyDescent="0.25">
      <c r="A33" s="265"/>
      <c r="B33" s="258"/>
      <c r="C33" s="293">
        <v>17</v>
      </c>
      <c r="D33" s="481" t="s">
        <v>484</v>
      </c>
      <c r="E33" s="71">
        <v>1</v>
      </c>
      <c r="F33" s="302">
        <v>1</v>
      </c>
      <c r="G33" s="262" t="s">
        <v>301</v>
      </c>
      <c r="H33" s="72">
        <v>10000</v>
      </c>
      <c r="I33" s="72">
        <f t="shared" si="6"/>
        <v>10000</v>
      </c>
      <c r="J33" s="72">
        <v>5000</v>
      </c>
      <c r="K33" s="72">
        <f t="shared" si="7"/>
        <v>5000</v>
      </c>
      <c r="L33" s="72">
        <f t="shared" si="8"/>
        <v>15000</v>
      </c>
      <c r="M33" s="566">
        <f t="shared" si="0"/>
        <v>13941.035435411923</v>
      </c>
      <c r="N33" s="566">
        <f t="shared" si="1"/>
        <v>6970.5177177059613</v>
      </c>
      <c r="O33" s="565">
        <f t="shared" si="2"/>
        <v>20911.553153117886</v>
      </c>
      <c r="P33" s="567">
        <f t="shared" si="3"/>
        <v>20911.553153117886</v>
      </c>
      <c r="Q33" s="568">
        <f t="shared" si="4"/>
        <v>20911.553153117886</v>
      </c>
      <c r="R33" s="569">
        <f t="shared" si="5"/>
        <v>0</v>
      </c>
      <c r="T33" s="224"/>
      <c r="U33" s="275"/>
      <c r="V33" s="276"/>
      <c r="AK33" s="278"/>
      <c r="AL33" s="590" t="s">
        <v>304</v>
      </c>
      <c r="AM33" s="590"/>
      <c r="AN33" s="591"/>
      <c r="AO33" s="591"/>
      <c r="AP33" s="591"/>
      <c r="AQ33" s="591"/>
      <c r="AR33" s="596">
        <f>SUM(AR28:AR32)</f>
        <v>17208.599999999999</v>
      </c>
    </row>
    <row r="34" spans="1:44" s="226" customFormat="1" ht="15.75" thickBot="1" x14ac:dyDescent="0.3">
      <c r="A34" s="267"/>
      <c r="B34" s="268"/>
      <c r="C34" s="296"/>
      <c r="D34" s="269"/>
      <c r="E34" s="182"/>
      <c r="F34" s="303"/>
      <c r="G34" s="270"/>
      <c r="H34" s="4"/>
      <c r="I34" s="4"/>
      <c r="J34" s="4"/>
      <c r="K34" s="4"/>
      <c r="L34" s="4"/>
      <c r="M34" s="4"/>
      <c r="N34" s="4"/>
      <c r="O34" s="271"/>
      <c r="P34" s="209"/>
      <c r="Q34" s="272">
        <f>L34/$P$260*$P$268</f>
        <v>0</v>
      </c>
      <c r="R34" s="439">
        <f t="shared" ref="R34:R36" si="9">P34-Q34</f>
        <v>0</v>
      </c>
      <c r="T34" s="224"/>
      <c r="U34" s="275"/>
      <c r="V34" s="276"/>
      <c r="AK34" s="278"/>
      <c r="AL34" s="225"/>
      <c r="AM34" s="225"/>
    </row>
    <row r="35" spans="1:44" s="234" customFormat="1" ht="15.75" thickBot="1" x14ac:dyDescent="0.3">
      <c r="A35" s="308"/>
      <c r="B35" s="910" t="s">
        <v>316</v>
      </c>
      <c r="C35" s="911"/>
      <c r="D35" s="912"/>
      <c r="E35" s="309"/>
      <c r="F35" s="310"/>
      <c r="G35" s="311"/>
      <c r="H35" s="312"/>
      <c r="I35" s="313">
        <f>SUM(I16:I34)</f>
        <v>944436.53844392311</v>
      </c>
      <c r="J35" s="312"/>
      <c r="K35" s="313">
        <f>SUM(K16:K34)</f>
        <v>403289.25566343038</v>
      </c>
      <c r="L35" s="313">
        <f>SUM(L16:L34)</f>
        <v>1347725.7941073535</v>
      </c>
      <c r="M35" s="312"/>
      <c r="N35" s="312"/>
      <c r="O35" s="313"/>
      <c r="P35" s="314">
        <f>SUM(P16:P34)</f>
        <v>1878869.305286929</v>
      </c>
      <c r="Q35" s="272">
        <f>L35/$P$260*$P$268</f>
        <v>1878869.3052869288</v>
      </c>
      <c r="R35" s="439">
        <f t="shared" si="9"/>
        <v>0</v>
      </c>
      <c r="T35" s="443"/>
      <c r="U35" s="275"/>
      <c r="V35" s="276"/>
      <c r="W35" s="925" t="s">
        <v>292</v>
      </c>
      <c r="X35" s="925"/>
      <c r="Y35" s="925"/>
      <c r="Z35" s="586" t="s">
        <v>243</v>
      </c>
      <c r="AA35" s="586" t="s">
        <v>244</v>
      </c>
      <c r="AB35" s="586" t="s">
        <v>245</v>
      </c>
      <c r="AC35" s="587" t="s">
        <v>246</v>
      </c>
      <c r="AD35" s="588" t="s">
        <v>247</v>
      </c>
      <c r="AE35" s="586" t="s">
        <v>248</v>
      </c>
      <c r="AF35" s="589" t="s">
        <v>249</v>
      </c>
      <c r="AK35" s="278"/>
      <c r="AL35" s="225"/>
      <c r="AM35" s="282"/>
    </row>
    <row r="36" spans="1:44" s="226" customFormat="1" ht="15.75" x14ac:dyDescent="0.25">
      <c r="A36" s="323" t="s">
        <v>82</v>
      </c>
      <c r="B36" s="252" t="s">
        <v>79</v>
      </c>
      <c r="C36" s="297"/>
      <c r="D36" s="253"/>
      <c r="E36" s="254"/>
      <c r="F36" s="304"/>
      <c r="G36" s="255"/>
      <c r="H36" s="256"/>
      <c r="I36" s="256"/>
      <c r="J36" s="256"/>
      <c r="K36" s="256"/>
      <c r="L36" s="256"/>
      <c r="M36" s="256"/>
      <c r="N36" s="256"/>
      <c r="O36" s="256"/>
      <c r="P36" s="257"/>
      <c r="Q36" s="272">
        <f>L36/$P$260*$P$268</f>
        <v>0</v>
      </c>
      <c r="R36" s="439">
        <f t="shared" si="9"/>
        <v>0</v>
      </c>
      <c r="T36" s="224"/>
      <c r="U36" s="283"/>
      <c r="V36" s="284"/>
      <c r="W36" s="926" t="s">
        <v>260</v>
      </c>
      <c r="X36" s="926"/>
      <c r="Y36" s="926"/>
      <c r="Z36" s="593" t="s">
        <v>251</v>
      </c>
      <c r="AA36" s="674">
        <v>4.93</v>
      </c>
      <c r="AB36" s="674">
        <v>5.15</v>
      </c>
      <c r="AC36" s="587">
        <f>154/1.06</f>
        <v>145.28301886792451</v>
      </c>
      <c r="AD36" s="588">
        <f>AC36*AB36</f>
        <v>748.20754716981128</v>
      </c>
      <c r="AE36" s="674">
        <v>18</v>
      </c>
      <c r="AF36" s="595">
        <f>AE36*AB36</f>
        <v>92.7</v>
      </c>
      <c r="AK36" s="127"/>
    </row>
    <row r="37" spans="1:44" x14ac:dyDescent="0.25">
      <c r="A37" s="237"/>
      <c r="B37" s="290" t="s">
        <v>319</v>
      </c>
      <c r="C37" s="291" t="s">
        <v>25</v>
      </c>
      <c r="D37" s="166"/>
      <c r="E37" s="239"/>
      <c r="F37" s="301"/>
      <c r="G37" s="68"/>
      <c r="H37" s="67"/>
      <c r="I37" s="67"/>
      <c r="J37" s="67"/>
      <c r="K37" s="67"/>
      <c r="L37" s="67"/>
      <c r="M37" s="69"/>
      <c r="N37" s="69"/>
      <c r="O37" s="69"/>
      <c r="P37" s="203"/>
      <c r="Q37" s="272">
        <f>L37/$P$260*$P$268</f>
        <v>0</v>
      </c>
      <c r="R37" s="439"/>
      <c r="W37" s="878" t="s">
        <v>261</v>
      </c>
      <c r="X37" s="878"/>
      <c r="Y37" s="878"/>
      <c r="Z37" s="124" t="s">
        <v>262</v>
      </c>
      <c r="AA37" s="661">
        <v>4.9299999999999997E-2</v>
      </c>
      <c r="AB37" s="661">
        <v>0.05</v>
      </c>
      <c r="AC37" s="123">
        <f>580/1.05</f>
        <v>552.38095238095241</v>
      </c>
      <c r="AD37" s="196">
        <f>AC37*AB37</f>
        <v>27.61904761904762</v>
      </c>
      <c r="AE37" s="661"/>
      <c r="AF37" s="219">
        <f>AE37*AB37</f>
        <v>0</v>
      </c>
    </row>
    <row r="38" spans="1:44" x14ac:dyDescent="0.25">
      <c r="A38" s="237"/>
      <c r="B38" s="246"/>
      <c r="C38" s="293">
        <v>1</v>
      </c>
      <c r="D38" s="81" t="s">
        <v>289</v>
      </c>
      <c r="E38" s="239">
        <f>491+3.8</f>
        <v>494.8</v>
      </c>
      <c r="F38" s="301">
        <v>498</v>
      </c>
      <c r="G38" s="68" t="s">
        <v>16</v>
      </c>
      <c r="H38" s="67">
        <f>AD47</f>
        <v>845.47169811320759</v>
      </c>
      <c r="I38" s="67">
        <f>F38*H38</f>
        <v>421044.90566037741</v>
      </c>
      <c r="J38" s="74">
        <f>AF47</f>
        <v>214.6</v>
      </c>
      <c r="K38" s="67">
        <f>F38*J38</f>
        <v>106870.8</v>
      </c>
      <c r="L38" s="67">
        <f>K38+I38</f>
        <v>527915.7056603774</v>
      </c>
      <c r="M38" s="566">
        <f t="shared" ref="M38:M49" si="10">H38/$P$260*$P$268</f>
        <v>1178.6750903034119</v>
      </c>
      <c r="N38" s="566">
        <f t="shared" ref="N38:N49" si="11">J38/$P$260*$P$268</f>
        <v>299.17462044393983</v>
      </c>
      <c r="O38" s="565">
        <f t="shared" ref="O38:O49" si="12">N38+M38</f>
        <v>1477.8497107473518</v>
      </c>
      <c r="P38" s="567">
        <f t="shared" ref="P38:P49" si="13">O38*F38</f>
        <v>735969.1559521812</v>
      </c>
      <c r="Q38" s="568">
        <f t="shared" ref="Q38:Q49" si="14">L38/$P$260*$P$268</f>
        <v>735969.1559521812</v>
      </c>
      <c r="R38" s="569">
        <f t="shared" ref="R38:R49" si="15">P38-Q38</f>
        <v>0</v>
      </c>
      <c r="W38" s="878" t="str">
        <f>W61</f>
        <v>mortar (topping) included @ other item</v>
      </c>
      <c r="X38" s="878"/>
      <c r="Y38" s="878"/>
      <c r="Z38" s="124" t="s">
        <v>257</v>
      </c>
      <c r="AA38" s="661">
        <v>1</v>
      </c>
      <c r="AB38" s="661">
        <v>1</v>
      </c>
      <c r="AC38" s="123">
        <f>AC62</f>
        <v>0</v>
      </c>
      <c r="AD38" s="196">
        <f>AC38*AB38</f>
        <v>0</v>
      </c>
      <c r="AE38" s="661">
        <f>AE46</f>
        <v>0</v>
      </c>
      <c r="AF38" s="219">
        <f>AE38*AB38</f>
        <v>0</v>
      </c>
    </row>
    <row r="39" spans="1:44" x14ac:dyDescent="0.25">
      <c r="A39" s="238"/>
      <c r="B39" s="246"/>
      <c r="C39" s="293">
        <v>2</v>
      </c>
      <c r="D39" s="81" t="s">
        <v>270</v>
      </c>
      <c r="E39" s="239">
        <f>262</f>
        <v>262</v>
      </c>
      <c r="F39" s="301">
        <v>265</v>
      </c>
      <c r="G39" s="68" t="s">
        <v>16</v>
      </c>
      <c r="H39" s="67">
        <f>AD39</f>
        <v>775.82659478885887</v>
      </c>
      <c r="I39" s="67">
        <f>F39*H39</f>
        <v>205594.0476190476</v>
      </c>
      <c r="J39" s="74">
        <v>75</v>
      </c>
      <c r="K39" s="67">
        <f t="shared" ref="K39:K45" si="16">F39*J39</f>
        <v>19875</v>
      </c>
      <c r="L39" s="67">
        <f t="shared" ref="L39:L45" si="17">K39+I39</f>
        <v>225469.0476190476</v>
      </c>
      <c r="M39" s="566">
        <f t="shared" si="10"/>
        <v>1081.5826049686448</v>
      </c>
      <c r="N39" s="566">
        <f t="shared" si="11"/>
        <v>104.55776576558942</v>
      </c>
      <c r="O39" s="565">
        <f t="shared" si="12"/>
        <v>1186.1403707342342</v>
      </c>
      <c r="P39" s="567">
        <f t="shared" si="13"/>
        <v>314327.19824457209</v>
      </c>
      <c r="Q39" s="568">
        <f t="shared" si="14"/>
        <v>314327.19824457209</v>
      </c>
      <c r="R39" s="569">
        <f t="shared" si="15"/>
        <v>0</v>
      </c>
      <c r="W39" s="878"/>
      <c r="X39" s="878"/>
      <c r="Y39" s="878"/>
      <c r="Z39" s="124"/>
      <c r="AA39" s="661"/>
      <c r="AB39" s="661"/>
      <c r="AC39" s="123"/>
      <c r="AD39" s="212">
        <f>SUM(AD36:AD38)</f>
        <v>775.82659478885887</v>
      </c>
      <c r="AE39" s="661"/>
      <c r="AF39" s="212">
        <f>SUM(AF36:AF38)</f>
        <v>92.7</v>
      </c>
    </row>
    <row r="40" spans="1:44" x14ac:dyDescent="0.25">
      <c r="A40" s="238"/>
      <c r="B40" s="246"/>
      <c r="C40" s="293">
        <v>3</v>
      </c>
      <c r="D40" s="81" t="s">
        <v>290</v>
      </c>
      <c r="E40" s="239">
        <f>23.6</f>
        <v>23.6</v>
      </c>
      <c r="F40" s="301">
        <v>26</v>
      </c>
      <c r="G40" s="68" t="s">
        <v>16</v>
      </c>
      <c r="H40" s="67">
        <f>AD63</f>
        <v>799.43396226415098</v>
      </c>
      <c r="I40" s="67">
        <f t="shared" ref="I40:I45" si="18">F40*H40</f>
        <v>20785.283018867925</v>
      </c>
      <c r="J40" s="74">
        <f>AF63</f>
        <v>216</v>
      </c>
      <c r="K40" s="67">
        <f t="shared" si="16"/>
        <v>5616</v>
      </c>
      <c r="L40" s="67">
        <f t="shared" si="17"/>
        <v>26401.283018867925</v>
      </c>
      <c r="M40" s="566">
        <f t="shared" si="10"/>
        <v>1114.4937196196288</v>
      </c>
      <c r="N40" s="566">
        <f t="shared" si="11"/>
        <v>301.12636540489751</v>
      </c>
      <c r="O40" s="565">
        <f t="shared" si="12"/>
        <v>1415.6200850245264</v>
      </c>
      <c r="P40" s="567">
        <f t="shared" si="13"/>
        <v>36806.122210637688</v>
      </c>
      <c r="Q40" s="568">
        <f t="shared" si="14"/>
        <v>36806.122210637681</v>
      </c>
      <c r="R40" s="569">
        <f t="shared" si="15"/>
        <v>0</v>
      </c>
      <c r="W40" s="585"/>
      <c r="X40" s="585"/>
      <c r="Y40" s="585"/>
      <c r="Z40" s="585"/>
      <c r="AA40" s="585"/>
      <c r="AB40" s="585"/>
      <c r="AC40" s="585"/>
      <c r="AD40" s="579"/>
      <c r="AE40" s="585"/>
      <c r="AF40" s="579"/>
    </row>
    <row r="41" spans="1:44" x14ac:dyDescent="0.25">
      <c r="A41" s="238"/>
      <c r="B41" s="246"/>
      <c r="C41" s="293">
        <v>4</v>
      </c>
      <c r="D41" s="81" t="s">
        <v>241</v>
      </c>
      <c r="E41" s="239">
        <v>12</v>
      </c>
      <c r="F41" s="301">
        <v>14</v>
      </c>
      <c r="G41" s="68" t="s">
        <v>16</v>
      </c>
      <c r="H41" s="67">
        <f>AD125</f>
        <v>1281.3207547169811</v>
      </c>
      <c r="I41" s="67">
        <f>F41*H41</f>
        <v>17938.490566037737</v>
      </c>
      <c r="J41" s="74">
        <f>AF125</f>
        <v>214.5</v>
      </c>
      <c r="K41" s="67">
        <f t="shared" si="16"/>
        <v>3003</v>
      </c>
      <c r="L41" s="67">
        <f t="shared" si="17"/>
        <v>20941.490566037737</v>
      </c>
      <c r="M41" s="566">
        <f t="shared" si="10"/>
        <v>1786.2938045638182</v>
      </c>
      <c r="N41" s="566">
        <f t="shared" si="11"/>
        <v>299.03521008958575</v>
      </c>
      <c r="O41" s="565">
        <f t="shared" si="12"/>
        <v>2085.3290146534041</v>
      </c>
      <c r="P41" s="567">
        <f t="shared" si="13"/>
        <v>29194.606205147658</v>
      </c>
      <c r="Q41" s="568">
        <f t="shared" si="14"/>
        <v>29194.606205147658</v>
      </c>
      <c r="R41" s="569">
        <f t="shared" si="15"/>
        <v>0</v>
      </c>
    </row>
    <row r="42" spans="1:44" x14ac:dyDescent="0.25">
      <c r="A42" s="238"/>
      <c r="B42" s="246"/>
      <c r="C42" s="293">
        <v>5</v>
      </c>
      <c r="D42" s="81" t="s">
        <v>242</v>
      </c>
      <c r="E42" s="239">
        <v>28.5</v>
      </c>
      <c r="F42" s="301">
        <v>31</v>
      </c>
      <c r="G42" s="68" t="s">
        <v>16</v>
      </c>
      <c r="H42" s="67">
        <f>AD132</f>
        <v>1293.5849056603774</v>
      </c>
      <c r="I42" s="67">
        <f t="shared" si="18"/>
        <v>40101.132075471702</v>
      </c>
      <c r="J42" s="74">
        <f>AF132</f>
        <v>215.1</v>
      </c>
      <c r="K42" s="67">
        <f t="shared" si="16"/>
        <v>6668.0999999999995</v>
      </c>
      <c r="L42" s="67">
        <f t="shared" si="17"/>
        <v>46769.2320754717</v>
      </c>
      <c r="M42" s="566">
        <f t="shared" si="10"/>
        <v>1803.391300852531</v>
      </c>
      <c r="N42" s="566">
        <f t="shared" si="11"/>
        <v>299.87167221571048</v>
      </c>
      <c r="O42" s="565">
        <f t="shared" si="12"/>
        <v>2103.2629730682415</v>
      </c>
      <c r="P42" s="567">
        <f t="shared" si="13"/>
        <v>65201.152165115491</v>
      </c>
      <c r="Q42" s="568">
        <f t="shared" si="14"/>
        <v>65201.152165115491</v>
      </c>
      <c r="R42" s="569">
        <f t="shared" si="15"/>
        <v>0</v>
      </c>
      <c r="W42" s="904" t="s">
        <v>291</v>
      </c>
      <c r="X42" s="904"/>
      <c r="Y42" s="904"/>
      <c r="Z42" s="662" t="s">
        <v>243</v>
      </c>
      <c r="AA42" s="662" t="s">
        <v>244</v>
      </c>
      <c r="AB42" s="662" t="s">
        <v>245</v>
      </c>
      <c r="AC42" s="123" t="s">
        <v>246</v>
      </c>
      <c r="AD42" s="196" t="s">
        <v>247</v>
      </c>
      <c r="AE42" s="662" t="s">
        <v>248</v>
      </c>
      <c r="AF42" s="212" t="s">
        <v>249</v>
      </c>
    </row>
    <row r="43" spans="1:44" x14ac:dyDescent="0.25">
      <c r="A43" s="238"/>
      <c r="B43" s="246"/>
      <c r="C43" s="293">
        <v>6</v>
      </c>
      <c r="D43" s="81" t="s">
        <v>44</v>
      </c>
      <c r="E43" s="239">
        <v>45.86</v>
      </c>
      <c r="F43" s="301">
        <v>48</v>
      </c>
      <c r="G43" s="68" t="s">
        <v>16</v>
      </c>
      <c r="H43" s="67"/>
      <c r="I43" s="67">
        <f t="shared" si="18"/>
        <v>0</v>
      </c>
      <c r="J43" s="74"/>
      <c r="K43" s="67">
        <f t="shared" si="16"/>
        <v>0</v>
      </c>
      <c r="L43" s="67">
        <f t="shared" si="17"/>
        <v>0</v>
      </c>
      <c r="M43" s="566">
        <f t="shared" si="10"/>
        <v>0</v>
      </c>
      <c r="N43" s="566">
        <f t="shared" si="11"/>
        <v>0</v>
      </c>
      <c r="O43" s="565">
        <f t="shared" si="12"/>
        <v>0</v>
      </c>
      <c r="P43" s="567">
        <f t="shared" si="13"/>
        <v>0</v>
      </c>
      <c r="Q43" s="568">
        <f t="shared" si="14"/>
        <v>0</v>
      </c>
      <c r="R43" s="569">
        <f t="shared" si="15"/>
        <v>0</v>
      </c>
      <c r="W43" s="878" t="s">
        <v>250</v>
      </c>
      <c r="X43" s="878"/>
      <c r="Y43" s="878"/>
      <c r="Z43" s="124" t="s">
        <v>251</v>
      </c>
      <c r="AA43" s="661">
        <v>2.77</v>
      </c>
      <c r="AB43" s="661">
        <v>2.9</v>
      </c>
      <c r="AC43" s="123">
        <f>280/1.06</f>
        <v>264.15094339622641</v>
      </c>
      <c r="AD43" s="196">
        <f>AC43*AB43</f>
        <v>766.03773584905662</v>
      </c>
      <c r="AE43" s="661">
        <v>74</v>
      </c>
      <c r="AF43" s="219">
        <f>AE43*AB43</f>
        <v>214.6</v>
      </c>
    </row>
    <row r="44" spans="1:44" x14ac:dyDescent="0.25">
      <c r="A44" s="238"/>
      <c r="B44" s="246"/>
      <c r="C44" s="293">
        <v>7</v>
      </c>
      <c r="D44" s="83" t="s">
        <v>162</v>
      </c>
      <c r="E44" s="239">
        <v>238.71</v>
      </c>
      <c r="F44" s="301">
        <v>242</v>
      </c>
      <c r="G44" s="68" t="s">
        <v>16</v>
      </c>
      <c r="H44" s="67">
        <f>AS167</f>
        <v>1060.7423734791041</v>
      </c>
      <c r="I44" s="67">
        <f t="shared" si="18"/>
        <v>256699.6543819432</v>
      </c>
      <c r="J44" s="74">
        <f>AU167</f>
        <v>215.10000000000002</v>
      </c>
      <c r="K44" s="67">
        <f t="shared" si="16"/>
        <v>52054.200000000004</v>
      </c>
      <c r="L44" s="67">
        <f t="shared" si="17"/>
        <v>308753.85438194318</v>
      </c>
      <c r="M44" s="566">
        <f t="shared" si="10"/>
        <v>1478.7847016515141</v>
      </c>
      <c r="N44" s="566">
        <f t="shared" si="11"/>
        <v>299.87167221571048</v>
      </c>
      <c r="O44" s="565">
        <f t="shared" si="12"/>
        <v>1778.6563738672246</v>
      </c>
      <c r="P44" s="567">
        <f t="shared" si="13"/>
        <v>430434.84247586835</v>
      </c>
      <c r="Q44" s="568">
        <f t="shared" si="14"/>
        <v>430434.8424758683</v>
      </c>
      <c r="R44" s="569">
        <f t="shared" si="15"/>
        <v>0</v>
      </c>
      <c r="W44" s="878" t="s">
        <v>252</v>
      </c>
      <c r="X44" s="878"/>
      <c r="Y44" s="878"/>
      <c r="Z44" s="124" t="s">
        <v>253</v>
      </c>
      <c r="AA44" s="661">
        <v>0.25</v>
      </c>
      <c r="AB44" s="661">
        <v>0.25</v>
      </c>
      <c r="AC44" s="123">
        <f>AC129</f>
        <v>268.8679245283019</v>
      </c>
      <c r="AD44" s="196">
        <f>AC44*AB44</f>
        <v>67.216981132075475</v>
      </c>
      <c r="AE44" s="661"/>
      <c r="AF44" s="219">
        <f>AE44*AB44</f>
        <v>0</v>
      </c>
    </row>
    <row r="45" spans="1:44" x14ac:dyDescent="0.25">
      <c r="A45" s="238"/>
      <c r="B45" s="247"/>
      <c r="C45" s="293">
        <v>8</v>
      </c>
      <c r="D45" s="175" t="s">
        <v>287</v>
      </c>
      <c r="E45" s="240">
        <f>96.84+64.56+11.89</f>
        <v>173.29000000000002</v>
      </c>
      <c r="F45" s="177">
        <v>0</v>
      </c>
      <c r="G45" s="178" t="s">
        <v>16</v>
      </c>
      <c r="H45" s="191"/>
      <c r="I45" s="191">
        <f t="shared" si="18"/>
        <v>0</v>
      </c>
      <c r="J45" s="192"/>
      <c r="K45" s="191">
        <f t="shared" si="16"/>
        <v>0</v>
      </c>
      <c r="L45" s="191">
        <f t="shared" si="17"/>
        <v>0</v>
      </c>
      <c r="M45" s="566">
        <f t="shared" si="10"/>
        <v>0</v>
      </c>
      <c r="N45" s="566">
        <f t="shared" si="11"/>
        <v>0</v>
      </c>
      <c r="O45" s="565">
        <f t="shared" si="12"/>
        <v>0</v>
      </c>
      <c r="P45" s="567">
        <f t="shared" si="13"/>
        <v>0</v>
      </c>
      <c r="Q45" s="568">
        <f t="shared" si="14"/>
        <v>0</v>
      </c>
      <c r="R45" s="569">
        <f t="shared" si="15"/>
        <v>0</v>
      </c>
      <c r="W45" s="878" t="s">
        <v>254</v>
      </c>
      <c r="X45" s="878"/>
      <c r="Y45" s="878"/>
      <c r="Z45" s="124" t="s">
        <v>255</v>
      </c>
      <c r="AA45" s="661">
        <v>0.25</v>
      </c>
      <c r="AB45" s="661">
        <v>0.35</v>
      </c>
      <c r="AC45" s="123">
        <f>37/1.06</f>
        <v>34.905660377358487</v>
      </c>
      <c r="AD45" s="196">
        <f>AC45*AB45</f>
        <v>12.216981132075469</v>
      </c>
      <c r="AE45" s="661"/>
      <c r="AF45" s="219">
        <f>AE45*AB45</f>
        <v>0</v>
      </c>
    </row>
    <row r="46" spans="1:44" x14ac:dyDescent="0.25">
      <c r="A46" s="238"/>
      <c r="B46" s="246"/>
      <c r="C46" s="293"/>
      <c r="D46" s="81"/>
      <c r="E46" s="239"/>
      <c r="F46" s="301"/>
      <c r="G46" s="67"/>
      <c r="H46" s="67"/>
      <c r="I46" s="67"/>
      <c r="J46" s="74"/>
      <c r="K46" s="67"/>
      <c r="L46" s="67"/>
      <c r="M46" s="566">
        <f t="shared" si="10"/>
        <v>0</v>
      </c>
      <c r="N46" s="566">
        <f t="shared" si="11"/>
        <v>0</v>
      </c>
      <c r="O46" s="565">
        <f t="shared" si="12"/>
        <v>0</v>
      </c>
      <c r="P46" s="567">
        <f t="shared" si="13"/>
        <v>0</v>
      </c>
      <c r="Q46" s="568">
        <f t="shared" si="14"/>
        <v>0</v>
      </c>
      <c r="R46" s="569">
        <f t="shared" si="15"/>
        <v>0</v>
      </c>
      <c r="V46" s="273"/>
      <c r="W46" s="878" t="s">
        <v>256</v>
      </c>
      <c r="X46" s="878"/>
      <c r="Y46" s="878"/>
      <c r="Z46" s="124" t="s">
        <v>257</v>
      </c>
      <c r="AA46" s="661">
        <v>1</v>
      </c>
      <c r="AB46" s="661">
        <v>1</v>
      </c>
      <c r="AC46" s="123">
        <v>0</v>
      </c>
      <c r="AD46" s="196">
        <f>AC46*AB46</f>
        <v>0</v>
      </c>
      <c r="AE46" s="661">
        <v>0</v>
      </c>
      <c r="AF46" s="219">
        <f>AE46*AB46</f>
        <v>0</v>
      </c>
    </row>
    <row r="47" spans="1:44" x14ac:dyDescent="0.25">
      <c r="A47" s="237"/>
      <c r="B47" s="290" t="s">
        <v>320</v>
      </c>
      <c r="C47" s="291" t="s">
        <v>83</v>
      </c>
      <c r="D47" s="166"/>
      <c r="E47" s="239"/>
      <c r="F47" s="301"/>
      <c r="G47" s="68"/>
      <c r="H47" s="67"/>
      <c r="I47" s="67"/>
      <c r="J47" s="74"/>
      <c r="K47" s="67"/>
      <c r="L47" s="67"/>
      <c r="M47" s="566">
        <f t="shared" si="10"/>
        <v>0</v>
      </c>
      <c r="N47" s="566">
        <f t="shared" si="11"/>
        <v>0</v>
      </c>
      <c r="O47" s="565">
        <f t="shared" si="12"/>
        <v>0</v>
      </c>
      <c r="P47" s="567">
        <f t="shared" si="13"/>
        <v>0</v>
      </c>
      <c r="Q47" s="568">
        <f t="shared" si="14"/>
        <v>0</v>
      </c>
      <c r="R47" s="569">
        <f t="shared" si="15"/>
        <v>0</v>
      </c>
      <c r="V47" s="273"/>
      <c r="W47" s="126"/>
      <c r="X47" s="126"/>
      <c r="Y47" s="126"/>
      <c r="Z47" s="126"/>
      <c r="AA47" s="661"/>
      <c r="AB47" s="661"/>
      <c r="AC47" s="123"/>
      <c r="AD47" s="212">
        <f>SUM(AD43:AD46)</f>
        <v>845.47169811320759</v>
      </c>
      <c r="AE47" s="662"/>
      <c r="AF47" s="212">
        <f>SUM(AF43:AF46)</f>
        <v>214.6</v>
      </c>
    </row>
    <row r="48" spans="1:44" x14ac:dyDescent="0.25">
      <c r="A48" s="237"/>
      <c r="B48" s="246"/>
      <c r="C48" s="293">
        <v>1</v>
      </c>
      <c r="D48" s="81" t="s">
        <v>84</v>
      </c>
      <c r="E48" s="239">
        <v>16.22</v>
      </c>
      <c r="F48" s="301">
        <v>18</v>
      </c>
      <c r="G48" s="73" t="s">
        <v>101</v>
      </c>
      <c r="H48" s="67">
        <f>AS175</f>
        <v>1177.3113207547169</v>
      </c>
      <c r="I48" s="67">
        <f>F48*H48</f>
        <v>21191.603773584906</v>
      </c>
      <c r="J48" s="74">
        <f>AU175</f>
        <v>215.1</v>
      </c>
      <c r="K48" s="67">
        <f>F48*J48</f>
        <v>3871.7999999999997</v>
      </c>
      <c r="L48" s="67">
        <f>K48+I48</f>
        <v>25063.403773584905</v>
      </c>
      <c r="M48" s="566">
        <f t="shared" si="10"/>
        <v>1641.293884115312</v>
      </c>
      <c r="N48" s="566">
        <f t="shared" si="11"/>
        <v>299.87167221571048</v>
      </c>
      <c r="O48" s="565">
        <f t="shared" si="12"/>
        <v>1941.1655563310226</v>
      </c>
      <c r="P48" s="567">
        <f t="shared" si="13"/>
        <v>34940.980013958404</v>
      </c>
      <c r="Q48" s="568">
        <f t="shared" si="14"/>
        <v>34940.980013958411</v>
      </c>
      <c r="R48" s="569">
        <f t="shared" si="15"/>
        <v>0</v>
      </c>
      <c r="V48" s="273"/>
    </row>
    <row r="49" spans="1:44" x14ac:dyDescent="0.25">
      <c r="A49" s="237"/>
      <c r="B49" s="246"/>
      <c r="C49" s="293">
        <v>2</v>
      </c>
      <c r="D49" s="81" t="s">
        <v>85</v>
      </c>
      <c r="E49" s="239">
        <v>44.33</v>
      </c>
      <c r="F49" s="301">
        <v>46</v>
      </c>
      <c r="G49" s="73" t="s">
        <v>101</v>
      </c>
      <c r="H49" s="67">
        <f>AS183</f>
        <v>1287.6886792452831</v>
      </c>
      <c r="I49" s="67">
        <f t="shared" ref="I49" si="19">F49*H49</f>
        <v>59233.67924528302</v>
      </c>
      <c r="J49" s="74">
        <f>AU183</f>
        <v>215.1</v>
      </c>
      <c r="K49" s="67">
        <f t="shared" ref="K49" si="20">F49*J49</f>
        <v>9894.6</v>
      </c>
      <c r="L49" s="67">
        <f t="shared" ref="L49" si="21">K49+I49</f>
        <v>69128.279245283018</v>
      </c>
      <c r="M49" s="566">
        <f t="shared" si="10"/>
        <v>1795.171350713727</v>
      </c>
      <c r="N49" s="566">
        <f t="shared" si="11"/>
        <v>299.87167221571048</v>
      </c>
      <c r="O49" s="565">
        <f t="shared" si="12"/>
        <v>2095.0430229294375</v>
      </c>
      <c r="P49" s="567">
        <f t="shared" si="13"/>
        <v>96371.97905475412</v>
      </c>
      <c r="Q49" s="568">
        <f t="shared" si="14"/>
        <v>96371.97905475412</v>
      </c>
      <c r="R49" s="569">
        <f t="shared" si="15"/>
        <v>0</v>
      </c>
    </row>
    <row r="50" spans="1:44" s="585" customFormat="1" x14ac:dyDescent="0.25">
      <c r="A50" s="580"/>
      <c r="B50" s="581"/>
      <c r="C50" s="560">
        <v>1</v>
      </c>
      <c r="D50" s="582" t="s">
        <v>490</v>
      </c>
      <c r="E50" s="583">
        <f>1350+85</f>
        <v>1435</v>
      </c>
      <c r="F50" s="563">
        <v>1450</v>
      </c>
      <c r="G50" s="584" t="s">
        <v>101</v>
      </c>
      <c r="H50" s="658">
        <f>165-5</f>
        <v>160</v>
      </c>
      <c r="I50" s="566">
        <f>F50*H50</f>
        <v>232000</v>
      </c>
      <c r="J50" s="658">
        <f>165-5</f>
        <v>160</v>
      </c>
      <c r="K50" s="566">
        <f>F50*J50</f>
        <v>232000</v>
      </c>
      <c r="L50" s="566">
        <f>K50+I50</f>
        <v>464000</v>
      </c>
      <c r="M50" s="566">
        <f>H50/$P$260*$P$268</f>
        <v>223.05656696659076</v>
      </c>
      <c r="N50" s="566">
        <f>J50/$P$260*$P$268</f>
        <v>223.05656696659076</v>
      </c>
      <c r="O50" s="565">
        <f>N50+M50</f>
        <v>446.11313393318153</v>
      </c>
      <c r="P50" s="567">
        <f>O50*F50</f>
        <v>646864.04420311318</v>
      </c>
      <c r="Q50" s="568">
        <f>L50/$P$260*$P$268</f>
        <v>646864.04420311318</v>
      </c>
      <c r="R50" s="569">
        <f>P50-Q50</f>
        <v>0</v>
      </c>
    </row>
    <row r="51" spans="1:44" s="585" customFormat="1" x14ac:dyDescent="0.25">
      <c r="A51" s="580"/>
      <c r="B51" s="581"/>
      <c r="C51" s="560">
        <v>2</v>
      </c>
      <c r="D51" s="582" t="s">
        <v>491</v>
      </c>
      <c r="E51" s="583">
        <f>685+46</f>
        <v>731</v>
      </c>
      <c r="F51" s="563">
        <v>744</v>
      </c>
      <c r="G51" s="584" t="s">
        <v>101</v>
      </c>
      <c r="H51" s="658">
        <f>180-10</f>
        <v>170</v>
      </c>
      <c r="I51" s="566">
        <f>F51*H51</f>
        <v>126480</v>
      </c>
      <c r="J51" s="658">
        <f>190-5</f>
        <v>185</v>
      </c>
      <c r="K51" s="566">
        <f>F51*J51</f>
        <v>137640</v>
      </c>
      <c r="L51" s="566">
        <f>K51+I51</f>
        <v>264120</v>
      </c>
      <c r="M51" s="566">
        <f t="shared" ref="M51:M114" si="22">H51/$P$260*$P$268</f>
        <v>236.99760240200268</v>
      </c>
      <c r="N51" s="566">
        <f t="shared" ref="N51:N114" si="23">J51/$P$260*$P$268</f>
        <v>257.90915555512061</v>
      </c>
      <c r="O51" s="565">
        <f t="shared" ref="O51:O114" si="24">N51+M51</f>
        <v>494.90675795712332</v>
      </c>
      <c r="P51" s="567">
        <f t="shared" ref="P51:P114" si="25">O51*F51</f>
        <v>368210.62792009977</v>
      </c>
      <c r="Q51" s="568">
        <f t="shared" ref="Q51:Q114" si="26">L51/$P$260*$P$268</f>
        <v>368210.62792009971</v>
      </c>
      <c r="R51" s="569">
        <f t="shared" ref="R51:R114" si="27">P51-Q51</f>
        <v>0</v>
      </c>
    </row>
    <row r="52" spans="1:44" x14ac:dyDescent="0.25">
      <c r="A52" s="237"/>
      <c r="B52" s="246"/>
      <c r="C52" s="293">
        <v>3</v>
      </c>
      <c r="D52" s="81" t="s">
        <v>334</v>
      </c>
      <c r="E52" s="307" t="s">
        <v>39</v>
      </c>
      <c r="F52" s="301">
        <v>0</v>
      </c>
      <c r="G52" s="73"/>
      <c r="H52" s="67"/>
      <c r="I52" s="67"/>
      <c r="J52" s="67"/>
      <c r="K52" s="67"/>
      <c r="L52" s="67"/>
      <c r="M52" s="566">
        <f t="shared" si="22"/>
        <v>0</v>
      </c>
      <c r="N52" s="566">
        <f t="shared" si="23"/>
        <v>0</v>
      </c>
      <c r="O52" s="565">
        <f t="shared" si="24"/>
        <v>0</v>
      </c>
      <c r="P52" s="567">
        <f t="shared" si="25"/>
        <v>0</v>
      </c>
      <c r="Q52" s="568">
        <f t="shared" si="26"/>
        <v>0</v>
      </c>
      <c r="R52" s="569">
        <f t="shared" si="27"/>
        <v>0</v>
      </c>
    </row>
    <row r="53" spans="1:44" x14ac:dyDescent="0.25">
      <c r="A53" s="237"/>
      <c r="B53" s="246"/>
      <c r="C53" s="293"/>
      <c r="D53" s="79"/>
      <c r="E53" s="239"/>
      <c r="F53" s="301"/>
      <c r="G53" s="68"/>
      <c r="H53" s="67"/>
      <c r="I53" s="67"/>
      <c r="J53" s="67"/>
      <c r="K53" s="67"/>
      <c r="L53" s="67"/>
      <c r="M53" s="566">
        <f t="shared" si="22"/>
        <v>0</v>
      </c>
      <c r="N53" s="566">
        <f t="shared" si="23"/>
        <v>0</v>
      </c>
      <c r="O53" s="565">
        <f t="shared" si="24"/>
        <v>0</v>
      </c>
      <c r="P53" s="567">
        <f t="shared" si="25"/>
        <v>0</v>
      </c>
      <c r="Q53" s="568">
        <f t="shared" si="26"/>
        <v>0</v>
      </c>
      <c r="R53" s="569">
        <f t="shared" si="27"/>
        <v>0</v>
      </c>
    </row>
    <row r="54" spans="1:44" x14ac:dyDescent="0.25">
      <c r="A54" s="237"/>
      <c r="B54" s="290" t="s">
        <v>321</v>
      </c>
      <c r="C54" s="291" t="s">
        <v>87</v>
      </c>
      <c r="D54" s="79"/>
      <c r="E54" s="239"/>
      <c r="F54" s="301"/>
      <c r="G54" s="68"/>
      <c r="H54" s="74"/>
      <c r="I54" s="67"/>
      <c r="J54" s="67"/>
      <c r="K54" s="67"/>
      <c r="L54" s="67"/>
      <c r="M54" s="566">
        <f t="shared" si="22"/>
        <v>0</v>
      </c>
      <c r="N54" s="566">
        <f t="shared" si="23"/>
        <v>0</v>
      </c>
      <c r="O54" s="565">
        <f t="shared" si="24"/>
        <v>0</v>
      </c>
      <c r="P54" s="567">
        <f t="shared" si="25"/>
        <v>0</v>
      </c>
      <c r="Q54" s="568">
        <f t="shared" si="26"/>
        <v>0</v>
      </c>
      <c r="R54" s="569">
        <f t="shared" si="27"/>
        <v>0</v>
      </c>
    </row>
    <row r="55" spans="1:44" s="273" customFormat="1" x14ac:dyDescent="0.25">
      <c r="A55" s="411"/>
      <c r="B55" s="689"/>
      <c r="C55" s="318">
        <v>1</v>
      </c>
      <c r="D55" s="83" t="s">
        <v>322</v>
      </c>
      <c r="E55" s="242">
        <v>269</v>
      </c>
      <c r="F55" s="302">
        <v>273</v>
      </c>
      <c r="G55" s="77" t="s">
        <v>101</v>
      </c>
      <c r="H55" s="790">
        <f>430*0.98</f>
        <v>421.4</v>
      </c>
      <c r="I55" s="74">
        <f>F55*H55</f>
        <v>115042.2</v>
      </c>
      <c r="J55" s="658">
        <f>375*0.98</f>
        <v>367.5</v>
      </c>
      <c r="K55" s="74">
        <f t="shared" ref="K55:K56" si="28">F55*J55</f>
        <v>100327.5</v>
      </c>
      <c r="L55" s="72">
        <f t="shared" ref="L55:L56" si="29">I55+K55</f>
        <v>215369.7</v>
      </c>
      <c r="M55" s="658">
        <f t="shared" si="22"/>
        <v>587.47523324825841</v>
      </c>
      <c r="N55" s="658">
        <f t="shared" si="23"/>
        <v>512.33305225138815</v>
      </c>
      <c r="O55" s="691">
        <f t="shared" si="24"/>
        <v>1099.8082854996464</v>
      </c>
      <c r="P55" s="567">
        <f t="shared" si="25"/>
        <v>300247.66194140346</v>
      </c>
      <c r="Q55" s="568">
        <f t="shared" si="26"/>
        <v>300247.66194140352</v>
      </c>
      <c r="R55" s="569">
        <f t="shared" si="27"/>
        <v>0</v>
      </c>
      <c r="T55" s="224"/>
    </row>
    <row r="56" spans="1:44" s="273" customFormat="1" ht="15" customHeight="1" x14ac:dyDescent="0.25">
      <c r="A56" s="411"/>
      <c r="B56" s="689"/>
      <c r="C56" s="318">
        <v>2</v>
      </c>
      <c r="D56" s="83" t="s">
        <v>90</v>
      </c>
      <c r="E56" s="242">
        <v>36.700000000000003</v>
      </c>
      <c r="F56" s="302">
        <v>39</v>
      </c>
      <c r="G56" s="77" t="s">
        <v>101</v>
      </c>
      <c r="H56" s="347">
        <f>(167+175)+150</f>
        <v>492</v>
      </c>
      <c r="I56" s="74">
        <f>F56*H56</f>
        <v>19188</v>
      </c>
      <c r="J56" s="74">
        <f>225+150</f>
        <v>375</v>
      </c>
      <c r="K56" s="74">
        <f t="shared" si="28"/>
        <v>14625</v>
      </c>
      <c r="L56" s="72">
        <f t="shared" si="29"/>
        <v>33813</v>
      </c>
      <c r="M56" s="566">
        <f t="shared" si="22"/>
        <v>685.8989434222666</v>
      </c>
      <c r="N56" s="566">
        <f t="shared" si="23"/>
        <v>522.7888288279471</v>
      </c>
      <c r="O56" s="565">
        <f t="shared" si="24"/>
        <v>1208.6877722502136</v>
      </c>
      <c r="P56" s="567">
        <f t="shared" si="25"/>
        <v>47138.823117758329</v>
      </c>
      <c r="Q56" s="568">
        <f t="shared" si="26"/>
        <v>47138.823117758337</v>
      </c>
      <c r="R56" s="569">
        <f t="shared" si="27"/>
        <v>0</v>
      </c>
      <c r="T56" s="224"/>
      <c r="AD56" s="224"/>
      <c r="AF56" s="224"/>
      <c r="AL56" s="285"/>
      <c r="AM56" s="285"/>
      <c r="AN56" s="286"/>
      <c r="AO56" s="286"/>
      <c r="AP56" s="286"/>
      <c r="AQ56" s="286"/>
      <c r="AR56" s="127"/>
    </row>
    <row r="57" spans="1:44" ht="15" customHeight="1" x14ac:dyDescent="0.25">
      <c r="A57" s="237"/>
      <c r="B57" s="246"/>
      <c r="C57" s="293"/>
      <c r="D57" s="81" t="s">
        <v>155</v>
      </c>
      <c r="E57" s="239"/>
      <c r="F57" s="301"/>
      <c r="G57" s="68"/>
      <c r="H57" s="347"/>
      <c r="I57" s="67"/>
      <c r="J57" s="67"/>
      <c r="K57" s="67"/>
      <c r="L57" s="67"/>
      <c r="M57" s="566">
        <f t="shared" si="22"/>
        <v>0</v>
      </c>
      <c r="N57" s="566">
        <f t="shared" si="23"/>
        <v>0</v>
      </c>
      <c r="O57" s="565">
        <f t="shared" si="24"/>
        <v>0</v>
      </c>
      <c r="P57" s="567">
        <f t="shared" si="25"/>
        <v>0</v>
      </c>
      <c r="Q57" s="568">
        <f t="shared" si="26"/>
        <v>0</v>
      </c>
      <c r="R57" s="569">
        <f t="shared" si="27"/>
        <v>0</v>
      </c>
      <c r="W57" s="904" t="s">
        <v>293</v>
      </c>
      <c r="X57" s="904"/>
      <c r="Y57" s="904"/>
      <c r="Z57" s="662" t="s">
        <v>243</v>
      </c>
      <c r="AA57" s="662" t="s">
        <v>244</v>
      </c>
      <c r="AB57" s="662" t="s">
        <v>245</v>
      </c>
      <c r="AC57" s="123" t="s">
        <v>246</v>
      </c>
      <c r="AD57" s="196" t="s">
        <v>247</v>
      </c>
      <c r="AE57" s="662" t="s">
        <v>248</v>
      </c>
      <c r="AF57" s="212" t="s">
        <v>249</v>
      </c>
      <c r="AL57" s="227"/>
      <c r="AM57" s="227"/>
      <c r="AN57" s="228"/>
      <c r="AO57" s="228"/>
      <c r="AP57" s="228"/>
      <c r="AQ57" s="228"/>
      <c r="AR57" s="229"/>
    </row>
    <row r="58" spans="1:44" s="273" customFormat="1" x14ac:dyDescent="0.25">
      <c r="A58" s="411"/>
      <c r="B58" s="689"/>
      <c r="C58" s="318">
        <v>3</v>
      </c>
      <c r="D58" s="83" t="s">
        <v>92</v>
      </c>
      <c r="E58" s="242">
        <v>62</v>
      </c>
      <c r="F58" s="302">
        <v>64</v>
      </c>
      <c r="G58" s="77" t="s">
        <v>101</v>
      </c>
      <c r="H58" s="790">
        <f>((177+155)+150)*0.98</f>
        <v>472.36</v>
      </c>
      <c r="I58" s="74">
        <f>F58*H58</f>
        <v>30231.040000000001</v>
      </c>
      <c r="J58" s="658">
        <f>(225+150)*0.98</f>
        <v>367.5</v>
      </c>
      <c r="K58" s="74">
        <f t="shared" ref="K58" si="30">F58*J58</f>
        <v>23520</v>
      </c>
      <c r="L58" s="72">
        <f t="shared" ref="L58" si="31">I58+K58</f>
        <v>53751.040000000001</v>
      </c>
      <c r="M58" s="658">
        <f t="shared" si="22"/>
        <v>658.51874982711763</v>
      </c>
      <c r="N58" s="658">
        <f t="shared" si="23"/>
        <v>512.33305225138815</v>
      </c>
      <c r="O58" s="691">
        <f t="shared" si="24"/>
        <v>1170.8518020785059</v>
      </c>
      <c r="P58" s="567">
        <f t="shared" si="25"/>
        <v>74934.515333024377</v>
      </c>
      <c r="Q58" s="568">
        <f t="shared" si="26"/>
        <v>74934.515333024377</v>
      </c>
      <c r="R58" s="569">
        <f t="shared" si="27"/>
        <v>0</v>
      </c>
      <c r="T58" s="224"/>
      <c r="W58" s="878" t="s">
        <v>258</v>
      </c>
      <c r="X58" s="878"/>
      <c r="Y58" s="878"/>
      <c r="Z58" s="124" t="s">
        <v>251</v>
      </c>
      <c r="AA58" s="661">
        <v>11.11</v>
      </c>
      <c r="AB58" s="661">
        <v>12</v>
      </c>
      <c r="AC58" s="123">
        <f>63/1.05</f>
        <v>60</v>
      </c>
      <c r="AD58" s="196">
        <f>AC58*AB58</f>
        <v>720</v>
      </c>
      <c r="AE58" s="661">
        <v>18</v>
      </c>
      <c r="AF58" s="219">
        <f>AE58*AB58</f>
        <v>216</v>
      </c>
      <c r="AL58" s="285"/>
      <c r="AM58" s="285"/>
      <c r="AN58" s="286"/>
      <c r="AO58" s="286"/>
      <c r="AP58" s="286"/>
      <c r="AQ58" s="286"/>
      <c r="AR58" s="690"/>
    </row>
    <row r="59" spans="1:44" x14ac:dyDescent="0.25">
      <c r="A59" s="237"/>
      <c r="B59" s="248"/>
      <c r="C59" s="298"/>
      <c r="D59" s="81" t="s">
        <v>154</v>
      </c>
      <c r="E59" s="239"/>
      <c r="F59" s="301"/>
      <c r="G59" s="68"/>
      <c r="H59" s="74"/>
      <c r="I59" s="67"/>
      <c r="J59" s="67"/>
      <c r="K59" s="67"/>
      <c r="L59" s="67"/>
      <c r="M59" s="566">
        <f t="shared" si="22"/>
        <v>0</v>
      </c>
      <c r="N59" s="566">
        <f t="shared" si="23"/>
        <v>0</v>
      </c>
      <c r="O59" s="565">
        <f t="shared" si="24"/>
        <v>0</v>
      </c>
      <c r="P59" s="567">
        <f t="shared" si="25"/>
        <v>0</v>
      </c>
      <c r="Q59" s="568">
        <f t="shared" si="26"/>
        <v>0</v>
      </c>
      <c r="R59" s="569">
        <f t="shared" si="27"/>
        <v>0</v>
      </c>
      <c r="W59" s="878" t="s">
        <v>252</v>
      </c>
      <c r="X59" s="878"/>
      <c r="Y59" s="878"/>
      <c r="Z59" s="124" t="s">
        <v>253</v>
      </c>
      <c r="AA59" s="661">
        <v>0.25</v>
      </c>
      <c r="AB59" s="661">
        <v>0.25</v>
      </c>
      <c r="AC59" s="123">
        <f>AC129</f>
        <v>268.8679245283019</v>
      </c>
      <c r="AD59" s="196">
        <f>AC59*AB59</f>
        <v>67.216981132075475</v>
      </c>
      <c r="AE59" s="661"/>
      <c r="AF59" s="219">
        <f t="shared" ref="AF59:AF61" si="32">AE59*AB59</f>
        <v>0</v>
      </c>
    </row>
    <row r="60" spans="1:44" x14ac:dyDescent="0.25">
      <c r="A60" s="237"/>
      <c r="B60" s="246"/>
      <c r="C60" s="293">
        <v>4</v>
      </c>
      <c r="D60" s="81" t="s">
        <v>93</v>
      </c>
      <c r="E60" s="239">
        <v>252</v>
      </c>
      <c r="F60" s="301">
        <v>255</v>
      </c>
      <c r="G60" s="73" t="s">
        <v>101</v>
      </c>
      <c r="H60" s="74">
        <f>(230+185)/1.05</f>
        <v>395.23809523809524</v>
      </c>
      <c r="I60" s="67">
        <f>F60*H60</f>
        <v>100785.71428571429</v>
      </c>
      <c r="J60" s="67">
        <v>225</v>
      </c>
      <c r="K60" s="67">
        <f t="shared" ref="K60" si="33">F60*J60</f>
        <v>57375</v>
      </c>
      <c r="L60" s="72">
        <f t="shared" ref="L60" si="34">I60+K60</f>
        <v>158160.71428571429</v>
      </c>
      <c r="M60" s="566">
        <f t="shared" si="22"/>
        <v>551.00282911389979</v>
      </c>
      <c r="N60" s="566">
        <f t="shared" si="23"/>
        <v>313.67329729676828</v>
      </c>
      <c r="O60" s="565">
        <f t="shared" si="24"/>
        <v>864.67612641066808</v>
      </c>
      <c r="P60" s="567">
        <f t="shared" si="25"/>
        <v>220492.41223472037</v>
      </c>
      <c r="Q60" s="568">
        <f t="shared" si="26"/>
        <v>220492.41223472037</v>
      </c>
      <c r="R60" s="569">
        <f t="shared" si="27"/>
        <v>0</v>
      </c>
      <c r="W60" s="878" t="s">
        <v>254</v>
      </c>
      <c r="X60" s="878"/>
      <c r="Y60" s="878"/>
      <c r="Z60" s="124" t="s">
        <v>255</v>
      </c>
      <c r="AA60" s="661">
        <v>0.25</v>
      </c>
      <c r="AB60" s="661">
        <v>0.35</v>
      </c>
      <c r="AC60" s="123">
        <f>AC45</f>
        <v>34.905660377358487</v>
      </c>
      <c r="AD60" s="196">
        <f t="shared" ref="AD60:AD61" si="35">AC60*AB60</f>
        <v>12.216981132075469</v>
      </c>
      <c r="AE60" s="661"/>
      <c r="AF60" s="219">
        <f t="shared" si="32"/>
        <v>0</v>
      </c>
    </row>
    <row r="61" spans="1:44" x14ac:dyDescent="0.25">
      <c r="A61" s="237"/>
      <c r="B61" s="248"/>
      <c r="C61" s="298"/>
      <c r="D61" s="81" t="s">
        <v>94</v>
      </c>
      <c r="E61" s="239"/>
      <c r="F61" s="301"/>
      <c r="G61" s="68"/>
      <c r="H61" s="74"/>
      <c r="I61" s="67"/>
      <c r="J61" s="67"/>
      <c r="K61" s="67"/>
      <c r="L61" s="67"/>
      <c r="M61" s="566">
        <f t="shared" si="22"/>
        <v>0</v>
      </c>
      <c r="N61" s="566">
        <f t="shared" si="23"/>
        <v>0</v>
      </c>
      <c r="O61" s="565">
        <f t="shared" si="24"/>
        <v>0</v>
      </c>
      <c r="P61" s="567">
        <f t="shared" si="25"/>
        <v>0</v>
      </c>
      <c r="Q61" s="568">
        <f t="shared" si="26"/>
        <v>0</v>
      </c>
      <c r="R61" s="569">
        <f t="shared" si="27"/>
        <v>0</v>
      </c>
      <c r="W61" s="878" t="str">
        <f>W46</f>
        <v>mortar (topping) included @ other item</v>
      </c>
      <c r="X61" s="878"/>
      <c r="Y61" s="878"/>
      <c r="Z61" s="124" t="s">
        <v>257</v>
      </c>
      <c r="AA61" s="661">
        <v>1</v>
      </c>
      <c r="AB61" s="661">
        <v>1</v>
      </c>
      <c r="AC61" s="123">
        <f>AC46</f>
        <v>0</v>
      </c>
      <c r="AD61" s="196">
        <f t="shared" si="35"/>
        <v>0</v>
      </c>
      <c r="AE61" s="661">
        <f>AE46</f>
        <v>0</v>
      </c>
      <c r="AF61" s="219">
        <f t="shared" si="32"/>
        <v>0</v>
      </c>
    </row>
    <row r="62" spans="1:44" x14ac:dyDescent="0.25">
      <c r="A62" s="237"/>
      <c r="B62" s="246"/>
      <c r="C62" s="293">
        <v>5</v>
      </c>
      <c r="D62" s="81" t="s">
        <v>160</v>
      </c>
      <c r="E62" s="348">
        <f>29.2+51.05</f>
        <v>80.25</v>
      </c>
      <c r="F62" s="349">
        <v>82</v>
      </c>
      <c r="G62" s="73" t="s">
        <v>101</v>
      </c>
      <c r="H62" s="74"/>
      <c r="I62" s="67">
        <f>F62*H62</f>
        <v>0</v>
      </c>
      <c r="J62" s="67"/>
      <c r="K62" s="67">
        <f t="shared" ref="K62:K65" si="36">F62*J62</f>
        <v>0</v>
      </c>
      <c r="L62" s="72">
        <f t="shared" ref="L62:L63" si="37">I62+K62</f>
        <v>0</v>
      </c>
      <c r="M62" s="566">
        <f t="shared" si="22"/>
        <v>0</v>
      </c>
      <c r="N62" s="566">
        <f t="shared" si="23"/>
        <v>0</v>
      </c>
      <c r="O62" s="565">
        <f t="shared" si="24"/>
        <v>0</v>
      </c>
      <c r="P62" s="567">
        <f t="shared" si="25"/>
        <v>0</v>
      </c>
      <c r="Q62" s="568">
        <f t="shared" si="26"/>
        <v>0</v>
      </c>
      <c r="R62" s="569">
        <f t="shared" si="27"/>
        <v>0</v>
      </c>
      <c r="W62" s="878" t="s">
        <v>259</v>
      </c>
      <c r="X62" s="878"/>
      <c r="Y62" s="878"/>
      <c r="Z62" s="124" t="s">
        <v>257</v>
      </c>
      <c r="AA62" s="661">
        <v>1</v>
      </c>
      <c r="AB62" s="661">
        <v>1</v>
      </c>
      <c r="AC62" s="123">
        <f>AC46</f>
        <v>0</v>
      </c>
      <c r="AD62" s="196">
        <f>AC62*AB62</f>
        <v>0</v>
      </c>
      <c r="AE62" s="661">
        <f>AE46</f>
        <v>0</v>
      </c>
      <c r="AF62" s="219">
        <f>AE62*AB62</f>
        <v>0</v>
      </c>
    </row>
    <row r="63" spans="1:44" x14ac:dyDescent="0.25">
      <c r="A63" s="237"/>
      <c r="B63" s="246"/>
      <c r="C63" s="293">
        <v>6</v>
      </c>
      <c r="D63" s="81" t="s">
        <v>492</v>
      </c>
      <c r="E63" s="239">
        <v>61.7</v>
      </c>
      <c r="F63" s="301">
        <v>63</v>
      </c>
      <c r="G63" s="73" t="s">
        <v>100</v>
      </c>
      <c r="H63" s="74">
        <v>130</v>
      </c>
      <c r="I63" s="67">
        <f>F63*H63</f>
        <v>8190</v>
      </c>
      <c r="J63" s="67">
        <v>120</v>
      </c>
      <c r="K63" s="67">
        <f t="shared" si="36"/>
        <v>7560</v>
      </c>
      <c r="L63" s="72">
        <f t="shared" si="37"/>
        <v>15750</v>
      </c>
      <c r="M63" s="566">
        <f t="shared" si="22"/>
        <v>181.23346066035498</v>
      </c>
      <c r="N63" s="566">
        <f t="shared" si="23"/>
        <v>167.29242522494309</v>
      </c>
      <c r="O63" s="565">
        <f t="shared" si="24"/>
        <v>348.52588588529807</v>
      </c>
      <c r="P63" s="567">
        <f t="shared" si="25"/>
        <v>21957.130810773779</v>
      </c>
      <c r="Q63" s="568">
        <f t="shared" si="26"/>
        <v>21957.130810773779</v>
      </c>
      <c r="R63" s="569">
        <f t="shared" si="27"/>
        <v>0</v>
      </c>
      <c r="W63" s="126"/>
      <c r="X63" s="126"/>
      <c r="Y63" s="126"/>
      <c r="Z63" s="126"/>
      <c r="AA63" s="661"/>
      <c r="AB63" s="661"/>
      <c r="AC63" s="123"/>
      <c r="AD63" s="212">
        <f>SUM(AD58:AD62)</f>
        <v>799.43396226415098</v>
      </c>
      <c r="AE63" s="662"/>
      <c r="AF63" s="212">
        <f>SUM(AF58:AF62)</f>
        <v>216</v>
      </c>
    </row>
    <row r="64" spans="1:44" hidden="1" x14ac:dyDescent="0.25">
      <c r="A64" s="237"/>
      <c r="B64" s="246"/>
      <c r="C64" s="293"/>
      <c r="D64" s="81"/>
      <c r="E64" s="239"/>
      <c r="F64" s="301"/>
      <c r="G64" s="68"/>
      <c r="H64" s="74"/>
      <c r="I64" s="67"/>
      <c r="J64" s="67"/>
      <c r="K64" s="67"/>
      <c r="L64" s="67"/>
      <c r="M64" s="566">
        <f t="shared" si="22"/>
        <v>0</v>
      </c>
      <c r="N64" s="566">
        <f t="shared" si="23"/>
        <v>0</v>
      </c>
      <c r="O64" s="565">
        <f t="shared" si="24"/>
        <v>0</v>
      </c>
      <c r="P64" s="567">
        <f t="shared" si="25"/>
        <v>0</v>
      </c>
      <c r="Q64" s="568">
        <f t="shared" si="26"/>
        <v>0</v>
      </c>
      <c r="R64" s="569">
        <f t="shared" si="27"/>
        <v>0</v>
      </c>
    </row>
    <row r="65" spans="1:32" x14ac:dyDescent="0.25">
      <c r="A65" s="237"/>
      <c r="B65" s="246"/>
      <c r="C65" s="293">
        <v>7</v>
      </c>
      <c r="D65" s="81" t="s">
        <v>357</v>
      </c>
      <c r="E65" s="239">
        <v>152.9</v>
      </c>
      <c r="F65" s="301">
        <v>154</v>
      </c>
      <c r="G65" s="73" t="s">
        <v>101</v>
      </c>
      <c r="H65" s="74"/>
      <c r="I65" s="67">
        <f>F65*H65</f>
        <v>0</v>
      </c>
      <c r="J65" s="67"/>
      <c r="K65" s="67">
        <f t="shared" si="36"/>
        <v>0</v>
      </c>
      <c r="L65" s="72">
        <f t="shared" ref="L65" si="38">I65+K65</f>
        <v>0</v>
      </c>
      <c r="M65" s="566">
        <f t="shared" si="22"/>
        <v>0</v>
      </c>
      <c r="N65" s="566">
        <f t="shared" si="23"/>
        <v>0</v>
      </c>
      <c r="O65" s="565">
        <f t="shared" si="24"/>
        <v>0</v>
      </c>
      <c r="P65" s="567">
        <f t="shared" si="25"/>
        <v>0</v>
      </c>
      <c r="Q65" s="568">
        <f t="shared" si="26"/>
        <v>0</v>
      </c>
      <c r="R65" s="569">
        <f t="shared" si="27"/>
        <v>0</v>
      </c>
    </row>
    <row r="66" spans="1:32" x14ac:dyDescent="0.25">
      <c r="A66" s="237"/>
      <c r="B66" s="248"/>
      <c r="C66" s="298"/>
      <c r="D66" s="81"/>
      <c r="E66" s="239"/>
      <c r="F66" s="301"/>
      <c r="G66" s="68"/>
      <c r="H66" s="74"/>
      <c r="I66" s="67"/>
      <c r="J66" s="67"/>
      <c r="K66" s="67"/>
      <c r="L66" s="67"/>
      <c r="M66" s="566">
        <f t="shared" si="22"/>
        <v>0</v>
      </c>
      <c r="N66" s="566">
        <f t="shared" si="23"/>
        <v>0</v>
      </c>
      <c r="O66" s="565">
        <f t="shared" si="24"/>
        <v>0</v>
      </c>
      <c r="P66" s="567">
        <f t="shared" si="25"/>
        <v>0</v>
      </c>
      <c r="Q66" s="568">
        <f t="shared" si="26"/>
        <v>0</v>
      </c>
      <c r="R66" s="569">
        <f t="shared" si="27"/>
        <v>0</v>
      </c>
    </row>
    <row r="67" spans="1:32" x14ac:dyDescent="0.25">
      <c r="A67" s="237"/>
      <c r="B67" s="290" t="s">
        <v>323</v>
      </c>
      <c r="C67" s="291" t="s">
        <v>26</v>
      </c>
      <c r="D67" s="82"/>
      <c r="E67" s="242"/>
      <c r="F67" s="302"/>
      <c r="G67" s="75"/>
      <c r="H67" s="74"/>
      <c r="I67" s="74"/>
      <c r="J67" s="74"/>
      <c r="K67" s="74"/>
      <c r="L67" s="74"/>
      <c r="M67" s="566">
        <f t="shared" si="22"/>
        <v>0</v>
      </c>
      <c r="N67" s="566">
        <f t="shared" si="23"/>
        <v>0</v>
      </c>
      <c r="O67" s="565">
        <f t="shared" si="24"/>
        <v>0</v>
      </c>
      <c r="P67" s="567">
        <f t="shared" si="25"/>
        <v>0</v>
      </c>
      <c r="Q67" s="568">
        <f t="shared" si="26"/>
        <v>0</v>
      </c>
      <c r="R67" s="569">
        <f t="shared" si="27"/>
        <v>0</v>
      </c>
    </row>
    <row r="68" spans="1:32" s="585" customFormat="1" hidden="1" x14ac:dyDescent="0.25">
      <c r="A68" s="600"/>
      <c r="B68" s="601"/>
      <c r="C68" s="560">
        <v>1</v>
      </c>
      <c r="D68" s="582" t="s">
        <v>104</v>
      </c>
      <c r="E68" s="583">
        <v>3</v>
      </c>
      <c r="F68" s="563">
        <v>3</v>
      </c>
      <c r="G68" s="584" t="s">
        <v>28</v>
      </c>
      <c r="H68" s="566"/>
      <c r="I68" s="566">
        <f>F68*H68</f>
        <v>0</v>
      </c>
      <c r="J68" s="566"/>
      <c r="K68" s="566">
        <f t="shared" ref="K68" si="39">F68*J68</f>
        <v>0</v>
      </c>
      <c r="L68" s="565">
        <f t="shared" ref="L68" si="40">I68+K68</f>
        <v>0</v>
      </c>
      <c r="M68" s="566">
        <f t="shared" si="22"/>
        <v>0</v>
      </c>
      <c r="N68" s="566">
        <f t="shared" si="23"/>
        <v>0</v>
      </c>
      <c r="O68" s="565">
        <f t="shared" si="24"/>
        <v>0</v>
      </c>
      <c r="P68" s="567">
        <f t="shared" si="25"/>
        <v>0</v>
      </c>
      <c r="Q68" s="568">
        <f t="shared" si="26"/>
        <v>0</v>
      </c>
      <c r="R68" s="569">
        <f t="shared" si="27"/>
        <v>0</v>
      </c>
      <c r="T68" s="579"/>
      <c r="AD68" s="579"/>
      <c r="AF68" s="579"/>
    </row>
    <row r="69" spans="1:32" s="585" customFormat="1" hidden="1" x14ac:dyDescent="0.25">
      <c r="A69" s="600"/>
      <c r="B69" s="602"/>
      <c r="C69" s="560"/>
      <c r="D69" s="582" t="s">
        <v>324</v>
      </c>
      <c r="E69" s="583"/>
      <c r="F69" s="563"/>
      <c r="G69" s="598"/>
      <c r="H69" s="566"/>
      <c r="I69" s="566"/>
      <c r="J69" s="566"/>
      <c r="K69" s="566"/>
      <c r="L69" s="566"/>
      <c r="M69" s="566">
        <f t="shared" si="22"/>
        <v>0</v>
      </c>
      <c r="N69" s="566">
        <f t="shared" si="23"/>
        <v>0</v>
      </c>
      <c r="O69" s="565">
        <f t="shared" si="24"/>
        <v>0</v>
      </c>
      <c r="P69" s="567">
        <f t="shared" si="25"/>
        <v>0</v>
      </c>
      <c r="Q69" s="568">
        <f t="shared" si="26"/>
        <v>0</v>
      </c>
      <c r="R69" s="569">
        <f t="shared" si="27"/>
        <v>0</v>
      </c>
      <c r="T69" s="579"/>
    </row>
    <row r="70" spans="1:32" s="585" customFormat="1" hidden="1" x14ac:dyDescent="0.25">
      <c r="A70" s="600"/>
      <c r="B70" s="601"/>
      <c r="C70" s="560">
        <v>2</v>
      </c>
      <c r="D70" s="582" t="s">
        <v>105</v>
      </c>
      <c r="E70" s="583">
        <v>1</v>
      </c>
      <c r="F70" s="563">
        <v>1</v>
      </c>
      <c r="G70" s="584" t="s">
        <v>55</v>
      </c>
      <c r="H70" s="566"/>
      <c r="I70" s="566">
        <f>F70*H70</f>
        <v>0</v>
      </c>
      <c r="J70" s="566"/>
      <c r="K70" s="566">
        <f t="shared" ref="K70" si="41">F70*J70</f>
        <v>0</v>
      </c>
      <c r="L70" s="565">
        <f t="shared" ref="L70" si="42">I70+K70</f>
        <v>0</v>
      </c>
      <c r="M70" s="566">
        <f t="shared" si="22"/>
        <v>0</v>
      </c>
      <c r="N70" s="566">
        <f t="shared" si="23"/>
        <v>0</v>
      </c>
      <c r="O70" s="565">
        <f t="shared" si="24"/>
        <v>0</v>
      </c>
      <c r="P70" s="567">
        <f t="shared" si="25"/>
        <v>0</v>
      </c>
      <c r="Q70" s="568">
        <f t="shared" si="26"/>
        <v>0</v>
      </c>
      <c r="R70" s="569">
        <f t="shared" si="27"/>
        <v>0</v>
      </c>
      <c r="T70" s="579"/>
    </row>
    <row r="71" spans="1:32" hidden="1" x14ac:dyDescent="0.25">
      <c r="A71" s="350"/>
      <c r="B71" s="319"/>
      <c r="C71" s="318"/>
      <c r="D71" s="83" t="s">
        <v>325</v>
      </c>
      <c r="E71" s="242"/>
      <c r="F71" s="302"/>
      <c r="G71" s="75"/>
      <c r="H71" s="74"/>
      <c r="I71" s="74"/>
      <c r="J71" s="74"/>
      <c r="K71" s="74"/>
      <c r="L71" s="74"/>
      <c r="M71" s="566">
        <f t="shared" si="22"/>
        <v>0</v>
      </c>
      <c r="N71" s="566">
        <f t="shared" si="23"/>
        <v>0</v>
      </c>
      <c r="O71" s="565">
        <f t="shared" si="24"/>
        <v>0</v>
      </c>
      <c r="P71" s="567">
        <f t="shared" si="25"/>
        <v>0</v>
      </c>
      <c r="Q71" s="568">
        <f t="shared" si="26"/>
        <v>0</v>
      </c>
      <c r="R71" s="569">
        <f t="shared" si="27"/>
        <v>0</v>
      </c>
    </row>
    <row r="72" spans="1:32" s="273" customFormat="1" x14ac:dyDescent="0.25">
      <c r="A72" s="350"/>
      <c r="B72" s="317"/>
      <c r="C72" s="318">
        <v>3</v>
      </c>
      <c r="D72" s="83" t="s">
        <v>106</v>
      </c>
      <c r="E72" s="242">
        <v>2</v>
      </c>
      <c r="F72" s="302">
        <v>2</v>
      </c>
      <c r="G72" s="77" t="s">
        <v>28</v>
      </c>
      <c r="H72" s="74">
        <f>(4000+1750+1000)/1.03</f>
        <v>6553.3980582524273</v>
      </c>
      <c r="I72" s="74">
        <f t="shared" ref="I72:I77" si="43">F72*H72</f>
        <v>13106.796116504855</v>
      </c>
      <c r="J72" s="74">
        <v>700</v>
      </c>
      <c r="K72" s="74">
        <f t="shared" ref="K72:K77" si="44">F72*J72</f>
        <v>1400</v>
      </c>
      <c r="L72" s="72">
        <f t="shared" ref="L72:L77" si="45">I72+K72</f>
        <v>14506.796116504855</v>
      </c>
      <c r="M72" s="566">
        <f t="shared" si="22"/>
        <v>9136.1154552456774</v>
      </c>
      <c r="N72" s="566">
        <f t="shared" si="23"/>
        <v>975.87248047883463</v>
      </c>
      <c r="O72" s="565">
        <f t="shared" si="24"/>
        <v>10111.987935724512</v>
      </c>
      <c r="P72" s="567">
        <f t="shared" si="25"/>
        <v>20223.975871449024</v>
      </c>
      <c r="Q72" s="568">
        <f t="shared" si="26"/>
        <v>20223.975871449027</v>
      </c>
      <c r="R72" s="569">
        <f t="shared" si="27"/>
        <v>0</v>
      </c>
      <c r="T72" s="224"/>
      <c r="W72" s="878" t="s">
        <v>254</v>
      </c>
      <c r="X72" s="878"/>
      <c r="Y72" s="878"/>
      <c r="Z72" s="124" t="s">
        <v>255</v>
      </c>
      <c r="AA72" s="661">
        <v>0.25</v>
      </c>
      <c r="AB72" s="661">
        <v>0.35</v>
      </c>
      <c r="AC72" s="123">
        <f>37/1.06</f>
        <v>34.905660377358487</v>
      </c>
      <c r="AD72" s="196">
        <f>AC72*AB72</f>
        <v>12.216981132075469</v>
      </c>
      <c r="AE72" s="661"/>
      <c r="AF72" s="219">
        <f>AE72*AB72</f>
        <v>0</v>
      </c>
    </row>
    <row r="73" spans="1:32" s="273" customFormat="1" x14ac:dyDescent="0.25">
      <c r="A73" s="350"/>
      <c r="B73" s="317"/>
      <c r="C73" s="318">
        <v>4</v>
      </c>
      <c r="D73" s="83" t="s">
        <v>107</v>
      </c>
      <c r="E73" s="242">
        <v>4</v>
      </c>
      <c r="F73" s="302">
        <v>4</v>
      </c>
      <c r="G73" s="77" t="s">
        <v>28</v>
      </c>
      <c r="H73" s="74">
        <f>(4000+1750+1000)/1.03</f>
        <v>6553.3980582524273</v>
      </c>
      <c r="I73" s="74">
        <f t="shared" si="43"/>
        <v>26213.592233009709</v>
      </c>
      <c r="J73" s="74">
        <f>J72</f>
        <v>700</v>
      </c>
      <c r="K73" s="74">
        <f t="shared" si="44"/>
        <v>2800</v>
      </c>
      <c r="L73" s="72">
        <f t="shared" si="45"/>
        <v>29013.592233009709</v>
      </c>
      <c r="M73" s="566">
        <f t="shared" si="22"/>
        <v>9136.1154552456774</v>
      </c>
      <c r="N73" s="566">
        <f t="shared" si="23"/>
        <v>975.87248047883463</v>
      </c>
      <c r="O73" s="565">
        <f t="shared" si="24"/>
        <v>10111.987935724512</v>
      </c>
      <c r="P73" s="567">
        <f t="shared" si="25"/>
        <v>40447.951742898047</v>
      </c>
      <c r="Q73" s="568">
        <f t="shared" si="26"/>
        <v>40447.951742898054</v>
      </c>
      <c r="R73" s="569">
        <f t="shared" si="27"/>
        <v>0</v>
      </c>
      <c r="T73" s="224"/>
      <c r="W73" s="878" t="s">
        <v>256</v>
      </c>
      <c r="X73" s="878"/>
      <c r="Y73" s="878"/>
      <c r="Z73" s="124" t="s">
        <v>257</v>
      </c>
      <c r="AA73" s="661">
        <v>1</v>
      </c>
      <c r="AB73" s="661">
        <v>1</v>
      </c>
      <c r="AC73" s="123">
        <f>AN64</f>
        <v>0</v>
      </c>
      <c r="AD73" s="196">
        <f>AC73*AB73</f>
        <v>0</v>
      </c>
      <c r="AE73" s="661"/>
      <c r="AF73" s="219">
        <f>AE73*AB73</f>
        <v>0</v>
      </c>
    </row>
    <row r="74" spans="1:32" s="273" customFormat="1" x14ac:dyDescent="0.25">
      <c r="A74" s="350"/>
      <c r="B74" s="317"/>
      <c r="C74" s="318">
        <v>5</v>
      </c>
      <c r="D74" s="83" t="s">
        <v>326</v>
      </c>
      <c r="E74" s="242">
        <v>7</v>
      </c>
      <c r="F74" s="302">
        <v>7</v>
      </c>
      <c r="G74" s="77" t="s">
        <v>28</v>
      </c>
      <c r="H74" s="74">
        <f>(6000+1750+1000)/1.03</f>
        <v>8495.1456310679605</v>
      </c>
      <c r="I74" s="74">
        <f t="shared" si="43"/>
        <v>59466.01941747572</v>
      </c>
      <c r="J74" s="74">
        <f>J73</f>
        <v>700</v>
      </c>
      <c r="K74" s="74">
        <f t="shared" si="44"/>
        <v>4900</v>
      </c>
      <c r="L74" s="72">
        <f t="shared" si="45"/>
        <v>64366.01941747572</v>
      </c>
      <c r="M74" s="566">
        <f t="shared" si="22"/>
        <v>11843.112627170323</v>
      </c>
      <c r="N74" s="566">
        <f t="shared" si="23"/>
        <v>975.87248047883463</v>
      </c>
      <c r="O74" s="565">
        <f t="shared" si="24"/>
        <v>12818.985107649158</v>
      </c>
      <c r="P74" s="567">
        <f t="shared" si="25"/>
        <v>89732.8957535441</v>
      </c>
      <c r="Q74" s="568">
        <f t="shared" si="26"/>
        <v>89732.895753544086</v>
      </c>
      <c r="R74" s="569">
        <f t="shared" si="27"/>
        <v>0</v>
      </c>
      <c r="T74" s="224"/>
      <c r="W74" s="126"/>
      <c r="X74" s="126"/>
      <c r="Y74" s="126"/>
      <c r="Z74" s="126"/>
      <c r="AA74" s="661"/>
      <c r="AB74" s="661"/>
      <c r="AC74" s="123"/>
      <c r="AD74" s="212">
        <f>SUM(AD70:AD73)</f>
        <v>12.216981132075469</v>
      </c>
      <c r="AE74" s="662"/>
      <c r="AF74" s="212">
        <f>SUM(AF70:AF73)</f>
        <v>0</v>
      </c>
    </row>
    <row r="75" spans="1:32" s="273" customFormat="1" x14ac:dyDescent="0.25">
      <c r="A75" s="350"/>
      <c r="B75" s="317"/>
      <c r="C75" s="318">
        <v>6</v>
      </c>
      <c r="D75" s="83" t="s">
        <v>327</v>
      </c>
      <c r="E75" s="242">
        <v>1</v>
      </c>
      <c r="F75" s="302">
        <v>1</v>
      </c>
      <c r="G75" s="77" t="s">
        <v>55</v>
      </c>
      <c r="H75" s="74">
        <f>(6000+1750+1000)/1.03</f>
        <v>8495.1456310679605</v>
      </c>
      <c r="I75" s="74">
        <f t="shared" si="43"/>
        <v>8495.1456310679605</v>
      </c>
      <c r="J75" s="74">
        <f>J74</f>
        <v>700</v>
      </c>
      <c r="K75" s="74">
        <f t="shared" si="44"/>
        <v>700</v>
      </c>
      <c r="L75" s="72">
        <f t="shared" si="45"/>
        <v>9195.1456310679605</v>
      </c>
      <c r="M75" s="566">
        <f t="shared" si="22"/>
        <v>11843.112627170323</v>
      </c>
      <c r="N75" s="566">
        <f t="shared" si="23"/>
        <v>975.87248047883463</v>
      </c>
      <c r="O75" s="565">
        <f t="shared" si="24"/>
        <v>12818.985107649158</v>
      </c>
      <c r="P75" s="567">
        <f t="shared" si="25"/>
        <v>12818.985107649158</v>
      </c>
      <c r="Q75" s="568">
        <f t="shared" si="26"/>
        <v>12818.985107649158</v>
      </c>
      <c r="R75" s="569">
        <f t="shared" si="27"/>
        <v>0</v>
      </c>
      <c r="T75" s="224"/>
      <c r="AD75" s="224"/>
      <c r="AF75" s="224"/>
    </row>
    <row r="76" spans="1:32" s="273" customFormat="1" x14ac:dyDescent="0.25">
      <c r="A76" s="350"/>
      <c r="B76" s="317"/>
      <c r="C76" s="318">
        <v>7</v>
      </c>
      <c r="D76" s="83" t="s">
        <v>328</v>
      </c>
      <c r="E76" s="242">
        <v>2</v>
      </c>
      <c r="F76" s="302">
        <v>2</v>
      </c>
      <c r="G76" s="77" t="s">
        <v>28</v>
      </c>
      <c r="H76" s="74">
        <f>(5000+1550+1000)/1.03</f>
        <v>7330.0970873786409</v>
      </c>
      <c r="I76" s="74">
        <f t="shared" si="43"/>
        <v>14660.194174757282</v>
      </c>
      <c r="J76" s="74">
        <v>650</v>
      </c>
      <c r="K76" s="74">
        <f t="shared" si="44"/>
        <v>1300</v>
      </c>
      <c r="L76" s="72">
        <f t="shared" si="45"/>
        <v>15960.194174757282</v>
      </c>
      <c r="M76" s="566">
        <f t="shared" si="22"/>
        <v>10218.914324015535</v>
      </c>
      <c r="N76" s="566">
        <f t="shared" si="23"/>
        <v>906.16730330177495</v>
      </c>
      <c r="O76" s="565">
        <f t="shared" si="24"/>
        <v>11125.08162731731</v>
      </c>
      <c r="P76" s="567">
        <f t="shared" si="25"/>
        <v>22250.163254634619</v>
      </c>
      <c r="Q76" s="568">
        <f t="shared" si="26"/>
        <v>22250.163254634623</v>
      </c>
      <c r="R76" s="569">
        <f t="shared" si="27"/>
        <v>0</v>
      </c>
      <c r="T76" s="224"/>
      <c r="W76" s="904" t="s">
        <v>295</v>
      </c>
      <c r="X76" s="904"/>
      <c r="Y76" s="904"/>
      <c r="Z76" s="662" t="s">
        <v>243</v>
      </c>
      <c r="AA76" s="662" t="s">
        <v>244</v>
      </c>
      <c r="AB76" s="662" t="s">
        <v>245</v>
      </c>
      <c r="AC76" s="123" t="s">
        <v>246</v>
      </c>
      <c r="AD76" s="196" t="s">
        <v>247</v>
      </c>
      <c r="AE76" s="662" t="s">
        <v>248</v>
      </c>
      <c r="AF76" s="212" t="s">
        <v>249</v>
      </c>
    </row>
    <row r="77" spans="1:32" x14ac:dyDescent="0.25">
      <c r="A77" s="350"/>
      <c r="B77" s="317"/>
      <c r="C77" s="318">
        <v>8</v>
      </c>
      <c r="D77" s="83" t="s">
        <v>111</v>
      </c>
      <c r="E77" s="242">
        <v>3</v>
      </c>
      <c r="F77" s="302">
        <v>3</v>
      </c>
      <c r="G77" s="77" t="s">
        <v>28</v>
      </c>
      <c r="H77" s="74">
        <f>8350/1.06</f>
        <v>7877.3584905660373</v>
      </c>
      <c r="I77" s="67">
        <f t="shared" si="43"/>
        <v>23632.07547169811</v>
      </c>
      <c r="J77" s="74">
        <v>700</v>
      </c>
      <c r="K77" s="67">
        <f t="shared" si="44"/>
        <v>2100</v>
      </c>
      <c r="L77" s="72">
        <f t="shared" si="45"/>
        <v>25732.07547169811</v>
      </c>
      <c r="M77" s="566">
        <f t="shared" si="22"/>
        <v>10981.853385442411</v>
      </c>
      <c r="N77" s="566">
        <f t="shared" si="23"/>
        <v>975.87248047883463</v>
      </c>
      <c r="O77" s="565">
        <f t="shared" si="24"/>
        <v>11957.725865921246</v>
      </c>
      <c r="P77" s="567">
        <f t="shared" si="25"/>
        <v>35873.177597763737</v>
      </c>
      <c r="Q77" s="568">
        <f t="shared" si="26"/>
        <v>35873.17759776373</v>
      </c>
      <c r="R77" s="569">
        <f t="shared" si="27"/>
        <v>0</v>
      </c>
      <c r="W77" s="878" t="s">
        <v>271</v>
      </c>
      <c r="X77" s="878"/>
      <c r="Y77" s="878"/>
      <c r="Z77" s="124" t="s">
        <v>251</v>
      </c>
      <c r="AA77" s="661">
        <v>8.33</v>
      </c>
      <c r="AB77" s="661">
        <v>9</v>
      </c>
      <c r="AC77" s="123">
        <f>143/1.06</f>
        <v>134.90566037735849</v>
      </c>
      <c r="AD77" s="196">
        <f>AC77*AB77</f>
        <v>1214.1509433962265</v>
      </c>
      <c r="AE77" s="661">
        <v>23.9</v>
      </c>
      <c r="AF77" s="219">
        <f>AE77*AB77</f>
        <v>215.1</v>
      </c>
    </row>
    <row r="78" spans="1:32" x14ac:dyDescent="0.25">
      <c r="A78" s="350"/>
      <c r="B78" s="319"/>
      <c r="C78" s="318"/>
      <c r="D78" s="83" t="s">
        <v>49</v>
      </c>
      <c r="E78" s="242"/>
      <c r="F78" s="302"/>
      <c r="G78" s="75"/>
      <c r="H78" s="74"/>
      <c r="I78" s="74"/>
      <c r="J78" s="74"/>
      <c r="K78" s="74"/>
      <c r="L78" s="74"/>
      <c r="M78" s="566">
        <f t="shared" si="22"/>
        <v>0</v>
      </c>
      <c r="N78" s="566">
        <f t="shared" si="23"/>
        <v>0</v>
      </c>
      <c r="O78" s="565">
        <f t="shared" si="24"/>
        <v>0</v>
      </c>
      <c r="P78" s="567">
        <f t="shared" si="25"/>
        <v>0</v>
      </c>
      <c r="Q78" s="568">
        <f t="shared" si="26"/>
        <v>0</v>
      </c>
      <c r="R78" s="569">
        <f t="shared" si="27"/>
        <v>0</v>
      </c>
      <c r="W78" s="878" t="s">
        <v>252</v>
      </c>
      <c r="X78" s="878"/>
      <c r="Y78" s="878"/>
      <c r="Z78" s="124" t="s">
        <v>253</v>
      </c>
      <c r="AA78" s="661">
        <v>0.25</v>
      </c>
      <c r="AB78" s="661">
        <v>0.25</v>
      </c>
      <c r="AC78" s="123">
        <f>AC71</f>
        <v>0</v>
      </c>
      <c r="AD78" s="196">
        <f>AC78*AB78</f>
        <v>0</v>
      </c>
      <c r="AE78" s="661"/>
      <c r="AF78" s="219">
        <f>AE78*AB78</f>
        <v>0</v>
      </c>
    </row>
    <row r="79" spans="1:32" x14ac:dyDescent="0.25">
      <c r="A79" s="350"/>
      <c r="B79" s="317"/>
      <c r="C79" s="318">
        <v>9</v>
      </c>
      <c r="D79" s="83" t="s">
        <v>112</v>
      </c>
      <c r="E79" s="242">
        <v>1</v>
      </c>
      <c r="F79" s="302">
        <v>1</v>
      </c>
      <c r="G79" s="77" t="s">
        <v>55</v>
      </c>
      <c r="H79" s="74">
        <f>9100/1.06</f>
        <v>8584.9056603773588</v>
      </c>
      <c r="I79" s="67">
        <f>F79*H79</f>
        <v>8584.9056603773588</v>
      </c>
      <c r="J79" s="74">
        <f>J77</f>
        <v>700</v>
      </c>
      <c r="K79" s="67">
        <f t="shared" ref="K79" si="46">F79*J79</f>
        <v>700</v>
      </c>
      <c r="L79" s="72">
        <f t="shared" ref="L79" si="47">I79+K79</f>
        <v>9284.9056603773588</v>
      </c>
      <c r="M79" s="566">
        <f t="shared" si="22"/>
        <v>11968.247402098916</v>
      </c>
      <c r="N79" s="566">
        <f t="shared" si="23"/>
        <v>975.87248047883463</v>
      </c>
      <c r="O79" s="565">
        <f t="shared" si="24"/>
        <v>12944.11988257775</v>
      </c>
      <c r="P79" s="567">
        <f t="shared" si="25"/>
        <v>12944.11988257775</v>
      </c>
      <c r="Q79" s="568">
        <f t="shared" si="26"/>
        <v>12944.11988257775</v>
      </c>
      <c r="R79" s="569">
        <f t="shared" si="27"/>
        <v>0</v>
      </c>
      <c r="W79" s="878" t="s">
        <v>254</v>
      </c>
      <c r="X79" s="878"/>
      <c r="Y79" s="878"/>
      <c r="Z79" s="124" t="s">
        <v>255</v>
      </c>
      <c r="AA79" s="661">
        <v>0.25</v>
      </c>
      <c r="AB79" s="661">
        <v>0.35</v>
      </c>
      <c r="AC79" s="123">
        <f>37/1.06</f>
        <v>34.905660377358487</v>
      </c>
      <c r="AD79" s="196">
        <f>AC79*AB79</f>
        <v>12.216981132075469</v>
      </c>
      <c r="AE79" s="661"/>
      <c r="AF79" s="219">
        <f>AE79*AB79</f>
        <v>0</v>
      </c>
    </row>
    <row r="80" spans="1:32" x14ac:dyDescent="0.25">
      <c r="A80" s="350"/>
      <c r="B80" s="319"/>
      <c r="C80" s="318"/>
      <c r="D80" s="83" t="s">
        <v>50</v>
      </c>
      <c r="E80" s="242"/>
      <c r="F80" s="302"/>
      <c r="G80" s="75"/>
      <c r="H80" s="74"/>
      <c r="I80" s="74"/>
      <c r="J80" s="74"/>
      <c r="K80" s="74"/>
      <c r="L80" s="74"/>
      <c r="M80" s="566">
        <f t="shared" si="22"/>
        <v>0</v>
      </c>
      <c r="N80" s="566">
        <f t="shared" si="23"/>
        <v>0</v>
      </c>
      <c r="O80" s="565">
        <f t="shared" si="24"/>
        <v>0</v>
      </c>
      <c r="P80" s="567">
        <f t="shared" si="25"/>
        <v>0</v>
      </c>
      <c r="Q80" s="568">
        <f t="shared" si="26"/>
        <v>0</v>
      </c>
      <c r="R80" s="569">
        <f t="shared" si="27"/>
        <v>0</v>
      </c>
      <c r="W80" s="878" t="s">
        <v>256</v>
      </c>
      <c r="X80" s="878"/>
      <c r="Y80" s="878"/>
      <c r="Z80" s="124" t="s">
        <v>257</v>
      </c>
      <c r="AA80" s="661">
        <v>1</v>
      </c>
      <c r="AB80" s="661">
        <v>1</v>
      </c>
      <c r="AC80" s="123">
        <v>0</v>
      </c>
      <c r="AD80" s="196">
        <f>AC80*AB80</f>
        <v>0</v>
      </c>
      <c r="AE80" s="661">
        <v>0</v>
      </c>
      <c r="AF80" s="219">
        <f>AE80*AB80</f>
        <v>0</v>
      </c>
    </row>
    <row r="81" spans="1:20" x14ac:dyDescent="0.25">
      <c r="A81" s="350"/>
      <c r="B81" s="319"/>
      <c r="C81" s="318"/>
      <c r="D81" s="82"/>
      <c r="E81" s="242"/>
      <c r="F81" s="302"/>
      <c r="G81" s="75"/>
      <c r="H81" s="440">
        <v>1.07</v>
      </c>
      <c r="I81" s="74"/>
      <c r="J81" s="440"/>
      <c r="K81" s="74"/>
      <c r="L81" s="74"/>
      <c r="M81" s="566">
        <f t="shared" si="22"/>
        <v>1.4916907915890758</v>
      </c>
      <c r="N81" s="566">
        <f t="shared" si="23"/>
        <v>0</v>
      </c>
      <c r="O81" s="565">
        <f t="shared" si="24"/>
        <v>1.4916907915890758</v>
      </c>
      <c r="P81" s="567">
        <f t="shared" si="25"/>
        <v>0</v>
      </c>
      <c r="Q81" s="568">
        <f t="shared" si="26"/>
        <v>0</v>
      </c>
      <c r="R81" s="569">
        <f t="shared" si="27"/>
        <v>0</v>
      </c>
    </row>
    <row r="82" spans="1:20" x14ac:dyDescent="0.25">
      <c r="A82" s="237"/>
      <c r="B82" s="290" t="s">
        <v>329</v>
      </c>
      <c r="C82" s="291" t="s">
        <v>510</v>
      </c>
      <c r="D82" s="82"/>
      <c r="E82" s="242"/>
      <c r="F82" s="302"/>
      <c r="G82" s="75"/>
      <c r="H82" s="74"/>
      <c r="I82" s="74"/>
      <c r="J82" s="74"/>
      <c r="K82" s="74"/>
      <c r="L82" s="74"/>
      <c r="M82" s="566">
        <f t="shared" si="22"/>
        <v>0</v>
      </c>
      <c r="N82" s="566">
        <f t="shared" si="23"/>
        <v>0</v>
      </c>
      <c r="O82" s="565">
        <f t="shared" si="24"/>
        <v>0</v>
      </c>
      <c r="P82" s="567">
        <f t="shared" si="25"/>
        <v>0</v>
      </c>
      <c r="Q82" s="568">
        <f t="shared" si="26"/>
        <v>0</v>
      </c>
      <c r="R82" s="569">
        <f t="shared" si="27"/>
        <v>0</v>
      </c>
    </row>
    <row r="83" spans="1:20" s="585" customFormat="1" ht="15" hidden="1" customHeight="1" x14ac:dyDescent="0.25">
      <c r="A83" s="600"/>
      <c r="B83" s="601"/>
      <c r="C83" s="560">
        <v>1</v>
      </c>
      <c r="D83" s="603" t="s">
        <v>113</v>
      </c>
      <c r="E83" s="604">
        <v>1</v>
      </c>
      <c r="F83" s="563">
        <v>1</v>
      </c>
      <c r="G83" s="584" t="s">
        <v>55</v>
      </c>
      <c r="H83" s="565"/>
      <c r="I83" s="566">
        <f>F83*H83</f>
        <v>0</v>
      </c>
      <c r="J83" s="565"/>
      <c r="K83" s="566">
        <f t="shared" ref="K83" si="48">F83*J83</f>
        <v>0</v>
      </c>
      <c r="L83" s="565">
        <f t="shared" ref="L83" si="49">I83+K83</f>
        <v>0</v>
      </c>
      <c r="M83" s="566">
        <f t="shared" si="22"/>
        <v>0</v>
      </c>
      <c r="N83" s="566">
        <f t="shared" si="23"/>
        <v>0</v>
      </c>
      <c r="O83" s="565">
        <f t="shared" si="24"/>
        <v>0</v>
      </c>
      <c r="P83" s="567">
        <f t="shared" si="25"/>
        <v>0</v>
      </c>
      <c r="Q83" s="568">
        <f t="shared" si="26"/>
        <v>0</v>
      </c>
      <c r="R83" s="569">
        <f t="shared" si="27"/>
        <v>0</v>
      </c>
      <c r="S83" s="565">
        <f>278766*0.85</f>
        <v>236951.1</v>
      </c>
      <c r="T83" s="565">
        <f>278766*0.15</f>
        <v>41814.9</v>
      </c>
    </row>
    <row r="84" spans="1:20" s="585" customFormat="1" ht="15" hidden="1" customHeight="1" x14ac:dyDescent="0.25">
      <c r="A84" s="600"/>
      <c r="B84" s="602"/>
      <c r="C84" s="560"/>
      <c r="D84" s="603" t="s">
        <v>54</v>
      </c>
      <c r="E84" s="604"/>
      <c r="F84" s="563"/>
      <c r="G84" s="584"/>
      <c r="H84" s="566"/>
      <c r="I84" s="566"/>
      <c r="J84" s="566"/>
      <c r="K84" s="566"/>
      <c r="L84" s="566"/>
      <c r="M84" s="566">
        <f t="shared" si="22"/>
        <v>0</v>
      </c>
      <c r="N84" s="566">
        <f t="shared" si="23"/>
        <v>0</v>
      </c>
      <c r="O84" s="565">
        <f t="shared" si="24"/>
        <v>0</v>
      </c>
      <c r="P84" s="567">
        <f t="shared" si="25"/>
        <v>0</v>
      </c>
      <c r="Q84" s="568">
        <f t="shared" si="26"/>
        <v>0</v>
      </c>
      <c r="R84" s="569">
        <f t="shared" si="27"/>
        <v>0</v>
      </c>
      <c r="S84" s="566"/>
      <c r="T84" s="566"/>
    </row>
    <row r="85" spans="1:20" s="585" customFormat="1" ht="15" hidden="1" customHeight="1" x14ac:dyDescent="0.25">
      <c r="A85" s="600"/>
      <c r="B85" s="601"/>
      <c r="C85" s="560">
        <v>2</v>
      </c>
      <c r="D85" s="603" t="s">
        <v>114</v>
      </c>
      <c r="E85" s="604">
        <v>1</v>
      </c>
      <c r="F85" s="563">
        <v>1</v>
      </c>
      <c r="G85" s="584" t="s">
        <v>55</v>
      </c>
      <c r="H85" s="565"/>
      <c r="I85" s="566">
        <f>F85*H85</f>
        <v>0</v>
      </c>
      <c r="J85" s="565"/>
      <c r="K85" s="566">
        <f t="shared" ref="K85" si="50">F85*J85</f>
        <v>0</v>
      </c>
      <c r="L85" s="565">
        <f t="shared" ref="L85" si="51">I85+K85</f>
        <v>0</v>
      </c>
      <c r="M85" s="566">
        <f t="shared" si="22"/>
        <v>0</v>
      </c>
      <c r="N85" s="566">
        <f t="shared" si="23"/>
        <v>0</v>
      </c>
      <c r="O85" s="565">
        <f t="shared" si="24"/>
        <v>0</v>
      </c>
      <c r="P85" s="567">
        <f t="shared" si="25"/>
        <v>0</v>
      </c>
      <c r="Q85" s="568">
        <f t="shared" si="26"/>
        <v>0</v>
      </c>
      <c r="R85" s="569">
        <f t="shared" si="27"/>
        <v>0</v>
      </c>
      <c r="S85" s="565">
        <f>120447*0.85</f>
        <v>102379.95</v>
      </c>
      <c r="T85" s="565">
        <f>120447*0.15</f>
        <v>18067.05</v>
      </c>
    </row>
    <row r="86" spans="1:20" s="585" customFormat="1" ht="15" hidden="1" customHeight="1" x14ac:dyDescent="0.25">
      <c r="A86" s="600"/>
      <c r="B86" s="602"/>
      <c r="C86" s="560"/>
      <c r="D86" s="603" t="s">
        <v>37</v>
      </c>
      <c r="E86" s="604"/>
      <c r="F86" s="563"/>
      <c r="G86" s="584"/>
      <c r="H86" s="566"/>
      <c r="I86" s="566"/>
      <c r="J86" s="566"/>
      <c r="K86" s="566"/>
      <c r="L86" s="566"/>
      <c r="M86" s="566">
        <f t="shared" si="22"/>
        <v>0</v>
      </c>
      <c r="N86" s="566">
        <f t="shared" si="23"/>
        <v>0</v>
      </c>
      <c r="O86" s="565">
        <f t="shared" si="24"/>
        <v>0</v>
      </c>
      <c r="P86" s="567">
        <f t="shared" si="25"/>
        <v>0</v>
      </c>
      <c r="Q86" s="568">
        <f t="shared" si="26"/>
        <v>0</v>
      </c>
      <c r="R86" s="569">
        <f t="shared" si="27"/>
        <v>0</v>
      </c>
      <c r="S86" s="566"/>
      <c r="T86" s="566"/>
    </row>
    <row r="87" spans="1:20" s="585" customFormat="1" ht="15" hidden="1" customHeight="1" x14ac:dyDescent="0.25">
      <c r="A87" s="600"/>
      <c r="B87" s="601"/>
      <c r="C87" s="560">
        <v>3</v>
      </c>
      <c r="D87" s="603" t="s">
        <v>115</v>
      </c>
      <c r="E87" s="604">
        <v>1</v>
      </c>
      <c r="F87" s="563">
        <v>1</v>
      </c>
      <c r="G87" s="584" t="s">
        <v>55</v>
      </c>
      <c r="H87" s="565"/>
      <c r="I87" s="566">
        <f>F87*H87</f>
        <v>0</v>
      </c>
      <c r="J87" s="565"/>
      <c r="K87" s="566">
        <f t="shared" ref="K87" si="52">F87*J87</f>
        <v>0</v>
      </c>
      <c r="L87" s="565">
        <f t="shared" ref="L87" si="53">I87+K87</f>
        <v>0</v>
      </c>
      <c r="M87" s="566">
        <f t="shared" si="22"/>
        <v>0</v>
      </c>
      <c r="N87" s="566">
        <f t="shared" si="23"/>
        <v>0</v>
      </c>
      <c r="O87" s="565">
        <f t="shared" si="24"/>
        <v>0</v>
      </c>
      <c r="P87" s="567">
        <f t="shared" si="25"/>
        <v>0</v>
      </c>
      <c r="Q87" s="568">
        <f t="shared" si="26"/>
        <v>0</v>
      </c>
      <c r="R87" s="569">
        <f t="shared" si="27"/>
        <v>0</v>
      </c>
      <c r="S87" s="565">
        <f>95427.5*0.85</f>
        <v>81113.375</v>
      </c>
      <c r="T87" s="565">
        <f>95427.5*0.15</f>
        <v>14314.125</v>
      </c>
    </row>
    <row r="88" spans="1:20" s="585" customFormat="1" ht="15" hidden="1" customHeight="1" x14ac:dyDescent="0.25">
      <c r="A88" s="600"/>
      <c r="B88" s="602"/>
      <c r="C88" s="560"/>
      <c r="D88" s="603" t="s">
        <v>37</v>
      </c>
      <c r="E88" s="604"/>
      <c r="F88" s="563"/>
      <c r="G88" s="584"/>
      <c r="H88" s="566"/>
      <c r="I88" s="566"/>
      <c r="J88" s="566"/>
      <c r="K88" s="566"/>
      <c r="L88" s="566"/>
      <c r="M88" s="566">
        <f t="shared" si="22"/>
        <v>0</v>
      </c>
      <c r="N88" s="566">
        <f t="shared" si="23"/>
        <v>0</v>
      </c>
      <c r="O88" s="565">
        <f t="shared" si="24"/>
        <v>0</v>
      </c>
      <c r="P88" s="567">
        <f t="shared" si="25"/>
        <v>0</v>
      </c>
      <c r="Q88" s="568">
        <f t="shared" si="26"/>
        <v>0</v>
      </c>
      <c r="R88" s="569">
        <f t="shared" si="27"/>
        <v>0</v>
      </c>
      <c r="S88" s="566"/>
      <c r="T88" s="566"/>
    </row>
    <row r="89" spans="1:20" s="585" customFormat="1" ht="15" hidden="1" customHeight="1" x14ac:dyDescent="0.25">
      <c r="A89" s="600"/>
      <c r="B89" s="601"/>
      <c r="C89" s="560">
        <v>4</v>
      </c>
      <c r="D89" s="603" t="s">
        <v>116</v>
      </c>
      <c r="E89" s="604">
        <v>1</v>
      </c>
      <c r="F89" s="563">
        <v>1</v>
      </c>
      <c r="G89" s="584" t="s">
        <v>55</v>
      </c>
      <c r="H89" s="565"/>
      <c r="I89" s="566">
        <f>F89*H89</f>
        <v>0</v>
      </c>
      <c r="J89" s="565"/>
      <c r="K89" s="566">
        <f t="shared" ref="K89" si="54">F89*J89</f>
        <v>0</v>
      </c>
      <c r="L89" s="565">
        <f t="shared" ref="L89" si="55">I89+K89</f>
        <v>0</v>
      </c>
      <c r="M89" s="566">
        <f t="shared" si="22"/>
        <v>0</v>
      </c>
      <c r="N89" s="566">
        <f t="shared" si="23"/>
        <v>0</v>
      </c>
      <c r="O89" s="565">
        <f t="shared" si="24"/>
        <v>0</v>
      </c>
      <c r="P89" s="567">
        <f t="shared" si="25"/>
        <v>0</v>
      </c>
      <c r="Q89" s="568">
        <f t="shared" si="26"/>
        <v>0</v>
      </c>
      <c r="R89" s="569">
        <f t="shared" si="27"/>
        <v>0</v>
      </c>
      <c r="S89" s="565">
        <f>45342*0.85</f>
        <v>38540.699999999997</v>
      </c>
      <c r="T89" s="565">
        <f>45342*0.15</f>
        <v>6801.3</v>
      </c>
    </row>
    <row r="90" spans="1:20" s="585" customFormat="1" ht="15" hidden="1" customHeight="1" x14ac:dyDescent="0.25">
      <c r="A90" s="600"/>
      <c r="B90" s="602"/>
      <c r="C90" s="560"/>
      <c r="D90" s="603" t="s">
        <v>37</v>
      </c>
      <c r="E90" s="604"/>
      <c r="F90" s="563"/>
      <c r="G90" s="584"/>
      <c r="H90" s="566"/>
      <c r="I90" s="566"/>
      <c r="J90" s="566"/>
      <c r="K90" s="566"/>
      <c r="L90" s="566"/>
      <c r="M90" s="566">
        <f t="shared" si="22"/>
        <v>0</v>
      </c>
      <c r="N90" s="566">
        <f t="shared" si="23"/>
        <v>0</v>
      </c>
      <c r="O90" s="565">
        <f t="shared" si="24"/>
        <v>0</v>
      </c>
      <c r="P90" s="567">
        <f t="shared" si="25"/>
        <v>0</v>
      </c>
      <c r="Q90" s="568">
        <f t="shared" si="26"/>
        <v>0</v>
      </c>
      <c r="R90" s="569">
        <f t="shared" si="27"/>
        <v>0</v>
      </c>
      <c r="S90" s="566"/>
      <c r="T90" s="566"/>
    </row>
    <row r="91" spans="1:20" s="585" customFormat="1" ht="15" hidden="1" customHeight="1" x14ac:dyDescent="0.25">
      <c r="A91" s="600"/>
      <c r="B91" s="601"/>
      <c r="C91" s="560">
        <v>5</v>
      </c>
      <c r="D91" s="603" t="s">
        <v>117</v>
      </c>
      <c r="E91" s="604">
        <v>2</v>
      </c>
      <c r="F91" s="563">
        <v>2</v>
      </c>
      <c r="G91" s="584" t="s">
        <v>28</v>
      </c>
      <c r="H91" s="565"/>
      <c r="I91" s="566">
        <f>F91*H91</f>
        <v>0</v>
      </c>
      <c r="J91" s="565"/>
      <c r="K91" s="566">
        <f t="shared" ref="K91" si="56">F91*J91</f>
        <v>0</v>
      </c>
      <c r="L91" s="565">
        <f t="shared" ref="L91" si="57">I91+K91</f>
        <v>0</v>
      </c>
      <c r="M91" s="566">
        <f t="shared" si="22"/>
        <v>0</v>
      </c>
      <c r="N91" s="566">
        <f t="shared" si="23"/>
        <v>0</v>
      </c>
      <c r="O91" s="565">
        <f t="shared" si="24"/>
        <v>0</v>
      </c>
      <c r="P91" s="567">
        <f t="shared" si="25"/>
        <v>0</v>
      </c>
      <c r="Q91" s="568">
        <f t="shared" si="26"/>
        <v>0</v>
      </c>
      <c r="R91" s="569">
        <f t="shared" si="27"/>
        <v>0</v>
      </c>
      <c r="S91" s="566">
        <f>14025*0.85*0.9</f>
        <v>10729.125</v>
      </c>
      <c r="T91" s="566">
        <f>14025*0.15*0.9</f>
        <v>1893.375</v>
      </c>
    </row>
    <row r="92" spans="1:20" s="585" customFormat="1" ht="15" hidden="1" customHeight="1" x14ac:dyDescent="0.25">
      <c r="A92" s="600"/>
      <c r="B92" s="602"/>
      <c r="C92" s="560"/>
      <c r="D92" s="603" t="s">
        <v>38</v>
      </c>
      <c r="E92" s="604"/>
      <c r="F92" s="563"/>
      <c r="G92" s="598"/>
      <c r="H92" s="566"/>
      <c r="I92" s="566"/>
      <c r="J92" s="566"/>
      <c r="K92" s="566"/>
      <c r="L92" s="566"/>
      <c r="M92" s="566">
        <f t="shared" si="22"/>
        <v>0</v>
      </c>
      <c r="N92" s="566">
        <f t="shared" si="23"/>
        <v>0</v>
      </c>
      <c r="O92" s="565">
        <f t="shared" si="24"/>
        <v>0</v>
      </c>
      <c r="P92" s="567">
        <f t="shared" si="25"/>
        <v>0</v>
      </c>
      <c r="Q92" s="568">
        <f t="shared" si="26"/>
        <v>0</v>
      </c>
      <c r="R92" s="569">
        <f t="shared" si="27"/>
        <v>0</v>
      </c>
      <c r="S92" s="566"/>
      <c r="T92" s="566"/>
    </row>
    <row r="93" spans="1:20" s="585" customFormat="1" ht="15" hidden="1" customHeight="1" x14ac:dyDescent="0.25">
      <c r="A93" s="600"/>
      <c r="B93" s="601"/>
      <c r="C93" s="560">
        <v>6</v>
      </c>
      <c r="D93" s="582" t="s">
        <v>118</v>
      </c>
      <c r="E93" s="583">
        <v>2</v>
      </c>
      <c r="F93" s="563">
        <v>2</v>
      </c>
      <c r="G93" s="584" t="s">
        <v>28</v>
      </c>
      <c r="H93" s="565"/>
      <c r="I93" s="566">
        <f>F93*H93</f>
        <v>0</v>
      </c>
      <c r="J93" s="565"/>
      <c r="K93" s="566">
        <f t="shared" ref="K93" si="58">F93*J93</f>
        <v>0</v>
      </c>
      <c r="L93" s="565">
        <f t="shared" ref="L93" si="59">I93+K93</f>
        <v>0</v>
      </c>
      <c r="M93" s="566">
        <f t="shared" si="22"/>
        <v>0</v>
      </c>
      <c r="N93" s="566">
        <f t="shared" si="23"/>
        <v>0</v>
      </c>
      <c r="O93" s="565">
        <f t="shared" si="24"/>
        <v>0</v>
      </c>
      <c r="P93" s="567">
        <f t="shared" si="25"/>
        <v>0</v>
      </c>
      <c r="Q93" s="568">
        <f t="shared" si="26"/>
        <v>0</v>
      </c>
      <c r="R93" s="569">
        <f t="shared" si="27"/>
        <v>0</v>
      </c>
      <c r="S93" s="566">
        <f>18105*0.85*0.9</f>
        <v>13850.325000000001</v>
      </c>
      <c r="T93" s="566">
        <f>18105*0.15*0.9</f>
        <v>2444.1750000000002</v>
      </c>
    </row>
    <row r="94" spans="1:20" s="585" customFormat="1" ht="15" hidden="1" customHeight="1" x14ac:dyDescent="0.25">
      <c r="A94" s="600"/>
      <c r="B94" s="602"/>
      <c r="C94" s="560"/>
      <c r="D94" s="582" t="s">
        <v>51</v>
      </c>
      <c r="E94" s="583"/>
      <c r="F94" s="563"/>
      <c r="G94" s="598"/>
      <c r="H94" s="566"/>
      <c r="I94" s="566"/>
      <c r="J94" s="566"/>
      <c r="K94" s="566"/>
      <c r="L94" s="566"/>
      <c r="M94" s="566">
        <f t="shared" si="22"/>
        <v>0</v>
      </c>
      <c r="N94" s="566">
        <f t="shared" si="23"/>
        <v>0</v>
      </c>
      <c r="O94" s="565">
        <f t="shared" si="24"/>
        <v>0</v>
      </c>
      <c r="P94" s="567">
        <f t="shared" si="25"/>
        <v>0</v>
      </c>
      <c r="Q94" s="568">
        <f t="shared" si="26"/>
        <v>0</v>
      </c>
      <c r="R94" s="569">
        <f t="shared" si="27"/>
        <v>0</v>
      </c>
      <c r="S94" s="566"/>
      <c r="T94" s="566"/>
    </row>
    <row r="95" spans="1:20" s="585" customFormat="1" ht="15" hidden="1" customHeight="1" x14ac:dyDescent="0.25">
      <c r="A95" s="600"/>
      <c r="B95" s="601"/>
      <c r="C95" s="560">
        <v>7</v>
      </c>
      <c r="D95" s="582" t="s">
        <v>119</v>
      </c>
      <c r="E95" s="583">
        <v>4</v>
      </c>
      <c r="F95" s="563">
        <v>4</v>
      </c>
      <c r="G95" s="584" t="s">
        <v>28</v>
      </c>
      <c r="H95" s="565"/>
      <c r="I95" s="566">
        <f>F95*H95</f>
        <v>0</v>
      </c>
      <c r="J95" s="565"/>
      <c r="K95" s="566">
        <f t="shared" ref="K95" si="60">F95*J95</f>
        <v>0</v>
      </c>
      <c r="L95" s="565">
        <f t="shared" ref="L95" si="61">I95+K95</f>
        <v>0</v>
      </c>
      <c r="M95" s="566">
        <f t="shared" si="22"/>
        <v>0</v>
      </c>
      <c r="N95" s="566">
        <f t="shared" si="23"/>
        <v>0</v>
      </c>
      <c r="O95" s="565">
        <f t="shared" si="24"/>
        <v>0</v>
      </c>
      <c r="P95" s="567">
        <f t="shared" si="25"/>
        <v>0</v>
      </c>
      <c r="Q95" s="568">
        <f t="shared" si="26"/>
        <v>0</v>
      </c>
      <c r="R95" s="569">
        <f t="shared" si="27"/>
        <v>0</v>
      </c>
      <c r="S95" s="566">
        <f>9180*0.85*0.9</f>
        <v>7022.7</v>
      </c>
      <c r="T95" s="566">
        <f>9180*0.15*0.9</f>
        <v>1239.3</v>
      </c>
    </row>
    <row r="96" spans="1:20" s="585" customFormat="1" ht="15" hidden="1" customHeight="1" x14ac:dyDescent="0.25">
      <c r="A96" s="600"/>
      <c r="B96" s="602"/>
      <c r="C96" s="560"/>
      <c r="D96" s="582" t="s">
        <v>38</v>
      </c>
      <c r="E96" s="583"/>
      <c r="F96" s="563"/>
      <c r="G96" s="598"/>
      <c r="H96" s="566"/>
      <c r="I96" s="566"/>
      <c r="J96" s="566"/>
      <c r="K96" s="566"/>
      <c r="L96" s="566"/>
      <c r="M96" s="566">
        <f t="shared" si="22"/>
        <v>0</v>
      </c>
      <c r="N96" s="566">
        <f t="shared" si="23"/>
        <v>0</v>
      </c>
      <c r="O96" s="565">
        <f t="shared" si="24"/>
        <v>0</v>
      </c>
      <c r="P96" s="567">
        <f t="shared" si="25"/>
        <v>0</v>
      </c>
      <c r="Q96" s="568">
        <f t="shared" si="26"/>
        <v>0</v>
      </c>
      <c r="R96" s="569">
        <f t="shared" si="27"/>
        <v>0</v>
      </c>
      <c r="S96" s="566"/>
      <c r="T96" s="566"/>
    </row>
    <row r="97" spans="1:20" s="585" customFormat="1" ht="15" hidden="1" customHeight="1" x14ac:dyDescent="0.25">
      <c r="A97" s="600"/>
      <c r="B97" s="601"/>
      <c r="C97" s="560">
        <v>8</v>
      </c>
      <c r="D97" s="582" t="s">
        <v>120</v>
      </c>
      <c r="E97" s="583">
        <v>1</v>
      </c>
      <c r="F97" s="563">
        <v>1</v>
      </c>
      <c r="G97" s="584" t="s">
        <v>55</v>
      </c>
      <c r="H97" s="565"/>
      <c r="I97" s="566">
        <f>F97*H97</f>
        <v>0</v>
      </c>
      <c r="J97" s="565"/>
      <c r="K97" s="566">
        <f t="shared" ref="K97" si="62">F97*J97</f>
        <v>0</v>
      </c>
      <c r="L97" s="565">
        <f t="shared" ref="L97" si="63">I97+K97</f>
        <v>0</v>
      </c>
      <c r="M97" s="566">
        <f t="shared" si="22"/>
        <v>0</v>
      </c>
      <c r="N97" s="566">
        <f t="shared" si="23"/>
        <v>0</v>
      </c>
      <c r="O97" s="565">
        <f t="shared" si="24"/>
        <v>0</v>
      </c>
      <c r="P97" s="567">
        <f t="shared" si="25"/>
        <v>0</v>
      </c>
      <c r="Q97" s="568">
        <f t="shared" si="26"/>
        <v>0</v>
      </c>
      <c r="R97" s="569">
        <f t="shared" si="27"/>
        <v>0</v>
      </c>
      <c r="S97" s="566">
        <f>4590*0.85*0.9</f>
        <v>3511.35</v>
      </c>
      <c r="T97" s="566">
        <f>4590*0.15*0.9</f>
        <v>619.65</v>
      </c>
    </row>
    <row r="98" spans="1:20" s="585" customFormat="1" ht="15" hidden="1" customHeight="1" x14ac:dyDescent="0.25">
      <c r="A98" s="600"/>
      <c r="B98" s="602"/>
      <c r="C98" s="560"/>
      <c r="D98" s="582" t="s">
        <v>51</v>
      </c>
      <c r="E98" s="583"/>
      <c r="F98" s="563"/>
      <c r="G98" s="598"/>
      <c r="H98" s="566"/>
      <c r="I98" s="566"/>
      <c r="J98" s="566"/>
      <c r="K98" s="566"/>
      <c r="L98" s="566"/>
      <c r="M98" s="566">
        <f t="shared" si="22"/>
        <v>0</v>
      </c>
      <c r="N98" s="566">
        <f t="shared" si="23"/>
        <v>0</v>
      </c>
      <c r="O98" s="565">
        <f t="shared" si="24"/>
        <v>0</v>
      </c>
      <c r="P98" s="567">
        <f t="shared" si="25"/>
        <v>0</v>
      </c>
      <c r="Q98" s="568">
        <f t="shared" si="26"/>
        <v>0</v>
      </c>
      <c r="R98" s="569">
        <f t="shared" si="27"/>
        <v>0</v>
      </c>
      <c r="S98" s="566"/>
      <c r="T98" s="566"/>
    </row>
    <row r="99" spans="1:20" s="585" customFormat="1" ht="15" hidden="1" customHeight="1" x14ac:dyDescent="0.25">
      <c r="A99" s="600"/>
      <c r="B99" s="601"/>
      <c r="C99" s="560">
        <v>9</v>
      </c>
      <c r="D99" s="582" t="s">
        <v>121</v>
      </c>
      <c r="E99" s="583">
        <v>1</v>
      </c>
      <c r="F99" s="563">
        <v>1</v>
      </c>
      <c r="G99" s="584" t="s">
        <v>55</v>
      </c>
      <c r="H99" s="565"/>
      <c r="I99" s="566">
        <f>F99*H99</f>
        <v>0</v>
      </c>
      <c r="J99" s="565"/>
      <c r="K99" s="566">
        <f t="shared" ref="K99" si="64">F99*J99</f>
        <v>0</v>
      </c>
      <c r="L99" s="565">
        <f t="shared" ref="L99" si="65">I99+K99</f>
        <v>0</v>
      </c>
      <c r="M99" s="566">
        <f t="shared" si="22"/>
        <v>0</v>
      </c>
      <c r="N99" s="566">
        <f t="shared" si="23"/>
        <v>0</v>
      </c>
      <c r="O99" s="565">
        <f t="shared" si="24"/>
        <v>0</v>
      </c>
      <c r="P99" s="567">
        <f t="shared" si="25"/>
        <v>0</v>
      </c>
      <c r="Q99" s="568">
        <f t="shared" si="26"/>
        <v>0</v>
      </c>
      <c r="R99" s="569">
        <f t="shared" si="27"/>
        <v>0</v>
      </c>
      <c r="S99" s="565">
        <f>183816*0.85</f>
        <v>156243.6</v>
      </c>
      <c r="T99" s="565">
        <f>183816*0.15</f>
        <v>27572.399999999998</v>
      </c>
    </row>
    <row r="100" spans="1:20" s="585" customFormat="1" ht="15" hidden="1" customHeight="1" x14ac:dyDescent="0.25">
      <c r="A100" s="600"/>
      <c r="B100" s="602"/>
      <c r="C100" s="560"/>
      <c r="D100" s="582" t="s">
        <v>54</v>
      </c>
      <c r="E100" s="583"/>
      <c r="F100" s="563"/>
      <c r="G100" s="584"/>
      <c r="H100" s="566"/>
      <c r="I100" s="566"/>
      <c r="J100" s="566"/>
      <c r="K100" s="566"/>
      <c r="L100" s="565"/>
      <c r="M100" s="566">
        <f t="shared" si="22"/>
        <v>0</v>
      </c>
      <c r="N100" s="566">
        <f t="shared" si="23"/>
        <v>0</v>
      </c>
      <c r="O100" s="565">
        <f t="shared" si="24"/>
        <v>0</v>
      </c>
      <c r="P100" s="567">
        <f t="shared" si="25"/>
        <v>0</v>
      </c>
      <c r="Q100" s="568">
        <f t="shared" si="26"/>
        <v>0</v>
      </c>
      <c r="R100" s="569">
        <f t="shared" si="27"/>
        <v>0</v>
      </c>
      <c r="S100" s="566"/>
      <c r="T100" s="566"/>
    </row>
    <row r="101" spans="1:20" s="585" customFormat="1" ht="15" hidden="1" customHeight="1" x14ac:dyDescent="0.25">
      <c r="A101" s="600"/>
      <c r="B101" s="601"/>
      <c r="C101" s="560">
        <v>10</v>
      </c>
      <c r="D101" s="582" t="s">
        <v>122</v>
      </c>
      <c r="E101" s="583">
        <v>1</v>
      </c>
      <c r="F101" s="563">
        <v>1</v>
      </c>
      <c r="G101" s="584" t="s">
        <v>55</v>
      </c>
      <c r="H101" s="565"/>
      <c r="I101" s="566">
        <f>F101*H101</f>
        <v>0</v>
      </c>
      <c r="J101" s="565"/>
      <c r="K101" s="566">
        <f t="shared" ref="K101" si="66">F101*J101</f>
        <v>0</v>
      </c>
      <c r="L101" s="565">
        <f t="shared" ref="L101" si="67">I101+K101</f>
        <v>0</v>
      </c>
      <c r="M101" s="566">
        <f t="shared" si="22"/>
        <v>0</v>
      </c>
      <c r="N101" s="566">
        <f t="shared" si="23"/>
        <v>0</v>
      </c>
      <c r="O101" s="565">
        <f t="shared" si="24"/>
        <v>0</v>
      </c>
      <c r="P101" s="567">
        <f t="shared" si="25"/>
        <v>0</v>
      </c>
      <c r="Q101" s="568">
        <f t="shared" si="26"/>
        <v>0</v>
      </c>
      <c r="R101" s="569">
        <f t="shared" si="27"/>
        <v>0</v>
      </c>
      <c r="S101" s="565">
        <f>200214*0.85</f>
        <v>170181.9</v>
      </c>
      <c r="T101" s="565">
        <f>200214*0.15</f>
        <v>30032.1</v>
      </c>
    </row>
    <row r="102" spans="1:20" s="585" customFormat="1" ht="15" hidden="1" customHeight="1" x14ac:dyDescent="0.25">
      <c r="A102" s="600"/>
      <c r="B102" s="602"/>
      <c r="C102" s="560"/>
      <c r="D102" s="582" t="s">
        <v>37</v>
      </c>
      <c r="E102" s="583"/>
      <c r="F102" s="563"/>
      <c r="G102" s="584"/>
      <c r="H102" s="566"/>
      <c r="I102" s="566"/>
      <c r="J102" s="566"/>
      <c r="K102" s="566"/>
      <c r="L102" s="565"/>
      <c r="M102" s="566">
        <f t="shared" si="22"/>
        <v>0</v>
      </c>
      <c r="N102" s="566">
        <f t="shared" si="23"/>
        <v>0</v>
      </c>
      <c r="O102" s="565">
        <f t="shared" si="24"/>
        <v>0</v>
      </c>
      <c r="P102" s="567">
        <f t="shared" si="25"/>
        <v>0</v>
      </c>
      <c r="Q102" s="568">
        <f t="shared" si="26"/>
        <v>0</v>
      </c>
      <c r="R102" s="569">
        <f t="shared" si="27"/>
        <v>0</v>
      </c>
      <c r="S102" s="566"/>
      <c r="T102" s="566"/>
    </row>
    <row r="103" spans="1:20" s="585" customFormat="1" ht="15" hidden="1" customHeight="1" x14ac:dyDescent="0.25">
      <c r="A103" s="600"/>
      <c r="B103" s="601"/>
      <c r="C103" s="560">
        <v>11</v>
      </c>
      <c r="D103" s="582" t="s">
        <v>123</v>
      </c>
      <c r="E103" s="583">
        <v>24</v>
      </c>
      <c r="F103" s="563">
        <v>24</v>
      </c>
      <c r="G103" s="584" t="s">
        <v>28</v>
      </c>
      <c r="H103" s="565"/>
      <c r="I103" s="566">
        <f>F103*H103</f>
        <v>0</v>
      </c>
      <c r="J103" s="565"/>
      <c r="K103" s="566">
        <f t="shared" ref="K103" si="68">F103*J103</f>
        <v>0</v>
      </c>
      <c r="L103" s="565">
        <f t="shared" ref="L103" si="69">I103+K103</f>
        <v>0</v>
      </c>
      <c r="M103" s="566">
        <f t="shared" si="22"/>
        <v>0</v>
      </c>
      <c r="N103" s="566">
        <f t="shared" si="23"/>
        <v>0</v>
      </c>
      <c r="O103" s="565">
        <f t="shared" si="24"/>
        <v>0</v>
      </c>
      <c r="P103" s="567">
        <f t="shared" si="25"/>
        <v>0</v>
      </c>
      <c r="Q103" s="568">
        <f t="shared" si="26"/>
        <v>0</v>
      </c>
      <c r="R103" s="569">
        <f t="shared" si="27"/>
        <v>0</v>
      </c>
      <c r="S103" s="565">
        <f>18360*0.85</f>
        <v>15606</v>
      </c>
      <c r="T103" s="565">
        <f>18360*0.15</f>
        <v>2754</v>
      </c>
    </row>
    <row r="104" spans="1:20" s="585" customFormat="1" ht="15" hidden="1" customHeight="1" x14ac:dyDescent="0.25">
      <c r="A104" s="600"/>
      <c r="B104" s="602"/>
      <c r="C104" s="560"/>
      <c r="D104" s="582" t="s">
        <v>52</v>
      </c>
      <c r="E104" s="583"/>
      <c r="F104" s="563"/>
      <c r="G104" s="598"/>
      <c r="H104" s="566"/>
      <c r="I104" s="566"/>
      <c r="J104" s="566"/>
      <c r="K104" s="566"/>
      <c r="L104" s="565"/>
      <c r="M104" s="566">
        <f t="shared" si="22"/>
        <v>0</v>
      </c>
      <c r="N104" s="566">
        <f t="shared" si="23"/>
        <v>0</v>
      </c>
      <c r="O104" s="565">
        <f t="shared" si="24"/>
        <v>0</v>
      </c>
      <c r="P104" s="567">
        <f t="shared" si="25"/>
        <v>0</v>
      </c>
      <c r="Q104" s="568">
        <f t="shared" si="26"/>
        <v>0</v>
      </c>
      <c r="R104" s="569">
        <f t="shared" si="27"/>
        <v>0</v>
      </c>
      <c r="S104" s="566"/>
      <c r="T104" s="566"/>
    </row>
    <row r="105" spans="1:20" s="585" customFormat="1" ht="15" hidden="1" customHeight="1" x14ac:dyDescent="0.25">
      <c r="A105" s="600"/>
      <c r="B105" s="602"/>
      <c r="C105" s="560"/>
      <c r="D105" s="582" t="s">
        <v>58</v>
      </c>
      <c r="E105" s="583"/>
      <c r="F105" s="563"/>
      <c r="G105" s="598"/>
      <c r="H105" s="566"/>
      <c r="I105" s="566"/>
      <c r="J105" s="566"/>
      <c r="K105" s="566"/>
      <c r="L105" s="565"/>
      <c r="M105" s="566">
        <f t="shared" si="22"/>
        <v>0</v>
      </c>
      <c r="N105" s="566">
        <f t="shared" si="23"/>
        <v>0</v>
      </c>
      <c r="O105" s="565">
        <f t="shared" si="24"/>
        <v>0</v>
      </c>
      <c r="P105" s="567">
        <f t="shared" si="25"/>
        <v>0</v>
      </c>
      <c r="Q105" s="568">
        <f t="shared" si="26"/>
        <v>0</v>
      </c>
      <c r="R105" s="569">
        <f t="shared" si="27"/>
        <v>0</v>
      </c>
      <c r="S105" s="566"/>
      <c r="T105" s="566"/>
    </row>
    <row r="106" spans="1:20" s="585" customFormat="1" ht="15" hidden="1" customHeight="1" x14ac:dyDescent="0.25">
      <c r="A106" s="600"/>
      <c r="B106" s="601"/>
      <c r="C106" s="560">
        <v>12</v>
      </c>
      <c r="D106" s="582" t="s">
        <v>124</v>
      </c>
      <c r="E106" s="583">
        <v>1</v>
      </c>
      <c r="F106" s="563">
        <v>1</v>
      </c>
      <c r="G106" s="584" t="s">
        <v>55</v>
      </c>
      <c r="H106" s="565"/>
      <c r="I106" s="566">
        <f>F106*H106</f>
        <v>0</v>
      </c>
      <c r="J106" s="565"/>
      <c r="K106" s="566">
        <f t="shared" ref="K106" si="70">F106*J106</f>
        <v>0</v>
      </c>
      <c r="L106" s="565">
        <f t="shared" ref="L106" si="71">I106+K106</f>
        <v>0</v>
      </c>
      <c r="M106" s="566">
        <f t="shared" si="22"/>
        <v>0</v>
      </c>
      <c r="N106" s="566">
        <f t="shared" si="23"/>
        <v>0</v>
      </c>
      <c r="O106" s="565">
        <f t="shared" si="24"/>
        <v>0</v>
      </c>
      <c r="P106" s="567">
        <f t="shared" si="25"/>
        <v>0</v>
      </c>
      <c r="Q106" s="568">
        <f t="shared" si="26"/>
        <v>0</v>
      </c>
      <c r="R106" s="569">
        <f t="shared" si="27"/>
        <v>0</v>
      </c>
      <c r="S106" s="565">
        <f>24480*0.85</f>
        <v>20808</v>
      </c>
      <c r="T106" s="565">
        <f>24480*0.15</f>
        <v>3672</v>
      </c>
    </row>
    <row r="107" spans="1:20" s="585" customFormat="1" ht="15" hidden="1" customHeight="1" x14ac:dyDescent="0.25">
      <c r="A107" s="600"/>
      <c r="B107" s="602"/>
      <c r="C107" s="560"/>
      <c r="D107" s="582" t="s">
        <v>53</v>
      </c>
      <c r="E107" s="583"/>
      <c r="F107" s="563"/>
      <c r="G107" s="598"/>
      <c r="H107" s="566"/>
      <c r="I107" s="566"/>
      <c r="J107" s="566"/>
      <c r="K107" s="566"/>
      <c r="L107" s="565"/>
      <c r="M107" s="566">
        <f t="shared" si="22"/>
        <v>0</v>
      </c>
      <c r="N107" s="566">
        <f t="shared" si="23"/>
        <v>0</v>
      </c>
      <c r="O107" s="565">
        <f t="shared" si="24"/>
        <v>0</v>
      </c>
      <c r="P107" s="567">
        <f t="shared" si="25"/>
        <v>0</v>
      </c>
      <c r="Q107" s="568">
        <f t="shared" si="26"/>
        <v>0</v>
      </c>
      <c r="R107" s="569">
        <f t="shared" si="27"/>
        <v>0</v>
      </c>
      <c r="S107" s="566"/>
      <c r="T107" s="566"/>
    </row>
    <row r="108" spans="1:20" s="585" customFormat="1" ht="15" hidden="1" customHeight="1" x14ac:dyDescent="0.25">
      <c r="A108" s="618"/>
      <c r="B108" s="602"/>
      <c r="C108" s="560"/>
      <c r="D108" s="582" t="s">
        <v>59</v>
      </c>
      <c r="E108" s="583"/>
      <c r="F108" s="563"/>
      <c r="G108" s="598"/>
      <c r="H108" s="566"/>
      <c r="I108" s="566"/>
      <c r="J108" s="566"/>
      <c r="K108" s="566"/>
      <c r="L108" s="565"/>
      <c r="M108" s="566">
        <f t="shared" si="22"/>
        <v>0</v>
      </c>
      <c r="N108" s="566">
        <f t="shared" si="23"/>
        <v>0</v>
      </c>
      <c r="O108" s="565">
        <f t="shared" si="24"/>
        <v>0</v>
      </c>
      <c r="P108" s="567">
        <f t="shared" si="25"/>
        <v>0</v>
      </c>
      <c r="Q108" s="568">
        <f t="shared" si="26"/>
        <v>0</v>
      </c>
      <c r="R108" s="569">
        <f t="shared" si="27"/>
        <v>0</v>
      </c>
      <c r="S108" s="566"/>
      <c r="T108" s="566"/>
    </row>
    <row r="109" spans="1:20" s="585" customFormat="1" ht="15" hidden="1" customHeight="1" x14ac:dyDescent="0.25">
      <c r="A109" s="620"/>
      <c r="B109" s="601"/>
      <c r="C109" s="560">
        <v>13</v>
      </c>
      <c r="D109" s="582" t="s">
        <v>125</v>
      </c>
      <c r="E109" s="583">
        <v>1</v>
      </c>
      <c r="F109" s="563">
        <v>1</v>
      </c>
      <c r="G109" s="584" t="s">
        <v>55</v>
      </c>
      <c r="H109" s="565"/>
      <c r="I109" s="566">
        <f>F109*H109</f>
        <v>0</v>
      </c>
      <c r="J109" s="565"/>
      <c r="K109" s="566">
        <f t="shared" ref="K109" si="72">F109*J109</f>
        <v>0</v>
      </c>
      <c r="L109" s="565">
        <f t="shared" ref="L109" si="73">I109+K109</f>
        <v>0</v>
      </c>
      <c r="M109" s="566">
        <f t="shared" si="22"/>
        <v>0</v>
      </c>
      <c r="N109" s="566">
        <f t="shared" si="23"/>
        <v>0</v>
      </c>
      <c r="O109" s="565">
        <f t="shared" si="24"/>
        <v>0</v>
      </c>
      <c r="P109" s="567">
        <f t="shared" si="25"/>
        <v>0</v>
      </c>
      <c r="Q109" s="568">
        <f t="shared" si="26"/>
        <v>0</v>
      </c>
      <c r="R109" s="569">
        <f t="shared" si="27"/>
        <v>0</v>
      </c>
      <c r="S109" s="565">
        <f>(65520+7560+5880)*0.85</f>
        <v>67116</v>
      </c>
      <c r="T109" s="565">
        <f>(65520+7560+5880)*0.15</f>
        <v>11844</v>
      </c>
    </row>
    <row r="110" spans="1:20" s="585" customFormat="1" ht="15" hidden="1" customHeight="1" x14ac:dyDescent="0.25">
      <c r="A110" s="600"/>
      <c r="B110" s="602"/>
      <c r="C110" s="560"/>
      <c r="D110" s="582" t="s">
        <v>164</v>
      </c>
      <c r="E110" s="583"/>
      <c r="F110" s="563"/>
      <c r="G110" s="598"/>
      <c r="H110" s="566"/>
      <c r="I110" s="566"/>
      <c r="J110" s="566"/>
      <c r="K110" s="566"/>
      <c r="L110" s="565"/>
      <c r="M110" s="566">
        <f t="shared" si="22"/>
        <v>0</v>
      </c>
      <c r="N110" s="566">
        <f t="shared" si="23"/>
        <v>0</v>
      </c>
      <c r="O110" s="565">
        <f t="shared" si="24"/>
        <v>0</v>
      </c>
      <c r="P110" s="567">
        <f t="shared" si="25"/>
        <v>0</v>
      </c>
      <c r="Q110" s="568">
        <f t="shared" si="26"/>
        <v>0</v>
      </c>
      <c r="R110" s="569">
        <f t="shared" si="27"/>
        <v>0</v>
      </c>
      <c r="S110" s="566"/>
      <c r="T110" s="566"/>
    </row>
    <row r="111" spans="1:20" s="585" customFormat="1" ht="15" hidden="1" customHeight="1" x14ac:dyDescent="0.25">
      <c r="A111" s="600"/>
      <c r="B111" s="601"/>
      <c r="C111" s="560">
        <v>14</v>
      </c>
      <c r="D111" s="582" t="s">
        <v>126</v>
      </c>
      <c r="E111" s="583">
        <v>1</v>
      </c>
      <c r="F111" s="563">
        <v>1</v>
      </c>
      <c r="G111" s="584" t="s">
        <v>55</v>
      </c>
      <c r="H111" s="565"/>
      <c r="I111" s="566">
        <f>F111*H111</f>
        <v>0</v>
      </c>
      <c r="J111" s="565"/>
      <c r="K111" s="566">
        <f t="shared" ref="K111" si="74">F111*J111</f>
        <v>0</v>
      </c>
      <c r="L111" s="565">
        <f t="shared" ref="L111" si="75">I111+K111</f>
        <v>0</v>
      </c>
      <c r="M111" s="566">
        <f t="shared" si="22"/>
        <v>0</v>
      </c>
      <c r="N111" s="566">
        <f t="shared" si="23"/>
        <v>0</v>
      </c>
      <c r="O111" s="565">
        <f t="shared" si="24"/>
        <v>0</v>
      </c>
      <c r="P111" s="567">
        <f t="shared" si="25"/>
        <v>0</v>
      </c>
      <c r="Q111" s="568">
        <f t="shared" si="26"/>
        <v>0</v>
      </c>
      <c r="R111" s="569">
        <f t="shared" si="27"/>
        <v>0</v>
      </c>
      <c r="S111" s="565">
        <f>151200*0.85</f>
        <v>128520</v>
      </c>
      <c r="T111" s="565">
        <f>151200*0.15</f>
        <v>22680</v>
      </c>
    </row>
    <row r="112" spans="1:20" s="585" customFormat="1" ht="15" hidden="1" customHeight="1" x14ac:dyDescent="0.25">
      <c r="A112" s="600"/>
      <c r="B112" s="602"/>
      <c r="C112" s="560"/>
      <c r="D112" s="582" t="s">
        <v>164</v>
      </c>
      <c r="E112" s="583"/>
      <c r="F112" s="563"/>
      <c r="G112" s="598"/>
      <c r="H112" s="566"/>
      <c r="I112" s="566"/>
      <c r="J112" s="566"/>
      <c r="K112" s="566"/>
      <c r="L112" s="565"/>
      <c r="M112" s="566">
        <f t="shared" si="22"/>
        <v>0</v>
      </c>
      <c r="N112" s="566">
        <f t="shared" si="23"/>
        <v>0</v>
      </c>
      <c r="O112" s="565">
        <f t="shared" si="24"/>
        <v>0</v>
      </c>
      <c r="P112" s="567">
        <f t="shared" si="25"/>
        <v>0</v>
      </c>
      <c r="Q112" s="568">
        <f t="shared" si="26"/>
        <v>0</v>
      </c>
      <c r="R112" s="569">
        <f t="shared" si="27"/>
        <v>0</v>
      </c>
      <c r="S112" s="566"/>
      <c r="T112" s="566"/>
    </row>
    <row r="113" spans="1:32" s="585" customFormat="1" ht="15" hidden="1" customHeight="1" x14ac:dyDescent="0.25">
      <c r="A113" s="600"/>
      <c r="B113" s="601"/>
      <c r="C113" s="560">
        <v>15</v>
      </c>
      <c r="D113" s="582" t="s">
        <v>127</v>
      </c>
      <c r="E113" s="583">
        <v>1</v>
      </c>
      <c r="F113" s="563">
        <v>1</v>
      </c>
      <c r="G113" s="584" t="s">
        <v>55</v>
      </c>
      <c r="H113" s="565"/>
      <c r="I113" s="566">
        <f>F113*H113</f>
        <v>0</v>
      </c>
      <c r="J113" s="565"/>
      <c r="K113" s="566">
        <f t="shared" ref="K113" si="76">F113*J113</f>
        <v>0</v>
      </c>
      <c r="L113" s="565">
        <f t="shared" ref="L113" si="77">I113+K113</f>
        <v>0</v>
      </c>
      <c r="M113" s="566">
        <f t="shared" si="22"/>
        <v>0</v>
      </c>
      <c r="N113" s="566">
        <f t="shared" si="23"/>
        <v>0</v>
      </c>
      <c r="O113" s="565">
        <f t="shared" si="24"/>
        <v>0</v>
      </c>
      <c r="P113" s="567">
        <f t="shared" si="25"/>
        <v>0</v>
      </c>
      <c r="Q113" s="568">
        <f t="shared" si="26"/>
        <v>0</v>
      </c>
      <c r="R113" s="569">
        <f t="shared" si="27"/>
        <v>0</v>
      </c>
      <c r="S113" s="565">
        <f>80640*0.85</f>
        <v>68544</v>
      </c>
      <c r="T113" s="565">
        <f>80640*0.15</f>
        <v>12096</v>
      </c>
    </row>
    <row r="114" spans="1:32" s="585" customFormat="1" ht="15" hidden="1" customHeight="1" x14ac:dyDescent="0.25">
      <c r="A114" s="600"/>
      <c r="B114" s="602"/>
      <c r="C114" s="560"/>
      <c r="D114" s="582" t="s">
        <v>164</v>
      </c>
      <c r="E114" s="583"/>
      <c r="F114" s="563"/>
      <c r="G114" s="598"/>
      <c r="H114" s="566"/>
      <c r="I114" s="566"/>
      <c r="J114" s="566"/>
      <c r="K114" s="566"/>
      <c r="L114" s="565"/>
      <c r="M114" s="566">
        <f t="shared" si="22"/>
        <v>0</v>
      </c>
      <c r="N114" s="566">
        <f t="shared" si="23"/>
        <v>0</v>
      </c>
      <c r="O114" s="565">
        <f t="shared" si="24"/>
        <v>0</v>
      </c>
      <c r="P114" s="567">
        <f t="shared" si="25"/>
        <v>0</v>
      </c>
      <c r="Q114" s="568">
        <f t="shared" si="26"/>
        <v>0</v>
      </c>
      <c r="R114" s="569">
        <f t="shared" si="27"/>
        <v>0</v>
      </c>
      <c r="S114" s="566"/>
      <c r="T114" s="566"/>
    </row>
    <row r="115" spans="1:32" s="585" customFormat="1" ht="15" hidden="1" customHeight="1" x14ac:dyDescent="0.25">
      <c r="A115" s="600"/>
      <c r="B115" s="601"/>
      <c r="C115" s="560">
        <v>16</v>
      </c>
      <c r="D115" s="582" t="s">
        <v>128</v>
      </c>
      <c r="E115" s="583">
        <v>1</v>
      </c>
      <c r="F115" s="563">
        <v>1</v>
      </c>
      <c r="G115" s="584" t="s">
        <v>55</v>
      </c>
      <c r="H115" s="565"/>
      <c r="I115" s="566">
        <f>F115*H115</f>
        <v>0</v>
      </c>
      <c r="J115" s="565"/>
      <c r="K115" s="566">
        <f t="shared" ref="K115" si="78">F115*J115</f>
        <v>0</v>
      </c>
      <c r="L115" s="565">
        <f t="shared" ref="L115" si="79">I115+K115</f>
        <v>0</v>
      </c>
      <c r="M115" s="566">
        <f t="shared" ref="M115:M146" si="80">H115/$P$260*$P$268</f>
        <v>0</v>
      </c>
      <c r="N115" s="566">
        <f t="shared" ref="N115:N146" si="81">J115/$P$260*$P$268</f>
        <v>0</v>
      </c>
      <c r="O115" s="565">
        <f t="shared" ref="O115:O149" si="82">N115+M115</f>
        <v>0</v>
      </c>
      <c r="P115" s="567">
        <f t="shared" ref="P115:P146" si="83">O115*F115</f>
        <v>0</v>
      </c>
      <c r="Q115" s="568">
        <f t="shared" ref="Q115:Q146" si="84">L115/$P$260*$P$268</f>
        <v>0</v>
      </c>
      <c r="R115" s="569">
        <f t="shared" ref="R115:R146" si="85">P115-Q115</f>
        <v>0</v>
      </c>
      <c r="S115" s="565">
        <f>(27888+33600)*0.85</f>
        <v>52264.799999999996</v>
      </c>
      <c r="T115" s="565">
        <f>(27888+33600)*0.15</f>
        <v>9223.1999999999989</v>
      </c>
    </row>
    <row r="116" spans="1:32" s="585" customFormat="1" ht="15" hidden="1" customHeight="1" x14ac:dyDescent="0.25">
      <c r="A116" s="600"/>
      <c r="B116" s="602"/>
      <c r="C116" s="560"/>
      <c r="D116" s="582" t="s">
        <v>164</v>
      </c>
      <c r="E116" s="583"/>
      <c r="F116" s="563"/>
      <c r="G116" s="598"/>
      <c r="H116" s="566"/>
      <c r="I116" s="566"/>
      <c r="J116" s="566"/>
      <c r="K116" s="566"/>
      <c r="L116" s="566"/>
      <c r="M116" s="566">
        <f t="shared" si="80"/>
        <v>0</v>
      </c>
      <c r="N116" s="566">
        <f t="shared" si="81"/>
        <v>0</v>
      </c>
      <c r="O116" s="565">
        <f t="shared" si="82"/>
        <v>0</v>
      </c>
      <c r="P116" s="567">
        <f t="shared" si="83"/>
        <v>0</v>
      </c>
      <c r="Q116" s="568">
        <f t="shared" si="84"/>
        <v>0</v>
      </c>
      <c r="R116" s="569">
        <f t="shared" si="85"/>
        <v>0</v>
      </c>
      <c r="S116" s="566"/>
      <c r="T116" s="579"/>
    </row>
    <row r="117" spans="1:32" x14ac:dyDescent="0.25">
      <c r="A117" s="238"/>
      <c r="B117" s="245"/>
      <c r="C117" s="293"/>
      <c r="D117" s="83"/>
      <c r="E117" s="242"/>
      <c r="F117" s="302"/>
      <c r="G117" s="75"/>
      <c r="H117" s="74"/>
      <c r="I117" s="74"/>
      <c r="J117" s="74"/>
      <c r="K117" s="74"/>
      <c r="L117" s="74"/>
      <c r="M117" s="566">
        <f t="shared" si="80"/>
        <v>0</v>
      </c>
      <c r="N117" s="566">
        <f t="shared" si="81"/>
        <v>0</v>
      </c>
      <c r="O117" s="565">
        <f t="shared" si="82"/>
        <v>0</v>
      </c>
      <c r="P117" s="567">
        <f t="shared" si="83"/>
        <v>0</v>
      </c>
      <c r="Q117" s="568">
        <f t="shared" si="84"/>
        <v>0</v>
      </c>
      <c r="R117" s="569">
        <f t="shared" si="85"/>
        <v>0</v>
      </c>
    </row>
    <row r="118" spans="1:32" x14ac:dyDescent="0.25">
      <c r="A118" s="238"/>
      <c r="B118" s="289" t="s">
        <v>330</v>
      </c>
      <c r="C118" s="300" t="s">
        <v>141</v>
      </c>
      <c r="D118" s="83"/>
      <c r="E118" s="242"/>
      <c r="F118" s="302"/>
      <c r="G118" s="75"/>
      <c r="H118" s="74"/>
      <c r="I118" s="74"/>
      <c r="J118" s="74"/>
      <c r="K118" s="74"/>
      <c r="L118" s="74"/>
      <c r="M118" s="566">
        <f t="shared" si="80"/>
        <v>0</v>
      </c>
      <c r="N118" s="566">
        <f t="shared" si="81"/>
        <v>0</v>
      </c>
      <c r="O118" s="565">
        <f t="shared" si="82"/>
        <v>0</v>
      </c>
      <c r="P118" s="567">
        <f t="shared" si="83"/>
        <v>0</v>
      </c>
      <c r="Q118" s="568">
        <f t="shared" si="84"/>
        <v>0</v>
      </c>
      <c r="R118" s="569">
        <f t="shared" si="85"/>
        <v>0</v>
      </c>
    </row>
    <row r="119" spans="1:32" x14ac:dyDescent="0.25">
      <c r="A119" s="238"/>
      <c r="B119" s="249"/>
      <c r="C119" s="293">
        <v>1</v>
      </c>
      <c r="D119" s="83" t="s">
        <v>455</v>
      </c>
      <c r="E119" s="242">
        <v>20</v>
      </c>
      <c r="F119" s="302">
        <v>20</v>
      </c>
      <c r="G119" s="77" t="s">
        <v>28</v>
      </c>
      <c r="H119" s="328">
        <f>2400/1.05</f>
        <v>2285.7142857142858</v>
      </c>
      <c r="I119" s="67">
        <f>F119*H119</f>
        <v>45714.285714285717</v>
      </c>
      <c r="J119" s="74">
        <v>350</v>
      </c>
      <c r="K119" s="67">
        <f t="shared" ref="K119:K120" si="86">F119*J119</f>
        <v>7000</v>
      </c>
      <c r="L119" s="72">
        <f t="shared" ref="L119:L120" si="87">I119+K119</f>
        <v>52714.285714285717</v>
      </c>
      <c r="M119" s="566">
        <f t="shared" si="80"/>
        <v>3186.5223852370109</v>
      </c>
      <c r="N119" s="566">
        <f t="shared" si="81"/>
        <v>487.93624023941732</v>
      </c>
      <c r="O119" s="565">
        <f t="shared" si="82"/>
        <v>3674.4586254764281</v>
      </c>
      <c r="P119" s="567">
        <f t="shared" si="83"/>
        <v>73489.172509528566</v>
      </c>
      <c r="Q119" s="568">
        <f t="shared" si="84"/>
        <v>73489.172509528566</v>
      </c>
      <c r="R119" s="569">
        <f t="shared" si="85"/>
        <v>0</v>
      </c>
    </row>
    <row r="120" spans="1:32" x14ac:dyDescent="0.25">
      <c r="A120" s="238"/>
      <c r="B120" s="249"/>
      <c r="C120" s="293">
        <v>2</v>
      </c>
      <c r="D120" s="83" t="s">
        <v>143</v>
      </c>
      <c r="E120" s="242">
        <f>(20-4)*3</f>
        <v>48</v>
      </c>
      <c r="F120" s="302">
        <v>48</v>
      </c>
      <c r="G120" s="77" t="s">
        <v>283</v>
      </c>
      <c r="H120" s="328">
        <f>350/1.05</f>
        <v>333.33333333333331</v>
      </c>
      <c r="I120" s="67">
        <f>F120*H120</f>
        <v>16000</v>
      </c>
      <c r="J120" s="74">
        <v>75</v>
      </c>
      <c r="K120" s="67">
        <f t="shared" si="86"/>
        <v>3600</v>
      </c>
      <c r="L120" s="72">
        <f t="shared" si="87"/>
        <v>19600</v>
      </c>
      <c r="M120" s="566">
        <f t="shared" si="80"/>
        <v>464.70118118039744</v>
      </c>
      <c r="N120" s="566">
        <f t="shared" si="81"/>
        <v>104.55776576558942</v>
      </c>
      <c r="O120" s="565">
        <f t="shared" si="82"/>
        <v>569.25894694598685</v>
      </c>
      <c r="P120" s="567">
        <f t="shared" si="83"/>
        <v>27324.429453407371</v>
      </c>
      <c r="Q120" s="568">
        <f t="shared" si="84"/>
        <v>27324.429453407367</v>
      </c>
      <c r="R120" s="569">
        <f t="shared" si="85"/>
        <v>0</v>
      </c>
      <c r="W120" s="925" t="s">
        <v>294</v>
      </c>
      <c r="X120" s="925"/>
      <c r="Y120" s="925"/>
      <c r="Z120" s="586" t="s">
        <v>243</v>
      </c>
      <c r="AA120" s="586" t="s">
        <v>244</v>
      </c>
      <c r="AB120" s="586" t="s">
        <v>245</v>
      </c>
      <c r="AC120" s="587" t="s">
        <v>246</v>
      </c>
      <c r="AD120" s="588" t="s">
        <v>247</v>
      </c>
      <c r="AE120" s="586" t="s">
        <v>248</v>
      </c>
      <c r="AF120" s="589" t="s">
        <v>249</v>
      </c>
    </row>
    <row r="121" spans="1:32" x14ac:dyDescent="0.25">
      <c r="A121" s="238"/>
      <c r="B121" s="245"/>
      <c r="C121" s="293"/>
      <c r="D121" s="83" t="s">
        <v>331</v>
      </c>
      <c r="E121" s="242"/>
      <c r="F121" s="302"/>
      <c r="G121" s="75"/>
      <c r="H121" s="74"/>
      <c r="I121" s="74"/>
      <c r="J121" s="74"/>
      <c r="K121" s="74"/>
      <c r="L121" s="74"/>
      <c r="M121" s="566">
        <f t="shared" si="80"/>
        <v>0</v>
      </c>
      <c r="N121" s="566">
        <f t="shared" si="81"/>
        <v>0</v>
      </c>
      <c r="O121" s="565">
        <f t="shared" si="82"/>
        <v>0</v>
      </c>
      <c r="P121" s="567">
        <f t="shared" si="83"/>
        <v>0</v>
      </c>
      <c r="Q121" s="568">
        <f t="shared" si="84"/>
        <v>0</v>
      </c>
      <c r="R121" s="569">
        <f t="shared" si="85"/>
        <v>0</v>
      </c>
      <c r="W121" s="926" t="s">
        <v>272</v>
      </c>
      <c r="X121" s="926"/>
      <c r="Y121" s="926"/>
      <c r="Z121" s="593" t="s">
        <v>251</v>
      </c>
      <c r="AA121" s="674">
        <v>12.5</v>
      </c>
      <c r="AB121" s="674">
        <v>13</v>
      </c>
      <c r="AC121" s="587">
        <f>98/1.06</f>
        <v>92.452830188679243</v>
      </c>
      <c r="AD121" s="588">
        <f>AC121*AB121</f>
        <v>1201.8867924528302</v>
      </c>
      <c r="AE121" s="674">
        <v>16.5</v>
      </c>
      <c r="AF121" s="595">
        <f>AE121*AB121</f>
        <v>214.5</v>
      </c>
    </row>
    <row r="122" spans="1:32" x14ac:dyDescent="0.25">
      <c r="A122" s="238"/>
      <c r="B122" s="249"/>
      <c r="C122" s="293">
        <v>3</v>
      </c>
      <c r="D122" s="83" t="s">
        <v>146</v>
      </c>
      <c r="E122" s="242">
        <v>4</v>
      </c>
      <c r="F122" s="302">
        <v>4</v>
      </c>
      <c r="G122" s="77" t="s">
        <v>28</v>
      </c>
      <c r="H122" s="74">
        <f>4000/1.05</f>
        <v>3809.5238095238092</v>
      </c>
      <c r="I122" s="67">
        <f>F122*H122</f>
        <v>15238.095238095237</v>
      </c>
      <c r="J122" s="74">
        <v>400</v>
      </c>
      <c r="K122" s="67">
        <f t="shared" ref="K122:K123" si="88">F122*J122</f>
        <v>1600</v>
      </c>
      <c r="L122" s="72">
        <f t="shared" ref="L122:L123" si="89">I122+K122</f>
        <v>16838.095238095237</v>
      </c>
      <c r="M122" s="566">
        <f t="shared" si="80"/>
        <v>5310.8706420616845</v>
      </c>
      <c r="N122" s="566">
        <f t="shared" si="81"/>
        <v>557.64141741647688</v>
      </c>
      <c r="O122" s="565">
        <f t="shared" si="82"/>
        <v>5868.5120594781611</v>
      </c>
      <c r="P122" s="567">
        <f t="shared" si="83"/>
        <v>23474.048237912644</v>
      </c>
      <c r="Q122" s="568">
        <f t="shared" si="84"/>
        <v>23474.048237912644</v>
      </c>
      <c r="R122" s="569">
        <f t="shared" si="85"/>
        <v>0</v>
      </c>
      <c r="W122" s="878" t="s">
        <v>252</v>
      </c>
      <c r="X122" s="878"/>
      <c r="Y122" s="878"/>
      <c r="Z122" s="124" t="s">
        <v>253</v>
      </c>
      <c r="AA122" s="661">
        <v>0.25</v>
      </c>
      <c r="AB122" s="661">
        <v>0.25</v>
      </c>
      <c r="AC122" s="123">
        <f>285/1.06</f>
        <v>268.8679245283019</v>
      </c>
      <c r="AD122" s="196">
        <f>AC122*AB122</f>
        <v>67.216981132075475</v>
      </c>
      <c r="AE122" s="661"/>
      <c r="AF122" s="219">
        <f>AE122*AB122</f>
        <v>0</v>
      </c>
    </row>
    <row r="123" spans="1:32" x14ac:dyDescent="0.25">
      <c r="A123" s="238"/>
      <c r="B123" s="249"/>
      <c r="C123" s="293">
        <v>4</v>
      </c>
      <c r="D123" s="83" t="s">
        <v>147</v>
      </c>
      <c r="E123" s="242">
        <f>4*4</f>
        <v>16</v>
      </c>
      <c r="F123" s="302">
        <v>16</v>
      </c>
      <c r="G123" s="77" t="s">
        <v>28</v>
      </c>
      <c r="H123" s="328">
        <f>750/1.05</f>
        <v>714.28571428571422</v>
      </c>
      <c r="I123" s="67">
        <f>F123*H123</f>
        <v>11428.571428571428</v>
      </c>
      <c r="J123" s="74">
        <v>75</v>
      </c>
      <c r="K123" s="67">
        <f t="shared" si="88"/>
        <v>1200</v>
      </c>
      <c r="L123" s="72">
        <f t="shared" si="89"/>
        <v>12628.571428571428</v>
      </c>
      <c r="M123" s="566">
        <f t="shared" si="80"/>
        <v>995.78824538656579</v>
      </c>
      <c r="N123" s="566">
        <f t="shared" si="81"/>
        <v>104.55776576558942</v>
      </c>
      <c r="O123" s="565">
        <f t="shared" si="82"/>
        <v>1100.3460111521551</v>
      </c>
      <c r="P123" s="567">
        <f t="shared" si="83"/>
        <v>17605.536178434482</v>
      </c>
      <c r="Q123" s="568">
        <f t="shared" si="84"/>
        <v>17605.536178434482</v>
      </c>
      <c r="R123" s="569">
        <f t="shared" si="85"/>
        <v>0</v>
      </c>
      <c r="W123" s="878" t="s">
        <v>254</v>
      </c>
      <c r="X123" s="878"/>
      <c r="Y123" s="878"/>
      <c r="Z123" s="124" t="s">
        <v>255</v>
      </c>
      <c r="AA123" s="661">
        <v>0.25</v>
      </c>
      <c r="AB123" s="661">
        <v>0.35</v>
      </c>
      <c r="AC123" s="123">
        <f>37/1.06</f>
        <v>34.905660377358487</v>
      </c>
      <c r="AD123" s="196">
        <f>AC123*AB123</f>
        <v>12.216981132075469</v>
      </c>
      <c r="AE123" s="661"/>
      <c r="AF123" s="219">
        <f>AE123*AB123</f>
        <v>0</v>
      </c>
    </row>
    <row r="124" spans="1:32" x14ac:dyDescent="0.25">
      <c r="A124" s="238"/>
      <c r="B124" s="245"/>
      <c r="C124" s="293"/>
      <c r="D124" s="83"/>
      <c r="E124" s="242"/>
      <c r="F124" s="302"/>
      <c r="G124" s="75"/>
      <c r="H124" s="74"/>
      <c r="I124" s="74"/>
      <c r="J124" s="74"/>
      <c r="K124" s="74"/>
      <c r="L124" s="74"/>
      <c r="M124" s="566">
        <f t="shared" si="80"/>
        <v>0</v>
      </c>
      <c r="N124" s="566">
        <f t="shared" si="81"/>
        <v>0</v>
      </c>
      <c r="O124" s="565">
        <f t="shared" si="82"/>
        <v>0</v>
      </c>
      <c r="P124" s="567">
        <f t="shared" si="83"/>
        <v>0</v>
      </c>
      <c r="Q124" s="568">
        <f t="shared" si="84"/>
        <v>0</v>
      </c>
      <c r="R124" s="569">
        <f t="shared" si="85"/>
        <v>0</v>
      </c>
      <c r="W124" s="878" t="s">
        <v>256</v>
      </c>
      <c r="X124" s="878"/>
      <c r="Y124" s="878"/>
      <c r="Z124" s="124" t="s">
        <v>257</v>
      </c>
      <c r="AA124" s="661">
        <v>1</v>
      </c>
      <c r="AB124" s="661">
        <v>1</v>
      </c>
      <c r="AC124" s="123">
        <f>AN64</f>
        <v>0</v>
      </c>
      <c r="AD124" s="196">
        <f>AC124*AB124</f>
        <v>0</v>
      </c>
      <c r="AE124" s="661"/>
      <c r="AF124" s="219">
        <f>AE124*AB124</f>
        <v>0</v>
      </c>
    </row>
    <row r="125" spans="1:32" x14ac:dyDescent="0.25">
      <c r="A125" s="238"/>
      <c r="B125" s="289" t="s">
        <v>332</v>
      </c>
      <c r="C125" s="300" t="s">
        <v>148</v>
      </c>
      <c r="D125" s="83"/>
      <c r="E125" s="242"/>
      <c r="F125" s="302"/>
      <c r="G125" s="75"/>
      <c r="H125" s="74"/>
      <c r="I125" s="74"/>
      <c r="J125" s="74"/>
      <c r="K125" s="74"/>
      <c r="L125" s="74"/>
      <c r="M125" s="566">
        <f t="shared" si="80"/>
        <v>0</v>
      </c>
      <c r="N125" s="566">
        <f t="shared" si="81"/>
        <v>0</v>
      </c>
      <c r="O125" s="565">
        <f t="shared" si="82"/>
        <v>0</v>
      </c>
      <c r="P125" s="567">
        <f t="shared" si="83"/>
        <v>0</v>
      </c>
      <c r="Q125" s="568">
        <f t="shared" si="84"/>
        <v>0</v>
      </c>
      <c r="R125" s="569">
        <f t="shared" si="85"/>
        <v>0</v>
      </c>
      <c r="W125" s="126"/>
      <c r="X125" s="126"/>
      <c r="Y125" s="126"/>
      <c r="Z125" s="126"/>
      <c r="AA125" s="661"/>
      <c r="AB125" s="661"/>
      <c r="AC125" s="123"/>
      <c r="AD125" s="212">
        <f>SUM(AD121:AD124)</f>
        <v>1281.3207547169811</v>
      </c>
      <c r="AE125" s="662"/>
      <c r="AF125" s="212">
        <f>SUM(AF121:AF124)</f>
        <v>214.5</v>
      </c>
    </row>
    <row r="126" spans="1:32" x14ac:dyDescent="0.25">
      <c r="A126" s="238"/>
      <c r="B126" s="249"/>
      <c r="C126" s="293">
        <v>1</v>
      </c>
      <c r="D126" s="83" t="s">
        <v>149</v>
      </c>
      <c r="E126" s="242">
        <v>76.8</v>
      </c>
      <c r="F126" s="302">
        <v>78</v>
      </c>
      <c r="G126" s="77" t="s">
        <v>100</v>
      </c>
      <c r="H126" s="74">
        <f>231/1.05</f>
        <v>220</v>
      </c>
      <c r="I126" s="67">
        <f t="shared" ref="I126:I132" si="90">F126*H126</f>
        <v>17160</v>
      </c>
      <c r="J126" s="74">
        <v>75</v>
      </c>
      <c r="K126" s="67">
        <f t="shared" ref="K126:K132" si="91">F126*J126</f>
        <v>5850</v>
      </c>
      <c r="L126" s="72">
        <f t="shared" ref="L126:L132" si="92">I126+K126</f>
        <v>23010</v>
      </c>
      <c r="M126" s="566">
        <f t="shared" si="80"/>
        <v>306.70277957906228</v>
      </c>
      <c r="N126" s="566">
        <f t="shared" si="81"/>
        <v>104.55776576558942</v>
      </c>
      <c r="O126" s="565">
        <f t="shared" si="82"/>
        <v>411.26054534465169</v>
      </c>
      <c r="P126" s="567">
        <f t="shared" si="83"/>
        <v>32078.322536882832</v>
      </c>
      <c r="Q126" s="568">
        <f t="shared" si="84"/>
        <v>32078.322536882835</v>
      </c>
      <c r="R126" s="569">
        <f t="shared" si="85"/>
        <v>0</v>
      </c>
      <c r="W126" s="273"/>
      <c r="X126" s="273"/>
      <c r="Y126" s="273"/>
      <c r="Z126" s="273"/>
      <c r="AA126" s="273"/>
      <c r="AB126" s="273"/>
      <c r="AC126" s="273"/>
      <c r="AD126" s="224"/>
      <c r="AE126" s="273"/>
      <c r="AF126" s="224"/>
    </row>
    <row r="127" spans="1:32" x14ac:dyDescent="0.25">
      <c r="A127" s="238"/>
      <c r="B127" s="249"/>
      <c r="C127" s="293">
        <v>2</v>
      </c>
      <c r="D127" s="83" t="s">
        <v>150</v>
      </c>
      <c r="E127" s="242">
        <v>56.4</v>
      </c>
      <c r="F127" s="302">
        <v>58</v>
      </c>
      <c r="G127" s="77" t="s">
        <v>100</v>
      </c>
      <c r="H127" s="74">
        <f>140/1.05</f>
        <v>133.33333333333331</v>
      </c>
      <c r="I127" s="67">
        <f t="shared" si="90"/>
        <v>7733.3333333333321</v>
      </c>
      <c r="J127" s="74">
        <v>75</v>
      </c>
      <c r="K127" s="67">
        <f t="shared" si="91"/>
        <v>4350</v>
      </c>
      <c r="L127" s="72">
        <f t="shared" si="92"/>
        <v>12083.333333333332</v>
      </c>
      <c r="M127" s="566">
        <f t="shared" si="80"/>
        <v>185.88047247215894</v>
      </c>
      <c r="N127" s="566">
        <f t="shared" si="81"/>
        <v>104.55776576558942</v>
      </c>
      <c r="O127" s="565">
        <f t="shared" si="82"/>
        <v>290.43823823774835</v>
      </c>
      <c r="P127" s="567">
        <f t="shared" si="83"/>
        <v>16845.417817789403</v>
      </c>
      <c r="Q127" s="568">
        <f t="shared" si="84"/>
        <v>16845.417817789406</v>
      </c>
      <c r="R127" s="569">
        <f t="shared" si="85"/>
        <v>0</v>
      </c>
      <c r="W127" s="904" t="s">
        <v>295</v>
      </c>
      <c r="X127" s="904"/>
      <c r="Y127" s="904"/>
      <c r="Z127" s="662" t="s">
        <v>243</v>
      </c>
      <c r="AA127" s="662" t="s">
        <v>244</v>
      </c>
      <c r="AB127" s="662" t="s">
        <v>245</v>
      </c>
      <c r="AC127" s="123" t="s">
        <v>246</v>
      </c>
      <c r="AD127" s="196" t="s">
        <v>247</v>
      </c>
      <c r="AE127" s="662" t="s">
        <v>248</v>
      </c>
      <c r="AF127" s="212" t="s">
        <v>249</v>
      </c>
    </row>
    <row r="128" spans="1:32" x14ac:dyDescent="0.25">
      <c r="A128" s="238"/>
      <c r="B128" s="249"/>
      <c r="C128" s="293">
        <v>3</v>
      </c>
      <c r="D128" s="83" t="s">
        <v>354</v>
      </c>
      <c r="E128" s="242">
        <f>7.83+5.5*2</f>
        <v>18.829999999999998</v>
      </c>
      <c r="F128" s="302">
        <v>19.5</v>
      </c>
      <c r="G128" s="77" t="s">
        <v>100</v>
      </c>
      <c r="H128" s="74">
        <f>825/1.05</f>
        <v>785.71428571428567</v>
      </c>
      <c r="I128" s="67">
        <f t="shared" si="90"/>
        <v>15321.428571428571</v>
      </c>
      <c r="J128" s="74">
        <v>120</v>
      </c>
      <c r="K128" s="67">
        <f t="shared" si="91"/>
        <v>2340</v>
      </c>
      <c r="L128" s="72">
        <f t="shared" si="92"/>
        <v>17661.428571428572</v>
      </c>
      <c r="M128" s="566">
        <f t="shared" si="80"/>
        <v>1095.3670699252225</v>
      </c>
      <c r="N128" s="566">
        <f t="shared" si="81"/>
        <v>167.29242522494309</v>
      </c>
      <c r="O128" s="565">
        <f t="shared" si="82"/>
        <v>1262.6594951501656</v>
      </c>
      <c r="P128" s="567">
        <f t="shared" si="83"/>
        <v>24621.860155428229</v>
      </c>
      <c r="Q128" s="568">
        <f t="shared" si="84"/>
        <v>24621.860155428229</v>
      </c>
      <c r="R128" s="569">
        <f t="shared" si="85"/>
        <v>0</v>
      </c>
      <c r="W128" s="878" t="s">
        <v>271</v>
      </c>
      <c r="X128" s="878"/>
      <c r="Y128" s="878"/>
      <c r="Z128" s="124" t="s">
        <v>251</v>
      </c>
      <c r="AA128" s="661">
        <v>8.33</v>
      </c>
      <c r="AB128" s="661">
        <v>9</v>
      </c>
      <c r="AC128" s="123">
        <f>143/1.06</f>
        <v>134.90566037735849</v>
      </c>
      <c r="AD128" s="196">
        <f>AC128*AB128</f>
        <v>1214.1509433962265</v>
      </c>
      <c r="AE128" s="661">
        <v>23.9</v>
      </c>
      <c r="AF128" s="219">
        <f>AE128*AB128</f>
        <v>215.1</v>
      </c>
    </row>
    <row r="129" spans="1:32" x14ac:dyDescent="0.25">
      <c r="A129" s="238"/>
      <c r="B129" s="249"/>
      <c r="C129" s="293">
        <v>4</v>
      </c>
      <c r="D129" s="83" t="s">
        <v>297</v>
      </c>
      <c r="E129" s="306">
        <v>2</v>
      </c>
      <c r="F129" s="302">
        <v>2</v>
      </c>
      <c r="G129" s="77" t="s">
        <v>100</v>
      </c>
      <c r="H129" s="74">
        <f>1200/1.05</f>
        <v>1142.8571428571429</v>
      </c>
      <c r="I129" s="67">
        <f t="shared" si="90"/>
        <v>2285.7142857142858</v>
      </c>
      <c r="J129" s="74">
        <v>175</v>
      </c>
      <c r="K129" s="67">
        <f t="shared" si="91"/>
        <v>350</v>
      </c>
      <c r="L129" s="72">
        <f t="shared" si="92"/>
        <v>2635.7142857142858</v>
      </c>
      <c r="M129" s="566">
        <f t="shared" si="80"/>
        <v>1593.2611926185054</v>
      </c>
      <c r="N129" s="566">
        <f t="shared" si="81"/>
        <v>243.96812011970866</v>
      </c>
      <c r="O129" s="565">
        <f t="shared" si="82"/>
        <v>1837.229312738214</v>
      </c>
      <c r="P129" s="567">
        <f t="shared" si="83"/>
        <v>3674.4586254764281</v>
      </c>
      <c r="Q129" s="568">
        <f t="shared" si="84"/>
        <v>3674.4586254764286</v>
      </c>
      <c r="R129" s="569">
        <f t="shared" si="85"/>
        <v>0</v>
      </c>
      <c r="W129" s="878" t="s">
        <v>252</v>
      </c>
      <c r="X129" s="878"/>
      <c r="Y129" s="878"/>
      <c r="Z129" s="124" t="s">
        <v>253</v>
      </c>
      <c r="AA129" s="661">
        <v>0.25</v>
      </c>
      <c r="AB129" s="661">
        <v>0.25</v>
      </c>
      <c r="AC129" s="123">
        <f>AC122</f>
        <v>268.8679245283019</v>
      </c>
      <c r="AD129" s="196">
        <f>AC129*AB129</f>
        <v>67.216981132075475</v>
      </c>
      <c r="AE129" s="661"/>
      <c r="AF129" s="219">
        <f>AE129*AB129</f>
        <v>0</v>
      </c>
    </row>
    <row r="130" spans="1:32" x14ac:dyDescent="0.25">
      <c r="A130" s="238"/>
      <c r="B130" s="249"/>
      <c r="C130" s="293">
        <v>5</v>
      </c>
      <c r="D130" s="83" t="s">
        <v>416</v>
      </c>
      <c r="E130" s="306" t="s">
        <v>39</v>
      </c>
      <c r="F130" s="302"/>
      <c r="G130" s="75"/>
      <c r="H130" s="74"/>
      <c r="I130" s="67">
        <f t="shared" si="90"/>
        <v>0</v>
      </c>
      <c r="J130" s="74"/>
      <c r="K130" s="67">
        <f t="shared" si="91"/>
        <v>0</v>
      </c>
      <c r="L130" s="72">
        <f t="shared" si="92"/>
        <v>0</v>
      </c>
      <c r="M130" s="566">
        <f t="shared" si="80"/>
        <v>0</v>
      </c>
      <c r="N130" s="566">
        <f t="shared" si="81"/>
        <v>0</v>
      </c>
      <c r="O130" s="565">
        <f t="shared" si="82"/>
        <v>0</v>
      </c>
      <c r="P130" s="567">
        <f t="shared" si="83"/>
        <v>0</v>
      </c>
      <c r="Q130" s="568">
        <f t="shared" si="84"/>
        <v>0</v>
      </c>
      <c r="R130" s="569">
        <f t="shared" si="85"/>
        <v>0</v>
      </c>
      <c r="W130" s="878" t="s">
        <v>254</v>
      </c>
      <c r="X130" s="878"/>
      <c r="Y130" s="878"/>
      <c r="Z130" s="124" t="s">
        <v>255</v>
      </c>
      <c r="AA130" s="661">
        <v>0.25</v>
      </c>
      <c r="AB130" s="661">
        <v>0.35</v>
      </c>
      <c r="AC130" s="123">
        <f>37/1.06</f>
        <v>34.905660377358487</v>
      </c>
      <c r="AD130" s="196">
        <f>AC130*AB130</f>
        <v>12.216981132075469</v>
      </c>
      <c r="AE130" s="661"/>
      <c r="AF130" s="219">
        <f>AE130*AB130</f>
        <v>0</v>
      </c>
    </row>
    <row r="131" spans="1:32" s="1" customFormat="1" x14ac:dyDescent="0.25">
      <c r="A131" s="238"/>
      <c r="B131" s="250"/>
      <c r="C131" s="293">
        <v>6</v>
      </c>
      <c r="D131" s="83" t="s">
        <v>159</v>
      </c>
      <c r="E131" s="306" t="s">
        <v>39</v>
      </c>
      <c r="F131" s="302"/>
      <c r="G131" s="75"/>
      <c r="H131" s="74"/>
      <c r="I131" s="67">
        <f t="shared" si="90"/>
        <v>0</v>
      </c>
      <c r="J131" s="74"/>
      <c r="K131" s="67">
        <f t="shared" si="91"/>
        <v>0</v>
      </c>
      <c r="L131" s="72">
        <f t="shared" si="92"/>
        <v>0</v>
      </c>
      <c r="M131" s="566">
        <f t="shared" si="80"/>
        <v>0</v>
      </c>
      <c r="N131" s="566">
        <f t="shared" si="81"/>
        <v>0</v>
      </c>
      <c r="O131" s="565">
        <f t="shared" si="82"/>
        <v>0</v>
      </c>
      <c r="P131" s="567">
        <f t="shared" si="83"/>
        <v>0</v>
      </c>
      <c r="Q131" s="568">
        <f t="shared" si="84"/>
        <v>0</v>
      </c>
      <c r="R131" s="569">
        <f t="shared" si="85"/>
        <v>0</v>
      </c>
      <c r="S131" s="18"/>
      <c r="W131" s="878" t="s">
        <v>256</v>
      </c>
      <c r="X131" s="878"/>
      <c r="Y131" s="878"/>
      <c r="Z131" s="124" t="s">
        <v>257</v>
      </c>
      <c r="AA131" s="661">
        <v>1</v>
      </c>
      <c r="AB131" s="661">
        <v>1</v>
      </c>
      <c r="AC131" s="123">
        <v>0</v>
      </c>
      <c r="AD131" s="196">
        <f>AC131*AB131</f>
        <v>0</v>
      </c>
      <c r="AE131" s="661">
        <v>0</v>
      </c>
      <c r="AF131" s="219">
        <f>AE131*AB131</f>
        <v>0</v>
      </c>
    </row>
    <row r="132" spans="1:32" s="1" customFormat="1" x14ac:dyDescent="0.25">
      <c r="A132" s="238"/>
      <c r="B132" s="250"/>
      <c r="C132" s="293">
        <v>7</v>
      </c>
      <c r="D132" s="83" t="s">
        <v>417</v>
      </c>
      <c r="E132" s="306">
        <v>7.5</v>
      </c>
      <c r="F132" s="302">
        <v>8</v>
      </c>
      <c r="G132" s="77" t="s">
        <v>101</v>
      </c>
      <c r="H132" s="74">
        <f>5878*0.85/1.03</f>
        <v>4850.7766990291266</v>
      </c>
      <c r="I132" s="67">
        <f t="shared" si="90"/>
        <v>38806.213592233013</v>
      </c>
      <c r="J132" s="74">
        <f>5878*0.15/1.03</f>
        <v>856.01941747572812</v>
      </c>
      <c r="K132" s="67">
        <f t="shared" si="91"/>
        <v>6848.155339805825</v>
      </c>
      <c r="L132" s="72">
        <f t="shared" si="92"/>
        <v>45654.368932038837</v>
      </c>
      <c r="M132" s="566">
        <f t="shared" si="80"/>
        <v>6762.484985043553</v>
      </c>
      <c r="N132" s="566">
        <f t="shared" si="81"/>
        <v>1193.37970324298</v>
      </c>
      <c r="O132" s="565">
        <f t="shared" si="82"/>
        <v>7955.8646882865332</v>
      </c>
      <c r="P132" s="567">
        <f t="shared" si="83"/>
        <v>63646.917506292266</v>
      </c>
      <c r="Q132" s="568">
        <f t="shared" si="84"/>
        <v>63646.917506292259</v>
      </c>
      <c r="R132" s="569">
        <f t="shared" si="85"/>
        <v>0</v>
      </c>
      <c r="S132" s="18"/>
      <c r="W132" s="126"/>
      <c r="X132" s="126"/>
      <c r="Y132" s="126"/>
      <c r="Z132" s="126"/>
      <c r="AA132" s="661"/>
      <c r="AB132" s="661"/>
      <c r="AC132" s="123"/>
      <c r="AD132" s="212">
        <f>SUM(AD128:AD131)</f>
        <v>1293.5849056603774</v>
      </c>
      <c r="AE132" s="662"/>
      <c r="AF132" s="212">
        <f>SUM(AF128:AF131)</f>
        <v>215.1</v>
      </c>
    </row>
    <row r="133" spans="1:32" s="1" customFormat="1" ht="15" customHeight="1" x14ac:dyDescent="0.25">
      <c r="A133" s="238"/>
      <c r="B133" s="245"/>
      <c r="C133" s="293"/>
      <c r="D133" s="82"/>
      <c r="E133" s="242"/>
      <c r="F133" s="302"/>
      <c r="G133" s="75"/>
      <c r="H133" s="74"/>
      <c r="I133" s="74"/>
      <c r="J133" s="74"/>
      <c r="K133" s="74"/>
      <c r="L133" s="74"/>
      <c r="M133" s="566">
        <f t="shared" si="80"/>
        <v>0</v>
      </c>
      <c r="N133" s="566">
        <f t="shared" si="81"/>
        <v>0</v>
      </c>
      <c r="O133" s="565">
        <f t="shared" si="82"/>
        <v>0</v>
      </c>
      <c r="P133" s="567">
        <f t="shared" si="83"/>
        <v>0</v>
      </c>
      <c r="Q133" s="568">
        <f t="shared" si="84"/>
        <v>0</v>
      </c>
      <c r="R133" s="569">
        <f t="shared" si="85"/>
        <v>0</v>
      </c>
      <c r="S133" s="18"/>
    </row>
    <row r="134" spans="1:32" x14ac:dyDescent="0.25">
      <c r="A134" s="238"/>
      <c r="B134" s="290" t="s">
        <v>335</v>
      </c>
      <c r="C134" s="291" t="s">
        <v>413</v>
      </c>
      <c r="D134" s="83"/>
      <c r="E134" s="242"/>
      <c r="F134" s="302"/>
      <c r="G134" s="75"/>
      <c r="H134" s="74"/>
      <c r="I134" s="74"/>
      <c r="J134" s="74"/>
      <c r="K134" s="74"/>
      <c r="L134" s="74"/>
      <c r="M134" s="566">
        <f t="shared" si="80"/>
        <v>0</v>
      </c>
      <c r="N134" s="566">
        <f t="shared" si="81"/>
        <v>0</v>
      </c>
      <c r="O134" s="565">
        <f t="shared" si="82"/>
        <v>0</v>
      </c>
      <c r="P134" s="567">
        <f t="shared" si="83"/>
        <v>0</v>
      </c>
      <c r="Q134" s="568">
        <f t="shared" si="84"/>
        <v>0</v>
      </c>
      <c r="R134" s="569">
        <f t="shared" si="85"/>
        <v>0</v>
      </c>
      <c r="T134" s="18"/>
      <c r="AD134" s="18"/>
      <c r="AF134" s="18"/>
    </row>
    <row r="135" spans="1:32" s="585" customFormat="1" x14ac:dyDescent="0.25">
      <c r="A135" s="600"/>
      <c r="B135" s="601"/>
      <c r="C135" s="560">
        <v>1</v>
      </c>
      <c r="D135" s="582" t="s">
        <v>414</v>
      </c>
      <c r="E135" s="583">
        <v>15.7</v>
      </c>
      <c r="F135" s="563">
        <v>16.5</v>
      </c>
      <c r="G135" s="584" t="s">
        <v>100</v>
      </c>
      <c r="H135" s="407">
        <f>152640*0.85/F135/1.05</f>
        <v>7488.8311688311687</v>
      </c>
      <c r="I135" s="566">
        <f>F135*H135</f>
        <v>123565.71428571429</v>
      </c>
      <c r="J135" s="407">
        <f>152640*0.15/F135/1.05</f>
        <v>1321.5584415584417</v>
      </c>
      <c r="K135" s="566">
        <f t="shared" ref="K135:K138" si="93">F135*J135</f>
        <v>21805.71428571429</v>
      </c>
      <c r="L135" s="565">
        <f t="shared" ref="L135:L138" si="94">I135+K135</f>
        <v>145371.42857142858</v>
      </c>
      <c r="M135" s="566">
        <f t="shared" si="80"/>
        <v>10440.206069449261</v>
      </c>
      <c r="N135" s="566">
        <f t="shared" si="81"/>
        <v>1842.3893063733992</v>
      </c>
      <c r="O135" s="565">
        <f t="shared" si="82"/>
        <v>12282.595375822661</v>
      </c>
      <c r="P135" s="567">
        <f t="shared" si="83"/>
        <v>202662.82370107391</v>
      </c>
      <c r="Q135" s="568">
        <f t="shared" si="84"/>
        <v>202662.82370107391</v>
      </c>
      <c r="R135" s="569">
        <f t="shared" si="85"/>
        <v>0</v>
      </c>
    </row>
    <row r="136" spans="1:32" s="585" customFormat="1" x14ac:dyDescent="0.25">
      <c r="A136" s="600"/>
      <c r="B136" s="601"/>
      <c r="C136" s="560">
        <v>2</v>
      </c>
      <c r="D136" s="582" t="s">
        <v>415</v>
      </c>
      <c r="E136" s="583">
        <v>8.5</v>
      </c>
      <c r="F136" s="563">
        <v>9</v>
      </c>
      <c r="G136" s="584" t="s">
        <v>100</v>
      </c>
      <c r="H136" s="407">
        <f>59360*0.8/F136/1.05</f>
        <v>5025.1851851851852</v>
      </c>
      <c r="I136" s="566">
        <f>F136*H136</f>
        <v>45226.666666666664</v>
      </c>
      <c r="J136" s="407">
        <f>59360*0.2/F136/1.05</f>
        <v>1256.2962962962963</v>
      </c>
      <c r="K136" s="566">
        <f t="shared" si="93"/>
        <v>11306.666666666666</v>
      </c>
      <c r="L136" s="565">
        <f t="shared" si="94"/>
        <v>56533.333333333328</v>
      </c>
      <c r="M136" s="566">
        <f t="shared" si="80"/>
        <v>7005.6284736173693</v>
      </c>
      <c r="N136" s="566">
        <f t="shared" si="81"/>
        <v>1751.4071184043423</v>
      </c>
      <c r="O136" s="565">
        <f t="shared" si="82"/>
        <v>8757.0355920217116</v>
      </c>
      <c r="P136" s="567">
        <f t="shared" si="83"/>
        <v>78813.320328195405</v>
      </c>
      <c r="Q136" s="568">
        <f t="shared" si="84"/>
        <v>78813.320328195405</v>
      </c>
      <c r="R136" s="569">
        <f t="shared" si="85"/>
        <v>0</v>
      </c>
    </row>
    <row r="137" spans="1:32" x14ac:dyDescent="0.25">
      <c r="A137" s="238"/>
      <c r="B137" s="249"/>
      <c r="C137" s="293">
        <v>3</v>
      </c>
      <c r="D137" s="83" t="s">
        <v>336</v>
      </c>
      <c r="E137" s="242">
        <v>4</v>
      </c>
      <c r="F137" s="302">
        <v>4</v>
      </c>
      <c r="G137" s="77" t="s">
        <v>100</v>
      </c>
      <c r="H137" s="74">
        <f>AR206/F137</f>
        <v>6588.8095238095229</v>
      </c>
      <c r="I137" s="67">
        <f>F137*H137</f>
        <v>26355.238095238092</v>
      </c>
      <c r="J137" s="74">
        <f>AT206/F137</f>
        <v>3442.5</v>
      </c>
      <c r="K137" s="67">
        <f t="shared" si="93"/>
        <v>13770</v>
      </c>
      <c r="L137" s="72">
        <f t="shared" si="94"/>
        <v>40125.238095238092</v>
      </c>
      <c r="M137" s="566">
        <f t="shared" si="80"/>
        <v>9185.4827048608113</v>
      </c>
      <c r="N137" s="566">
        <f t="shared" si="81"/>
        <v>4799.2014486405542</v>
      </c>
      <c r="O137" s="565">
        <f t="shared" si="82"/>
        <v>13984.684153501366</v>
      </c>
      <c r="P137" s="567">
        <f t="shared" si="83"/>
        <v>55938.736614005466</v>
      </c>
      <c r="Q137" s="568">
        <f t="shared" si="84"/>
        <v>55938.736614005466</v>
      </c>
      <c r="R137" s="569">
        <f t="shared" si="85"/>
        <v>0</v>
      </c>
    </row>
    <row r="138" spans="1:32" x14ac:dyDescent="0.25">
      <c r="A138" s="238"/>
      <c r="B138" s="249"/>
      <c r="C138" s="293">
        <v>4</v>
      </c>
      <c r="D138" s="83" t="s">
        <v>337</v>
      </c>
      <c r="E138" s="242">
        <v>56</v>
      </c>
      <c r="F138" s="302">
        <v>58</v>
      </c>
      <c r="G138" s="77" t="s">
        <v>101</v>
      </c>
      <c r="H138" s="328">
        <v>185</v>
      </c>
      <c r="I138" s="67">
        <f>F138*H138</f>
        <v>10730</v>
      </c>
      <c r="J138" s="74">
        <v>185</v>
      </c>
      <c r="K138" s="67">
        <f t="shared" si="93"/>
        <v>10730</v>
      </c>
      <c r="L138" s="72">
        <f t="shared" si="94"/>
        <v>21460</v>
      </c>
      <c r="M138" s="566">
        <f t="shared" si="80"/>
        <v>257.90915555512061</v>
      </c>
      <c r="N138" s="566">
        <f t="shared" si="81"/>
        <v>257.90915555512061</v>
      </c>
      <c r="O138" s="565">
        <f t="shared" si="82"/>
        <v>515.81831111024121</v>
      </c>
      <c r="P138" s="567">
        <f t="shared" si="83"/>
        <v>29917.462044393989</v>
      </c>
      <c r="Q138" s="568">
        <f t="shared" si="84"/>
        <v>29917.462044393986</v>
      </c>
      <c r="R138" s="569">
        <f t="shared" si="85"/>
        <v>0</v>
      </c>
    </row>
    <row r="139" spans="1:32" x14ac:dyDescent="0.25">
      <c r="A139" s="238"/>
      <c r="B139" s="289"/>
      <c r="C139" s="300"/>
      <c r="D139" s="83"/>
      <c r="E139" s="242"/>
      <c r="F139" s="302"/>
      <c r="G139" s="75"/>
      <c r="H139" s="74"/>
      <c r="I139" s="74"/>
      <c r="J139" s="74"/>
      <c r="K139" s="74"/>
      <c r="L139" s="74"/>
      <c r="M139" s="566">
        <f t="shared" si="80"/>
        <v>0</v>
      </c>
      <c r="N139" s="566">
        <f t="shared" si="81"/>
        <v>0</v>
      </c>
      <c r="O139" s="565">
        <f t="shared" si="82"/>
        <v>0</v>
      </c>
      <c r="P139" s="567">
        <f t="shared" si="83"/>
        <v>0</v>
      </c>
      <c r="Q139" s="568">
        <f t="shared" si="84"/>
        <v>0</v>
      </c>
      <c r="R139" s="569">
        <f t="shared" si="85"/>
        <v>0</v>
      </c>
      <c r="T139" s="18"/>
      <c r="AD139" s="18"/>
      <c r="AF139" s="18"/>
    </row>
    <row r="140" spans="1:32" s="273" customFormat="1" x14ac:dyDescent="0.25">
      <c r="A140" s="350"/>
      <c r="B140" s="317"/>
      <c r="C140" s="318"/>
      <c r="D140" s="83"/>
      <c r="E140" s="242"/>
      <c r="F140" s="302"/>
      <c r="G140" s="77"/>
      <c r="H140" s="74"/>
      <c r="I140" s="74"/>
      <c r="J140" s="74"/>
      <c r="K140" s="74"/>
      <c r="L140" s="72"/>
      <c r="M140" s="566">
        <f t="shared" si="80"/>
        <v>0</v>
      </c>
      <c r="N140" s="566">
        <f t="shared" si="81"/>
        <v>0</v>
      </c>
      <c r="O140" s="565">
        <f t="shared" si="82"/>
        <v>0</v>
      </c>
      <c r="P140" s="567">
        <f t="shared" si="83"/>
        <v>0</v>
      </c>
      <c r="Q140" s="568">
        <f t="shared" si="84"/>
        <v>0</v>
      </c>
      <c r="R140" s="569">
        <f t="shared" si="85"/>
        <v>0</v>
      </c>
    </row>
    <row r="141" spans="1:32" s="1" customFormat="1" x14ac:dyDescent="0.25">
      <c r="A141" s="237"/>
      <c r="B141" s="412" t="s">
        <v>338</v>
      </c>
      <c r="C141" s="413" t="s">
        <v>131</v>
      </c>
      <c r="D141" s="82"/>
      <c r="E141" s="242"/>
      <c r="F141" s="302"/>
      <c r="G141" s="77"/>
      <c r="H141" s="74"/>
      <c r="I141" s="74"/>
      <c r="J141" s="74"/>
      <c r="K141" s="67"/>
      <c r="L141" s="72"/>
      <c r="M141" s="566">
        <f t="shared" si="80"/>
        <v>0</v>
      </c>
      <c r="N141" s="566">
        <f t="shared" si="81"/>
        <v>0</v>
      </c>
      <c r="O141" s="565">
        <f t="shared" si="82"/>
        <v>0</v>
      </c>
      <c r="P141" s="567">
        <f t="shared" si="83"/>
        <v>0</v>
      </c>
      <c r="Q141" s="568">
        <f t="shared" si="84"/>
        <v>0</v>
      </c>
      <c r="R141" s="569">
        <f t="shared" si="85"/>
        <v>0</v>
      </c>
      <c r="S141" s="18"/>
    </row>
    <row r="142" spans="1:32" s="224" customFormat="1" x14ac:dyDescent="0.25">
      <c r="A142" s="411"/>
      <c r="B142" s="412"/>
      <c r="C142" s="413">
        <v>1</v>
      </c>
      <c r="D142" s="83" t="s">
        <v>456</v>
      </c>
      <c r="E142" s="242">
        <v>1</v>
      </c>
      <c r="F142" s="302">
        <v>1</v>
      </c>
      <c r="G142" s="77" t="s">
        <v>55</v>
      </c>
      <c r="H142" s="74">
        <f>(23600+74200)*0.85/1.3889/1.07</f>
        <v>55937.496425262238</v>
      </c>
      <c r="I142" s="74">
        <f t="shared" ref="I142:I144" si="95">F142*H142</f>
        <v>55937.496425262238</v>
      </c>
      <c r="J142" s="74">
        <f>(23600+74200)*0.15/1.3889/1.07</f>
        <v>9871.3228985756905</v>
      </c>
      <c r="K142" s="67">
        <f t="shared" ref="K142:K144" si="96">F142*J142</f>
        <v>9871.3228985756905</v>
      </c>
      <c r="L142" s="72">
        <f t="shared" ref="L142:L144" si="97">I142+K142</f>
        <v>65808.819323837932</v>
      </c>
      <c r="M142" s="566">
        <f t="shared" si="80"/>
        <v>77982.661983280865</v>
      </c>
      <c r="N142" s="566">
        <f t="shared" si="81"/>
        <v>13761.646232343684</v>
      </c>
      <c r="O142" s="565">
        <f t="shared" si="82"/>
        <v>91744.308215624551</v>
      </c>
      <c r="P142" s="567">
        <f t="shared" si="83"/>
        <v>91744.308215624551</v>
      </c>
      <c r="Q142" s="568">
        <f t="shared" si="84"/>
        <v>91744.308215624551</v>
      </c>
      <c r="R142" s="569">
        <f t="shared" si="85"/>
        <v>0</v>
      </c>
      <c r="S142" s="273"/>
    </row>
    <row r="143" spans="1:32" s="224" customFormat="1" x14ac:dyDescent="0.25">
      <c r="A143" s="238"/>
      <c r="B143" s="412"/>
      <c r="C143" s="413">
        <v>2</v>
      </c>
      <c r="D143" s="83" t="s">
        <v>457</v>
      </c>
      <c r="E143" s="242">
        <v>1</v>
      </c>
      <c r="F143" s="302">
        <v>1</v>
      </c>
      <c r="G143" s="77" t="s">
        <v>55</v>
      </c>
      <c r="H143" s="74">
        <f>(58600+74200)*0.85/1.3889/1.07</f>
        <v>75956.027865795753</v>
      </c>
      <c r="I143" s="74">
        <f t="shared" si="95"/>
        <v>75956.027865795753</v>
      </c>
      <c r="J143" s="74">
        <f>(58600+74200)*0.15/1.3889/1.07</f>
        <v>13404.00491749337</v>
      </c>
      <c r="K143" s="67">
        <f t="shared" si="96"/>
        <v>13404.00491749337</v>
      </c>
      <c r="L143" s="72">
        <f t="shared" si="97"/>
        <v>89360.03278328912</v>
      </c>
      <c r="M143" s="566">
        <f t="shared" si="80"/>
        <v>105890.5676010194</v>
      </c>
      <c r="N143" s="566">
        <f t="shared" si="81"/>
        <v>18686.570753121076</v>
      </c>
      <c r="O143" s="565">
        <f t="shared" si="82"/>
        <v>124577.13835414048</v>
      </c>
      <c r="P143" s="567">
        <f t="shared" si="83"/>
        <v>124577.13835414048</v>
      </c>
      <c r="Q143" s="568">
        <f t="shared" si="84"/>
        <v>124577.13835414046</v>
      </c>
      <c r="R143" s="569">
        <f t="shared" si="85"/>
        <v>0</v>
      </c>
      <c r="S143" s="273"/>
      <c r="T143" s="1"/>
      <c r="U143" s="226"/>
      <c r="V143" s="226"/>
    </row>
    <row r="144" spans="1:32" s="224" customFormat="1" x14ac:dyDescent="0.25">
      <c r="A144" s="411"/>
      <c r="B144" s="412"/>
      <c r="C144" s="413">
        <v>3</v>
      </c>
      <c r="D144" s="83" t="s">
        <v>418</v>
      </c>
      <c r="E144" s="242">
        <v>1</v>
      </c>
      <c r="F144" s="302">
        <v>1</v>
      </c>
      <c r="G144" s="77" t="s">
        <v>55</v>
      </c>
      <c r="H144" s="74">
        <f>5900*0.85/1.3889/1.03</f>
        <v>3505.6030231369796</v>
      </c>
      <c r="I144" s="74">
        <f t="shared" si="95"/>
        <v>3505.6030231369796</v>
      </c>
      <c r="J144" s="74">
        <f>5900*0.15/1.3889/1.03</f>
        <v>618.63582761240821</v>
      </c>
      <c r="K144" s="67">
        <f t="shared" si="96"/>
        <v>618.63582761240821</v>
      </c>
      <c r="L144" s="72">
        <f t="shared" si="97"/>
        <v>4124.2388507493879</v>
      </c>
      <c r="M144" s="566">
        <f t="shared" si="80"/>
        <v>4887.1735968039793</v>
      </c>
      <c r="N144" s="566">
        <f t="shared" si="81"/>
        <v>862.44239943599644</v>
      </c>
      <c r="O144" s="565">
        <f t="shared" si="82"/>
        <v>5749.6159962399761</v>
      </c>
      <c r="P144" s="567">
        <f t="shared" si="83"/>
        <v>5749.6159962399761</v>
      </c>
      <c r="Q144" s="568">
        <f t="shared" si="84"/>
        <v>5749.6159962399761</v>
      </c>
      <c r="R144" s="569">
        <f t="shared" si="85"/>
        <v>0</v>
      </c>
      <c r="S144" s="273"/>
      <c r="T144" s="1"/>
      <c r="U144" s="226"/>
      <c r="V144" s="226"/>
    </row>
    <row r="145" spans="1:39" s="1" customFormat="1" x14ac:dyDescent="0.25">
      <c r="A145" s="238"/>
      <c r="B145" s="248"/>
      <c r="C145" s="298"/>
      <c r="D145" s="82"/>
      <c r="E145" s="242"/>
      <c r="F145" s="302"/>
      <c r="G145" s="75"/>
      <c r="H145" s="74"/>
      <c r="I145" s="74"/>
      <c r="J145" s="74"/>
      <c r="K145" s="74"/>
      <c r="L145" s="74"/>
      <c r="M145" s="566">
        <f t="shared" si="80"/>
        <v>0</v>
      </c>
      <c r="N145" s="566">
        <f t="shared" si="81"/>
        <v>0</v>
      </c>
      <c r="O145" s="565">
        <f t="shared" si="82"/>
        <v>0</v>
      </c>
      <c r="P145" s="567">
        <f t="shared" si="83"/>
        <v>0</v>
      </c>
      <c r="Q145" s="568">
        <f t="shared" si="84"/>
        <v>0</v>
      </c>
      <c r="R145" s="569">
        <f t="shared" si="85"/>
        <v>0</v>
      </c>
      <c r="S145" s="18"/>
      <c r="U145" s="226"/>
      <c r="V145" s="226"/>
    </row>
    <row r="146" spans="1:39" x14ac:dyDescent="0.25">
      <c r="A146" s="238"/>
      <c r="B146" s="290" t="s">
        <v>339</v>
      </c>
      <c r="C146" s="291" t="s">
        <v>340</v>
      </c>
      <c r="D146" s="83"/>
      <c r="E146" s="242"/>
      <c r="F146" s="302"/>
      <c r="G146" s="75"/>
      <c r="H146" s="74"/>
      <c r="I146" s="74"/>
      <c r="J146" s="74"/>
      <c r="K146" s="74"/>
      <c r="L146" s="74"/>
      <c r="M146" s="566">
        <f t="shared" si="80"/>
        <v>0</v>
      </c>
      <c r="N146" s="566">
        <f t="shared" si="81"/>
        <v>0</v>
      </c>
      <c r="O146" s="565">
        <f t="shared" si="82"/>
        <v>0</v>
      </c>
      <c r="P146" s="567">
        <f t="shared" si="83"/>
        <v>0</v>
      </c>
      <c r="Q146" s="568">
        <f t="shared" si="84"/>
        <v>0</v>
      </c>
      <c r="R146" s="569">
        <f t="shared" si="85"/>
        <v>0</v>
      </c>
    </row>
    <row r="147" spans="1:39" s="585" customFormat="1" x14ac:dyDescent="0.25">
      <c r="A147" s="600"/>
      <c r="B147" s="601"/>
      <c r="C147" s="560">
        <v>1</v>
      </c>
      <c r="D147" s="582" t="s">
        <v>341</v>
      </c>
      <c r="E147" s="583">
        <v>1</v>
      </c>
      <c r="F147" s="563">
        <v>1</v>
      </c>
      <c r="G147" s="584" t="s">
        <v>55</v>
      </c>
      <c r="H147" s="658">
        <f>79415.5*0.7/1.085</f>
        <v>51235.806451612902</v>
      </c>
      <c r="I147" s="566">
        <f>F147*H147</f>
        <v>51235.806451612902</v>
      </c>
      <c r="J147" s="658">
        <f>79415.5*0.3/1.085</f>
        <v>21958.202764976959</v>
      </c>
      <c r="K147" s="566">
        <f t="shared" ref="K147:K149" si="98">F147*J147</f>
        <v>21958.202764976959</v>
      </c>
      <c r="L147" s="565">
        <f t="shared" ref="L147:L149" si="99">I147+K147</f>
        <v>73194.009216589853</v>
      </c>
      <c r="M147" s="566">
        <v>71351.765447542959</v>
      </c>
      <c r="N147" s="566">
        <v>30579.32804894698</v>
      </c>
      <c r="O147" s="565">
        <f t="shared" si="82"/>
        <v>101931.09349648994</v>
      </c>
      <c r="P147" s="567">
        <v>101931.09349648994</v>
      </c>
      <c r="Q147" s="568">
        <f t="shared" ref="Q147:Q149" si="100">L147/$P$260*$P$268</f>
        <v>102040.0276148346</v>
      </c>
      <c r="R147" s="569">
        <f t="shared" ref="R147:R149" si="101">P147-Q147</f>
        <v>-108.93411834466679</v>
      </c>
      <c r="S147" s="18"/>
      <c r="T147" s="579"/>
      <c r="V147" s="1"/>
      <c r="W147" s="226"/>
      <c r="X147" s="226"/>
      <c r="Y147" s="898" t="s">
        <v>366</v>
      </c>
      <c r="Z147" s="898"/>
      <c r="AA147" s="898"/>
      <c r="AB147" s="668"/>
      <c r="AC147" s="668"/>
      <c r="AD147" s="668"/>
      <c r="AE147" s="668"/>
      <c r="AF147" s="668"/>
      <c r="AG147" s="356"/>
      <c r="AH147" s="356"/>
    </row>
    <row r="148" spans="1:39" s="585" customFormat="1" x14ac:dyDescent="0.25">
      <c r="A148" s="600"/>
      <c r="B148" s="601"/>
      <c r="C148" s="560">
        <v>2</v>
      </c>
      <c r="D148" s="582" t="s">
        <v>342</v>
      </c>
      <c r="E148" s="583">
        <v>1</v>
      </c>
      <c r="F148" s="563">
        <v>1</v>
      </c>
      <c r="G148" s="584" t="s">
        <v>55</v>
      </c>
      <c r="H148" s="658">
        <f>120317.5*0.7/1.085</f>
        <v>77624.193548387106</v>
      </c>
      <c r="I148" s="566">
        <f>F148*H148</f>
        <v>77624.193548387106</v>
      </c>
      <c r="J148" s="658">
        <f>120317.5*0.3/1.085</f>
        <v>33267.511520737331</v>
      </c>
      <c r="K148" s="566">
        <f t="shared" si="98"/>
        <v>33267.511520737331</v>
      </c>
      <c r="L148" s="565">
        <f t="shared" si="99"/>
        <v>110891.70506912444</v>
      </c>
      <c r="M148" s="566">
        <v>108100.63576045922</v>
      </c>
      <c r="N148" s="566">
        <v>46328.843897339677</v>
      </c>
      <c r="O148" s="565">
        <f t="shared" si="82"/>
        <v>154429.47965779889</v>
      </c>
      <c r="P148" s="567">
        <v>154429.47965779889</v>
      </c>
      <c r="Q148" s="568">
        <f t="shared" si="100"/>
        <v>154594.51898619116</v>
      </c>
      <c r="R148" s="569">
        <f t="shared" si="101"/>
        <v>-165.03932839227491</v>
      </c>
      <c r="S148" s="18"/>
      <c r="T148" s="579"/>
      <c r="V148" s="1"/>
      <c r="W148" s="226"/>
      <c r="X148" s="226"/>
      <c r="Y148" s="354"/>
      <c r="Z148" s="354"/>
      <c r="AA148" s="354"/>
      <c r="AB148" s="668" t="s">
        <v>81</v>
      </c>
      <c r="AC148" s="668" t="s">
        <v>6</v>
      </c>
      <c r="AD148" s="668" t="s">
        <v>5</v>
      </c>
      <c r="AE148" s="668" t="s">
        <v>174</v>
      </c>
      <c r="AF148" s="668" t="s">
        <v>175</v>
      </c>
      <c r="AG148" s="356" t="s">
        <v>176</v>
      </c>
      <c r="AH148" s="356" t="s">
        <v>177</v>
      </c>
    </row>
    <row r="149" spans="1:39" s="585" customFormat="1" x14ac:dyDescent="0.25">
      <c r="A149" s="600"/>
      <c r="B149" s="601"/>
      <c r="C149" s="560">
        <v>3</v>
      </c>
      <c r="D149" s="582" t="s">
        <v>359</v>
      </c>
      <c r="E149" s="583">
        <v>6.3</v>
      </c>
      <c r="F149" s="563">
        <v>6.5</v>
      </c>
      <c r="G149" s="584" t="s">
        <v>100</v>
      </c>
      <c r="H149" s="658">
        <f>(AE214*2+AE232*3)/F149/1.085</f>
        <v>2993.8319744771361</v>
      </c>
      <c r="I149" s="566">
        <f>F149*H149</f>
        <v>19459.907834101385</v>
      </c>
      <c r="J149" s="658">
        <f>(AE221*2+AE239*3)/F149/1.085</f>
        <v>2819.5675292449487</v>
      </c>
      <c r="K149" s="566">
        <f t="shared" si="98"/>
        <v>18327.188940092165</v>
      </c>
      <c r="L149" s="565">
        <f t="shared" si="99"/>
        <v>37787.096774193546</v>
      </c>
      <c r="M149" s="566">
        <v>4248.6704670076906</v>
      </c>
      <c r="N149" s="566">
        <v>4001.3646034123294</v>
      </c>
      <c r="O149" s="565">
        <f t="shared" si="82"/>
        <v>8250.0350704200209</v>
      </c>
      <c r="P149" s="567">
        <v>53625.227957730138</v>
      </c>
      <c r="Q149" s="568">
        <f t="shared" si="100"/>
        <v>52679.125513037179</v>
      </c>
      <c r="R149" s="569">
        <f t="shared" si="101"/>
        <v>946.10244469295867</v>
      </c>
      <c r="S149" s="18"/>
      <c r="T149" s="579"/>
      <c r="V149" s="224"/>
      <c r="W149" s="225"/>
      <c r="X149" s="225"/>
      <c r="Y149" s="899" t="s">
        <v>367</v>
      </c>
      <c r="Z149" s="899"/>
      <c r="AA149" s="899"/>
      <c r="AB149" s="357">
        <f>5.925*5.9</f>
        <v>34.957500000000003</v>
      </c>
      <c r="AC149" s="664">
        <v>35</v>
      </c>
      <c r="AD149" s="664" t="s">
        <v>101</v>
      </c>
      <c r="AE149" s="359">
        <f>4500/1.12</f>
        <v>4017.8571428571427</v>
      </c>
      <c r="AF149" s="360">
        <f>AE149*AC149</f>
        <v>140625</v>
      </c>
      <c r="AG149" s="361">
        <v>375</v>
      </c>
      <c r="AH149" s="362">
        <f>AG149*AC149</f>
        <v>13125</v>
      </c>
    </row>
    <row r="150" spans="1:39" ht="15.75" thickBot="1" x14ac:dyDescent="0.3">
      <c r="A150" s="238"/>
      <c r="B150" s="289"/>
      <c r="C150" s="300"/>
      <c r="D150" s="83"/>
      <c r="E150" s="242"/>
      <c r="F150" s="302"/>
      <c r="G150" s="75"/>
      <c r="H150" s="74"/>
      <c r="I150" s="74"/>
      <c r="J150" s="74"/>
      <c r="K150" s="74"/>
      <c r="L150" s="74"/>
      <c r="M150" s="72"/>
      <c r="N150" s="72"/>
      <c r="O150" s="72"/>
      <c r="P150" s="205"/>
      <c r="Q150" s="272">
        <f t="shared" ref="Q150:Q210" si="102">L150/$P$260*$P$268</f>
        <v>0</v>
      </c>
      <c r="R150" s="439"/>
      <c r="V150" s="224"/>
      <c r="W150" s="225"/>
      <c r="X150" s="225"/>
      <c r="Y150" s="899" t="s">
        <v>368</v>
      </c>
      <c r="Z150" s="899"/>
      <c r="AA150" s="899"/>
      <c r="AB150" s="664">
        <f>2*3.5</f>
        <v>7</v>
      </c>
      <c r="AC150" s="664">
        <v>12</v>
      </c>
      <c r="AD150" s="664" t="s">
        <v>100</v>
      </c>
      <c r="AE150" s="360">
        <f>7.4*50</f>
        <v>370</v>
      </c>
      <c r="AF150" s="360">
        <f>AE150*AC150</f>
        <v>4440</v>
      </c>
      <c r="AG150" s="362">
        <v>85</v>
      </c>
      <c r="AH150" s="362">
        <f>AG150*AC150</f>
        <v>1020</v>
      </c>
    </row>
    <row r="151" spans="1:39" s="234" customFormat="1" ht="15.75" thickBot="1" x14ac:dyDescent="0.3">
      <c r="A151" s="308"/>
      <c r="B151" s="910" t="s">
        <v>343</v>
      </c>
      <c r="C151" s="911"/>
      <c r="D151" s="912"/>
      <c r="E151" s="309"/>
      <c r="F151" s="310"/>
      <c r="G151" s="311"/>
      <c r="H151" s="312"/>
      <c r="I151" s="313">
        <f>SUM(I36:I150)</f>
        <v>2487948.7756907949</v>
      </c>
      <c r="J151" s="312"/>
      <c r="K151" s="313">
        <f>SUM(K36:K150)</f>
        <v>982998.40316167474</v>
      </c>
      <c r="L151" s="313">
        <f>SUM(L36:L150)</f>
        <v>3470947.1788524701</v>
      </c>
      <c r="M151" s="312"/>
      <c r="N151" s="312"/>
      <c r="O151" s="313"/>
      <c r="P151" s="315">
        <f>SUM(P36:P150)</f>
        <v>4839531.8904804904</v>
      </c>
      <c r="Q151" s="272">
        <f t="shared" si="102"/>
        <v>4838859.7614825331</v>
      </c>
      <c r="R151" s="439">
        <f t="shared" ref="R151" si="103">P151-Q151</f>
        <v>672.12899795733392</v>
      </c>
      <c r="T151" s="211"/>
      <c r="V151" s="224"/>
      <c r="W151" s="225"/>
      <c r="X151" s="225"/>
      <c r="Y151" s="899" t="s">
        <v>369</v>
      </c>
      <c r="Z151" s="899"/>
      <c r="AA151" s="899"/>
      <c r="AB151" s="664">
        <v>11.8</v>
      </c>
      <c r="AC151" s="664">
        <v>12</v>
      </c>
      <c r="AD151" s="664" t="s">
        <v>100</v>
      </c>
      <c r="AE151" s="360">
        <f>47.1*36/1.12</f>
        <v>1513.9285714285713</v>
      </c>
      <c r="AF151" s="360">
        <f>AE151*AC151</f>
        <v>18167.142857142855</v>
      </c>
      <c r="AG151" s="362">
        <v>200</v>
      </c>
      <c r="AH151" s="362">
        <f>AG151*AC151</f>
        <v>2400</v>
      </c>
      <c r="AI151" s="277"/>
      <c r="AJ151" s="277"/>
      <c r="AK151" s="278"/>
      <c r="AL151" s="225"/>
      <c r="AM151" s="282"/>
    </row>
    <row r="152" spans="1:39" s="226" customFormat="1" ht="15.75" x14ac:dyDescent="0.25">
      <c r="A152" s="517" t="s">
        <v>86</v>
      </c>
      <c r="B152" s="513" t="s">
        <v>344</v>
      </c>
      <c r="C152" s="514"/>
      <c r="D152" s="515"/>
      <c r="E152" s="254"/>
      <c r="F152" s="304"/>
      <c r="G152" s="255"/>
      <c r="H152" s="256"/>
      <c r="I152" s="256"/>
      <c r="J152" s="256"/>
      <c r="K152" s="256"/>
      <c r="L152" s="256"/>
      <c r="M152" s="256"/>
      <c r="N152" s="256"/>
      <c r="O152" s="256"/>
      <c r="P152" s="257"/>
      <c r="Q152" s="272">
        <f t="shared" si="102"/>
        <v>0</v>
      </c>
      <c r="R152" s="439"/>
      <c r="T152" s="1"/>
      <c r="V152" s="1"/>
      <c r="Y152" s="899" t="s">
        <v>370</v>
      </c>
      <c r="Z152" s="899"/>
      <c r="AA152" s="899"/>
      <c r="AB152" s="363">
        <f>(5.825*7)+(5.9*2)</f>
        <v>52.575000000000003</v>
      </c>
      <c r="AC152" s="664">
        <v>54</v>
      </c>
      <c r="AD152" s="664" t="s">
        <v>100</v>
      </c>
      <c r="AE152" s="360">
        <f>33*36/1.12</f>
        <v>1060.7142857142856</v>
      </c>
      <c r="AF152" s="360">
        <f>AE152*AC152</f>
        <v>57278.57142857142</v>
      </c>
      <c r="AG152" s="362">
        <v>130</v>
      </c>
      <c r="AH152" s="362">
        <f>AG152*AC152</f>
        <v>7020</v>
      </c>
      <c r="AI152" s="286"/>
      <c r="AJ152" s="286"/>
      <c r="AK152" s="127"/>
      <c r="AL152" s="285"/>
      <c r="AM152" s="225"/>
    </row>
    <row r="153" spans="1:39" s="1" customFormat="1" x14ac:dyDescent="0.25">
      <c r="A153" s="238"/>
      <c r="B153" s="290" t="s">
        <v>319</v>
      </c>
      <c r="C153" s="291" t="s">
        <v>132</v>
      </c>
      <c r="D153" s="316"/>
      <c r="E153" s="244"/>
      <c r="F153" s="302"/>
      <c r="G153" s="75"/>
      <c r="H153" s="74"/>
      <c r="I153" s="74"/>
      <c r="J153" s="74"/>
      <c r="K153" s="74"/>
      <c r="L153" s="74"/>
      <c r="M153" s="72"/>
      <c r="N153" s="72"/>
      <c r="O153" s="72"/>
      <c r="P153" s="205"/>
      <c r="Q153" s="272">
        <f t="shared" si="102"/>
        <v>0</v>
      </c>
      <c r="R153" s="439"/>
      <c r="S153" s="18"/>
      <c r="V153" s="579"/>
      <c r="W153" s="573"/>
      <c r="X153" s="573"/>
      <c r="Y153" s="930" t="s">
        <v>371</v>
      </c>
      <c r="Z153" s="930"/>
      <c r="AA153" s="930"/>
      <c r="AB153" s="631">
        <f>(5.825*1)</f>
        <v>5.8250000000000002</v>
      </c>
      <c r="AC153" s="672">
        <v>6</v>
      </c>
      <c r="AD153" s="672" t="s">
        <v>100</v>
      </c>
      <c r="AE153" s="633">
        <f>9.42*36/1.075</f>
        <v>315.46046511627907</v>
      </c>
      <c r="AF153" s="633">
        <f>AE153*AC153</f>
        <v>1892.7627906976745</v>
      </c>
      <c r="AG153" s="634">
        <v>35</v>
      </c>
      <c r="AH153" s="634">
        <f>AG153*AC153</f>
        <v>210</v>
      </c>
    </row>
    <row r="154" spans="1:39" s="1" customFormat="1" x14ac:dyDescent="0.25">
      <c r="A154" s="238"/>
      <c r="B154" s="317"/>
      <c r="C154" s="318">
        <v>1</v>
      </c>
      <c r="D154" s="83" t="s">
        <v>419</v>
      </c>
      <c r="E154" s="242">
        <f>61+1+5</f>
        <v>67</v>
      </c>
      <c r="F154" s="242">
        <f>61+1+5</f>
        <v>67</v>
      </c>
      <c r="G154" s="73" t="s">
        <v>283</v>
      </c>
      <c r="H154" s="67">
        <f>360/1.05</f>
        <v>342.85714285714283</v>
      </c>
      <c r="I154" s="67">
        <f>F154*H154</f>
        <v>22971.428571428569</v>
      </c>
      <c r="J154" s="67">
        <v>130</v>
      </c>
      <c r="K154" s="67">
        <f t="shared" ref="K154:K157" si="104">F154*J154</f>
        <v>8710</v>
      </c>
      <c r="L154" s="72">
        <f t="shared" ref="L154:L157" si="105">I154+K154</f>
        <v>31681.428571428569</v>
      </c>
      <c r="M154" s="566">
        <f t="shared" ref="M154:M211" si="106">H154/$P$260*$P$268</f>
        <v>477.97835778555162</v>
      </c>
      <c r="N154" s="566">
        <f t="shared" ref="N154:N211" si="107">J154/$P$260*$P$268</f>
        <v>181.23346066035498</v>
      </c>
      <c r="O154" s="565">
        <f t="shared" ref="O154:O211" si="108">N154+M154</f>
        <v>659.2118184459066</v>
      </c>
      <c r="P154" s="567">
        <f t="shared" ref="P154:P211" si="109">O154*F154</f>
        <v>44167.191835875739</v>
      </c>
      <c r="Q154" s="568">
        <f t="shared" si="102"/>
        <v>44167.191835875739</v>
      </c>
      <c r="R154" s="569">
        <f t="shared" ref="R154:R211" si="110">P154-Q154</f>
        <v>0</v>
      </c>
      <c r="S154" s="18"/>
      <c r="T154" s="67">
        <f>360/1.05</f>
        <v>342.85714285714283</v>
      </c>
      <c r="V154" s="930" t="s">
        <v>372</v>
      </c>
      <c r="W154" s="930"/>
      <c r="X154" s="930"/>
      <c r="Y154" s="930"/>
      <c r="Z154" s="930"/>
      <c r="AA154" s="930"/>
      <c r="AB154" s="635">
        <f>7*5.925</f>
        <v>41.475000000000001</v>
      </c>
      <c r="AC154" s="672">
        <v>42</v>
      </c>
      <c r="AD154" s="636" t="s">
        <v>100</v>
      </c>
      <c r="AE154" s="633">
        <f>4.7*70/1.12</f>
        <v>293.75</v>
      </c>
      <c r="AF154" s="633">
        <f t="shared" ref="AF154:AF157" si="111">AE154*AC154</f>
        <v>12337.5</v>
      </c>
      <c r="AG154" s="634">
        <v>60</v>
      </c>
      <c r="AH154" s="634">
        <f t="shared" ref="AH154:AH157" si="112">AG154*AC154</f>
        <v>2520</v>
      </c>
    </row>
    <row r="155" spans="1:39" s="1" customFormat="1" x14ac:dyDescent="0.25">
      <c r="A155" s="238"/>
      <c r="B155" s="317"/>
      <c r="C155" s="318">
        <v>2</v>
      </c>
      <c r="D155" s="83" t="s">
        <v>134</v>
      </c>
      <c r="E155" s="242">
        <v>88</v>
      </c>
      <c r="F155" s="242">
        <v>88</v>
      </c>
      <c r="G155" s="73" t="s">
        <v>283</v>
      </c>
      <c r="H155" s="67">
        <f>837/1.05</f>
        <v>797.14285714285711</v>
      </c>
      <c r="I155" s="67">
        <f>F155*H155</f>
        <v>70148.57142857142</v>
      </c>
      <c r="J155" s="67">
        <f>J154</f>
        <v>130</v>
      </c>
      <c r="K155" s="67">
        <f t="shared" si="104"/>
        <v>11440</v>
      </c>
      <c r="L155" s="72">
        <f t="shared" si="105"/>
        <v>81588.57142857142</v>
      </c>
      <c r="M155" s="566">
        <f t="shared" si="106"/>
        <v>1111.2996818514075</v>
      </c>
      <c r="N155" s="566">
        <f t="shared" si="107"/>
        <v>181.23346066035498</v>
      </c>
      <c r="O155" s="565">
        <f t="shared" si="108"/>
        <v>1292.5331425117624</v>
      </c>
      <c r="P155" s="567">
        <f t="shared" si="109"/>
        <v>113742.9165410351</v>
      </c>
      <c r="Q155" s="568">
        <f t="shared" si="102"/>
        <v>113742.91654103508</v>
      </c>
      <c r="R155" s="569">
        <f t="shared" si="110"/>
        <v>0</v>
      </c>
      <c r="S155" s="18"/>
      <c r="T155" s="67">
        <f>837/1.05</f>
        <v>797.14285714285711</v>
      </c>
      <c r="W155" s="226"/>
      <c r="X155" s="226"/>
      <c r="Y155" s="899" t="s">
        <v>373</v>
      </c>
      <c r="Z155" s="899"/>
      <c r="AA155" s="899"/>
      <c r="AB155" s="357">
        <v>5.83</v>
      </c>
      <c r="AC155" s="664">
        <v>6</v>
      </c>
      <c r="AD155" s="364" t="s">
        <v>100</v>
      </c>
      <c r="AE155" s="360">
        <f>600/1.05</f>
        <v>571.42857142857144</v>
      </c>
      <c r="AF155" s="360">
        <f t="shared" si="111"/>
        <v>3428.5714285714284</v>
      </c>
      <c r="AG155" s="362">
        <v>150</v>
      </c>
      <c r="AH155" s="362">
        <f t="shared" si="112"/>
        <v>900</v>
      </c>
    </row>
    <row r="156" spans="1:39" s="1" customFormat="1" x14ac:dyDescent="0.25">
      <c r="A156" s="238"/>
      <c r="B156" s="317"/>
      <c r="C156" s="318">
        <v>3</v>
      </c>
      <c r="D156" s="83" t="s">
        <v>135</v>
      </c>
      <c r="E156" s="242">
        <f>3+1</f>
        <v>4</v>
      </c>
      <c r="F156" s="242">
        <f>3+1</f>
        <v>4</v>
      </c>
      <c r="G156" s="73" t="s">
        <v>283</v>
      </c>
      <c r="H156" s="67">
        <f>260/1.05</f>
        <v>247.61904761904762</v>
      </c>
      <c r="I156" s="67">
        <f>F156*H156</f>
        <v>990.47619047619048</v>
      </c>
      <c r="J156" s="67">
        <f>J154</f>
        <v>130</v>
      </c>
      <c r="K156" s="67">
        <f t="shared" si="104"/>
        <v>520</v>
      </c>
      <c r="L156" s="72">
        <f t="shared" si="105"/>
        <v>1510.4761904761904</v>
      </c>
      <c r="M156" s="566">
        <f t="shared" si="106"/>
        <v>345.20659173400952</v>
      </c>
      <c r="N156" s="566">
        <f t="shared" si="107"/>
        <v>181.23346066035498</v>
      </c>
      <c r="O156" s="565">
        <f t="shared" si="108"/>
        <v>526.44005239436456</v>
      </c>
      <c r="P156" s="567">
        <f t="shared" si="109"/>
        <v>2105.7602095774582</v>
      </c>
      <c r="Q156" s="568">
        <f t="shared" si="102"/>
        <v>2105.7602095774578</v>
      </c>
      <c r="R156" s="569">
        <f t="shared" si="110"/>
        <v>0</v>
      </c>
      <c r="S156" s="18"/>
      <c r="T156" s="67">
        <f>260/1.05</f>
        <v>247.61904761904762</v>
      </c>
      <c r="U156" s="18"/>
      <c r="W156" s="226"/>
      <c r="X156" s="226"/>
      <c r="Y156" s="899" t="s">
        <v>374</v>
      </c>
      <c r="Z156" s="899"/>
      <c r="AA156" s="899"/>
      <c r="AB156" s="357">
        <v>2</v>
      </c>
      <c r="AC156" s="664">
        <v>2</v>
      </c>
      <c r="AD156" s="364" t="s">
        <v>283</v>
      </c>
      <c r="AE156" s="360">
        <f>14.13*60</f>
        <v>847.80000000000007</v>
      </c>
      <c r="AF156" s="360">
        <f t="shared" si="111"/>
        <v>1695.6000000000001</v>
      </c>
      <c r="AG156" s="362">
        <v>151</v>
      </c>
      <c r="AH156" s="362">
        <f t="shared" si="112"/>
        <v>302</v>
      </c>
    </row>
    <row r="157" spans="1:39" s="1" customFormat="1" x14ac:dyDescent="0.25">
      <c r="A157" s="238"/>
      <c r="B157" s="317"/>
      <c r="C157" s="318">
        <v>4</v>
      </c>
      <c r="D157" s="83" t="s">
        <v>136</v>
      </c>
      <c r="E157" s="242">
        <v>18</v>
      </c>
      <c r="F157" s="242">
        <v>18</v>
      </c>
      <c r="G157" s="73" t="s">
        <v>283</v>
      </c>
      <c r="H157" s="67">
        <f>1980/1.05</f>
        <v>1885.7142857142856</v>
      </c>
      <c r="I157" s="67">
        <f>F157*H157</f>
        <v>33942.857142857138</v>
      </c>
      <c r="J157" s="67">
        <v>210</v>
      </c>
      <c r="K157" s="67">
        <f t="shared" si="104"/>
        <v>3780</v>
      </c>
      <c r="L157" s="72">
        <f t="shared" si="105"/>
        <v>37722.857142857138</v>
      </c>
      <c r="M157" s="566">
        <f t="shared" si="106"/>
        <v>2628.8809678205339</v>
      </c>
      <c r="N157" s="566">
        <f t="shared" si="107"/>
        <v>292.76174414365039</v>
      </c>
      <c r="O157" s="565">
        <f t="shared" si="108"/>
        <v>2921.6427119641844</v>
      </c>
      <c r="P157" s="567">
        <f t="shared" si="109"/>
        <v>52589.56881535532</v>
      </c>
      <c r="Q157" s="568">
        <f t="shared" si="102"/>
        <v>52589.568815355313</v>
      </c>
      <c r="R157" s="569">
        <f t="shared" si="110"/>
        <v>0</v>
      </c>
      <c r="S157" s="18"/>
      <c r="T157" s="67">
        <f>1980/1.05</f>
        <v>1885.7142857142856</v>
      </c>
      <c r="U157" s="18"/>
      <c r="W157" s="226"/>
      <c r="X157" s="226"/>
      <c r="Y157" s="899" t="s">
        <v>375</v>
      </c>
      <c r="Z157" s="899"/>
      <c r="AA157" s="899"/>
      <c r="AB157" s="357">
        <v>2</v>
      </c>
      <c r="AC157" s="664">
        <v>2</v>
      </c>
      <c r="AD157" s="364" t="s">
        <v>283</v>
      </c>
      <c r="AE157" s="360">
        <f>24.72*60</f>
        <v>1483.1999999999998</v>
      </c>
      <c r="AF157" s="360">
        <f t="shared" si="111"/>
        <v>2966.3999999999996</v>
      </c>
      <c r="AG157" s="362">
        <v>152</v>
      </c>
      <c r="AH157" s="362">
        <f t="shared" si="112"/>
        <v>304</v>
      </c>
    </row>
    <row r="158" spans="1:39" s="1" customFormat="1" x14ac:dyDescent="0.25">
      <c r="A158" s="238"/>
      <c r="B158" s="319"/>
      <c r="C158" s="318"/>
      <c r="D158" s="83" t="s">
        <v>137</v>
      </c>
      <c r="E158" s="242"/>
      <c r="F158" s="242"/>
      <c r="G158" s="75"/>
      <c r="H158" s="74"/>
      <c r="I158" s="74"/>
      <c r="J158" s="74"/>
      <c r="K158" s="74"/>
      <c r="L158" s="74"/>
      <c r="M158" s="566">
        <f t="shared" si="106"/>
        <v>0</v>
      </c>
      <c r="N158" s="566">
        <f t="shared" si="107"/>
        <v>0</v>
      </c>
      <c r="O158" s="565">
        <f t="shared" si="108"/>
        <v>0</v>
      </c>
      <c r="P158" s="567">
        <f t="shared" si="109"/>
        <v>0</v>
      </c>
      <c r="Q158" s="568">
        <f t="shared" si="102"/>
        <v>0</v>
      </c>
      <c r="R158" s="569">
        <f t="shared" si="110"/>
        <v>0</v>
      </c>
      <c r="S158" s="18"/>
      <c r="T158" s="74"/>
      <c r="U158" s="18"/>
      <c r="W158" s="226"/>
      <c r="X158" s="226"/>
      <c r="Y158" s="899" t="s">
        <v>370</v>
      </c>
      <c r="Z158" s="899"/>
      <c r="AA158" s="899"/>
      <c r="AB158" s="363">
        <f>(5.825*7)+(5.9*2)</f>
        <v>52.575000000000003</v>
      </c>
      <c r="AC158" s="664">
        <v>54</v>
      </c>
      <c r="AD158" s="664" t="s">
        <v>100</v>
      </c>
      <c r="AE158" s="360">
        <f>33*36/1.12</f>
        <v>1060.7142857142856</v>
      </c>
      <c r="AF158" s="360">
        <f>AE158*AC158</f>
        <v>57278.57142857142</v>
      </c>
      <c r="AG158" s="362">
        <v>130</v>
      </c>
      <c r="AH158" s="362">
        <f>AG158*AC158</f>
        <v>7020</v>
      </c>
    </row>
    <row r="159" spans="1:39" s="1" customFormat="1" x14ac:dyDescent="0.25">
      <c r="A159" s="238"/>
      <c r="B159" s="317"/>
      <c r="C159" s="318">
        <v>5</v>
      </c>
      <c r="D159" s="83" t="s">
        <v>138</v>
      </c>
      <c r="E159" s="242">
        <v>3</v>
      </c>
      <c r="F159" s="242">
        <v>3</v>
      </c>
      <c r="G159" s="73" t="s">
        <v>283</v>
      </c>
      <c r="H159" s="67">
        <f>1620/1.05</f>
        <v>1542.8571428571429</v>
      </c>
      <c r="I159" s="67">
        <f>F159*H159</f>
        <v>4628.5714285714284</v>
      </c>
      <c r="J159" s="67">
        <v>210</v>
      </c>
      <c r="K159" s="67">
        <f t="shared" ref="K159:K160" si="113">F159*J159</f>
        <v>630</v>
      </c>
      <c r="L159" s="72">
        <f t="shared" ref="L159:L160" si="114">I159+K159</f>
        <v>5258.5714285714284</v>
      </c>
      <c r="M159" s="566">
        <f t="shared" si="106"/>
        <v>2150.9026100349824</v>
      </c>
      <c r="N159" s="566">
        <f t="shared" si="107"/>
        <v>292.76174414365039</v>
      </c>
      <c r="O159" s="565">
        <f t="shared" si="108"/>
        <v>2443.6643541786329</v>
      </c>
      <c r="P159" s="567">
        <f t="shared" si="109"/>
        <v>7330.9930625358993</v>
      </c>
      <c r="Q159" s="568">
        <f t="shared" si="102"/>
        <v>7330.9930625358975</v>
      </c>
      <c r="R159" s="569">
        <f t="shared" si="110"/>
        <v>0</v>
      </c>
      <c r="S159" s="18"/>
      <c r="T159" s="67">
        <f>1620/1.05</f>
        <v>1542.8571428571429</v>
      </c>
      <c r="U159" s="18"/>
      <c r="V159" s="579"/>
      <c r="W159" s="585"/>
      <c r="X159" s="585"/>
      <c r="Y159" s="899" t="s">
        <v>376</v>
      </c>
      <c r="Z159" s="899"/>
      <c r="AA159" s="899"/>
      <c r="AB159" s="357">
        <f>4*4</f>
        <v>16</v>
      </c>
      <c r="AC159" s="664">
        <v>16</v>
      </c>
      <c r="AD159" s="364" t="s">
        <v>283</v>
      </c>
      <c r="AE159" s="360">
        <v>160</v>
      </c>
      <c r="AF159" s="360">
        <f>AE159*AC159</f>
        <v>2560</v>
      </c>
      <c r="AG159" s="362">
        <v>35</v>
      </c>
      <c r="AH159" s="362">
        <f>AG159*AC159</f>
        <v>560</v>
      </c>
    </row>
    <row r="160" spans="1:39" s="1" customFormat="1" x14ac:dyDescent="0.25">
      <c r="A160" s="238"/>
      <c r="B160" s="290"/>
      <c r="C160" s="318">
        <v>6</v>
      </c>
      <c r="D160" s="83" t="s">
        <v>139</v>
      </c>
      <c r="E160" s="242">
        <v>44</v>
      </c>
      <c r="F160" s="242">
        <v>44</v>
      </c>
      <c r="G160" s="73" t="s">
        <v>283</v>
      </c>
      <c r="H160" s="74">
        <f>3500/1.05</f>
        <v>3333.333333333333</v>
      </c>
      <c r="I160" s="67">
        <f>F160*H160</f>
        <v>146666.66666666666</v>
      </c>
      <c r="J160" s="67">
        <v>210</v>
      </c>
      <c r="K160" s="67">
        <f t="shared" si="113"/>
        <v>9240</v>
      </c>
      <c r="L160" s="72">
        <f t="shared" si="114"/>
        <v>155906.66666666666</v>
      </c>
      <c r="M160" s="566">
        <f t="shared" si="106"/>
        <v>4647.0118118039736</v>
      </c>
      <c r="N160" s="566">
        <f t="shared" si="107"/>
        <v>292.76174414365039</v>
      </c>
      <c r="O160" s="565">
        <f t="shared" si="108"/>
        <v>4939.7735559476241</v>
      </c>
      <c r="P160" s="567">
        <f t="shared" si="109"/>
        <v>217350.03646169545</v>
      </c>
      <c r="Q160" s="568">
        <f t="shared" si="102"/>
        <v>217350.03646169548</v>
      </c>
      <c r="R160" s="569">
        <f t="shared" si="110"/>
        <v>0</v>
      </c>
      <c r="S160" s="18"/>
      <c r="T160" s="74">
        <f>3500/1.05</f>
        <v>3333.333333333333</v>
      </c>
      <c r="V160" s="579"/>
      <c r="W160" s="585"/>
      <c r="X160" s="585"/>
      <c r="Y160" s="899" t="s">
        <v>377</v>
      </c>
      <c r="Z160" s="899"/>
      <c r="AA160" s="899"/>
      <c r="AB160" s="357">
        <v>58</v>
      </c>
      <c r="AC160" s="664">
        <v>60</v>
      </c>
      <c r="AD160" s="364" t="s">
        <v>101</v>
      </c>
      <c r="AE160" s="360">
        <v>65</v>
      </c>
      <c r="AF160" s="360">
        <f>AE160*AC160</f>
        <v>3900</v>
      </c>
      <c r="AG160" s="362">
        <v>65</v>
      </c>
      <c r="AH160" s="362">
        <f>AG160*AC160</f>
        <v>3900</v>
      </c>
    </row>
    <row r="161" spans="1:47" s="1" customFormat="1" x14ac:dyDescent="0.25">
      <c r="A161" s="238"/>
      <c r="B161" s="317"/>
      <c r="C161" s="318"/>
      <c r="D161" s="83" t="s">
        <v>140</v>
      </c>
      <c r="E161" s="242"/>
      <c r="F161" s="242"/>
      <c r="G161" s="68"/>
      <c r="H161" s="67"/>
      <c r="I161" s="67"/>
      <c r="J161" s="67"/>
      <c r="K161" s="67"/>
      <c r="L161" s="72"/>
      <c r="M161" s="566">
        <f t="shared" si="106"/>
        <v>0</v>
      </c>
      <c r="N161" s="566">
        <f t="shared" si="107"/>
        <v>0</v>
      </c>
      <c r="O161" s="565">
        <f t="shared" si="108"/>
        <v>0</v>
      </c>
      <c r="P161" s="567">
        <f t="shared" si="109"/>
        <v>0</v>
      </c>
      <c r="Q161" s="568">
        <f t="shared" si="102"/>
        <v>0</v>
      </c>
      <c r="R161" s="569">
        <f t="shared" si="110"/>
        <v>0</v>
      </c>
      <c r="S161" s="18"/>
      <c r="T161" s="67"/>
      <c r="V161" s="657"/>
      <c r="W161" s="657"/>
      <c r="X161" s="657"/>
      <c r="Y161" s="899" t="s">
        <v>378</v>
      </c>
      <c r="Z161" s="899"/>
      <c r="AA161" s="899"/>
      <c r="AB161" s="664">
        <v>1</v>
      </c>
      <c r="AC161" s="664">
        <v>1</v>
      </c>
      <c r="AD161" s="664" t="s">
        <v>301</v>
      </c>
      <c r="AE161" s="360">
        <v>2000</v>
      </c>
      <c r="AF161" s="360">
        <f>AE161*AC161</f>
        <v>2000</v>
      </c>
      <c r="AG161" s="362">
        <v>500</v>
      </c>
      <c r="AH161" s="362">
        <f>AG161*AC161</f>
        <v>500</v>
      </c>
    </row>
    <row r="162" spans="1:47" s="1" customFormat="1" x14ac:dyDescent="0.25">
      <c r="A162" s="238"/>
      <c r="B162" s="317"/>
      <c r="C162" s="318">
        <v>7</v>
      </c>
      <c r="D162" s="83" t="s">
        <v>412</v>
      </c>
      <c r="E162" s="242">
        <v>25</v>
      </c>
      <c r="F162" s="302">
        <v>25</v>
      </c>
      <c r="G162" s="73" t="s">
        <v>283</v>
      </c>
      <c r="H162" s="67">
        <f>3100/1.05</f>
        <v>2952.3809523809523</v>
      </c>
      <c r="I162" s="67">
        <f>F162*H162</f>
        <v>73809.523809523802</v>
      </c>
      <c r="J162" s="67">
        <v>210</v>
      </c>
      <c r="K162" s="67">
        <f t="shared" ref="K162:K175" si="115">F162*J162</f>
        <v>5250</v>
      </c>
      <c r="L162" s="72">
        <f t="shared" ref="L162:L175" si="116">I162+K162</f>
        <v>79059.523809523802</v>
      </c>
      <c r="M162" s="566">
        <f t="shared" si="106"/>
        <v>4115.9247475978054</v>
      </c>
      <c r="N162" s="566">
        <f t="shared" si="107"/>
        <v>292.76174414365039</v>
      </c>
      <c r="O162" s="565">
        <f t="shared" si="108"/>
        <v>4408.6864917414559</v>
      </c>
      <c r="P162" s="567">
        <f t="shared" si="109"/>
        <v>110217.1622935364</v>
      </c>
      <c r="Q162" s="568">
        <f t="shared" si="102"/>
        <v>110217.1622935364</v>
      </c>
      <c r="R162" s="569">
        <f t="shared" si="110"/>
        <v>0</v>
      </c>
      <c r="S162" s="18"/>
      <c r="T162" s="67">
        <f>3100/1.05</f>
        <v>2952.3809523809523</v>
      </c>
      <c r="W162" s="226"/>
      <c r="X162" s="226"/>
      <c r="Y162" s="899" t="s">
        <v>379</v>
      </c>
      <c r="Z162" s="899"/>
      <c r="AA162" s="899"/>
      <c r="AB162" s="664">
        <v>1</v>
      </c>
      <c r="AC162" s="664">
        <v>1</v>
      </c>
      <c r="AD162" s="664" t="s">
        <v>301</v>
      </c>
      <c r="AE162" s="360">
        <v>2000</v>
      </c>
      <c r="AF162" s="360">
        <f>AE162*AC162</f>
        <v>2000</v>
      </c>
      <c r="AG162" s="362">
        <v>1000</v>
      </c>
      <c r="AH162" s="362">
        <f>AG162*AC162</f>
        <v>1000</v>
      </c>
      <c r="AL162" s="925" t="s">
        <v>350</v>
      </c>
      <c r="AM162" s="925"/>
      <c r="AN162" s="925"/>
      <c r="AO162" s="586" t="s">
        <v>243</v>
      </c>
      <c r="AP162" s="586" t="s">
        <v>244</v>
      </c>
      <c r="AQ162" s="586" t="s">
        <v>245</v>
      </c>
      <c r="AR162" s="587" t="s">
        <v>246</v>
      </c>
      <c r="AS162" s="588" t="s">
        <v>247</v>
      </c>
      <c r="AT162" s="586" t="s">
        <v>248</v>
      </c>
      <c r="AU162" s="589" t="s">
        <v>249</v>
      </c>
    </row>
    <row r="163" spans="1:47" s="1" customFormat="1" x14ac:dyDescent="0.25">
      <c r="A163" s="238"/>
      <c r="B163" s="317"/>
      <c r="C163" s="318">
        <v>8</v>
      </c>
      <c r="D163" s="83" t="s">
        <v>286</v>
      </c>
      <c r="E163" s="242">
        <v>4</v>
      </c>
      <c r="F163" s="302">
        <v>4</v>
      </c>
      <c r="G163" s="73" t="s">
        <v>283</v>
      </c>
      <c r="H163" s="67">
        <f>2400/1.05</f>
        <v>2285.7142857142858</v>
      </c>
      <c r="I163" s="67">
        <f>F163*H163</f>
        <v>9142.8571428571431</v>
      </c>
      <c r="J163" s="67">
        <v>210</v>
      </c>
      <c r="K163" s="67">
        <f t="shared" si="115"/>
        <v>840</v>
      </c>
      <c r="L163" s="72">
        <f t="shared" si="116"/>
        <v>9982.8571428571431</v>
      </c>
      <c r="M163" s="566">
        <f t="shared" si="106"/>
        <v>3186.5223852370109</v>
      </c>
      <c r="N163" s="566">
        <f t="shared" si="107"/>
        <v>292.76174414365039</v>
      </c>
      <c r="O163" s="565">
        <f t="shared" si="108"/>
        <v>3479.2841293806614</v>
      </c>
      <c r="P163" s="567">
        <f t="shared" si="109"/>
        <v>13917.136517522646</v>
      </c>
      <c r="Q163" s="568">
        <f t="shared" si="102"/>
        <v>13917.136517522646</v>
      </c>
      <c r="R163" s="569">
        <f t="shared" si="110"/>
        <v>0</v>
      </c>
      <c r="S163" s="18"/>
      <c r="T163" s="67">
        <f>2400/1.05</f>
        <v>2285.7142857142858</v>
      </c>
      <c r="W163" s="226"/>
      <c r="X163" s="226"/>
      <c r="Y163" s="226"/>
      <c r="Z163" s="226"/>
      <c r="AA163" s="226"/>
      <c r="AB163" s="226"/>
      <c r="AC163" s="226"/>
      <c r="AD163" s="226"/>
      <c r="AE163" s="226"/>
      <c r="AF163" s="365">
        <f>SUM(AF149:AF162)</f>
        <v>310570.11993355479</v>
      </c>
      <c r="AG163" s="60"/>
      <c r="AH163" s="366">
        <f>SUM(AH149:AH162)</f>
        <v>40781</v>
      </c>
      <c r="AL163" s="926" t="s">
        <v>250</v>
      </c>
      <c r="AM163" s="926"/>
      <c r="AN163" s="926"/>
      <c r="AO163" s="593" t="s">
        <v>251</v>
      </c>
      <c r="AP163" s="674">
        <v>2.77</v>
      </c>
      <c r="AQ163" s="674">
        <v>3</v>
      </c>
      <c r="AR163" s="587">
        <f>350/1.07</f>
        <v>327.10280373831773</v>
      </c>
      <c r="AS163" s="588">
        <f>AR163*AQ163</f>
        <v>981.30841121495314</v>
      </c>
      <c r="AT163" s="674">
        <v>71.7</v>
      </c>
      <c r="AU163" s="595">
        <f>AT163*AQ163</f>
        <v>215.10000000000002</v>
      </c>
    </row>
    <row r="164" spans="1:47" s="1" customFormat="1" x14ac:dyDescent="0.25">
      <c r="A164" s="238"/>
      <c r="B164" s="317"/>
      <c r="C164" s="318"/>
      <c r="D164" s="83"/>
      <c r="E164" s="242"/>
      <c r="F164" s="302"/>
      <c r="G164" s="73"/>
      <c r="H164" s="67"/>
      <c r="I164" s="67"/>
      <c r="J164" s="67"/>
      <c r="K164" s="67"/>
      <c r="L164" s="72"/>
      <c r="M164" s="566">
        <f t="shared" si="106"/>
        <v>0</v>
      </c>
      <c r="N164" s="566">
        <f t="shared" si="107"/>
        <v>0</v>
      </c>
      <c r="O164" s="565">
        <f t="shared" si="108"/>
        <v>0</v>
      </c>
      <c r="P164" s="567">
        <f t="shared" si="109"/>
        <v>0</v>
      </c>
      <c r="Q164" s="568">
        <f t="shared" si="102"/>
        <v>0</v>
      </c>
      <c r="R164" s="569">
        <f t="shared" si="110"/>
        <v>0</v>
      </c>
      <c r="S164" s="18"/>
      <c r="AL164" s="926" t="s">
        <v>252</v>
      </c>
      <c r="AM164" s="926"/>
      <c r="AN164" s="926"/>
      <c r="AO164" s="593" t="s">
        <v>253</v>
      </c>
      <c r="AP164" s="674">
        <v>0.25</v>
      </c>
      <c r="AQ164" s="674">
        <v>0.25</v>
      </c>
      <c r="AR164" s="587">
        <f>AC44</f>
        <v>268.8679245283019</v>
      </c>
      <c r="AS164" s="588">
        <f>AR164*AQ164</f>
        <v>67.216981132075475</v>
      </c>
      <c r="AT164" s="674"/>
      <c r="AU164" s="595">
        <f>AT164*AQ164</f>
        <v>0</v>
      </c>
    </row>
    <row r="165" spans="1:47" s="1" customFormat="1" x14ac:dyDescent="0.25">
      <c r="A165" s="238"/>
      <c r="B165" s="290" t="s">
        <v>320</v>
      </c>
      <c r="C165" s="291" t="s">
        <v>420</v>
      </c>
      <c r="D165" s="316"/>
      <c r="E165" s="244"/>
      <c r="F165" s="302"/>
      <c r="G165" s="75"/>
      <c r="H165" s="440">
        <v>0.87</v>
      </c>
      <c r="I165" s="74"/>
      <c r="J165" s="440">
        <v>0.85</v>
      </c>
      <c r="K165" s="74"/>
      <c r="L165" s="74"/>
      <c r="M165" s="566">
        <f t="shared" si="106"/>
        <v>1.2128700828808372</v>
      </c>
      <c r="N165" s="566">
        <f t="shared" si="107"/>
        <v>1.1849880120100134</v>
      </c>
      <c r="O165" s="565">
        <f t="shared" si="108"/>
        <v>2.3978580948908506</v>
      </c>
      <c r="P165" s="567">
        <f t="shared" si="109"/>
        <v>0</v>
      </c>
      <c r="Q165" s="568">
        <f t="shared" si="102"/>
        <v>0</v>
      </c>
      <c r="R165" s="569">
        <f t="shared" si="110"/>
        <v>0</v>
      </c>
      <c r="S165" s="18"/>
      <c r="AL165" s="926" t="s">
        <v>254</v>
      </c>
      <c r="AM165" s="926"/>
      <c r="AN165" s="926"/>
      <c r="AO165" s="593" t="s">
        <v>255</v>
      </c>
      <c r="AP165" s="674">
        <v>0.25</v>
      </c>
      <c r="AQ165" s="674">
        <v>0.35</v>
      </c>
      <c r="AR165" s="587">
        <f>AC45</f>
        <v>34.905660377358487</v>
      </c>
      <c r="AS165" s="588">
        <f>AR165*AQ165</f>
        <v>12.216981132075469</v>
      </c>
      <c r="AT165" s="674"/>
      <c r="AU165" s="595">
        <f>AT165*AQ165</f>
        <v>0</v>
      </c>
    </row>
    <row r="166" spans="1:47" s="1" customFormat="1" x14ac:dyDescent="0.25">
      <c r="A166" s="238"/>
      <c r="B166" s="317"/>
      <c r="C166" s="318">
        <v>1</v>
      </c>
      <c r="D166" s="83" t="s">
        <v>421</v>
      </c>
      <c r="E166" s="539">
        <v>2284</v>
      </c>
      <c r="F166" s="242">
        <v>2450</v>
      </c>
      <c r="G166" s="73" t="s">
        <v>100</v>
      </c>
      <c r="H166" s="67">
        <f>T166/$H$165</f>
        <v>17.241379310344829</v>
      </c>
      <c r="I166" s="67">
        <f>F166*H166</f>
        <v>42241.379310344833</v>
      </c>
      <c r="J166" s="67">
        <f>W166/$J$165</f>
        <v>5.882352941176471</v>
      </c>
      <c r="K166" s="67">
        <f t="shared" si="115"/>
        <v>14411.764705882353</v>
      </c>
      <c r="L166" s="72">
        <f t="shared" si="116"/>
        <v>56653.14401622719</v>
      </c>
      <c r="M166" s="566">
        <f t="shared" si="106"/>
        <v>24.036267992089524</v>
      </c>
      <c r="N166" s="566">
        <f t="shared" si="107"/>
        <v>8.2006090796540736</v>
      </c>
      <c r="O166" s="565">
        <f t="shared" si="108"/>
        <v>32.236877071743599</v>
      </c>
      <c r="P166" s="567">
        <f t="shared" si="109"/>
        <v>78980.348825771813</v>
      </c>
      <c r="Q166" s="568">
        <f t="shared" si="102"/>
        <v>78980.348825771827</v>
      </c>
      <c r="R166" s="569">
        <f t="shared" si="110"/>
        <v>0</v>
      </c>
      <c r="S166" s="18"/>
      <c r="T166" s="67">
        <v>15</v>
      </c>
      <c r="U166" s="18"/>
      <c r="V166" s="273"/>
      <c r="W166" s="67">
        <v>5</v>
      </c>
      <c r="X166" s="224"/>
      <c r="Y166" s="224"/>
      <c r="Z166" s="224"/>
      <c r="AA166" s="224"/>
      <c r="AB166" s="224"/>
      <c r="AC166" s="224"/>
      <c r="AD166" s="224"/>
      <c r="AE166" s="224"/>
      <c r="AF166" s="224"/>
      <c r="AL166" s="926" t="s">
        <v>256</v>
      </c>
      <c r="AM166" s="926"/>
      <c r="AN166" s="926"/>
      <c r="AO166" s="593" t="s">
        <v>257</v>
      </c>
      <c r="AP166" s="674">
        <v>1</v>
      </c>
      <c r="AQ166" s="674">
        <v>1</v>
      </c>
      <c r="AR166" s="587">
        <v>0</v>
      </c>
      <c r="AS166" s="588">
        <f>AR166*AQ166</f>
        <v>0</v>
      </c>
      <c r="AT166" s="674">
        <v>0</v>
      </c>
      <c r="AU166" s="595">
        <f>AT166*AQ166</f>
        <v>0</v>
      </c>
    </row>
    <row r="167" spans="1:47" s="1" customFormat="1" x14ac:dyDescent="0.25">
      <c r="A167" s="238"/>
      <c r="B167" s="317"/>
      <c r="C167" s="318">
        <v>2</v>
      </c>
      <c r="D167" s="83" t="s">
        <v>422</v>
      </c>
      <c r="E167" s="539">
        <v>6464</v>
      </c>
      <c r="F167" s="242">
        <v>6880</v>
      </c>
      <c r="G167" s="73" t="s">
        <v>100</v>
      </c>
      <c r="H167" s="67">
        <f>T167/$H$165</f>
        <v>25.287356321839081</v>
      </c>
      <c r="I167" s="67">
        <f t="shared" ref="I167:I175" si="117">F167*H167</f>
        <v>173977.01149425289</v>
      </c>
      <c r="J167" s="67">
        <f t="shared" ref="J167:J175" si="118">W167/$J$165</f>
        <v>8.2352941176470598</v>
      </c>
      <c r="K167" s="67">
        <f t="shared" si="115"/>
        <v>56658.823529411769</v>
      </c>
      <c r="L167" s="72">
        <f t="shared" si="116"/>
        <v>230635.83502366467</v>
      </c>
      <c r="M167" s="566">
        <f t="shared" si="106"/>
        <v>35.253193055064635</v>
      </c>
      <c r="N167" s="566">
        <f t="shared" si="107"/>
        <v>11.480852711515702</v>
      </c>
      <c r="O167" s="565">
        <f t="shared" si="108"/>
        <v>46.734045766580337</v>
      </c>
      <c r="P167" s="567">
        <f t="shared" si="109"/>
        <v>321530.23487407272</v>
      </c>
      <c r="Q167" s="568">
        <f t="shared" si="102"/>
        <v>321530.23487407272</v>
      </c>
      <c r="R167" s="569">
        <f t="shared" si="110"/>
        <v>0</v>
      </c>
      <c r="S167" s="18"/>
      <c r="T167" s="67">
        <v>22</v>
      </c>
      <c r="U167" s="18"/>
      <c r="V167" s="273"/>
      <c r="W167" s="67">
        <v>7</v>
      </c>
      <c r="X167" s="224"/>
      <c r="Y167" s="224"/>
      <c r="Z167" s="224"/>
      <c r="AA167" s="224"/>
      <c r="AB167" s="224"/>
      <c r="AC167" s="224"/>
      <c r="AD167" s="224"/>
      <c r="AE167" s="224"/>
      <c r="AF167" s="224"/>
      <c r="AL167" s="605"/>
      <c r="AM167" s="605"/>
      <c r="AN167" s="605"/>
      <c r="AO167" s="605"/>
      <c r="AP167" s="674"/>
      <c r="AQ167" s="674"/>
      <c r="AR167" s="587"/>
      <c r="AS167" s="589">
        <f>SUM(AS163:AS166)</f>
        <v>1060.7423734791041</v>
      </c>
      <c r="AT167" s="586"/>
      <c r="AU167" s="589">
        <f>SUM(AU163:AU166)</f>
        <v>215.10000000000002</v>
      </c>
    </row>
    <row r="168" spans="1:47" s="1" customFormat="1" x14ac:dyDescent="0.25">
      <c r="A168" s="238"/>
      <c r="B168" s="317"/>
      <c r="C168" s="318">
        <v>3</v>
      </c>
      <c r="D168" s="83" t="s">
        <v>423</v>
      </c>
      <c r="E168" s="539">
        <v>1087</v>
      </c>
      <c r="F168" s="242">
        <v>1215</v>
      </c>
      <c r="G168" s="73" t="s">
        <v>100</v>
      </c>
      <c r="H168" s="67">
        <f t="shared" ref="H168:H175" si="119">T168/$H$165</f>
        <v>37.931034482758619</v>
      </c>
      <c r="I168" s="67">
        <f t="shared" si="117"/>
        <v>46086.206896551725</v>
      </c>
      <c r="J168" s="67">
        <f t="shared" si="118"/>
        <v>18.823529411764707</v>
      </c>
      <c r="K168" s="67">
        <f t="shared" si="115"/>
        <v>22870.588235294119</v>
      </c>
      <c r="L168" s="72">
        <f t="shared" si="116"/>
        <v>68956.795131845836</v>
      </c>
      <c r="M168" s="566">
        <f t="shared" si="106"/>
        <v>52.879789582596942</v>
      </c>
      <c r="N168" s="566">
        <f t="shared" si="107"/>
        <v>26.241949054893031</v>
      </c>
      <c r="O168" s="565">
        <f t="shared" si="108"/>
        <v>79.121738637489969</v>
      </c>
      <c r="P168" s="567">
        <f t="shared" si="109"/>
        <v>96132.912444550311</v>
      </c>
      <c r="Q168" s="568">
        <f t="shared" si="102"/>
        <v>96132.912444550326</v>
      </c>
      <c r="R168" s="569">
        <f t="shared" si="110"/>
        <v>0</v>
      </c>
      <c r="S168" s="18"/>
      <c r="T168" s="67">
        <v>33</v>
      </c>
      <c r="U168" s="18"/>
      <c r="V168" s="273"/>
      <c r="W168" s="67">
        <v>16</v>
      </c>
      <c r="X168" s="224"/>
      <c r="Y168" s="224"/>
      <c r="Z168" s="224"/>
      <c r="AA168" s="224"/>
      <c r="AB168" s="224"/>
      <c r="AC168" s="224"/>
      <c r="AD168" s="224"/>
      <c r="AE168" s="224"/>
      <c r="AF168" s="224"/>
      <c r="AL168" s="585"/>
      <c r="AM168" s="585"/>
      <c r="AN168" s="585"/>
      <c r="AO168" s="585"/>
      <c r="AP168" s="585"/>
      <c r="AQ168" s="585"/>
      <c r="AR168" s="585"/>
      <c r="AS168" s="579"/>
      <c r="AT168" s="585"/>
      <c r="AU168" s="579"/>
    </row>
    <row r="169" spans="1:47" s="1" customFormat="1" x14ac:dyDescent="0.25">
      <c r="A169" s="238"/>
      <c r="B169" s="317"/>
      <c r="C169" s="318">
        <v>4</v>
      </c>
      <c r="D169" s="83" t="s">
        <v>430</v>
      </c>
      <c r="E169" s="539">
        <v>1771</v>
      </c>
      <c r="F169" s="242">
        <v>1880</v>
      </c>
      <c r="G169" s="73" t="s">
        <v>100</v>
      </c>
      <c r="H169" s="67">
        <f t="shared" si="119"/>
        <v>60.919540229885058</v>
      </c>
      <c r="I169" s="67">
        <f t="shared" si="117"/>
        <v>114528.7356321839</v>
      </c>
      <c r="J169" s="67">
        <f t="shared" si="118"/>
        <v>18.823529411764707</v>
      </c>
      <c r="K169" s="67">
        <f t="shared" si="115"/>
        <v>35388.23529411765</v>
      </c>
      <c r="L169" s="72">
        <f t="shared" si="116"/>
        <v>149916.97092630155</v>
      </c>
      <c r="M169" s="566">
        <f t="shared" si="106"/>
        <v>84.928146905382988</v>
      </c>
      <c r="N169" s="566">
        <f t="shared" si="107"/>
        <v>26.241949054893031</v>
      </c>
      <c r="O169" s="565">
        <f t="shared" si="108"/>
        <v>111.17009596027602</v>
      </c>
      <c r="P169" s="567">
        <f t="shared" si="109"/>
        <v>208999.78040531892</v>
      </c>
      <c r="Q169" s="568">
        <f t="shared" si="102"/>
        <v>208999.78040531892</v>
      </c>
      <c r="R169" s="569">
        <f t="shared" si="110"/>
        <v>0</v>
      </c>
      <c r="S169" s="18"/>
      <c r="T169" s="67">
        <v>53</v>
      </c>
      <c r="U169" s="18"/>
      <c r="V169" s="273"/>
      <c r="W169" s="67">
        <v>16</v>
      </c>
      <c r="X169" s="224"/>
      <c r="Y169" s="224"/>
      <c r="Z169" s="224"/>
      <c r="AA169" s="224"/>
      <c r="AB169" s="224"/>
      <c r="AC169" s="224"/>
      <c r="AD169" s="224"/>
      <c r="AE169" s="224"/>
      <c r="AF169" s="224"/>
      <c r="AL169" s="585"/>
      <c r="AM169" s="585"/>
      <c r="AN169" s="585"/>
      <c r="AO169" s="585"/>
      <c r="AP169" s="585"/>
      <c r="AQ169" s="585"/>
      <c r="AR169" s="585"/>
      <c r="AS169" s="579"/>
      <c r="AT169" s="585"/>
      <c r="AU169" s="579"/>
    </row>
    <row r="170" spans="1:47" s="1" customFormat="1" x14ac:dyDescent="0.25">
      <c r="A170" s="238"/>
      <c r="B170" s="317"/>
      <c r="C170" s="318">
        <v>5</v>
      </c>
      <c r="D170" s="83" t="s">
        <v>424</v>
      </c>
      <c r="E170" s="242">
        <v>21</v>
      </c>
      <c r="F170" s="242">
        <v>23</v>
      </c>
      <c r="G170" s="73" t="s">
        <v>100</v>
      </c>
      <c r="H170" s="67">
        <f t="shared" si="119"/>
        <v>95.402298850574709</v>
      </c>
      <c r="I170" s="67">
        <f t="shared" si="117"/>
        <v>2194.2528735632181</v>
      </c>
      <c r="J170" s="67">
        <f t="shared" si="118"/>
        <v>29.411764705882355</v>
      </c>
      <c r="K170" s="67">
        <f t="shared" si="115"/>
        <v>676.47058823529414</v>
      </c>
      <c r="L170" s="72">
        <f t="shared" si="116"/>
        <v>2870.7234617985123</v>
      </c>
      <c r="M170" s="566">
        <f t="shared" si="106"/>
        <v>133.000682889562</v>
      </c>
      <c r="N170" s="566">
        <f t="shared" si="107"/>
        <v>41.003045398270366</v>
      </c>
      <c r="O170" s="565">
        <f t="shared" si="108"/>
        <v>174.00372828783236</v>
      </c>
      <c r="P170" s="567">
        <f t="shared" si="109"/>
        <v>4002.0857506201442</v>
      </c>
      <c r="Q170" s="568">
        <f t="shared" si="102"/>
        <v>4002.0857506201442</v>
      </c>
      <c r="R170" s="569">
        <f t="shared" si="110"/>
        <v>0</v>
      </c>
      <c r="S170" s="18"/>
      <c r="T170" s="67">
        <v>83</v>
      </c>
      <c r="U170" s="18"/>
      <c r="V170" s="273"/>
      <c r="W170" s="67">
        <v>25</v>
      </c>
      <c r="AL170" s="927" t="s">
        <v>351</v>
      </c>
      <c r="AM170" s="927"/>
      <c r="AN170" s="927"/>
      <c r="AO170" s="586" t="s">
        <v>243</v>
      </c>
      <c r="AP170" s="586" t="s">
        <v>244</v>
      </c>
      <c r="AQ170" s="586" t="s">
        <v>245</v>
      </c>
      <c r="AR170" s="587" t="s">
        <v>246</v>
      </c>
      <c r="AS170" s="588" t="s">
        <v>247</v>
      </c>
      <c r="AT170" s="586" t="s">
        <v>248</v>
      </c>
      <c r="AU170" s="589" t="s">
        <v>249</v>
      </c>
    </row>
    <row r="171" spans="1:47" s="1" customFormat="1" x14ac:dyDescent="0.25">
      <c r="A171" s="238"/>
      <c r="B171" s="319"/>
      <c r="C171" s="318">
        <v>6</v>
      </c>
      <c r="D171" s="83" t="s">
        <v>425</v>
      </c>
      <c r="E171" s="242">
        <v>24</v>
      </c>
      <c r="F171" s="242">
        <v>27</v>
      </c>
      <c r="G171" s="73" t="s">
        <v>100</v>
      </c>
      <c r="H171" s="67">
        <f t="shared" si="119"/>
        <v>149.42528735632183</v>
      </c>
      <c r="I171" s="67">
        <f t="shared" si="117"/>
        <v>4034.4827586206893</v>
      </c>
      <c r="J171" s="67">
        <f t="shared" si="118"/>
        <v>45.882352941176471</v>
      </c>
      <c r="K171" s="67">
        <f t="shared" si="115"/>
        <v>1238.8235294117646</v>
      </c>
      <c r="L171" s="72">
        <f t="shared" si="116"/>
        <v>5273.3062880324542</v>
      </c>
      <c r="M171" s="566">
        <f t="shared" si="106"/>
        <v>208.31432259810919</v>
      </c>
      <c r="N171" s="566">
        <f t="shared" si="107"/>
        <v>63.96475082130177</v>
      </c>
      <c r="O171" s="565">
        <f t="shared" si="108"/>
        <v>272.27907341941096</v>
      </c>
      <c r="P171" s="567">
        <f t="shared" si="109"/>
        <v>7351.5349823240958</v>
      </c>
      <c r="Q171" s="568">
        <f t="shared" si="102"/>
        <v>7351.5349823240958</v>
      </c>
      <c r="R171" s="569">
        <f t="shared" si="110"/>
        <v>0</v>
      </c>
      <c r="S171" s="18"/>
      <c r="T171" s="67">
        <v>130</v>
      </c>
      <c r="U171" s="18"/>
      <c r="V171" s="273"/>
      <c r="W171" s="67">
        <v>39</v>
      </c>
      <c r="X171" s="224"/>
      <c r="Y171" s="224"/>
      <c r="Z171" s="224"/>
      <c r="AA171" s="224"/>
      <c r="AB171" s="224"/>
      <c r="AC171" s="224"/>
      <c r="AD171" s="224"/>
      <c r="AE171" s="224"/>
      <c r="AF171" s="224"/>
      <c r="AL171" s="926" t="s">
        <v>352</v>
      </c>
      <c r="AM171" s="926"/>
      <c r="AN171" s="926"/>
      <c r="AO171" s="593" t="s">
        <v>251</v>
      </c>
      <c r="AP171" s="674">
        <v>8.33</v>
      </c>
      <c r="AQ171" s="674">
        <v>9</v>
      </c>
      <c r="AR171" s="587">
        <f>130/1.06</f>
        <v>122.64150943396226</v>
      </c>
      <c r="AS171" s="588">
        <f>AR171*AQ171</f>
        <v>1103.7735849056603</v>
      </c>
      <c r="AT171" s="674">
        <f>AE128</f>
        <v>23.9</v>
      </c>
      <c r="AU171" s="595">
        <f>AT171*AQ171</f>
        <v>215.1</v>
      </c>
    </row>
    <row r="172" spans="1:47" s="1" customFormat="1" x14ac:dyDescent="0.25">
      <c r="A172" s="238"/>
      <c r="B172" s="317"/>
      <c r="C172" s="318">
        <v>7</v>
      </c>
      <c r="D172" s="83" t="s">
        <v>426</v>
      </c>
      <c r="E172" s="242">
        <v>9</v>
      </c>
      <c r="F172" s="242">
        <v>11</v>
      </c>
      <c r="G172" s="73" t="s">
        <v>100</v>
      </c>
      <c r="H172" s="67">
        <f t="shared" si="119"/>
        <v>218.39080459770116</v>
      </c>
      <c r="I172" s="67">
        <f t="shared" si="117"/>
        <v>2402.2988505747126</v>
      </c>
      <c r="J172" s="67">
        <f t="shared" si="118"/>
        <v>67.058823529411768</v>
      </c>
      <c r="K172" s="67">
        <f t="shared" si="115"/>
        <v>737.64705882352951</v>
      </c>
      <c r="L172" s="72">
        <f t="shared" si="116"/>
        <v>3139.9459093982423</v>
      </c>
      <c r="M172" s="566">
        <f t="shared" si="106"/>
        <v>304.45939456646732</v>
      </c>
      <c r="N172" s="566">
        <f t="shared" si="107"/>
        <v>93.486943508056427</v>
      </c>
      <c r="O172" s="565">
        <f t="shared" si="108"/>
        <v>397.94633807452374</v>
      </c>
      <c r="P172" s="567">
        <f t="shared" si="109"/>
        <v>4377.4097188197611</v>
      </c>
      <c r="Q172" s="568">
        <f t="shared" si="102"/>
        <v>4377.4097188197611</v>
      </c>
      <c r="R172" s="569">
        <f t="shared" si="110"/>
        <v>0</v>
      </c>
      <c r="S172" s="18"/>
      <c r="T172" s="67">
        <v>190</v>
      </c>
      <c r="U172" s="18"/>
      <c r="V172" s="273"/>
      <c r="W172" s="67">
        <v>57</v>
      </c>
      <c r="X172" s="224"/>
      <c r="Y172" s="224"/>
      <c r="Z172" s="224"/>
      <c r="AA172" s="224"/>
      <c r="AB172" s="224"/>
      <c r="AC172" s="224"/>
      <c r="AD172" s="224"/>
      <c r="AE172" s="224"/>
      <c r="AF172" s="224"/>
      <c r="AL172" s="926" t="s">
        <v>252</v>
      </c>
      <c r="AM172" s="926"/>
      <c r="AN172" s="926"/>
      <c r="AO172" s="593" t="s">
        <v>253</v>
      </c>
      <c r="AP172" s="674">
        <v>0.25</v>
      </c>
      <c r="AQ172" s="674">
        <v>0.25</v>
      </c>
      <c r="AR172" s="587">
        <f>260/1.06</f>
        <v>245.28301886792451</v>
      </c>
      <c r="AS172" s="588">
        <f>AR172*AQ172</f>
        <v>61.320754716981128</v>
      </c>
      <c r="AT172" s="674"/>
      <c r="AU172" s="595">
        <f>AT172*AQ172</f>
        <v>0</v>
      </c>
    </row>
    <row r="173" spans="1:47" s="1" customFormat="1" x14ac:dyDescent="0.25">
      <c r="A173" s="238"/>
      <c r="B173" s="317"/>
      <c r="C173" s="318">
        <v>8</v>
      </c>
      <c r="D173" s="83" t="s">
        <v>427</v>
      </c>
      <c r="E173" s="539">
        <v>34</v>
      </c>
      <c r="F173" s="242">
        <v>47</v>
      </c>
      <c r="G173" s="73" t="s">
        <v>100</v>
      </c>
      <c r="H173" s="67">
        <f t="shared" si="119"/>
        <v>356.32183908045977</v>
      </c>
      <c r="I173" s="67">
        <f t="shared" si="117"/>
        <v>16747.126436781607</v>
      </c>
      <c r="J173" s="67">
        <f t="shared" si="118"/>
        <v>109.41176470588236</v>
      </c>
      <c r="K173" s="67">
        <f t="shared" si="115"/>
        <v>5142.3529411764712</v>
      </c>
      <c r="L173" s="72">
        <f t="shared" si="116"/>
        <v>21889.47937795808</v>
      </c>
      <c r="M173" s="566">
        <f t="shared" si="106"/>
        <v>496.74953850318343</v>
      </c>
      <c r="N173" s="566">
        <f t="shared" si="107"/>
        <v>152.53132888156574</v>
      </c>
      <c r="O173" s="565">
        <f t="shared" si="108"/>
        <v>649.28086738474917</v>
      </c>
      <c r="P173" s="567">
        <f t="shared" si="109"/>
        <v>30516.20076708321</v>
      </c>
      <c r="Q173" s="568">
        <f t="shared" si="102"/>
        <v>30516.200767083214</v>
      </c>
      <c r="R173" s="569">
        <f t="shared" si="110"/>
        <v>0</v>
      </c>
      <c r="S173" s="18"/>
      <c r="T173" s="67">
        <v>310</v>
      </c>
      <c r="U173" s="18"/>
      <c r="V173" s="273"/>
      <c r="W173" s="67">
        <v>93</v>
      </c>
      <c r="AL173" s="926" t="s">
        <v>254</v>
      </c>
      <c r="AM173" s="926"/>
      <c r="AN173" s="926"/>
      <c r="AO173" s="593" t="s">
        <v>255</v>
      </c>
      <c r="AP173" s="674">
        <v>0.25</v>
      </c>
      <c r="AQ173" s="674">
        <v>0.35</v>
      </c>
      <c r="AR173" s="587">
        <f>37/1.06</f>
        <v>34.905660377358487</v>
      </c>
      <c r="AS173" s="588">
        <f>AR173*AQ173</f>
        <v>12.216981132075469</v>
      </c>
      <c r="AT173" s="674"/>
      <c r="AU173" s="595">
        <f>AT173*AQ173</f>
        <v>0</v>
      </c>
    </row>
    <row r="174" spans="1:47" s="1" customFormat="1" x14ac:dyDescent="0.25">
      <c r="A174" s="238"/>
      <c r="B174" s="317"/>
      <c r="C174" s="318">
        <v>9</v>
      </c>
      <c r="D174" s="83" t="s">
        <v>428</v>
      </c>
      <c r="E174" s="539">
        <v>27</v>
      </c>
      <c r="F174" s="242">
        <v>37</v>
      </c>
      <c r="G174" s="73" t="s">
        <v>100</v>
      </c>
      <c r="H174" s="67">
        <f t="shared" si="119"/>
        <v>1018.3908045977012</v>
      </c>
      <c r="I174" s="67">
        <f t="shared" si="117"/>
        <v>37680.45977011494</v>
      </c>
      <c r="J174" s="67">
        <f t="shared" si="118"/>
        <v>311.76470588235293</v>
      </c>
      <c r="K174" s="67">
        <f t="shared" si="115"/>
        <v>11535.294117647058</v>
      </c>
      <c r="L174" s="72">
        <f t="shared" si="116"/>
        <v>49215.753887761995</v>
      </c>
      <c r="M174" s="566">
        <f t="shared" si="106"/>
        <v>1419.7422293994209</v>
      </c>
      <c r="N174" s="566">
        <f t="shared" si="107"/>
        <v>434.63228122166583</v>
      </c>
      <c r="O174" s="565">
        <f t="shared" si="108"/>
        <v>1854.3745106210868</v>
      </c>
      <c r="P174" s="567">
        <f t="shared" si="109"/>
        <v>68611.856892980213</v>
      </c>
      <c r="Q174" s="568">
        <f t="shared" si="102"/>
        <v>68611.856892980213</v>
      </c>
      <c r="R174" s="569">
        <f t="shared" si="110"/>
        <v>0</v>
      </c>
      <c r="S174" s="18"/>
      <c r="T174" s="67">
        <v>886</v>
      </c>
      <c r="U174" s="18"/>
      <c r="V174" s="273"/>
      <c r="W174" s="67">
        <v>265</v>
      </c>
      <c r="AL174" s="926" t="s">
        <v>256</v>
      </c>
      <c r="AM174" s="926"/>
      <c r="AN174" s="926"/>
      <c r="AO174" s="593" t="s">
        <v>257</v>
      </c>
      <c r="AP174" s="674">
        <v>1</v>
      </c>
      <c r="AQ174" s="674">
        <v>1</v>
      </c>
      <c r="AR174" s="587">
        <v>0</v>
      </c>
      <c r="AS174" s="588">
        <f>AR174*AQ174</f>
        <v>0</v>
      </c>
      <c r="AT174" s="674">
        <v>0</v>
      </c>
      <c r="AU174" s="595">
        <f>AT174*AQ174</f>
        <v>0</v>
      </c>
    </row>
    <row r="175" spans="1:47" s="1" customFormat="1" x14ac:dyDescent="0.25">
      <c r="A175" s="238"/>
      <c r="B175" s="317"/>
      <c r="C175" s="318">
        <v>10</v>
      </c>
      <c r="D175" s="83" t="s">
        <v>429</v>
      </c>
      <c r="E175" s="539">
        <v>102</v>
      </c>
      <c r="F175" s="242">
        <v>125</v>
      </c>
      <c r="G175" s="73" t="s">
        <v>100</v>
      </c>
      <c r="H175" s="67">
        <f t="shared" si="119"/>
        <v>1650.5747126436781</v>
      </c>
      <c r="I175" s="67">
        <f t="shared" si="117"/>
        <v>206321.83908045976</v>
      </c>
      <c r="J175" s="67">
        <f t="shared" si="118"/>
        <v>505.88235294117646</v>
      </c>
      <c r="K175" s="67">
        <f t="shared" si="115"/>
        <v>63235.294117647056</v>
      </c>
      <c r="L175" s="72">
        <f t="shared" si="116"/>
        <v>269557.13319810684</v>
      </c>
      <c r="M175" s="566">
        <f t="shared" si="106"/>
        <v>2301.0720557760369</v>
      </c>
      <c r="N175" s="566">
        <f t="shared" si="107"/>
        <v>705.25238085025012</v>
      </c>
      <c r="O175" s="565">
        <f t="shared" si="108"/>
        <v>3006.324436626287</v>
      </c>
      <c r="P175" s="567">
        <f t="shared" si="109"/>
        <v>375790.5545782859</v>
      </c>
      <c r="Q175" s="568">
        <f t="shared" si="102"/>
        <v>375790.5545782859</v>
      </c>
      <c r="R175" s="569">
        <f t="shared" si="110"/>
        <v>0</v>
      </c>
      <c r="S175" s="18"/>
      <c r="T175" s="67">
        <v>1436</v>
      </c>
      <c r="U175" s="18"/>
      <c r="V175" s="273"/>
      <c r="W175" s="67">
        <v>430</v>
      </c>
      <c r="AL175" s="605"/>
      <c r="AM175" s="605"/>
      <c r="AN175" s="605"/>
      <c r="AO175" s="605"/>
      <c r="AP175" s="674"/>
      <c r="AQ175" s="674"/>
      <c r="AR175" s="587"/>
      <c r="AS175" s="589">
        <f>SUM(AS171:AS174)</f>
        <v>1177.3113207547169</v>
      </c>
      <c r="AT175" s="586"/>
      <c r="AU175" s="589">
        <f>SUM(AU171:AU174)</f>
        <v>215.1</v>
      </c>
    </row>
    <row r="176" spans="1:47" s="1" customFormat="1" x14ac:dyDescent="0.25">
      <c r="A176" s="238"/>
      <c r="B176" s="317"/>
      <c r="C176" s="318"/>
      <c r="D176" s="83"/>
      <c r="E176" s="242"/>
      <c r="F176" s="242"/>
      <c r="G176" s="73"/>
      <c r="H176" s="67"/>
      <c r="I176" s="67"/>
      <c r="J176" s="67"/>
      <c r="K176" s="67"/>
      <c r="L176" s="72"/>
      <c r="M176" s="566">
        <f t="shared" si="106"/>
        <v>0</v>
      </c>
      <c r="N176" s="566">
        <f t="shared" si="107"/>
        <v>0</v>
      </c>
      <c r="O176" s="565">
        <f t="shared" si="108"/>
        <v>0</v>
      </c>
      <c r="P176" s="567">
        <f t="shared" si="109"/>
        <v>0</v>
      </c>
      <c r="Q176" s="568">
        <f t="shared" si="102"/>
        <v>0</v>
      </c>
      <c r="R176" s="569">
        <f t="shared" si="110"/>
        <v>0</v>
      </c>
      <c r="S176" s="18"/>
      <c r="T176" s="67"/>
      <c r="U176" s="18"/>
      <c r="V176" s="273"/>
      <c r="W176" s="67"/>
      <c r="X176" s="667"/>
      <c r="Y176" s="667"/>
      <c r="Z176" s="667"/>
      <c r="AA176" s="667"/>
      <c r="AB176" s="667"/>
      <c r="AC176" s="667"/>
      <c r="AD176" s="667"/>
      <c r="AE176" s="667"/>
      <c r="AF176" s="384"/>
      <c r="AG176" s="385"/>
      <c r="AH176" s="385"/>
      <c r="AI176" s="385"/>
      <c r="AJ176" s="385"/>
      <c r="AK176" s="385"/>
      <c r="AL176" s="585"/>
      <c r="AM176" s="585"/>
      <c r="AN176" s="585"/>
      <c r="AO176" s="585"/>
      <c r="AP176" s="585"/>
      <c r="AQ176" s="585"/>
      <c r="AR176" s="585"/>
      <c r="AS176" s="579"/>
      <c r="AT176" s="585"/>
      <c r="AU176" s="579"/>
    </row>
    <row r="177" spans="1:47" s="1" customFormat="1" x14ac:dyDescent="0.25">
      <c r="A177" s="238"/>
      <c r="B177" s="290" t="s">
        <v>321</v>
      </c>
      <c r="C177" s="291" t="s">
        <v>431</v>
      </c>
      <c r="D177" s="316"/>
      <c r="E177" s="244"/>
      <c r="F177" s="302"/>
      <c r="G177" s="75"/>
      <c r="H177" s="74"/>
      <c r="I177" s="74"/>
      <c r="J177" s="74"/>
      <c r="K177" s="74"/>
      <c r="L177" s="74"/>
      <c r="M177" s="566">
        <f t="shared" si="106"/>
        <v>0</v>
      </c>
      <c r="N177" s="566">
        <f t="shared" si="107"/>
        <v>0</v>
      </c>
      <c r="O177" s="565">
        <f t="shared" si="108"/>
        <v>0</v>
      </c>
      <c r="P177" s="567">
        <f t="shared" si="109"/>
        <v>0</v>
      </c>
      <c r="Q177" s="568">
        <f t="shared" si="102"/>
        <v>0</v>
      </c>
      <c r="R177" s="569">
        <f t="shared" si="110"/>
        <v>0</v>
      </c>
      <c r="S177" s="18"/>
      <c r="T177" s="74"/>
      <c r="W177" s="74"/>
      <c r="AL177" s="585"/>
      <c r="AM177" s="585"/>
      <c r="AN177" s="585"/>
      <c r="AO177" s="585"/>
      <c r="AP177" s="585"/>
      <c r="AQ177" s="585"/>
      <c r="AR177" s="585"/>
      <c r="AS177" s="579"/>
      <c r="AT177" s="585"/>
      <c r="AU177" s="579"/>
    </row>
    <row r="178" spans="1:47" s="1" customFormat="1" x14ac:dyDescent="0.25">
      <c r="A178" s="238"/>
      <c r="B178" s="317"/>
      <c r="C178" s="318">
        <v>1</v>
      </c>
      <c r="D178" s="83" t="s">
        <v>432</v>
      </c>
      <c r="E178" s="242">
        <v>24</v>
      </c>
      <c r="F178" s="242">
        <v>24</v>
      </c>
      <c r="G178" s="73" t="s">
        <v>28</v>
      </c>
      <c r="H178" s="67">
        <f t="shared" ref="H178:H184" si="120">T178/$H$165</f>
        <v>108.04597701149426</v>
      </c>
      <c r="I178" s="67">
        <f>F178*H178</f>
        <v>2593.1034482758623</v>
      </c>
      <c r="J178" s="67">
        <f t="shared" ref="J178:J184" si="121">W178/$J$165</f>
        <v>44.705882352941181</v>
      </c>
      <c r="K178" s="67">
        <f t="shared" ref="K178:K184" si="122">F178*J178</f>
        <v>1072.9411764705883</v>
      </c>
      <c r="L178" s="72">
        <f t="shared" ref="L178:L184" si="123">I178+K178</f>
        <v>3666.0446247464506</v>
      </c>
      <c r="M178" s="566">
        <f t="shared" si="106"/>
        <v>150.62727941709434</v>
      </c>
      <c r="N178" s="566">
        <f t="shared" si="107"/>
        <v>62.324629005370959</v>
      </c>
      <c r="O178" s="565">
        <f t="shared" si="108"/>
        <v>212.95190842246529</v>
      </c>
      <c r="P178" s="567">
        <f t="shared" si="109"/>
        <v>5110.8458021391671</v>
      </c>
      <c r="Q178" s="568">
        <f t="shared" si="102"/>
        <v>5110.8458021391671</v>
      </c>
      <c r="R178" s="569">
        <f t="shared" si="110"/>
        <v>0</v>
      </c>
      <c r="S178" s="18"/>
      <c r="T178" s="67">
        <v>94</v>
      </c>
      <c r="U178" s="18"/>
      <c r="V178" s="273"/>
      <c r="W178" s="67">
        <v>38</v>
      </c>
      <c r="X178" s="224"/>
      <c r="Y178" s="224"/>
      <c r="Z178" s="224"/>
      <c r="AA178" s="224"/>
      <c r="AB178" s="224"/>
      <c r="AC178" s="224"/>
      <c r="AD178" s="224"/>
      <c r="AE178" s="224"/>
      <c r="AF178" s="224"/>
      <c r="AL178" s="927" t="s">
        <v>351</v>
      </c>
      <c r="AM178" s="927"/>
      <c r="AN178" s="927"/>
      <c r="AO178" s="586" t="s">
        <v>243</v>
      </c>
      <c r="AP178" s="586" t="s">
        <v>244</v>
      </c>
      <c r="AQ178" s="586" t="s">
        <v>245</v>
      </c>
      <c r="AR178" s="587" t="s">
        <v>246</v>
      </c>
      <c r="AS178" s="587" t="s">
        <v>247</v>
      </c>
      <c r="AT178" s="586" t="s">
        <v>248</v>
      </c>
      <c r="AU178" s="586" t="s">
        <v>249</v>
      </c>
    </row>
    <row r="179" spans="1:47" s="1" customFormat="1" x14ac:dyDescent="0.25">
      <c r="A179" s="238"/>
      <c r="B179" s="317"/>
      <c r="C179" s="318">
        <v>2</v>
      </c>
      <c r="D179" s="83" t="s">
        <v>433</v>
      </c>
      <c r="E179" s="242">
        <v>6</v>
      </c>
      <c r="F179" s="242">
        <v>6</v>
      </c>
      <c r="G179" s="73" t="s">
        <v>28</v>
      </c>
      <c r="H179" s="67">
        <f t="shared" si="120"/>
        <v>163.2183908045977</v>
      </c>
      <c r="I179" s="67">
        <f t="shared" ref="I179:I181" si="124">F179*H179</f>
        <v>979.31034482758628</v>
      </c>
      <c r="J179" s="67">
        <f t="shared" si="121"/>
        <v>52.941176470588239</v>
      </c>
      <c r="K179" s="67">
        <f t="shared" si="122"/>
        <v>317.64705882352945</v>
      </c>
      <c r="L179" s="72">
        <f t="shared" si="123"/>
        <v>1296.9574036511158</v>
      </c>
      <c r="M179" s="566">
        <f t="shared" si="106"/>
        <v>227.54333699178082</v>
      </c>
      <c r="N179" s="566">
        <f t="shared" si="107"/>
        <v>73.805481716886661</v>
      </c>
      <c r="O179" s="565">
        <f t="shared" si="108"/>
        <v>301.34881870866747</v>
      </c>
      <c r="P179" s="567">
        <f t="shared" si="109"/>
        <v>1808.0929122520047</v>
      </c>
      <c r="Q179" s="568">
        <f t="shared" si="102"/>
        <v>1808.0929122520051</v>
      </c>
      <c r="R179" s="569">
        <f t="shared" si="110"/>
        <v>0</v>
      </c>
      <c r="S179" s="18"/>
      <c r="T179" s="67">
        <v>142</v>
      </c>
      <c r="U179" s="18"/>
      <c r="V179" s="273"/>
      <c r="W179" s="67">
        <v>45</v>
      </c>
      <c r="X179" s="224"/>
      <c r="Y179" s="224"/>
      <c r="Z179" s="224"/>
      <c r="AA179" s="224"/>
      <c r="AB179" s="224"/>
      <c r="AC179" s="224"/>
      <c r="AD179" s="224"/>
      <c r="AE179" s="224"/>
      <c r="AF179" s="224"/>
      <c r="AL179" s="926" t="s">
        <v>353</v>
      </c>
      <c r="AM179" s="926"/>
      <c r="AN179" s="926"/>
      <c r="AO179" s="593" t="s">
        <v>251</v>
      </c>
      <c r="AP179" s="674">
        <v>8.33</v>
      </c>
      <c r="AQ179" s="674">
        <v>9</v>
      </c>
      <c r="AR179" s="587">
        <f>143/1.06</f>
        <v>134.90566037735849</v>
      </c>
      <c r="AS179" s="587">
        <f>AR179*AQ179</f>
        <v>1214.1509433962265</v>
      </c>
      <c r="AT179" s="674">
        <f>AT171</f>
        <v>23.9</v>
      </c>
      <c r="AU179" s="595">
        <f>AT179*AQ179</f>
        <v>215.1</v>
      </c>
    </row>
    <row r="180" spans="1:47" s="1" customFormat="1" x14ac:dyDescent="0.25">
      <c r="A180" s="238"/>
      <c r="B180" s="317"/>
      <c r="C180" s="318">
        <v>3</v>
      </c>
      <c r="D180" s="83" t="s">
        <v>434</v>
      </c>
      <c r="E180" s="242">
        <v>3</v>
      </c>
      <c r="F180" s="242">
        <v>3</v>
      </c>
      <c r="G180" s="73" t="s">
        <v>28</v>
      </c>
      <c r="H180" s="67">
        <f t="shared" si="120"/>
        <v>235.63218390804599</v>
      </c>
      <c r="I180" s="67">
        <f t="shared" si="124"/>
        <v>706.89655172413791</v>
      </c>
      <c r="J180" s="67">
        <f t="shared" si="121"/>
        <v>72.941176470588232</v>
      </c>
      <c r="K180" s="67">
        <f t="shared" si="122"/>
        <v>218.8235294117647</v>
      </c>
      <c r="L180" s="72">
        <f t="shared" si="123"/>
        <v>925.72008113590255</v>
      </c>
      <c r="M180" s="566">
        <f t="shared" si="106"/>
        <v>328.49566255855683</v>
      </c>
      <c r="N180" s="566">
        <f t="shared" si="107"/>
        <v>101.68755258771048</v>
      </c>
      <c r="O180" s="565">
        <f t="shared" si="108"/>
        <v>430.18321514626734</v>
      </c>
      <c r="P180" s="567">
        <f t="shared" si="109"/>
        <v>1290.5496454388021</v>
      </c>
      <c r="Q180" s="568">
        <f t="shared" si="102"/>
        <v>1290.5496454388019</v>
      </c>
      <c r="R180" s="569">
        <f t="shared" si="110"/>
        <v>0</v>
      </c>
      <c r="S180" s="18"/>
      <c r="T180" s="67">
        <v>205</v>
      </c>
      <c r="U180" s="18"/>
      <c r="V180" s="273"/>
      <c r="W180" s="67">
        <v>62</v>
      </c>
      <c r="X180" s="273"/>
      <c r="Y180" s="273"/>
      <c r="Z180" s="273"/>
      <c r="AA180" s="273"/>
      <c r="AB180" s="273"/>
      <c r="AC180" s="273"/>
      <c r="AD180" s="224"/>
      <c r="AE180" s="273"/>
      <c r="AF180" s="224"/>
      <c r="AG180" s="406"/>
      <c r="AL180" s="926" t="s">
        <v>252</v>
      </c>
      <c r="AM180" s="926"/>
      <c r="AN180" s="926"/>
      <c r="AO180" s="593" t="s">
        <v>253</v>
      </c>
      <c r="AP180" s="674">
        <v>0.25</v>
      </c>
      <c r="AQ180" s="674">
        <v>0.25</v>
      </c>
      <c r="AR180" s="587">
        <f>260/1.06</f>
        <v>245.28301886792451</v>
      </c>
      <c r="AS180" s="587">
        <f>AR180*AQ180</f>
        <v>61.320754716981128</v>
      </c>
      <c r="AT180" s="674"/>
      <c r="AU180" s="595">
        <f>AT180*AQ180</f>
        <v>0</v>
      </c>
    </row>
    <row r="181" spans="1:47" s="1" customFormat="1" x14ac:dyDescent="0.25">
      <c r="A181" s="238"/>
      <c r="B181" s="317"/>
      <c r="C181" s="318">
        <v>4</v>
      </c>
      <c r="D181" s="83" t="s">
        <v>435</v>
      </c>
      <c r="E181" s="242">
        <v>4</v>
      </c>
      <c r="F181" s="242">
        <v>4</v>
      </c>
      <c r="G181" s="73" t="s">
        <v>28</v>
      </c>
      <c r="H181" s="67">
        <f t="shared" si="120"/>
        <v>168.9655172413793</v>
      </c>
      <c r="I181" s="67">
        <f t="shared" si="124"/>
        <v>675.86206896551721</v>
      </c>
      <c r="J181" s="67">
        <f t="shared" si="121"/>
        <v>51.764705882352942</v>
      </c>
      <c r="K181" s="67">
        <f t="shared" si="122"/>
        <v>207.05882352941177</v>
      </c>
      <c r="L181" s="72">
        <f t="shared" si="123"/>
        <v>882.92089249492892</v>
      </c>
      <c r="M181" s="566">
        <f t="shared" si="106"/>
        <v>235.5554263224773</v>
      </c>
      <c r="N181" s="566">
        <f t="shared" si="107"/>
        <v>72.165359900955835</v>
      </c>
      <c r="O181" s="565">
        <f t="shared" si="108"/>
        <v>307.72078622343315</v>
      </c>
      <c r="P181" s="567">
        <f t="shared" si="109"/>
        <v>1230.8831448937326</v>
      </c>
      <c r="Q181" s="568">
        <f t="shared" si="102"/>
        <v>1230.8831448937326</v>
      </c>
      <c r="R181" s="569">
        <f t="shared" si="110"/>
        <v>0</v>
      </c>
      <c r="S181" s="18"/>
      <c r="T181" s="67">
        <v>147</v>
      </c>
      <c r="U181" s="18"/>
      <c r="V181" s="273"/>
      <c r="W181" s="67">
        <v>44</v>
      </c>
      <c r="X181" s="273"/>
      <c r="Y181" s="273"/>
      <c r="Z181" s="273"/>
      <c r="AA181" s="273"/>
      <c r="AB181" s="273"/>
      <c r="AC181" s="273"/>
      <c r="AD181" s="224"/>
      <c r="AE181" s="273"/>
      <c r="AF181" s="224"/>
      <c r="AL181" s="926" t="s">
        <v>254</v>
      </c>
      <c r="AM181" s="926"/>
      <c r="AN181" s="926"/>
      <c r="AO181" s="593" t="s">
        <v>255</v>
      </c>
      <c r="AP181" s="674">
        <v>0.25</v>
      </c>
      <c r="AQ181" s="674">
        <v>0.35</v>
      </c>
      <c r="AR181" s="587">
        <f>37/1.06</f>
        <v>34.905660377358487</v>
      </c>
      <c r="AS181" s="587">
        <f>AR181*AQ181</f>
        <v>12.216981132075469</v>
      </c>
      <c r="AT181" s="674"/>
      <c r="AU181" s="595">
        <f>AT181*AQ181</f>
        <v>0</v>
      </c>
    </row>
    <row r="182" spans="1:47" s="1" customFormat="1" x14ac:dyDescent="0.25">
      <c r="A182" s="238"/>
      <c r="B182" s="317"/>
      <c r="C182" s="318">
        <v>5</v>
      </c>
      <c r="D182" s="83" t="s">
        <v>436</v>
      </c>
      <c r="E182" s="242">
        <v>104</v>
      </c>
      <c r="F182" s="242">
        <v>104</v>
      </c>
      <c r="G182" s="73" t="s">
        <v>28</v>
      </c>
      <c r="H182" s="67">
        <f t="shared" si="120"/>
        <v>275.86206896551727</v>
      </c>
      <c r="I182" s="67">
        <f>F182*H182</f>
        <v>28689.655172413797</v>
      </c>
      <c r="J182" s="67">
        <f t="shared" si="121"/>
        <v>84.705882352941174</v>
      </c>
      <c r="K182" s="67">
        <f t="shared" si="122"/>
        <v>8809.4117647058829</v>
      </c>
      <c r="L182" s="72">
        <f t="shared" si="123"/>
        <v>37499.066937119678</v>
      </c>
      <c r="M182" s="566">
        <f t="shared" si="106"/>
        <v>384.58028787343238</v>
      </c>
      <c r="N182" s="566">
        <f t="shared" si="107"/>
        <v>118.08877074701863</v>
      </c>
      <c r="O182" s="565">
        <f t="shared" si="108"/>
        <v>502.66905862045098</v>
      </c>
      <c r="P182" s="567">
        <f t="shared" si="109"/>
        <v>52277.582096526901</v>
      </c>
      <c r="Q182" s="568">
        <f t="shared" si="102"/>
        <v>52277.582096526909</v>
      </c>
      <c r="R182" s="569">
        <f t="shared" si="110"/>
        <v>0</v>
      </c>
      <c r="S182" s="18"/>
      <c r="T182" s="67">
        <v>240</v>
      </c>
      <c r="U182" s="18"/>
      <c r="V182" s="273"/>
      <c r="W182" s="67">
        <v>72</v>
      </c>
      <c r="X182" s="224"/>
      <c r="Y182" s="224"/>
      <c r="Z182" s="224"/>
      <c r="AA182" s="224"/>
      <c r="AB182" s="224"/>
      <c r="AC182" s="224"/>
      <c r="AD182" s="224"/>
      <c r="AE182" s="224"/>
      <c r="AF182" s="224"/>
      <c r="AL182" s="926" t="s">
        <v>256</v>
      </c>
      <c r="AM182" s="926"/>
      <c r="AN182" s="926"/>
      <c r="AO182" s="593" t="s">
        <v>257</v>
      </c>
      <c r="AP182" s="674">
        <v>1</v>
      </c>
      <c r="AQ182" s="674">
        <v>1</v>
      </c>
      <c r="AR182" s="587">
        <f>AX104</f>
        <v>0</v>
      </c>
      <c r="AS182" s="587">
        <f>AR182*AQ182</f>
        <v>0</v>
      </c>
      <c r="AT182" s="674"/>
      <c r="AU182" s="595">
        <f>AT182*AQ182</f>
        <v>0</v>
      </c>
    </row>
    <row r="183" spans="1:47" s="1" customFormat="1" x14ac:dyDescent="0.25">
      <c r="A183" s="238"/>
      <c r="B183" s="317"/>
      <c r="C183" s="318">
        <v>6</v>
      </c>
      <c r="D183" s="83" t="s">
        <v>437</v>
      </c>
      <c r="E183" s="242">
        <v>5</v>
      </c>
      <c r="F183" s="242">
        <v>5</v>
      </c>
      <c r="G183" s="73" t="s">
        <v>28</v>
      </c>
      <c r="H183" s="67">
        <f t="shared" si="120"/>
        <v>180.45977011494253</v>
      </c>
      <c r="I183" s="67">
        <f t="shared" ref="I183:I184" si="125">F183*H183</f>
        <v>902.29885057471267</v>
      </c>
      <c r="J183" s="67">
        <f t="shared" si="121"/>
        <v>55.294117647058826</v>
      </c>
      <c r="K183" s="67">
        <f t="shared" si="122"/>
        <v>276.47058823529414</v>
      </c>
      <c r="L183" s="72">
        <f t="shared" si="123"/>
        <v>1178.7694388100067</v>
      </c>
      <c r="M183" s="566">
        <f t="shared" si="106"/>
        <v>251.57960498387035</v>
      </c>
      <c r="N183" s="566">
        <f t="shared" si="107"/>
        <v>77.085725348748284</v>
      </c>
      <c r="O183" s="565">
        <f t="shared" si="108"/>
        <v>328.66533033261862</v>
      </c>
      <c r="P183" s="567">
        <f t="shared" si="109"/>
        <v>1643.3266516630931</v>
      </c>
      <c r="Q183" s="568">
        <f t="shared" si="102"/>
        <v>1643.3266516630929</v>
      </c>
      <c r="R183" s="569">
        <f t="shared" si="110"/>
        <v>0</v>
      </c>
      <c r="S183" s="18"/>
      <c r="T183" s="67">
        <v>157</v>
      </c>
      <c r="U183" s="18"/>
      <c r="V183" s="273"/>
      <c r="W183" s="67">
        <v>47</v>
      </c>
      <c r="X183" s="224"/>
      <c r="Y183" s="224"/>
      <c r="Z183" s="224"/>
      <c r="AA183" s="224"/>
      <c r="AB183" s="224"/>
      <c r="AC183" s="224"/>
      <c r="AD183" s="224"/>
      <c r="AE183" s="224"/>
      <c r="AF183" s="224"/>
      <c r="AL183" s="605"/>
      <c r="AM183" s="605"/>
      <c r="AN183" s="605"/>
      <c r="AO183" s="605"/>
      <c r="AP183" s="674"/>
      <c r="AQ183" s="674"/>
      <c r="AR183" s="587"/>
      <c r="AS183" s="589">
        <f>SUM(AS179:AS182)</f>
        <v>1287.6886792452831</v>
      </c>
      <c r="AT183" s="586"/>
      <c r="AU183" s="589">
        <f>SUM(AU179:AU182)</f>
        <v>215.1</v>
      </c>
    </row>
    <row r="184" spans="1:47" s="1" customFormat="1" x14ac:dyDescent="0.25">
      <c r="A184" s="238"/>
      <c r="B184" s="317"/>
      <c r="C184" s="318">
        <v>7</v>
      </c>
      <c r="D184" s="83" t="s">
        <v>438</v>
      </c>
      <c r="E184" s="242">
        <v>10</v>
      </c>
      <c r="F184" s="242">
        <v>10</v>
      </c>
      <c r="G184" s="73" t="s">
        <v>28</v>
      </c>
      <c r="H184" s="67">
        <f t="shared" si="120"/>
        <v>758.62068965517244</v>
      </c>
      <c r="I184" s="67">
        <f t="shared" si="125"/>
        <v>7586.2068965517246</v>
      </c>
      <c r="J184" s="67">
        <f t="shared" si="121"/>
        <v>155.29411764705884</v>
      </c>
      <c r="K184" s="67">
        <f t="shared" si="122"/>
        <v>1552.9411764705883</v>
      </c>
      <c r="L184" s="72">
        <f t="shared" si="123"/>
        <v>9139.148073022312</v>
      </c>
      <c r="M184" s="566">
        <f t="shared" si="106"/>
        <v>1057.595791651939</v>
      </c>
      <c r="N184" s="566">
        <f t="shared" si="107"/>
        <v>216.49607970286752</v>
      </c>
      <c r="O184" s="565">
        <f t="shared" si="108"/>
        <v>1274.0918713548065</v>
      </c>
      <c r="P184" s="567">
        <f t="shared" si="109"/>
        <v>12740.918713548064</v>
      </c>
      <c r="Q184" s="568">
        <f t="shared" si="102"/>
        <v>12740.918713548064</v>
      </c>
      <c r="R184" s="569">
        <f t="shared" si="110"/>
        <v>0</v>
      </c>
      <c r="S184" s="18"/>
      <c r="T184" s="67">
        <v>660</v>
      </c>
      <c r="U184" s="18"/>
      <c r="V184" s="273"/>
      <c r="W184" s="67">
        <v>132</v>
      </c>
      <c r="X184" s="273"/>
      <c r="Y184" s="273"/>
      <c r="Z184" s="273"/>
      <c r="AA184" s="273"/>
      <c r="AB184" s="273"/>
      <c r="AC184" s="273"/>
      <c r="AD184" s="224"/>
      <c r="AE184" s="273"/>
      <c r="AF184" s="224"/>
      <c r="AG184" s="406"/>
      <c r="AL184" s="606"/>
      <c r="AM184" s="606"/>
      <c r="AN184" s="607"/>
      <c r="AO184" s="608"/>
      <c r="AP184" s="608"/>
      <c r="AQ184" s="608"/>
      <c r="AR184" s="609"/>
      <c r="AS184" s="610"/>
      <c r="AT184" s="611"/>
      <c r="AU184" s="589"/>
    </row>
    <row r="185" spans="1:47" s="1" customFormat="1" x14ac:dyDescent="0.25">
      <c r="A185" s="238"/>
      <c r="B185" s="317"/>
      <c r="C185" s="318"/>
      <c r="D185" s="83"/>
      <c r="E185" s="242"/>
      <c r="F185" s="242"/>
      <c r="G185" s="73"/>
      <c r="H185" s="67"/>
      <c r="I185" s="67"/>
      <c r="J185" s="67"/>
      <c r="K185" s="67"/>
      <c r="L185" s="72"/>
      <c r="M185" s="566">
        <f t="shared" si="106"/>
        <v>0</v>
      </c>
      <c r="N185" s="566">
        <f t="shared" si="107"/>
        <v>0</v>
      </c>
      <c r="O185" s="565">
        <f t="shared" si="108"/>
        <v>0</v>
      </c>
      <c r="P185" s="567">
        <f t="shared" si="109"/>
        <v>0</v>
      </c>
      <c r="Q185" s="568">
        <f t="shared" si="102"/>
        <v>0</v>
      </c>
      <c r="R185" s="569">
        <f t="shared" si="110"/>
        <v>0</v>
      </c>
      <c r="S185" s="18"/>
      <c r="U185" s="18"/>
      <c r="V185" s="273"/>
      <c r="W185" s="67"/>
      <c r="X185" s="273"/>
      <c r="Y185" s="273"/>
      <c r="Z185" s="273"/>
      <c r="AA185" s="273"/>
      <c r="AB185" s="273"/>
      <c r="AC185" s="273"/>
      <c r="AD185" s="224"/>
      <c r="AE185" s="273"/>
      <c r="AF185" s="224"/>
      <c r="AG185" s="406"/>
      <c r="AL185" s="928"/>
      <c r="AM185" s="928"/>
      <c r="AN185" s="673"/>
      <c r="AO185" s="613"/>
      <c r="AP185" s="613"/>
      <c r="AQ185" s="614"/>
      <c r="AR185" s="615"/>
      <c r="AS185" s="616"/>
      <c r="AT185" s="611"/>
      <c r="AU185" s="617"/>
    </row>
    <row r="186" spans="1:47" s="1" customFormat="1" x14ac:dyDescent="0.25">
      <c r="A186" s="238"/>
      <c r="B186" s="290" t="s">
        <v>439</v>
      </c>
      <c r="C186" s="291" t="s">
        <v>454</v>
      </c>
      <c r="D186" s="316"/>
      <c r="E186" s="244"/>
      <c r="F186" s="244"/>
      <c r="G186" s="75"/>
      <c r="H186" s="440">
        <v>0.87</v>
      </c>
      <c r="I186" s="74"/>
      <c r="J186" s="74"/>
      <c r="K186" s="74"/>
      <c r="L186" s="74"/>
      <c r="M186" s="566">
        <f t="shared" si="106"/>
        <v>1.2128700828808372</v>
      </c>
      <c r="N186" s="566">
        <f t="shared" si="107"/>
        <v>0</v>
      </c>
      <c r="O186" s="565">
        <f t="shared" si="108"/>
        <v>1.2128700828808372</v>
      </c>
      <c r="P186" s="567">
        <f t="shared" si="109"/>
        <v>0</v>
      </c>
      <c r="Q186" s="568">
        <f t="shared" si="102"/>
        <v>0</v>
      </c>
      <c r="R186" s="569">
        <f t="shared" si="110"/>
        <v>0</v>
      </c>
      <c r="S186" s="18"/>
      <c r="W186" s="74"/>
      <c r="AL186" s="928"/>
      <c r="AM186" s="928"/>
      <c r="AN186" s="673"/>
      <c r="AO186" s="613"/>
      <c r="AP186" s="613"/>
      <c r="AQ186" s="614"/>
      <c r="AR186" s="615"/>
      <c r="AS186" s="616"/>
      <c r="AT186" s="611"/>
      <c r="AU186" s="617"/>
    </row>
    <row r="187" spans="1:47" s="1" customFormat="1" x14ac:dyDescent="0.25">
      <c r="A187" s="238"/>
      <c r="B187" s="317"/>
      <c r="C187" s="318">
        <v>1</v>
      </c>
      <c r="D187" s="83" t="s">
        <v>440</v>
      </c>
      <c r="E187" s="242">
        <v>1</v>
      </c>
      <c r="F187" s="242">
        <v>1</v>
      </c>
      <c r="G187" s="73" t="s">
        <v>55</v>
      </c>
      <c r="H187" s="67">
        <f>T187/$H$186</f>
        <v>20235.632183908045</v>
      </c>
      <c r="I187" s="67">
        <f>F187*H187</f>
        <v>20235.632183908045</v>
      </c>
      <c r="J187" s="67">
        <f t="shared" ref="J187:J191" si="126">W187/$J$165</f>
        <v>4117.6470588235297</v>
      </c>
      <c r="K187" s="67">
        <f t="shared" ref="K187:K200" si="127">F187*J187</f>
        <v>4117.6470588235297</v>
      </c>
      <c r="L187" s="72">
        <f t="shared" ref="L187:L200" si="128">I187+K187</f>
        <v>24353.279242731573</v>
      </c>
      <c r="M187" s="566">
        <f t="shared" si="106"/>
        <v>28210.5665333824</v>
      </c>
      <c r="N187" s="566">
        <f t="shared" si="107"/>
        <v>5740.4263557578515</v>
      </c>
      <c r="O187" s="565">
        <f t="shared" si="108"/>
        <v>33950.992889140252</v>
      </c>
      <c r="P187" s="567">
        <f t="shared" si="109"/>
        <v>33950.992889140252</v>
      </c>
      <c r="Q187" s="568">
        <f t="shared" si="102"/>
        <v>33950.992889140252</v>
      </c>
      <c r="R187" s="569">
        <f t="shared" si="110"/>
        <v>0</v>
      </c>
      <c r="S187" s="18"/>
      <c r="T187" s="67">
        <f>17605</f>
        <v>17605</v>
      </c>
      <c r="U187" s="18"/>
      <c r="V187" s="273"/>
      <c r="W187" s="67">
        <v>3500</v>
      </c>
      <c r="X187" s="224"/>
      <c r="Y187" s="224"/>
      <c r="Z187" s="224"/>
      <c r="AA187" s="224"/>
      <c r="AB187" s="224"/>
      <c r="AC187" s="224"/>
      <c r="AD187" s="224"/>
      <c r="AE187" s="224"/>
      <c r="AF187" s="224"/>
      <c r="AL187" s="605"/>
      <c r="AM187" s="605"/>
      <c r="AN187" s="605"/>
      <c r="AO187" s="605"/>
      <c r="AP187" s="605"/>
      <c r="AQ187" s="605"/>
      <c r="AR187" s="619"/>
      <c r="AS187" s="616"/>
      <c r="AT187" s="611"/>
      <c r="AU187" s="589"/>
    </row>
    <row r="188" spans="1:47" s="1" customFormat="1" x14ac:dyDescent="0.25">
      <c r="A188" s="238"/>
      <c r="B188" s="317"/>
      <c r="C188" s="318">
        <v>2</v>
      </c>
      <c r="D188" s="83" t="s">
        <v>441</v>
      </c>
      <c r="E188" s="242">
        <v>1</v>
      </c>
      <c r="F188" s="242">
        <v>1</v>
      </c>
      <c r="G188" s="73" t="s">
        <v>55</v>
      </c>
      <c r="H188" s="67">
        <f t="shared" ref="H188:H198" si="129">T188/$H$186</f>
        <v>24827.586206896551</v>
      </c>
      <c r="I188" s="67">
        <f t="shared" ref="I188:I190" si="130">F188*H188</f>
        <v>24827.586206896551</v>
      </c>
      <c r="J188" s="67">
        <f t="shared" si="126"/>
        <v>5882.3529411764712</v>
      </c>
      <c r="K188" s="67">
        <f t="shared" si="127"/>
        <v>5882.3529411764712</v>
      </c>
      <c r="L188" s="72">
        <f t="shared" si="128"/>
        <v>30709.939148073023</v>
      </c>
      <c r="M188" s="566">
        <f t="shared" si="106"/>
        <v>34612.225908608911</v>
      </c>
      <c r="N188" s="566">
        <f t="shared" si="107"/>
        <v>8200.6090796540739</v>
      </c>
      <c r="O188" s="565">
        <f t="shared" si="108"/>
        <v>42812.834988262985</v>
      </c>
      <c r="P188" s="567">
        <f t="shared" si="109"/>
        <v>42812.834988262985</v>
      </c>
      <c r="Q188" s="568">
        <f t="shared" si="102"/>
        <v>42812.834988262985</v>
      </c>
      <c r="R188" s="569">
        <f t="shared" si="110"/>
        <v>0</v>
      </c>
      <c r="S188" s="18"/>
      <c r="T188" s="67">
        <f>21600</f>
        <v>21600</v>
      </c>
      <c r="U188" s="18"/>
      <c r="V188" s="273"/>
      <c r="W188" s="67">
        <v>5000</v>
      </c>
      <c r="X188" s="224"/>
      <c r="Y188" s="224"/>
      <c r="Z188" s="224"/>
      <c r="AA188" s="224"/>
      <c r="AB188" s="224"/>
      <c r="AC188" s="224"/>
      <c r="AD188" s="224"/>
      <c r="AE188" s="224"/>
      <c r="AF188" s="224"/>
      <c r="AL188" s="605"/>
      <c r="AM188" s="605"/>
      <c r="AN188" s="605"/>
      <c r="AO188" s="605"/>
      <c r="AP188" s="605"/>
      <c r="AQ188" s="605"/>
      <c r="AR188" s="592"/>
      <c r="AS188" s="621"/>
      <c r="AT188" s="605"/>
      <c r="AU188" s="595"/>
    </row>
    <row r="189" spans="1:47" s="1" customFormat="1" x14ac:dyDescent="0.25">
      <c r="A189" s="238"/>
      <c r="B189" s="317"/>
      <c r="C189" s="318">
        <v>3</v>
      </c>
      <c r="D189" s="83" t="s">
        <v>442</v>
      </c>
      <c r="E189" s="242">
        <v>1</v>
      </c>
      <c r="F189" s="242">
        <v>1</v>
      </c>
      <c r="G189" s="73" t="s">
        <v>55</v>
      </c>
      <c r="H189" s="67">
        <f t="shared" si="129"/>
        <v>24827.586206896551</v>
      </c>
      <c r="I189" s="67">
        <f t="shared" si="130"/>
        <v>24827.586206896551</v>
      </c>
      <c r="J189" s="67">
        <f t="shared" si="126"/>
        <v>5882.3529411764712</v>
      </c>
      <c r="K189" s="67">
        <f t="shared" si="127"/>
        <v>5882.3529411764712</v>
      </c>
      <c r="L189" s="72">
        <f t="shared" si="128"/>
        <v>30709.939148073023</v>
      </c>
      <c r="M189" s="566">
        <f t="shared" si="106"/>
        <v>34612.225908608911</v>
      </c>
      <c r="N189" s="566">
        <f t="shared" si="107"/>
        <v>8200.6090796540739</v>
      </c>
      <c r="O189" s="565">
        <f t="shared" si="108"/>
        <v>42812.834988262985</v>
      </c>
      <c r="P189" s="567">
        <f t="shared" si="109"/>
        <v>42812.834988262985</v>
      </c>
      <c r="Q189" s="568">
        <f t="shared" si="102"/>
        <v>42812.834988262985</v>
      </c>
      <c r="R189" s="569">
        <f t="shared" si="110"/>
        <v>0</v>
      </c>
      <c r="S189" s="18"/>
      <c r="T189" s="67">
        <f>21600</f>
        <v>21600</v>
      </c>
      <c r="U189" s="18"/>
      <c r="V189" s="273"/>
      <c r="W189" s="67">
        <v>5000</v>
      </c>
      <c r="X189" s="273"/>
      <c r="Y189" s="273"/>
      <c r="Z189" s="273"/>
      <c r="AA189" s="273"/>
      <c r="AB189" s="273"/>
      <c r="AC189" s="273"/>
      <c r="AD189" s="224"/>
      <c r="AE189" s="273"/>
      <c r="AF189" s="224"/>
      <c r="AG189" s="406"/>
      <c r="AL189" s="929" t="s">
        <v>267</v>
      </c>
      <c r="AM189" s="929"/>
      <c r="AN189" s="622" t="s">
        <v>243</v>
      </c>
      <c r="AO189" s="622" t="s">
        <v>244</v>
      </c>
      <c r="AP189" s="622" t="s">
        <v>245</v>
      </c>
      <c r="AQ189" s="622" t="s">
        <v>246</v>
      </c>
      <c r="AR189" s="622" t="s">
        <v>247</v>
      </c>
      <c r="AS189" s="623" t="s">
        <v>248</v>
      </c>
      <c r="AT189" s="622" t="s">
        <v>249</v>
      </c>
      <c r="AU189" s="595"/>
    </row>
    <row r="190" spans="1:47" s="1" customFormat="1" x14ac:dyDescent="0.25">
      <c r="A190" s="238"/>
      <c r="B190" s="317"/>
      <c r="C190" s="318">
        <v>4</v>
      </c>
      <c r="D190" s="83" t="s">
        <v>443</v>
      </c>
      <c r="E190" s="242">
        <v>1</v>
      </c>
      <c r="F190" s="242">
        <v>1</v>
      </c>
      <c r="G190" s="73" t="s">
        <v>55</v>
      </c>
      <c r="H190" s="67">
        <f t="shared" si="129"/>
        <v>25280.459770114943</v>
      </c>
      <c r="I190" s="67">
        <f t="shared" si="130"/>
        <v>25280.459770114943</v>
      </c>
      <c r="J190" s="67">
        <f t="shared" si="126"/>
        <v>4117.6470588235297</v>
      </c>
      <c r="K190" s="67">
        <f t="shared" si="127"/>
        <v>4117.6470588235297</v>
      </c>
      <c r="L190" s="72">
        <f t="shared" si="128"/>
        <v>29398.106828938471</v>
      </c>
      <c r="M190" s="566">
        <f t="shared" si="106"/>
        <v>35243.578547867801</v>
      </c>
      <c r="N190" s="566">
        <f t="shared" si="107"/>
        <v>5740.4263557578515</v>
      </c>
      <c r="O190" s="565">
        <f t="shared" si="108"/>
        <v>40984.004903625653</v>
      </c>
      <c r="P190" s="567">
        <f t="shared" si="109"/>
        <v>40984.004903625653</v>
      </c>
      <c r="Q190" s="568">
        <f t="shared" si="102"/>
        <v>40984.004903625646</v>
      </c>
      <c r="R190" s="569">
        <f t="shared" si="110"/>
        <v>0</v>
      </c>
      <c r="S190" s="18"/>
      <c r="T190" s="67">
        <f>21994</f>
        <v>21994</v>
      </c>
      <c r="U190" s="18"/>
      <c r="V190" s="273"/>
      <c r="W190" s="67">
        <v>3500</v>
      </c>
      <c r="X190" s="273"/>
      <c r="Y190" s="273"/>
      <c r="Z190" s="273"/>
      <c r="AA190" s="273"/>
      <c r="AB190" s="273"/>
      <c r="AC190" s="273"/>
      <c r="AD190" s="224"/>
      <c r="AE190" s="273"/>
      <c r="AF190" s="224"/>
      <c r="AL190" s="624"/>
      <c r="AM190" s="625" t="s">
        <v>265</v>
      </c>
      <c r="AN190" s="625" t="s">
        <v>268</v>
      </c>
      <c r="AO190" s="625">
        <v>8.0000000000000002E-3</v>
      </c>
      <c r="AP190" s="625">
        <v>0.01</v>
      </c>
      <c r="AQ190" s="625">
        <v>1000</v>
      </c>
      <c r="AR190" s="625">
        <f>AQ190*AP190</f>
        <v>10</v>
      </c>
      <c r="AS190" s="626">
        <v>600</v>
      </c>
      <c r="AT190" s="625">
        <f>AS190*AP190</f>
        <v>6</v>
      </c>
      <c r="AU190" s="595"/>
    </row>
    <row r="191" spans="1:47" s="1" customFormat="1" x14ac:dyDescent="0.25">
      <c r="A191" s="238"/>
      <c r="B191" s="317"/>
      <c r="C191" s="318">
        <v>5</v>
      </c>
      <c r="D191" s="83" t="s">
        <v>444</v>
      </c>
      <c r="E191" s="242">
        <v>1</v>
      </c>
      <c r="F191" s="242">
        <v>1</v>
      </c>
      <c r="G191" s="73" t="s">
        <v>55</v>
      </c>
      <c r="H191" s="67">
        <f t="shared" si="129"/>
        <v>49827.586206896551</v>
      </c>
      <c r="I191" s="67">
        <f>F191*H191</f>
        <v>49827.586206896551</v>
      </c>
      <c r="J191" s="67">
        <f t="shared" si="126"/>
        <v>5882.3529411764712</v>
      </c>
      <c r="K191" s="67">
        <f t="shared" si="127"/>
        <v>5882.3529411764712</v>
      </c>
      <c r="L191" s="72">
        <f t="shared" si="128"/>
        <v>55709.939148073019</v>
      </c>
      <c r="M191" s="566">
        <f t="shared" si="106"/>
        <v>69464.814497138723</v>
      </c>
      <c r="N191" s="566">
        <f t="shared" si="107"/>
        <v>8200.6090796540739</v>
      </c>
      <c r="O191" s="565">
        <f t="shared" si="108"/>
        <v>77665.423576792789</v>
      </c>
      <c r="P191" s="567">
        <f t="shared" si="109"/>
        <v>77665.423576792789</v>
      </c>
      <c r="Q191" s="568">
        <f t="shared" si="102"/>
        <v>77665.423576792775</v>
      </c>
      <c r="R191" s="569">
        <f t="shared" si="110"/>
        <v>0</v>
      </c>
      <c r="S191" s="18"/>
      <c r="T191" s="67">
        <f>43350</f>
        <v>43350</v>
      </c>
      <c r="U191" s="18"/>
      <c r="V191" s="273"/>
      <c r="W191" s="67">
        <v>5000</v>
      </c>
      <c r="X191" s="224"/>
      <c r="Y191" s="224"/>
      <c r="Z191" s="224"/>
      <c r="AA191" s="224"/>
      <c r="AB191" s="224"/>
      <c r="AC191" s="224"/>
      <c r="AD191" s="224"/>
      <c r="AE191" s="224"/>
      <c r="AF191" s="224"/>
      <c r="AL191" s="624"/>
      <c r="AM191" s="625" t="s">
        <v>264</v>
      </c>
      <c r="AN191" s="625" t="s">
        <v>253</v>
      </c>
      <c r="AO191" s="625">
        <v>0.14399999999999999</v>
      </c>
      <c r="AP191" s="625">
        <v>0.17</v>
      </c>
      <c r="AQ191" s="626">
        <f>230/1.075</f>
        <v>213.95348837209303</v>
      </c>
      <c r="AR191" s="626">
        <f>AQ191*AP191</f>
        <v>36.372093023255822</v>
      </c>
      <c r="AS191" s="626">
        <v>150</v>
      </c>
      <c r="AT191" s="625">
        <f>AS191*AP191</f>
        <v>25.500000000000004</v>
      </c>
      <c r="AU191" s="589"/>
    </row>
    <row r="192" spans="1:47" s="1" customFormat="1" x14ac:dyDescent="0.25">
      <c r="A192" s="238"/>
      <c r="B192" s="317"/>
      <c r="C192" s="318"/>
      <c r="D192" s="83" t="s">
        <v>445</v>
      </c>
      <c r="E192" s="242"/>
      <c r="F192" s="242"/>
      <c r="G192" s="73"/>
      <c r="H192" s="67"/>
      <c r="I192" s="67"/>
      <c r="J192" s="67"/>
      <c r="K192" s="67"/>
      <c r="L192" s="72"/>
      <c r="M192" s="566">
        <f t="shared" si="106"/>
        <v>0</v>
      </c>
      <c r="N192" s="566">
        <f t="shared" si="107"/>
        <v>0</v>
      </c>
      <c r="O192" s="565">
        <f t="shared" si="108"/>
        <v>0</v>
      </c>
      <c r="P192" s="567">
        <f t="shared" si="109"/>
        <v>0</v>
      </c>
      <c r="Q192" s="568">
        <f t="shared" si="102"/>
        <v>0</v>
      </c>
      <c r="R192" s="569">
        <f t="shared" si="110"/>
        <v>0</v>
      </c>
      <c r="S192" s="18"/>
      <c r="T192" s="67"/>
      <c r="U192" s="18"/>
      <c r="V192" s="273"/>
      <c r="W192" s="67"/>
      <c r="X192" s="224"/>
      <c r="Y192" s="224"/>
      <c r="Z192" s="224"/>
      <c r="AA192" s="224"/>
      <c r="AB192" s="224"/>
      <c r="AC192" s="224"/>
      <c r="AD192" s="224"/>
      <c r="AE192" s="224"/>
      <c r="AF192" s="224"/>
      <c r="AL192" s="624"/>
      <c r="AM192" s="625" t="s">
        <v>269</v>
      </c>
      <c r="AN192" s="625" t="s">
        <v>253</v>
      </c>
      <c r="AO192" s="625">
        <v>5</v>
      </c>
      <c r="AP192" s="625">
        <v>5</v>
      </c>
      <c r="AQ192" s="627">
        <f>50/1.05</f>
        <v>47.61904761904762</v>
      </c>
      <c r="AR192" s="627">
        <f>AQ192*AP192</f>
        <v>238.0952380952381</v>
      </c>
      <c r="AS192" s="626">
        <v>20</v>
      </c>
      <c r="AT192" s="625">
        <f>AS192*AP192</f>
        <v>100</v>
      </c>
      <c r="AU192" s="617"/>
    </row>
    <row r="193" spans="1:47" s="1" customFormat="1" x14ac:dyDescent="0.25">
      <c r="A193" s="238"/>
      <c r="B193" s="317"/>
      <c r="C193" s="318">
        <v>6</v>
      </c>
      <c r="D193" s="83" t="s">
        <v>446</v>
      </c>
      <c r="E193" s="242">
        <v>2</v>
      </c>
      <c r="F193" s="242">
        <v>2</v>
      </c>
      <c r="G193" s="73" t="s">
        <v>28</v>
      </c>
      <c r="H193" s="67">
        <f t="shared" si="129"/>
        <v>1206.8965517241379</v>
      </c>
      <c r="I193" s="67">
        <f t="shared" ref="I193:I194" si="131">F193*H193</f>
        <v>2413.7931034482758</v>
      </c>
      <c r="J193" s="67">
        <f t="shared" ref="J193:J200" si="132">W193/$J$165</f>
        <v>305.88235294117646</v>
      </c>
      <c r="K193" s="67">
        <f t="shared" si="127"/>
        <v>611.76470588235293</v>
      </c>
      <c r="L193" s="72">
        <f t="shared" si="128"/>
        <v>3025.5578093306285</v>
      </c>
      <c r="M193" s="566">
        <f t="shared" si="106"/>
        <v>1682.5387594462663</v>
      </c>
      <c r="N193" s="566">
        <f t="shared" si="107"/>
        <v>426.43167214201173</v>
      </c>
      <c r="O193" s="565">
        <f t="shared" si="108"/>
        <v>2108.9704315882782</v>
      </c>
      <c r="P193" s="567">
        <f t="shared" si="109"/>
        <v>4217.9408631765564</v>
      </c>
      <c r="Q193" s="568">
        <f t="shared" si="102"/>
        <v>4217.9408631765564</v>
      </c>
      <c r="R193" s="569">
        <f t="shared" si="110"/>
        <v>0</v>
      </c>
      <c r="S193" s="18"/>
      <c r="T193" s="67">
        <v>1050</v>
      </c>
      <c r="U193" s="18"/>
      <c r="V193" s="273"/>
      <c r="W193" s="67">
        <v>260</v>
      </c>
      <c r="X193" s="273"/>
      <c r="Y193" s="273"/>
      <c r="Z193" s="273"/>
      <c r="AA193" s="273"/>
      <c r="AB193" s="273"/>
      <c r="AC193" s="273"/>
      <c r="AD193" s="224"/>
      <c r="AE193" s="273"/>
      <c r="AF193" s="224"/>
      <c r="AG193" s="406"/>
      <c r="AL193" s="624"/>
      <c r="AM193" s="628"/>
      <c r="AN193" s="628"/>
      <c r="AO193" s="628"/>
      <c r="AP193" s="628"/>
      <c r="AQ193" s="628"/>
      <c r="AR193" s="623">
        <f>SUM(AR190:AR192)</f>
        <v>284.46733111849392</v>
      </c>
      <c r="AS193" s="629"/>
      <c r="AT193" s="630">
        <f>SUM(AT190:AT192)</f>
        <v>131.5</v>
      </c>
      <c r="AU193" s="617"/>
    </row>
    <row r="194" spans="1:47" s="1" customFormat="1" x14ac:dyDescent="0.25">
      <c r="A194" s="238"/>
      <c r="B194" s="317"/>
      <c r="C194" s="318">
        <v>7</v>
      </c>
      <c r="D194" s="83" t="s">
        <v>447</v>
      </c>
      <c r="E194" s="242">
        <v>2</v>
      </c>
      <c r="F194" s="242">
        <v>2</v>
      </c>
      <c r="G194" s="73" t="s">
        <v>28</v>
      </c>
      <c r="H194" s="67">
        <f t="shared" si="129"/>
        <v>1206.8965517241379</v>
      </c>
      <c r="I194" s="67">
        <f t="shared" si="131"/>
        <v>2413.7931034482758</v>
      </c>
      <c r="J194" s="67">
        <f t="shared" si="132"/>
        <v>305.88235294117646</v>
      </c>
      <c r="K194" s="67">
        <f t="shared" si="127"/>
        <v>611.76470588235293</v>
      </c>
      <c r="L194" s="72">
        <f t="shared" si="128"/>
        <v>3025.5578093306285</v>
      </c>
      <c r="M194" s="566">
        <f t="shared" si="106"/>
        <v>1682.5387594462663</v>
      </c>
      <c r="N194" s="566">
        <f t="shared" si="107"/>
        <v>426.43167214201173</v>
      </c>
      <c r="O194" s="565">
        <f t="shared" si="108"/>
        <v>2108.9704315882782</v>
      </c>
      <c r="P194" s="567">
        <f t="shared" si="109"/>
        <v>4217.9408631765564</v>
      </c>
      <c r="Q194" s="568">
        <f t="shared" si="102"/>
        <v>4217.9408631765564</v>
      </c>
      <c r="R194" s="569">
        <f t="shared" si="110"/>
        <v>0</v>
      </c>
      <c r="S194" s="18"/>
      <c r="T194" s="67">
        <v>1050</v>
      </c>
      <c r="U194" s="18"/>
      <c r="V194" s="273"/>
      <c r="W194" s="67">
        <v>260</v>
      </c>
      <c r="X194" s="273"/>
      <c r="Y194" s="273"/>
      <c r="Z194" s="273"/>
      <c r="AA194" s="273"/>
      <c r="AB194" s="273"/>
      <c r="AC194" s="273"/>
      <c r="AD194" s="224"/>
      <c r="AE194" s="273"/>
      <c r="AF194" s="224"/>
      <c r="AL194" s="605"/>
      <c r="AM194" s="605"/>
      <c r="AN194" s="605"/>
      <c r="AO194" s="605"/>
      <c r="AP194" s="605"/>
      <c r="AQ194" s="605"/>
      <c r="AR194" s="592"/>
      <c r="AS194" s="621"/>
      <c r="AT194" s="605"/>
      <c r="AU194" s="617"/>
    </row>
    <row r="195" spans="1:47" s="1" customFormat="1" x14ac:dyDescent="0.25">
      <c r="A195" s="238"/>
      <c r="B195" s="317"/>
      <c r="C195" s="318">
        <v>8</v>
      </c>
      <c r="D195" s="83" t="s">
        <v>448</v>
      </c>
      <c r="E195" s="242">
        <v>9</v>
      </c>
      <c r="F195" s="242">
        <v>9</v>
      </c>
      <c r="G195" s="73" t="s">
        <v>28</v>
      </c>
      <c r="H195" s="67">
        <f t="shared" si="129"/>
        <v>1206.8965517241379</v>
      </c>
      <c r="I195" s="67">
        <f>F195*H195</f>
        <v>10862.068965517241</v>
      </c>
      <c r="J195" s="67">
        <f t="shared" si="132"/>
        <v>305.88235294117646</v>
      </c>
      <c r="K195" s="67">
        <f t="shared" si="127"/>
        <v>2752.9411764705883</v>
      </c>
      <c r="L195" s="72">
        <f t="shared" si="128"/>
        <v>13615.01014198783</v>
      </c>
      <c r="M195" s="566">
        <f t="shared" si="106"/>
        <v>1682.5387594462663</v>
      </c>
      <c r="N195" s="566">
        <f t="shared" si="107"/>
        <v>426.43167214201173</v>
      </c>
      <c r="O195" s="565">
        <f t="shared" si="108"/>
        <v>2108.9704315882782</v>
      </c>
      <c r="P195" s="567">
        <f t="shared" si="109"/>
        <v>18980.733884294503</v>
      </c>
      <c r="Q195" s="568">
        <f t="shared" si="102"/>
        <v>18980.733884294506</v>
      </c>
      <c r="R195" s="569">
        <f t="shared" si="110"/>
        <v>0</v>
      </c>
      <c r="S195" s="18"/>
      <c r="T195" s="67">
        <v>1050</v>
      </c>
      <c r="U195" s="18"/>
      <c r="V195" s="273"/>
      <c r="W195" s="67">
        <v>260</v>
      </c>
      <c r="X195" s="224"/>
      <c r="Y195" s="224"/>
      <c r="Z195" s="224"/>
      <c r="AA195" s="224"/>
      <c r="AB195" s="224"/>
      <c r="AC195" s="224"/>
      <c r="AD195" s="224"/>
      <c r="AE195" s="224"/>
      <c r="AF195" s="224"/>
      <c r="AL195" s="929" t="s">
        <v>275</v>
      </c>
      <c r="AM195" s="929"/>
      <c r="AN195" s="622" t="s">
        <v>243</v>
      </c>
      <c r="AO195" s="622" t="s">
        <v>244</v>
      </c>
      <c r="AP195" s="622" t="s">
        <v>245</v>
      </c>
      <c r="AQ195" s="622" t="s">
        <v>246</v>
      </c>
      <c r="AR195" s="622" t="s">
        <v>247</v>
      </c>
      <c r="AS195" s="623" t="s">
        <v>248</v>
      </c>
      <c r="AT195" s="622" t="s">
        <v>249</v>
      </c>
      <c r="AU195" s="617"/>
    </row>
    <row r="196" spans="1:47" s="1" customFormat="1" x14ac:dyDescent="0.25">
      <c r="A196" s="238"/>
      <c r="B196" s="317"/>
      <c r="C196" s="318">
        <v>9</v>
      </c>
      <c r="D196" s="83" t="s">
        <v>449</v>
      </c>
      <c r="E196" s="242">
        <v>5</v>
      </c>
      <c r="F196" s="242">
        <v>5</v>
      </c>
      <c r="G196" s="73" t="s">
        <v>28</v>
      </c>
      <c r="H196" s="67">
        <f t="shared" si="129"/>
        <v>3333.3333333333335</v>
      </c>
      <c r="I196" s="67">
        <f t="shared" ref="I196:I200" si="133">F196*H196</f>
        <v>16666.666666666668</v>
      </c>
      <c r="J196" s="67">
        <f t="shared" si="132"/>
        <v>470.58823529411768</v>
      </c>
      <c r="K196" s="67">
        <f t="shared" si="127"/>
        <v>2352.9411764705883</v>
      </c>
      <c r="L196" s="72">
        <f t="shared" si="128"/>
        <v>19019.607843137255</v>
      </c>
      <c r="M196" s="566">
        <f t="shared" si="106"/>
        <v>4647.0118118039745</v>
      </c>
      <c r="N196" s="566">
        <f t="shared" si="107"/>
        <v>656.04872637232586</v>
      </c>
      <c r="O196" s="565">
        <f t="shared" si="108"/>
        <v>5303.0605381763007</v>
      </c>
      <c r="P196" s="567">
        <f t="shared" si="109"/>
        <v>26515.302690881505</v>
      </c>
      <c r="Q196" s="568">
        <f t="shared" si="102"/>
        <v>26515.302690881501</v>
      </c>
      <c r="R196" s="569">
        <f t="shared" si="110"/>
        <v>0</v>
      </c>
      <c r="S196" s="18"/>
      <c r="T196" s="67">
        <v>2900</v>
      </c>
      <c r="U196" s="18"/>
      <c r="V196" s="273"/>
      <c r="W196" s="67">
        <v>400</v>
      </c>
      <c r="X196" s="224"/>
      <c r="Y196" s="224"/>
      <c r="Z196" s="224"/>
      <c r="AA196" s="224"/>
      <c r="AB196" s="224"/>
      <c r="AC196" s="224"/>
      <c r="AD196" s="224"/>
      <c r="AE196" s="224"/>
      <c r="AF196" s="224"/>
      <c r="AL196" s="891" t="s">
        <v>276</v>
      </c>
      <c r="AM196" s="891"/>
      <c r="AN196" s="659" t="s">
        <v>100</v>
      </c>
      <c r="AO196" s="659">
        <v>26</v>
      </c>
      <c r="AP196" s="659">
        <f>5*6</f>
        <v>30</v>
      </c>
      <c r="AQ196" s="144">
        <f>270/1.05</f>
        <v>257.14285714285711</v>
      </c>
      <c r="AR196" s="144">
        <f t="shared" ref="AR196:AR205" si="134">AQ196*AP196</f>
        <v>7714.2857142857138</v>
      </c>
      <c r="AS196" s="144">
        <v>150</v>
      </c>
      <c r="AT196" s="144">
        <f t="shared" ref="AT196:AT205" si="135">AS196*AP196</f>
        <v>4500</v>
      </c>
      <c r="AU196" s="220"/>
    </row>
    <row r="197" spans="1:47" s="1" customFormat="1" x14ac:dyDescent="0.25">
      <c r="A197" s="238"/>
      <c r="B197" s="317"/>
      <c r="C197" s="318">
        <v>10</v>
      </c>
      <c r="D197" s="83" t="s">
        <v>451</v>
      </c>
      <c r="E197" s="242">
        <v>240</v>
      </c>
      <c r="F197" s="242">
        <v>247</v>
      </c>
      <c r="G197" s="73" t="s">
        <v>453</v>
      </c>
      <c r="H197" s="67">
        <f t="shared" si="129"/>
        <v>31.781344350866043</v>
      </c>
      <c r="I197" s="67">
        <f t="shared" si="133"/>
        <v>7849.9920546639123</v>
      </c>
      <c r="J197" s="67">
        <f t="shared" si="132"/>
        <v>12.941176470588236</v>
      </c>
      <c r="K197" s="67">
        <f t="shared" si="127"/>
        <v>3196.4705882352941</v>
      </c>
      <c r="L197" s="72">
        <f t="shared" si="128"/>
        <v>11046.462642899207</v>
      </c>
      <c r="M197" s="566">
        <f t="shared" si="106"/>
        <v>44.30648477804521</v>
      </c>
      <c r="N197" s="566">
        <f t="shared" si="107"/>
        <v>18.041339975238959</v>
      </c>
      <c r="O197" s="565">
        <f t="shared" si="108"/>
        <v>62.347824753284172</v>
      </c>
      <c r="P197" s="567">
        <f t="shared" si="109"/>
        <v>15399.912714061191</v>
      </c>
      <c r="Q197" s="568">
        <f t="shared" si="102"/>
        <v>15399.912714061187</v>
      </c>
      <c r="R197" s="569">
        <f t="shared" si="110"/>
        <v>0</v>
      </c>
      <c r="S197" s="18"/>
      <c r="T197" s="67">
        <f>30/1.085</f>
        <v>27.649769585253456</v>
      </c>
      <c r="U197" s="18"/>
      <c r="V197" s="273"/>
      <c r="W197" s="67">
        <v>11</v>
      </c>
      <c r="AL197" s="891" t="s">
        <v>277</v>
      </c>
      <c r="AM197" s="891"/>
      <c r="AN197" s="659" t="s">
        <v>283</v>
      </c>
      <c r="AO197" s="659">
        <v>10</v>
      </c>
      <c r="AP197" s="659">
        <v>10</v>
      </c>
      <c r="AQ197" s="144">
        <v>250</v>
      </c>
      <c r="AR197" s="144">
        <f t="shared" si="134"/>
        <v>2500</v>
      </c>
      <c r="AS197" s="144">
        <v>65</v>
      </c>
      <c r="AT197" s="144">
        <f t="shared" si="135"/>
        <v>650</v>
      </c>
      <c r="AU197" s="220"/>
    </row>
    <row r="198" spans="1:47" s="1" customFormat="1" x14ac:dyDescent="0.25">
      <c r="A198" s="238"/>
      <c r="B198" s="317"/>
      <c r="C198" s="318">
        <v>11</v>
      </c>
      <c r="D198" s="83" t="s">
        <v>450</v>
      </c>
      <c r="E198" s="242">
        <v>240</v>
      </c>
      <c r="F198" s="242">
        <v>247</v>
      </c>
      <c r="G198" s="73" t="s">
        <v>283</v>
      </c>
      <c r="H198" s="67">
        <f t="shared" si="129"/>
        <v>18.390804597701148</v>
      </c>
      <c r="I198" s="67">
        <f t="shared" si="133"/>
        <v>4542.5287356321833</v>
      </c>
      <c r="J198" s="67">
        <f t="shared" si="132"/>
        <v>7.0588235294117645</v>
      </c>
      <c r="K198" s="67">
        <f t="shared" si="127"/>
        <v>1743.5294117647059</v>
      </c>
      <c r="L198" s="72">
        <f t="shared" si="128"/>
        <v>6286.0581473968887</v>
      </c>
      <c r="M198" s="566">
        <f t="shared" si="106"/>
        <v>25.638685858228826</v>
      </c>
      <c r="N198" s="566">
        <f t="shared" si="107"/>
        <v>9.8407308955848869</v>
      </c>
      <c r="O198" s="565">
        <f t="shared" si="108"/>
        <v>35.479416753813709</v>
      </c>
      <c r="P198" s="567">
        <f t="shared" si="109"/>
        <v>8763.4159381919853</v>
      </c>
      <c r="Q198" s="568">
        <f t="shared" si="102"/>
        <v>8763.4159381919853</v>
      </c>
      <c r="R198" s="569">
        <f t="shared" si="110"/>
        <v>0</v>
      </c>
      <c r="S198" s="18"/>
      <c r="T198" s="67">
        <v>16</v>
      </c>
      <c r="U198" s="18"/>
      <c r="V198" s="273"/>
      <c r="W198" s="67">
        <v>6</v>
      </c>
      <c r="AL198" s="891" t="s">
        <v>278</v>
      </c>
      <c r="AM198" s="891"/>
      <c r="AN198" s="659" t="s">
        <v>283</v>
      </c>
      <c r="AO198" s="659">
        <v>10</v>
      </c>
      <c r="AP198" s="659">
        <v>10</v>
      </c>
      <c r="AQ198" s="144">
        <v>280</v>
      </c>
      <c r="AR198" s="144">
        <f t="shared" si="134"/>
        <v>2800</v>
      </c>
      <c r="AS198" s="144">
        <v>70</v>
      </c>
      <c r="AT198" s="144">
        <f t="shared" si="135"/>
        <v>700</v>
      </c>
      <c r="AU198" s="220"/>
    </row>
    <row r="199" spans="1:47" s="1" customFormat="1" x14ac:dyDescent="0.25">
      <c r="A199" s="238"/>
      <c r="B199" s="317"/>
      <c r="C199" s="318">
        <v>12</v>
      </c>
      <c r="D199" s="83" t="s">
        <v>452</v>
      </c>
      <c r="E199" s="242">
        <v>95</v>
      </c>
      <c r="F199" s="242">
        <v>100</v>
      </c>
      <c r="G199" s="73" t="s">
        <v>283</v>
      </c>
      <c r="H199" s="67">
        <f t="shared" ref="H199" si="136">T199/$H$186</f>
        <v>28.735632183908045</v>
      </c>
      <c r="I199" s="67">
        <f t="shared" ref="I199" si="137">F199*H199</f>
        <v>2873.5632183908046</v>
      </c>
      <c r="J199" s="67">
        <f t="shared" ref="J199" si="138">W199/$J$165</f>
        <v>10.588235294117647</v>
      </c>
      <c r="K199" s="67">
        <f t="shared" ref="K199" si="139">F199*J199</f>
        <v>1058.8235294117646</v>
      </c>
      <c r="L199" s="72">
        <f t="shared" ref="L199" si="140">I199+K199</f>
        <v>3932.3867478025695</v>
      </c>
      <c r="M199" s="566">
        <f t="shared" ref="M199" si="141">H199/$P$260*$P$268</f>
        <v>40.060446653482536</v>
      </c>
      <c r="N199" s="566">
        <f t="shared" ref="N199" si="142">J199/$P$260*$P$268</f>
        <v>14.761096343377329</v>
      </c>
      <c r="O199" s="565">
        <f t="shared" ref="O199" si="143">N199+M199</f>
        <v>54.821542996859861</v>
      </c>
      <c r="P199" s="567">
        <f t="shared" ref="P199" si="144">O199*F199</f>
        <v>5482.1542996859862</v>
      </c>
      <c r="Q199" s="568">
        <f t="shared" ref="Q199" si="145">L199/$P$260*$P$268</f>
        <v>5482.1542996859871</v>
      </c>
      <c r="R199" s="569">
        <f t="shared" ref="R199" si="146">P199-Q199</f>
        <v>0</v>
      </c>
      <c r="S199" s="18"/>
      <c r="T199" s="67">
        <v>25</v>
      </c>
      <c r="U199" s="18"/>
      <c r="V199" s="273"/>
      <c r="W199" s="67">
        <v>9</v>
      </c>
      <c r="AL199" s="890" t="s">
        <v>280</v>
      </c>
      <c r="AM199" s="890"/>
      <c r="AN199" s="768" t="s">
        <v>101</v>
      </c>
      <c r="AO199" s="768">
        <f>4.5*1.2</f>
        <v>5.3999999999999995</v>
      </c>
      <c r="AP199" s="768">
        <v>6</v>
      </c>
      <c r="AQ199" s="144">
        <v>160</v>
      </c>
      <c r="AR199" s="144">
        <f t="shared" ref="AR199" si="147">AQ199*AP199</f>
        <v>960</v>
      </c>
      <c r="AS199" s="144">
        <v>145</v>
      </c>
      <c r="AT199" s="144">
        <f t="shared" ref="AT199" si="148">AS199*AP199</f>
        <v>870</v>
      </c>
      <c r="AU199" s="220"/>
    </row>
    <row r="200" spans="1:47" s="1" customFormat="1" x14ac:dyDescent="0.25">
      <c r="A200" s="238"/>
      <c r="B200" s="317"/>
      <c r="C200" s="318">
        <v>13</v>
      </c>
      <c r="D200" s="83" t="s">
        <v>524</v>
      </c>
      <c r="E200" s="242">
        <v>2</v>
      </c>
      <c r="F200" s="242">
        <v>2</v>
      </c>
      <c r="G200" s="73" t="s">
        <v>525</v>
      </c>
      <c r="H200" s="67">
        <f>16000/1.05</f>
        <v>15238.095238095237</v>
      </c>
      <c r="I200" s="67">
        <f t="shared" si="133"/>
        <v>30476.190476190473</v>
      </c>
      <c r="J200" s="67">
        <f t="shared" si="132"/>
        <v>7058.8235294117649</v>
      </c>
      <c r="K200" s="67">
        <f t="shared" si="127"/>
        <v>14117.64705882353</v>
      </c>
      <c r="L200" s="72">
        <f t="shared" si="128"/>
        <v>44593.837535014005</v>
      </c>
      <c r="M200" s="566">
        <f t="shared" si="106"/>
        <v>21243.482568246738</v>
      </c>
      <c r="N200" s="566">
        <f t="shared" si="107"/>
        <v>9840.7308955848875</v>
      </c>
      <c r="O200" s="565">
        <f t="shared" si="108"/>
        <v>31084.213463831627</v>
      </c>
      <c r="P200" s="567">
        <f t="shared" si="109"/>
        <v>62168.426927663255</v>
      </c>
      <c r="Q200" s="568">
        <f t="shared" si="102"/>
        <v>62168.426927663248</v>
      </c>
      <c r="R200" s="569">
        <f t="shared" si="110"/>
        <v>0</v>
      </c>
      <c r="S200" s="18"/>
      <c r="T200" s="67">
        <v>25</v>
      </c>
      <c r="U200" s="18"/>
      <c r="V200" s="273"/>
      <c r="W200" s="67">
        <f>6000</f>
        <v>6000</v>
      </c>
      <c r="AL200" s="890" t="s">
        <v>280</v>
      </c>
      <c r="AM200" s="890"/>
      <c r="AN200" s="659" t="s">
        <v>101</v>
      </c>
      <c r="AO200" s="659">
        <f>4.5*1.2</f>
        <v>5.3999999999999995</v>
      </c>
      <c r="AP200" s="659">
        <v>6</v>
      </c>
      <c r="AQ200" s="144">
        <v>160</v>
      </c>
      <c r="AR200" s="144">
        <f t="shared" si="134"/>
        <v>960</v>
      </c>
      <c r="AS200" s="144">
        <v>145</v>
      </c>
      <c r="AT200" s="144">
        <f t="shared" si="135"/>
        <v>870</v>
      </c>
      <c r="AU200" s="220"/>
    </row>
    <row r="201" spans="1:47" s="1" customFormat="1" x14ac:dyDescent="0.25">
      <c r="A201" s="238"/>
      <c r="B201" s="317"/>
      <c r="C201" s="318"/>
      <c r="D201" s="83"/>
      <c r="E201" s="242"/>
      <c r="F201" s="242"/>
      <c r="G201" s="73"/>
      <c r="H201" s="67"/>
      <c r="I201" s="67"/>
      <c r="J201" s="67"/>
      <c r="K201" s="67"/>
      <c r="L201" s="72"/>
      <c r="M201" s="566">
        <f t="shared" si="106"/>
        <v>0</v>
      </c>
      <c r="N201" s="566">
        <f t="shared" si="107"/>
        <v>0</v>
      </c>
      <c r="O201" s="565">
        <f t="shared" si="108"/>
        <v>0</v>
      </c>
      <c r="P201" s="567">
        <f t="shared" si="109"/>
        <v>0</v>
      </c>
      <c r="Q201" s="568">
        <f t="shared" si="102"/>
        <v>0</v>
      </c>
      <c r="R201" s="569">
        <f t="shared" si="110"/>
        <v>0</v>
      </c>
      <c r="S201" s="18"/>
      <c r="U201" s="18"/>
      <c r="V201" s="273"/>
      <c r="W201" s="67"/>
      <c r="X201" s="273"/>
      <c r="Y201" s="273"/>
      <c r="Z201" s="273"/>
      <c r="AA201" s="273"/>
      <c r="AB201" s="273"/>
      <c r="AC201" s="273"/>
      <c r="AD201" s="224"/>
      <c r="AE201" s="273"/>
      <c r="AF201" s="224"/>
      <c r="AG201" s="406"/>
      <c r="AL201" s="890" t="s">
        <v>285</v>
      </c>
      <c r="AM201" s="890"/>
      <c r="AN201" s="659" t="s">
        <v>100</v>
      </c>
      <c r="AO201" s="659">
        <v>26</v>
      </c>
      <c r="AP201" s="659">
        <v>32</v>
      </c>
      <c r="AQ201" s="2">
        <v>90</v>
      </c>
      <c r="AR201" s="144">
        <f t="shared" si="134"/>
        <v>2880</v>
      </c>
      <c r="AS201" s="2">
        <v>90</v>
      </c>
      <c r="AT201" s="144">
        <f t="shared" si="135"/>
        <v>2880</v>
      </c>
      <c r="AU201" s="220"/>
    </row>
    <row r="202" spans="1:47" s="1" customFormat="1" x14ac:dyDescent="0.25">
      <c r="A202" s="238"/>
      <c r="B202" s="290" t="s">
        <v>329</v>
      </c>
      <c r="C202" s="291" t="s">
        <v>458</v>
      </c>
      <c r="D202" s="316"/>
      <c r="E202" s="244"/>
      <c r="F202" s="244"/>
      <c r="G202" s="75"/>
      <c r="H202" s="74"/>
      <c r="I202" s="74"/>
      <c r="J202" s="74"/>
      <c r="K202" s="74"/>
      <c r="L202" s="74"/>
      <c r="M202" s="566">
        <f t="shared" si="106"/>
        <v>0</v>
      </c>
      <c r="N202" s="566">
        <f t="shared" si="107"/>
        <v>0</v>
      </c>
      <c r="O202" s="565">
        <f t="shared" si="108"/>
        <v>0</v>
      </c>
      <c r="P202" s="567">
        <f t="shared" si="109"/>
        <v>0</v>
      </c>
      <c r="Q202" s="568">
        <f t="shared" si="102"/>
        <v>0</v>
      </c>
      <c r="R202" s="569">
        <f t="shared" si="110"/>
        <v>0</v>
      </c>
      <c r="S202" s="18"/>
      <c r="W202" s="74"/>
      <c r="AL202" s="890" t="s">
        <v>279</v>
      </c>
      <c r="AM202" s="890"/>
      <c r="AN202" s="659" t="s">
        <v>266</v>
      </c>
      <c r="AO202" s="659">
        <f>4.5*1.2*0.15+(4.5*0.3*0.1)*2</f>
        <v>1.0799999999999998</v>
      </c>
      <c r="AP202" s="659">
        <v>1.25</v>
      </c>
      <c r="AQ202" s="2">
        <f>3800/1.05</f>
        <v>3619.0476190476188</v>
      </c>
      <c r="AR202" s="144">
        <f t="shared" si="134"/>
        <v>4523.8095238095239</v>
      </c>
      <c r="AS202" s="2">
        <v>800</v>
      </c>
      <c r="AT202" s="144">
        <f t="shared" si="135"/>
        <v>1000</v>
      </c>
      <c r="AU202" s="220"/>
    </row>
    <row r="203" spans="1:47" s="1" customFormat="1" x14ac:dyDescent="0.25">
      <c r="A203" s="238"/>
      <c r="B203" s="317"/>
      <c r="C203" s="318">
        <v>1</v>
      </c>
      <c r="D203" s="83" t="s">
        <v>459</v>
      </c>
      <c r="E203" s="539">
        <v>1337</v>
      </c>
      <c r="F203" s="242">
        <v>1446</v>
      </c>
      <c r="G203" s="73" t="s">
        <v>100</v>
      </c>
      <c r="H203" s="67">
        <f>10</f>
        <v>10</v>
      </c>
      <c r="I203" s="67">
        <f>F203*H203</f>
        <v>14460</v>
      </c>
      <c r="J203" s="67">
        <f t="shared" ref="J203:J211" si="149">W203/$J$165</f>
        <v>4.7058823529411766</v>
      </c>
      <c r="K203" s="67">
        <f t="shared" ref="K203:K211" si="150">F203*J203</f>
        <v>6804.7058823529414</v>
      </c>
      <c r="L203" s="72">
        <f t="shared" ref="L203:L211" si="151">I203+K203</f>
        <v>21264.705882352941</v>
      </c>
      <c r="M203" s="566">
        <f t="shared" si="106"/>
        <v>13.941035435411923</v>
      </c>
      <c r="N203" s="566">
        <f t="shared" si="107"/>
        <v>6.5604872637232576</v>
      </c>
      <c r="O203" s="565">
        <f t="shared" si="108"/>
        <v>20.50152269913518</v>
      </c>
      <c r="P203" s="567">
        <f t="shared" si="109"/>
        <v>29645.201822949468</v>
      </c>
      <c r="Q203" s="568">
        <f t="shared" si="102"/>
        <v>29645.201822949468</v>
      </c>
      <c r="R203" s="569">
        <f t="shared" si="110"/>
        <v>0</v>
      </c>
      <c r="S203" s="18"/>
      <c r="U203" s="18"/>
      <c r="V203" s="273"/>
      <c r="W203" s="67">
        <v>4</v>
      </c>
      <c r="X203" s="224"/>
      <c r="Y203" s="224"/>
      <c r="Z203" s="224"/>
      <c r="AA203" s="224"/>
      <c r="AB203" s="224"/>
      <c r="AC203" s="224"/>
      <c r="AD203" s="224"/>
      <c r="AE203" s="224"/>
      <c r="AF203" s="224"/>
      <c r="AL203" s="890" t="s">
        <v>282</v>
      </c>
      <c r="AM203" s="890"/>
      <c r="AN203" s="659" t="s">
        <v>284</v>
      </c>
      <c r="AO203" s="173">
        <f>(5*12+23*1.2+16)*0.616</f>
        <v>63.817599999999999</v>
      </c>
      <c r="AP203" s="659">
        <v>75</v>
      </c>
      <c r="AQ203" s="2">
        <f>33/1.05</f>
        <v>31.428571428571427</v>
      </c>
      <c r="AR203" s="144">
        <f t="shared" si="134"/>
        <v>2357.1428571428569</v>
      </c>
      <c r="AS203" s="2">
        <v>12</v>
      </c>
      <c r="AT203" s="144">
        <f t="shared" si="135"/>
        <v>900</v>
      </c>
      <c r="AU203" s="220"/>
    </row>
    <row r="204" spans="1:47" s="1" customFormat="1" x14ac:dyDescent="0.25">
      <c r="A204" s="238"/>
      <c r="B204" s="317"/>
      <c r="C204" s="318">
        <v>2</v>
      </c>
      <c r="D204" s="83" t="s">
        <v>460</v>
      </c>
      <c r="E204" s="539">
        <v>1113</v>
      </c>
      <c r="F204" s="242">
        <v>1320</v>
      </c>
      <c r="G204" s="73" t="s">
        <v>100</v>
      </c>
      <c r="H204" s="67">
        <f>25</f>
        <v>25</v>
      </c>
      <c r="I204" s="67">
        <f t="shared" ref="I204:I206" si="152">F204*H204</f>
        <v>33000</v>
      </c>
      <c r="J204" s="67">
        <f t="shared" si="149"/>
        <v>10.588235294117647</v>
      </c>
      <c r="K204" s="67">
        <f t="shared" si="150"/>
        <v>13976.470588235294</v>
      </c>
      <c r="L204" s="72">
        <f t="shared" si="151"/>
        <v>46976.470588235294</v>
      </c>
      <c r="M204" s="566">
        <f t="shared" si="106"/>
        <v>34.852588588529805</v>
      </c>
      <c r="N204" s="566">
        <f t="shared" si="107"/>
        <v>14.761096343377329</v>
      </c>
      <c r="O204" s="565">
        <f t="shared" si="108"/>
        <v>49.61368493190713</v>
      </c>
      <c r="P204" s="567">
        <f t="shared" si="109"/>
        <v>65490.064110117411</v>
      </c>
      <c r="Q204" s="568">
        <f t="shared" si="102"/>
        <v>65490.064110117419</v>
      </c>
      <c r="R204" s="569">
        <f t="shared" si="110"/>
        <v>0</v>
      </c>
      <c r="S204" s="18"/>
      <c r="U204" s="18"/>
      <c r="V204" s="273"/>
      <c r="W204" s="67">
        <v>9</v>
      </c>
      <c r="X204" s="224"/>
      <c r="Y204" s="224"/>
      <c r="Z204" s="224"/>
      <c r="AA204" s="224"/>
      <c r="AB204" s="224"/>
      <c r="AC204" s="224"/>
      <c r="AD204" s="224"/>
      <c r="AE204" s="224"/>
      <c r="AF204" s="224"/>
      <c r="AL204" s="890" t="s">
        <v>281</v>
      </c>
      <c r="AM204" s="890"/>
      <c r="AN204" s="659" t="s">
        <v>101</v>
      </c>
      <c r="AO204" s="659">
        <f>0.3*4.5*2</f>
        <v>2.6999999999999997</v>
      </c>
      <c r="AP204" s="659">
        <v>3</v>
      </c>
      <c r="AQ204" s="2">
        <v>220</v>
      </c>
      <c r="AR204" s="144">
        <f t="shared" si="134"/>
        <v>660</v>
      </c>
      <c r="AS204" s="2">
        <v>200</v>
      </c>
      <c r="AT204" s="144">
        <f t="shared" si="135"/>
        <v>600</v>
      </c>
      <c r="AU204" s="220"/>
    </row>
    <row r="205" spans="1:47" s="1" customFormat="1" x14ac:dyDescent="0.25">
      <c r="A205" s="238"/>
      <c r="B205" s="317"/>
      <c r="C205" s="318">
        <v>3</v>
      </c>
      <c r="D205" s="83" t="s">
        <v>461</v>
      </c>
      <c r="E205" s="242">
        <v>33</v>
      </c>
      <c r="F205" s="242">
        <v>33</v>
      </c>
      <c r="G205" s="73" t="s">
        <v>28</v>
      </c>
      <c r="H205" s="67">
        <f>258</f>
        <v>258</v>
      </c>
      <c r="I205" s="67">
        <f t="shared" si="152"/>
        <v>8514</v>
      </c>
      <c r="J205" s="67">
        <f t="shared" si="149"/>
        <v>117.64705882352942</v>
      </c>
      <c r="K205" s="67">
        <f t="shared" si="150"/>
        <v>3882.3529411764707</v>
      </c>
      <c r="L205" s="72">
        <f t="shared" si="151"/>
        <v>12396.35294117647</v>
      </c>
      <c r="M205" s="566">
        <f t="shared" si="106"/>
        <v>359.6787142336276</v>
      </c>
      <c r="N205" s="566">
        <f t="shared" si="107"/>
        <v>164.01218159308146</v>
      </c>
      <c r="O205" s="565">
        <f t="shared" si="108"/>
        <v>523.69089582670904</v>
      </c>
      <c r="P205" s="567">
        <f t="shared" si="109"/>
        <v>17281.799562281398</v>
      </c>
      <c r="Q205" s="568">
        <f t="shared" si="102"/>
        <v>17281.799562281398</v>
      </c>
      <c r="R205" s="569">
        <f t="shared" si="110"/>
        <v>0</v>
      </c>
      <c r="S205" s="18"/>
      <c r="U205" s="18"/>
      <c r="V205" s="273"/>
      <c r="W205" s="67">
        <v>100</v>
      </c>
      <c r="X205" s="273"/>
      <c r="Y205" s="273"/>
      <c r="Z205" s="273"/>
      <c r="AA205" s="273"/>
      <c r="AB205" s="273"/>
      <c r="AC205" s="273"/>
      <c r="AD205" s="224"/>
      <c r="AE205" s="273"/>
      <c r="AF205" s="224"/>
      <c r="AG205" s="406"/>
      <c r="AL205" s="890" t="s">
        <v>379</v>
      </c>
      <c r="AM205" s="890"/>
      <c r="AN205" s="659" t="s">
        <v>301</v>
      </c>
      <c r="AO205" s="659">
        <v>1</v>
      </c>
      <c r="AP205" s="659">
        <v>1</v>
      </c>
      <c r="AQ205" s="2">
        <v>1000</v>
      </c>
      <c r="AR205" s="144">
        <f t="shared" si="134"/>
        <v>1000</v>
      </c>
      <c r="AS205" s="2">
        <v>800</v>
      </c>
      <c r="AT205" s="144">
        <f t="shared" si="135"/>
        <v>800</v>
      </c>
    </row>
    <row r="206" spans="1:47" s="1" customFormat="1" x14ac:dyDescent="0.25">
      <c r="A206" s="238"/>
      <c r="B206" s="317"/>
      <c r="C206" s="318">
        <v>4</v>
      </c>
      <c r="D206" s="83" t="s">
        <v>462</v>
      </c>
      <c r="E206" s="242">
        <v>33</v>
      </c>
      <c r="F206" s="242">
        <v>33</v>
      </c>
      <c r="G206" s="73" t="s">
        <v>28</v>
      </c>
      <c r="H206" s="67">
        <f>456</f>
        <v>456</v>
      </c>
      <c r="I206" s="67">
        <f t="shared" si="152"/>
        <v>15048</v>
      </c>
      <c r="J206" s="67">
        <f t="shared" si="149"/>
        <v>117.64705882352942</v>
      </c>
      <c r="K206" s="67">
        <f t="shared" si="150"/>
        <v>3882.3529411764707</v>
      </c>
      <c r="L206" s="72">
        <f t="shared" si="151"/>
        <v>18930.352941176472</v>
      </c>
      <c r="M206" s="566">
        <f t="shared" si="106"/>
        <v>635.71121585478363</v>
      </c>
      <c r="N206" s="566">
        <f t="shared" si="107"/>
        <v>164.01218159308146</v>
      </c>
      <c r="O206" s="565">
        <f t="shared" si="108"/>
        <v>799.72339744786507</v>
      </c>
      <c r="P206" s="567">
        <f t="shared" si="109"/>
        <v>26390.872115779548</v>
      </c>
      <c r="Q206" s="568">
        <f t="shared" si="102"/>
        <v>26390.872115779552</v>
      </c>
      <c r="R206" s="569">
        <f t="shared" si="110"/>
        <v>0</v>
      </c>
      <c r="S206" s="18"/>
      <c r="U206" s="18"/>
      <c r="V206" s="273"/>
      <c r="W206" s="67">
        <v>100</v>
      </c>
      <c r="X206" s="273"/>
      <c r="Y206" s="273"/>
      <c r="Z206" s="273"/>
      <c r="AA206" s="273"/>
      <c r="AB206" s="273"/>
      <c r="AC206" s="273"/>
      <c r="AD206" s="224"/>
      <c r="AE206" s="273"/>
      <c r="AF206" s="224"/>
      <c r="AL206" s="18"/>
      <c r="AM206" s="18"/>
      <c r="AN206" s="18"/>
      <c r="AO206" s="18"/>
      <c r="AP206" s="18"/>
      <c r="AQ206" s="18"/>
      <c r="AR206" s="146">
        <f>SUM(AR196:AR205)</f>
        <v>26355.238095238092</v>
      </c>
      <c r="AS206" s="18"/>
      <c r="AT206" s="146">
        <f>SUM(AT196:AT205)</f>
        <v>13770</v>
      </c>
    </row>
    <row r="207" spans="1:47" s="1" customFormat="1" x14ac:dyDescent="0.25">
      <c r="A207" s="238"/>
      <c r="B207" s="317"/>
      <c r="C207" s="318">
        <v>1</v>
      </c>
      <c r="D207" s="83" t="s">
        <v>463</v>
      </c>
      <c r="E207" s="242">
        <v>1</v>
      </c>
      <c r="F207" s="242">
        <v>1</v>
      </c>
      <c r="G207" s="73" t="s">
        <v>251</v>
      </c>
      <c r="H207" s="67">
        <f>4500</f>
        <v>4500</v>
      </c>
      <c r="I207" s="67">
        <f>F207*H207</f>
        <v>4500</v>
      </c>
      <c r="J207" s="67">
        <f t="shared" si="149"/>
        <v>1058.8235294117646</v>
      </c>
      <c r="K207" s="67">
        <f t="shared" si="150"/>
        <v>1058.8235294117646</v>
      </c>
      <c r="L207" s="72">
        <f t="shared" si="151"/>
        <v>5558.8235294117649</v>
      </c>
      <c r="M207" s="566">
        <f t="shared" si="106"/>
        <v>6273.4659459353652</v>
      </c>
      <c r="N207" s="566">
        <f t="shared" si="107"/>
        <v>1476.1096343377328</v>
      </c>
      <c r="O207" s="565">
        <f t="shared" si="108"/>
        <v>7749.5755802730982</v>
      </c>
      <c r="P207" s="567">
        <f t="shared" si="109"/>
        <v>7749.5755802730982</v>
      </c>
      <c r="Q207" s="568">
        <f t="shared" si="102"/>
        <v>7749.5755802730982</v>
      </c>
      <c r="R207" s="569">
        <f t="shared" si="110"/>
        <v>0</v>
      </c>
      <c r="S207" s="18"/>
      <c r="U207" s="18"/>
      <c r="V207" s="273"/>
      <c r="W207" s="67">
        <v>900</v>
      </c>
      <c r="X207" s="224"/>
      <c r="Y207" s="224"/>
      <c r="Z207" s="224"/>
      <c r="AA207" s="224"/>
      <c r="AB207" s="224"/>
      <c r="AC207" s="224"/>
      <c r="AD207" s="224"/>
      <c r="AE207" s="224"/>
      <c r="AF207" s="224"/>
    </row>
    <row r="208" spans="1:47" s="1" customFormat="1" x14ac:dyDescent="0.25">
      <c r="A208" s="238"/>
      <c r="B208" s="317"/>
      <c r="C208" s="318">
        <v>2</v>
      </c>
      <c r="D208" s="83" t="s">
        <v>464</v>
      </c>
      <c r="E208" s="242">
        <v>1</v>
      </c>
      <c r="F208" s="242">
        <v>1</v>
      </c>
      <c r="G208" s="73" t="s">
        <v>251</v>
      </c>
      <c r="H208" s="67">
        <f>15000</f>
        <v>15000</v>
      </c>
      <c r="I208" s="67">
        <f t="shared" ref="I208:I210" si="153">F208*H208</f>
        <v>15000</v>
      </c>
      <c r="J208" s="67">
        <f t="shared" si="149"/>
        <v>3529.4117647058824</v>
      </c>
      <c r="K208" s="67">
        <f t="shared" si="150"/>
        <v>3529.4117647058824</v>
      </c>
      <c r="L208" s="72">
        <f t="shared" si="151"/>
        <v>18529.411764705881</v>
      </c>
      <c r="M208" s="566">
        <f t="shared" si="106"/>
        <v>20911.553153117886</v>
      </c>
      <c r="N208" s="566">
        <f t="shared" si="107"/>
        <v>4920.3654477924438</v>
      </c>
      <c r="O208" s="565">
        <f t="shared" si="108"/>
        <v>25831.918600910329</v>
      </c>
      <c r="P208" s="567">
        <f t="shared" si="109"/>
        <v>25831.918600910329</v>
      </c>
      <c r="Q208" s="568">
        <f t="shared" si="102"/>
        <v>25831.918600910325</v>
      </c>
      <c r="R208" s="569">
        <f t="shared" si="110"/>
        <v>0</v>
      </c>
      <c r="S208" s="18"/>
      <c r="U208" s="18"/>
      <c r="V208" s="273"/>
      <c r="W208" s="67">
        <v>3000</v>
      </c>
      <c r="X208" s="224"/>
      <c r="Y208" s="224"/>
      <c r="Z208" s="224"/>
      <c r="AA208" s="224"/>
      <c r="AB208" s="224"/>
      <c r="AC208" s="224"/>
      <c r="AD208" s="224"/>
      <c r="AE208" s="224"/>
      <c r="AF208" s="224"/>
    </row>
    <row r="209" spans="1:39" s="1" customFormat="1" x14ac:dyDescent="0.25">
      <c r="A209" s="238"/>
      <c r="B209" s="317"/>
      <c r="C209" s="318">
        <v>3</v>
      </c>
      <c r="D209" s="83" t="s">
        <v>465</v>
      </c>
      <c r="E209" s="242">
        <v>1</v>
      </c>
      <c r="F209" s="242">
        <v>1</v>
      </c>
      <c r="G209" s="73" t="s">
        <v>243</v>
      </c>
      <c r="H209" s="67">
        <f>12000</f>
        <v>12000</v>
      </c>
      <c r="I209" s="67">
        <f t="shared" si="153"/>
        <v>12000</v>
      </c>
      <c r="J209" s="67">
        <f t="shared" si="149"/>
        <v>529.41176470588232</v>
      </c>
      <c r="K209" s="67">
        <f t="shared" si="150"/>
        <v>529.41176470588232</v>
      </c>
      <c r="L209" s="72">
        <f t="shared" si="151"/>
        <v>12529.411764705883</v>
      </c>
      <c r="M209" s="566">
        <f t="shared" si="106"/>
        <v>16729.242522494307</v>
      </c>
      <c r="N209" s="566">
        <f t="shared" si="107"/>
        <v>738.05481716886641</v>
      </c>
      <c r="O209" s="565">
        <f t="shared" si="108"/>
        <v>17467.297339663175</v>
      </c>
      <c r="P209" s="567">
        <f t="shared" si="109"/>
        <v>17467.297339663175</v>
      </c>
      <c r="Q209" s="568">
        <f t="shared" si="102"/>
        <v>17467.297339663175</v>
      </c>
      <c r="R209" s="569">
        <f t="shared" si="110"/>
        <v>0</v>
      </c>
      <c r="S209" s="18"/>
      <c r="U209" s="18"/>
      <c r="V209" s="273"/>
      <c r="W209" s="67">
        <v>450</v>
      </c>
      <c r="X209" s="273"/>
      <c r="Y209" s="273"/>
      <c r="Z209" s="273"/>
      <c r="AA209" s="273"/>
      <c r="AB209" s="273"/>
      <c r="AC209" s="273"/>
      <c r="AD209" s="224"/>
      <c r="AE209" s="273"/>
      <c r="AF209" s="224"/>
      <c r="AG209" s="406">
        <f>AE222*2+AE240*3</f>
        <v>40999</v>
      </c>
    </row>
    <row r="210" spans="1:39" s="1" customFormat="1" x14ac:dyDescent="0.25">
      <c r="A210" s="238"/>
      <c r="B210" s="317"/>
      <c r="C210" s="318">
        <v>4</v>
      </c>
      <c r="D210" s="83" t="s">
        <v>466</v>
      </c>
      <c r="E210" s="242">
        <v>2</v>
      </c>
      <c r="F210" s="242">
        <v>2</v>
      </c>
      <c r="G210" s="73" t="s">
        <v>283</v>
      </c>
      <c r="H210" s="67">
        <f>5612</f>
        <v>5612</v>
      </c>
      <c r="I210" s="67">
        <f t="shared" si="153"/>
        <v>11224</v>
      </c>
      <c r="J210" s="67">
        <f t="shared" si="149"/>
        <v>2352.9411764705883</v>
      </c>
      <c r="K210" s="67">
        <f t="shared" si="150"/>
        <v>4705.8823529411766</v>
      </c>
      <c r="L210" s="72">
        <f t="shared" si="151"/>
        <v>15929.882352941177</v>
      </c>
      <c r="M210" s="566">
        <f t="shared" si="106"/>
        <v>7823.7090863531712</v>
      </c>
      <c r="N210" s="566">
        <f t="shared" si="107"/>
        <v>3280.2436318616287</v>
      </c>
      <c r="O210" s="565">
        <f t="shared" si="108"/>
        <v>11103.952718214799</v>
      </c>
      <c r="P210" s="567">
        <f t="shared" si="109"/>
        <v>22207.905436429599</v>
      </c>
      <c r="Q210" s="568">
        <f t="shared" si="102"/>
        <v>22207.905436429603</v>
      </c>
      <c r="R210" s="569">
        <f t="shared" si="110"/>
        <v>0</v>
      </c>
      <c r="S210" s="18"/>
      <c r="U210" s="18"/>
      <c r="V210" s="273"/>
      <c r="W210" s="67">
        <v>2000</v>
      </c>
      <c r="X210" s="273"/>
      <c r="Y210" s="273"/>
      <c r="Z210" s="273"/>
      <c r="AA210" s="273"/>
      <c r="AB210" s="273"/>
      <c r="AC210" s="273"/>
      <c r="AD210" s="224"/>
      <c r="AE210" s="273"/>
      <c r="AF210" s="224"/>
    </row>
    <row r="211" spans="1:39" s="1" customFormat="1" x14ac:dyDescent="0.25">
      <c r="A211" s="238"/>
      <c r="B211" s="317"/>
      <c r="C211" s="318">
        <v>5</v>
      </c>
      <c r="D211" s="83" t="s">
        <v>467</v>
      </c>
      <c r="E211" s="242">
        <v>1</v>
      </c>
      <c r="F211" s="242">
        <v>1</v>
      </c>
      <c r="G211" s="73" t="s">
        <v>301</v>
      </c>
      <c r="H211" s="67">
        <f>(7500+7000)/1.075</f>
        <v>13488.372093023256</v>
      </c>
      <c r="I211" s="67">
        <f>F211*H211</f>
        <v>13488.372093023256</v>
      </c>
      <c r="J211" s="67">
        <f t="shared" si="149"/>
        <v>8823.5294117647063</v>
      </c>
      <c r="K211" s="67">
        <f t="shared" si="150"/>
        <v>8823.5294117647063</v>
      </c>
      <c r="L211" s="72">
        <f t="shared" si="151"/>
        <v>22311.901504787962</v>
      </c>
      <c r="M211" s="566">
        <f t="shared" si="106"/>
        <v>18804.187331485849</v>
      </c>
      <c r="N211" s="566">
        <f t="shared" si="107"/>
        <v>12300.913619481109</v>
      </c>
      <c r="O211" s="565">
        <f t="shared" si="108"/>
        <v>31105.10095096696</v>
      </c>
      <c r="P211" s="567">
        <f t="shared" si="109"/>
        <v>31105.10095096696</v>
      </c>
      <c r="Q211" s="568">
        <f t="shared" ref="Q211" si="154">L211/$P$260*$P$268</f>
        <v>31105.100950966957</v>
      </c>
      <c r="R211" s="569">
        <f t="shared" si="110"/>
        <v>0</v>
      </c>
      <c r="S211" s="18"/>
      <c r="U211" s="18"/>
      <c r="V211" s="273"/>
      <c r="W211" s="67">
        <f>2500+5000</f>
        <v>7500</v>
      </c>
      <c r="X211" s="667" t="s">
        <v>7</v>
      </c>
      <c r="Y211" s="667" t="s">
        <v>6</v>
      </c>
      <c r="Z211" s="667" t="s">
        <v>5</v>
      </c>
      <c r="AA211" s="897" t="s">
        <v>380</v>
      </c>
      <c r="AB211" s="897"/>
      <c r="AC211" s="897"/>
      <c r="AD211" s="897" t="s">
        <v>381</v>
      </c>
      <c r="AE211" s="897"/>
      <c r="AF211" s="384"/>
      <c r="AG211" s="385"/>
      <c r="AH211" s="385"/>
      <c r="AI211" s="385"/>
      <c r="AJ211" s="385"/>
      <c r="AK211" s="385" t="s">
        <v>397</v>
      </c>
      <c r="AL211" s="385" t="s">
        <v>398</v>
      </c>
    </row>
    <row r="212" spans="1:39" ht="15.75" thickBot="1" x14ac:dyDescent="0.3">
      <c r="A212" s="238"/>
      <c r="B212" s="249"/>
      <c r="C212" s="293"/>
      <c r="D212" s="83"/>
      <c r="E212" s="242"/>
      <c r="F212" s="302"/>
      <c r="G212" s="68"/>
      <c r="H212" s="67"/>
      <c r="I212" s="67"/>
      <c r="J212" s="67"/>
      <c r="K212" s="67"/>
      <c r="L212" s="67"/>
      <c r="M212" s="72"/>
      <c r="N212" s="72"/>
      <c r="O212" s="72"/>
      <c r="P212" s="205"/>
      <c r="Q212" s="272">
        <f t="shared" ref="Q212:Q243" si="155">L212/$P$260*$P$268</f>
        <v>0</v>
      </c>
      <c r="R212" s="439"/>
      <c r="V212" s="273"/>
      <c r="W212" s="368" t="s">
        <v>400</v>
      </c>
      <c r="X212" s="667"/>
      <c r="Y212" s="667"/>
      <c r="Z212" s="667"/>
      <c r="AA212" s="667"/>
      <c r="AB212" s="667"/>
      <c r="AC212" s="667"/>
      <c r="AD212" s="667"/>
      <c r="AE212" s="667"/>
      <c r="AF212" s="386"/>
      <c r="AG212" s="386">
        <v>0.6</v>
      </c>
      <c r="AH212" s="387">
        <v>1.8</v>
      </c>
      <c r="AI212" s="385">
        <f>AG212*AH212</f>
        <v>1.08</v>
      </c>
      <c r="AJ212" s="387">
        <f>AG212+AH212</f>
        <v>2.4</v>
      </c>
      <c r="AK212" s="385">
        <v>0.6</v>
      </c>
      <c r="AL212" s="385">
        <v>0.15</v>
      </c>
    </row>
    <row r="213" spans="1:39" s="234" customFormat="1" ht="15.75" thickBot="1" x14ac:dyDescent="0.3">
      <c r="A213" s="308"/>
      <c r="B213" s="910" t="s">
        <v>345</v>
      </c>
      <c r="C213" s="911"/>
      <c r="D213" s="912"/>
      <c r="E213" s="309"/>
      <c r="F213" s="310"/>
      <c r="G213" s="311"/>
      <c r="H213" s="312"/>
      <c r="I213" s="313">
        <f>SUM(I152:I212)</f>
        <v>1400979.8978094275</v>
      </c>
      <c r="J213" s="312"/>
      <c r="K213" s="313">
        <f>SUM(K152:K212)</f>
        <v>364281.76470588241</v>
      </c>
      <c r="L213" s="313">
        <f>SUM(L152:L212)</f>
        <v>1765261.6625153099</v>
      </c>
      <c r="M213" s="312"/>
      <c r="N213" s="312"/>
      <c r="O213" s="313"/>
      <c r="P213" s="315">
        <f>SUM(P152:P212)</f>
        <v>2460957.5389900105</v>
      </c>
      <c r="Q213" s="272">
        <f t="shared" si="155"/>
        <v>2460957.5389900096</v>
      </c>
      <c r="R213" s="439">
        <f t="shared" ref="R213" si="156">P213-Q213</f>
        <v>0</v>
      </c>
      <c r="T213" s="443"/>
      <c r="U213" s="275"/>
      <c r="V213" s="276"/>
      <c r="W213" s="667" t="s">
        <v>9</v>
      </c>
      <c r="X213" s="667" t="s">
        <v>382</v>
      </c>
      <c r="Y213" s="369">
        <f>+Y216*1.2</f>
        <v>2.2680000000000002</v>
      </c>
      <c r="Z213" s="370" t="s">
        <v>383</v>
      </c>
      <c r="AA213" s="371" t="s">
        <v>384</v>
      </c>
      <c r="AB213" s="372">
        <v>2300</v>
      </c>
      <c r="AC213" s="370" t="s">
        <v>385</v>
      </c>
      <c r="AD213" s="373" t="s">
        <v>384</v>
      </c>
      <c r="AE213" s="374">
        <f>Y213*AB213</f>
        <v>5216.4000000000005</v>
      </c>
      <c r="AF213" s="386"/>
      <c r="AG213" s="385">
        <v>0.15</v>
      </c>
      <c r="AH213" s="385">
        <v>1.8</v>
      </c>
      <c r="AI213" s="385">
        <f>AG213*AH213</f>
        <v>0.27</v>
      </c>
      <c r="AJ213" s="387">
        <f t="shared" ref="AJ213" si="157">AG213+AH213</f>
        <v>1.95</v>
      </c>
      <c r="AK213" s="385">
        <v>1.8</v>
      </c>
      <c r="AL213" s="385">
        <v>0.6</v>
      </c>
      <c r="AM213" s="282"/>
    </row>
    <row r="214" spans="1:39" ht="15.75" x14ac:dyDescent="0.25">
      <c r="A214" s="321" t="s">
        <v>346</v>
      </c>
      <c r="B214" s="320" t="s">
        <v>356</v>
      </c>
      <c r="C214" s="292"/>
      <c r="D214" s="83"/>
      <c r="E214" s="242"/>
      <c r="F214" s="302"/>
      <c r="G214" s="68"/>
      <c r="H214" s="67"/>
      <c r="I214" s="67"/>
      <c r="J214" s="67"/>
      <c r="K214" s="67"/>
      <c r="L214" s="67"/>
      <c r="M214" s="72"/>
      <c r="N214" s="72"/>
      <c r="O214" s="72"/>
      <c r="P214" s="205"/>
      <c r="Q214" s="272">
        <f t="shared" si="155"/>
        <v>0</v>
      </c>
      <c r="R214" s="439"/>
      <c r="V214" s="273"/>
      <c r="W214" s="375"/>
      <c r="X214" s="376"/>
      <c r="Y214" s="370"/>
      <c r="Z214" s="370"/>
      <c r="AA214" s="371"/>
      <c r="AB214" s="370"/>
      <c r="AC214" s="373" t="s">
        <v>386</v>
      </c>
      <c r="AD214" s="373" t="s">
        <v>384</v>
      </c>
      <c r="AE214" s="377">
        <f>SUM(AE213:AE213)</f>
        <v>5216.4000000000005</v>
      </c>
      <c r="AF214" s="386"/>
      <c r="AG214" s="385">
        <v>0.15</v>
      </c>
      <c r="AH214" s="385">
        <v>0.6</v>
      </c>
      <c r="AI214" s="385">
        <f>AG214*AH214</f>
        <v>0.09</v>
      </c>
      <c r="AJ214" s="387">
        <f>AG214+AH214</f>
        <v>0.75</v>
      </c>
      <c r="AK214" s="385">
        <v>0.15</v>
      </c>
      <c r="AL214" s="385">
        <v>1.8</v>
      </c>
    </row>
    <row r="215" spans="1:39" x14ac:dyDescent="0.25">
      <c r="A215" s="238"/>
      <c r="B215" s="290" t="s">
        <v>319</v>
      </c>
      <c r="C215" s="291" t="s">
        <v>403</v>
      </c>
      <c r="D215" s="83"/>
      <c r="E215" s="242"/>
      <c r="F215" s="242"/>
      <c r="G215" s="77"/>
      <c r="H215" s="74"/>
      <c r="I215" s="74"/>
      <c r="J215" s="74"/>
      <c r="K215" s="74"/>
      <c r="L215" s="72"/>
      <c r="M215" s="74"/>
      <c r="N215" s="74"/>
      <c r="O215" s="72"/>
      <c r="P215" s="203"/>
      <c r="Q215" s="272">
        <f t="shared" si="155"/>
        <v>0</v>
      </c>
      <c r="R215" s="439"/>
      <c r="V215" s="273"/>
      <c r="W215" s="375"/>
      <c r="X215" s="376"/>
      <c r="Y215" s="370"/>
      <c r="Z215" s="370"/>
      <c r="AA215" s="371"/>
      <c r="AB215" s="370"/>
      <c r="AC215" s="373"/>
      <c r="AD215" s="373"/>
      <c r="AE215" s="378"/>
      <c r="AF215" s="386"/>
      <c r="AG215" s="385">
        <v>0.15</v>
      </c>
      <c r="AH215" s="385">
        <v>0.6</v>
      </c>
      <c r="AI215" s="385">
        <f>AG215*AH215</f>
        <v>0.09</v>
      </c>
      <c r="AJ215" s="387">
        <f>AG215+AH215</f>
        <v>0.75</v>
      </c>
      <c r="AK215" s="385"/>
      <c r="AL215" s="385">
        <v>0.6</v>
      </c>
    </row>
    <row r="216" spans="1:39" x14ac:dyDescent="0.25">
      <c r="A216" s="238"/>
      <c r="B216" s="249"/>
      <c r="C216" s="293">
        <v>1</v>
      </c>
      <c r="D216" s="83" t="s">
        <v>404</v>
      </c>
      <c r="E216" s="242">
        <v>10</v>
      </c>
      <c r="F216" s="242">
        <v>10</v>
      </c>
      <c r="G216" s="77" t="s">
        <v>28</v>
      </c>
      <c r="H216" s="74"/>
      <c r="I216" s="74">
        <f t="shared" ref="I216:I228" si="158">F216*H216</f>
        <v>0</v>
      </c>
      <c r="J216" s="74">
        <f>750+100</f>
        <v>850</v>
      </c>
      <c r="K216" s="74">
        <f t="shared" ref="K216:K228" si="159">F216*J216</f>
        <v>8500</v>
      </c>
      <c r="L216" s="72">
        <f t="shared" ref="L216:L228" si="160">I216+K216</f>
        <v>8500</v>
      </c>
      <c r="M216" s="566">
        <f t="shared" ref="M216:M238" si="161">H216/$P$260*$P$268</f>
        <v>0</v>
      </c>
      <c r="N216" s="566">
        <f t="shared" ref="N216:N238" si="162">J216/$P$260*$P$268</f>
        <v>1184.9880120100133</v>
      </c>
      <c r="O216" s="565">
        <f t="shared" ref="O216:O238" si="163">N216+M216</f>
        <v>1184.9880120100133</v>
      </c>
      <c r="P216" s="567">
        <f t="shared" ref="P216:P238" si="164">O216*F216</f>
        <v>11849.880120100133</v>
      </c>
      <c r="Q216" s="568">
        <f t="shared" si="155"/>
        <v>11849.880120100135</v>
      </c>
      <c r="R216" s="569">
        <f t="shared" ref="R216:R238" si="165">P216-Q216</f>
        <v>0</v>
      </c>
      <c r="V216" s="273"/>
      <c r="W216" s="667" t="s">
        <v>10</v>
      </c>
      <c r="X216" s="379" t="s">
        <v>387</v>
      </c>
      <c r="Y216" s="380">
        <f>AI220</f>
        <v>1.8900000000000003</v>
      </c>
      <c r="Z216" s="370" t="s">
        <v>383</v>
      </c>
      <c r="AA216" s="371" t="s">
        <v>384</v>
      </c>
      <c r="AB216" s="372">
        <v>400</v>
      </c>
      <c r="AC216" s="370" t="s">
        <v>385</v>
      </c>
      <c r="AD216" s="373" t="s">
        <v>384</v>
      </c>
      <c r="AE216" s="378">
        <f t="shared" ref="AE216:AE220" si="166">Y216*AB216</f>
        <v>756.00000000000011</v>
      </c>
      <c r="AF216" s="386"/>
      <c r="AG216" s="385">
        <v>0.2</v>
      </c>
      <c r="AH216" s="385">
        <v>1.8</v>
      </c>
      <c r="AI216" s="385">
        <f>AG216*AH216</f>
        <v>0.36000000000000004</v>
      </c>
      <c r="AJ216" s="387">
        <f>AG216+AH216</f>
        <v>2</v>
      </c>
      <c r="AK216" s="385"/>
      <c r="AL216" s="385">
        <v>0.2</v>
      </c>
    </row>
    <row r="217" spans="1:39" x14ac:dyDescent="0.25">
      <c r="A217" s="524"/>
      <c r="B217" s="249"/>
      <c r="C217" s="293">
        <v>2</v>
      </c>
      <c r="D217" s="83" t="s">
        <v>405</v>
      </c>
      <c r="E217" s="242">
        <v>3</v>
      </c>
      <c r="F217" s="242">
        <v>3</v>
      </c>
      <c r="G217" s="77" t="s">
        <v>28</v>
      </c>
      <c r="H217" s="74"/>
      <c r="I217" s="74">
        <f>F217*H217</f>
        <v>0</v>
      </c>
      <c r="J217" s="74">
        <f>750+100</f>
        <v>850</v>
      </c>
      <c r="K217" s="74">
        <f>F217*J217</f>
        <v>2550</v>
      </c>
      <c r="L217" s="72">
        <f>I217+K217</f>
        <v>2550</v>
      </c>
      <c r="M217" s="566">
        <f t="shared" si="161"/>
        <v>0</v>
      </c>
      <c r="N217" s="566">
        <f t="shared" si="162"/>
        <v>1184.9880120100133</v>
      </c>
      <c r="O217" s="565">
        <f t="shared" si="163"/>
        <v>1184.9880120100133</v>
      </c>
      <c r="P217" s="567">
        <f t="shared" si="164"/>
        <v>3554.96403603004</v>
      </c>
      <c r="Q217" s="568">
        <f t="shared" si="155"/>
        <v>3554.9640360300405</v>
      </c>
      <c r="R217" s="569">
        <f t="shared" si="165"/>
        <v>0</v>
      </c>
      <c r="V217" s="273"/>
      <c r="W217" s="667"/>
      <c r="X217" s="379" t="s">
        <v>388</v>
      </c>
      <c r="Y217" s="380">
        <f>AJ220</f>
        <v>7.85</v>
      </c>
      <c r="Z217" s="370" t="s">
        <v>383</v>
      </c>
      <c r="AA217" s="371"/>
      <c r="AB217" s="372">
        <v>100</v>
      </c>
      <c r="AC217" s="370" t="s">
        <v>385</v>
      </c>
      <c r="AD217" s="373"/>
      <c r="AE217" s="378">
        <f t="shared" si="166"/>
        <v>785</v>
      </c>
      <c r="AF217" s="386"/>
      <c r="AG217" s="385"/>
      <c r="AH217" s="385"/>
      <c r="AI217" s="385"/>
      <c r="AJ217" s="387"/>
      <c r="AK217" s="385"/>
      <c r="AL217" s="385"/>
    </row>
    <row r="218" spans="1:39" x14ac:dyDescent="0.25">
      <c r="A218" s="525"/>
      <c r="B218" s="249"/>
      <c r="C218" s="293">
        <v>3</v>
      </c>
      <c r="D218" s="83" t="s">
        <v>406</v>
      </c>
      <c r="E218" s="242">
        <v>7</v>
      </c>
      <c r="F218" s="242">
        <v>7</v>
      </c>
      <c r="G218" s="77" t="s">
        <v>28</v>
      </c>
      <c r="H218" s="74"/>
      <c r="I218" s="74">
        <f t="shared" si="158"/>
        <v>0</v>
      </c>
      <c r="J218" s="74">
        <f>600+100</f>
        <v>700</v>
      </c>
      <c r="K218" s="74">
        <f t="shared" si="159"/>
        <v>4900</v>
      </c>
      <c r="L218" s="72">
        <f t="shared" si="160"/>
        <v>4900</v>
      </c>
      <c r="M218" s="566">
        <f t="shared" si="161"/>
        <v>0</v>
      </c>
      <c r="N218" s="566">
        <f t="shared" si="162"/>
        <v>975.87248047883463</v>
      </c>
      <c r="O218" s="565">
        <f t="shared" si="163"/>
        <v>975.87248047883463</v>
      </c>
      <c r="P218" s="567">
        <f t="shared" si="164"/>
        <v>6831.1073633518427</v>
      </c>
      <c r="Q218" s="568">
        <f t="shared" si="155"/>
        <v>6831.1073633518417</v>
      </c>
      <c r="R218" s="569">
        <f t="shared" si="165"/>
        <v>0</v>
      </c>
      <c r="V218" s="273"/>
      <c r="W218" s="667"/>
      <c r="X218" s="379" t="s">
        <v>389</v>
      </c>
      <c r="Y218" s="380">
        <f>AK220</f>
        <v>2.5499999999999998</v>
      </c>
      <c r="Z218" s="370" t="s">
        <v>100</v>
      </c>
      <c r="AA218" s="371"/>
      <c r="AB218" s="372">
        <v>400</v>
      </c>
      <c r="AC218" s="381" t="s">
        <v>390</v>
      </c>
      <c r="AD218" s="373"/>
      <c r="AE218" s="378">
        <f t="shared" si="166"/>
        <v>1019.9999999999999</v>
      </c>
      <c r="AF218" s="386"/>
      <c r="AG218" s="385"/>
      <c r="AH218" s="385"/>
      <c r="AI218" s="385"/>
      <c r="AJ218" s="387"/>
      <c r="AK218" s="385"/>
      <c r="AL218" s="385"/>
    </row>
    <row r="219" spans="1:39" x14ac:dyDescent="0.25">
      <c r="A219" s="238"/>
      <c r="B219" s="249"/>
      <c r="C219" s="293">
        <v>4</v>
      </c>
      <c r="D219" s="83" t="s">
        <v>407</v>
      </c>
      <c r="E219" s="242">
        <v>7</v>
      </c>
      <c r="F219" s="242">
        <v>7</v>
      </c>
      <c r="G219" s="77" t="s">
        <v>28</v>
      </c>
      <c r="H219" s="74"/>
      <c r="I219" s="74">
        <f t="shared" si="158"/>
        <v>0</v>
      </c>
      <c r="J219" s="74">
        <f>300+100</f>
        <v>400</v>
      </c>
      <c r="K219" s="74">
        <f t="shared" si="159"/>
        <v>2800</v>
      </c>
      <c r="L219" s="72">
        <f t="shared" si="160"/>
        <v>2800</v>
      </c>
      <c r="M219" s="566">
        <f t="shared" si="161"/>
        <v>0</v>
      </c>
      <c r="N219" s="566">
        <f t="shared" si="162"/>
        <v>557.64141741647688</v>
      </c>
      <c r="O219" s="565">
        <f t="shared" si="163"/>
        <v>557.64141741647688</v>
      </c>
      <c r="P219" s="567">
        <f t="shared" si="164"/>
        <v>3903.4899219153381</v>
      </c>
      <c r="Q219" s="568">
        <f t="shared" si="155"/>
        <v>3903.4899219153385</v>
      </c>
      <c r="R219" s="569">
        <f t="shared" si="165"/>
        <v>0</v>
      </c>
      <c r="V219" s="273"/>
      <c r="W219" s="667"/>
      <c r="X219" s="379" t="s">
        <v>391</v>
      </c>
      <c r="Y219" s="380">
        <f>AL220</f>
        <v>3.35</v>
      </c>
      <c r="Z219" s="370" t="s">
        <v>100</v>
      </c>
      <c r="AA219" s="371"/>
      <c r="AB219" s="372">
        <v>400</v>
      </c>
      <c r="AC219" s="381" t="s">
        <v>390</v>
      </c>
      <c r="AD219" s="373"/>
      <c r="AE219" s="378">
        <f t="shared" si="166"/>
        <v>1340</v>
      </c>
      <c r="AF219" s="386"/>
      <c r="AG219" s="385"/>
      <c r="AH219" s="385"/>
      <c r="AI219" s="385"/>
      <c r="AJ219" s="387"/>
      <c r="AK219" s="385"/>
      <c r="AL219" s="385"/>
    </row>
    <row r="220" spans="1:39" s="585" customFormat="1" x14ac:dyDescent="0.25">
      <c r="A220" s="600"/>
      <c r="B220" s="601"/>
      <c r="C220" s="560">
        <v>5</v>
      </c>
      <c r="D220" s="582" t="s">
        <v>523</v>
      </c>
      <c r="E220" s="583">
        <v>2</v>
      </c>
      <c r="F220" s="583">
        <v>2</v>
      </c>
      <c r="G220" s="584" t="s">
        <v>28</v>
      </c>
      <c r="H220" s="658">
        <f>4000/1.07</f>
        <v>3738.3177570093458</v>
      </c>
      <c r="I220" s="566">
        <f t="shared" si="158"/>
        <v>7476.6355140186915</v>
      </c>
      <c r="J220" s="566">
        <f>400+100</f>
        <v>500</v>
      </c>
      <c r="K220" s="566">
        <f t="shared" si="159"/>
        <v>1000</v>
      </c>
      <c r="L220" s="565">
        <f t="shared" si="160"/>
        <v>8476.6355140186915</v>
      </c>
      <c r="M220" s="566">
        <f t="shared" si="161"/>
        <v>5211.6020319296904</v>
      </c>
      <c r="N220" s="566">
        <f t="shared" si="162"/>
        <v>697.05177177059613</v>
      </c>
      <c r="O220" s="565">
        <f t="shared" si="163"/>
        <v>5908.6538037002865</v>
      </c>
      <c r="P220" s="567">
        <f t="shared" si="164"/>
        <v>11817.307607400573</v>
      </c>
      <c r="Q220" s="568">
        <f t="shared" si="155"/>
        <v>11817.307607400575</v>
      </c>
      <c r="R220" s="569">
        <f t="shared" si="165"/>
        <v>0</v>
      </c>
      <c r="T220" s="579"/>
      <c r="W220" s="647"/>
      <c r="X220" s="653" t="s">
        <v>392</v>
      </c>
      <c r="Y220" s="678">
        <v>2</v>
      </c>
      <c r="Z220" s="639" t="s">
        <v>393</v>
      </c>
      <c r="AA220" s="640"/>
      <c r="AB220" s="650">
        <v>500</v>
      </c>
      <c r="AC220" s="655" t="s">
        <v>394</v>
      </c>
      <c r="AD220" s="640"/>
      <c r="AE220" s="679">
        <f t="shared" si="166"/>
        <v>1000</v>
      </c>
      <c r="AF220" s="642"/>
      <c r="AG220" s="643"/>
      <c r="AH220" s="643"/>
      <c r="AI220" s="680">
        <f>SUM(AI212:AI216)</f>
        <v>1.8900000000000003</v>
      </c>
      <c r="AJ220" s="680">
        <f>SUM(AJ212:AJ216)</f>
        <v>7.85</v>
      </c>
      <c r="AK220" s="680">
        <f>SUM(AK212:AK215)</f>
        <v>2.5499999999999998</v>
      </c>
      <c r="AL220" s="680">
        <f>SUM(AL212:AL216)</f>
        <v>3.35</v>
      </c>
    </row>
    <row r="221" spans="1:39" s="585" customFormat="1" x14ac:dyDescent="0.25">
      <c r="A221" s="600"/>
      <c r="B221" s="601"/>
      <c r="C221" s="560">
        <v>6</v>
      </c>
      <c r="D221" s="582" t="s">
        <v>507</v>
      </c>
      <c r="E221" s="583">
        <v>2</v>
      </c>
      <c r="F221" s="583">
        <v>2</v>
      </c>
      <c r="G221" s="584" t="s">
        <v>28</v>
      </c>
      <c r="H221" s="658">
        <f>1800</f>
        <v>1800</v>
      </c>
      <c r="I221" s="566">
        <f t="shared" si="158"/>
        <v>3600</v>
      </c>
      <c r="J221" s="566">
        <f>400+100</f>
        <v>500</v>
      </c>
      <c r="K221" s="566">
        <f t="shared" si="159"/>
        <v>1000</v>
      </c>
      <c r="L221" s="565">
        <f t="shared" si="160"/>
        <v>4600</v>
      </c>
      <c r="M221" s="566">
        <f t="shared" si="161"/>
        <v>2509.3863783741463</v>
      </c>
      <c r="N221" s="566">
        <f t="shared" si="162"/>
        <v>697.05177177059613</v>
      </c>
      <c r="O221" s="565">
        <f t="shared" si="163"/>
        <v>3206.4381501447424</v>
      </c>
      <c r="P221" s="567">
        <f t="shared" si="164"/>
        <v>6412.8763002894848</v>
      </c>
      <c r="Q221" s="568">
        <f t="shared" si="155"/>
        <v>6412.8763002894848</v>
      </c>
      <c r="R221" s="569">
        <f t="shared" si="165"/>
        <v>0</v>
      </c>
      <c r="T221" s="579"/>
      <c r="W221" s="637"/>
      <c r="X221" s="638"/>
      <c r="Y221" s="639"/>
      <c r="Z221" s="639"/>
      <c r="AA221" s="640"/>
      <c r="AB221" s="639"/>
      <c r="AC221" s="640" t="s">
        <v>395</v>
      </c>
      <c r="AD221" s="640" t="s">
        <v>384</v>
      </c>
      <c r="AE221" s="641">
        <f>SUM(AE216:AE220)</f>
        <v>4901</v>
      </c>
      <c r="AF221" s="642"/>
      <c r="AG221" s="643"/>
      <c r="AH221" s="643"/>
      <c r="AI221" s="643"/>
      <c r="AJ221" s="644"/>
      <c r="AK221" s="643"/>
      <c r="AL221" s="643"/>
    </row>
    <row r="222" spans="1:39" s="273" customFormat="1" ht="15.75" thickBot="1" x14ac:dyDescent="0.3">
      <c r="A222" s="350"/>
      <c r="B222" s="317"/>
      <c r="C222" s="318">
        <v>7</v>
      </c>
      <c r="D222" s="83" t="s">
        <v>410</v>
      </c>
      <c r="E222" s="242">
        <v>2</v>
      </c>
      <c r="F222" s="242">
        <v>2</v>
      </c>
      <c r="G222" s="77" t="s">
        <v>28</v>
      </c>
      <c r="H222" s="74"/>
      <c r="I222" s="74">
        <f t="shared" si="158"/>
        <v>0</v>
      </c>
      <c r="J222" s="74">
        <f>200+100</f>
        <v>300</v>
      </c>
      <c r="K222" s="74">
        <f t="shared" si="159"/>
        <v>600</v>
      </c>
      <c r="L222" s="72">
        <f t="shared" si="160"/>
        <v>600</v>
      </c>
      <c r="M222" s="566">
        <f t="shared" si="161"/>
        <v>0</v>
      </c>
      <c r="N222" s="566">
        <f t="shared" si="162"/>
        <v>418.23106306235769</v>
      </c>
      <c r="O222" s="565">
        <f t="shared" si="163"/>
        <v>418.23106306235769</v>
      </c>
      <c r="P222" s="567">
        <f t="shared" si="164"/>
        <v>836.46212612471538</v>
      </c>
      <c r="Q222" s="568">
        <f t="shared" si="155"/>
        <v>836.46212612471538</v>
      </c>
      <c r="R222" s="569">
        <f t="shared" si="165"/>
        <v>0</v>
      </c>
      <c r="T222" s="224"/>
      <c r="W222" s="681"/>
      <c r="X222" s="682"/>
      <c r="Y222" s="683"/>
      <c r="Z222" s="683"/>
      <c r="AA222" s="684"/>
      <c r="AB222" s="683"/>
      <c r="AC222" s="684" t="s">
        <v>396</v>
      </c>
      <c r="AD222" s="684" t="s">
        <v>384</v>
      </c>
      <c r="AE222" s="685">
        <f>AE214+AE221</f>
        <v>10117.400000000001</v>
      </c>
      <c r="AF222" s="686"/>
      <c r="AG222" s="687"/>
      <c r="AH222" s="687"/>
      <c r="AI222" s="687"/>
      <c r="AJ222" s="688"/>
      <c r="AK222" s="687"/>
      <c r="AL222" s="687"/>
    </row>
    <row r="223" spans="1:39" ht="15.75" thickTop="1" x14ac:dyDescent="0.25">
      <c r="A223" s="238"/>
      <c r="B223" s="249"/>
      <c r="C223" s="293">
        <v>8</v>
      </c>
      <c r="D223" s="83" t="s">
        <v>358</v>
      </c>
      <c r="E223" s="242">
        <v>10</v>
      </c>
      <c r="F223" s="242">
        <v>10</v>
      </c>
      <c r="G223" s="77" t="s">
        <v>28</v>
      </c>
      <c r="H223" s="74"/>
      <c r="I223" s="74">
        <f t="shared" si="158"/>
        <v>0</v>
      </c>
      <c r="J223" s="74">
        <f>250+100</f>
        <v>350</v>
      </c>
      <c r="K223" s="74">
        <f t="shared" si="159"/>
        <v>3500</v>
      </c>
      <c r="L223" s="72">
        <f t="shared" si="160"/>
        <v>3500</v>
      </c>
      <c r="M223" s="566">
        <f t="shared" si="161"/>
        <v>0</v>
      </c>
      <c r="N223" s="566">
        <f t="shared" si="162"/>
        <v>487.93624023941732</v>
      </c>
      <c r="O223" s="565">
        <f t="shared" si="163"/>
        <v>487.93624023941732</v>
      </c>
      <c r="P223" s="567">
        <f t="shared" si="164"/>
        <v>4879.3624023941729</v>
      </c>
      <c r="Q223" s="568">
        <f t="shared" si="155"/>
        <v>4879.3624023941729</v>
      </c>
      <c r="R223" s="569">
        <f t="shared" si="165"/>
        <v>0</v>
      </c>
      <c r="V223" s="273"/>
      <c r="W223" s="389"/>
      <c r="X223" s="390"/>
      <c r="Y223" s="391"/>
      <c r="Z223" s="391"/>
      <c r="AA223" s="392"/>
      <c r="AB223" s="391"/>
      <c r="AC223" s="392"/>
      <c r="AD223" s="392"/>
      <c r="AE223" s="378"/>
      <c r="AF223" s="393"/>
      <c r="AG223" s="394"/>
      <c r="AH223" s="394"/>
      <c r="AI223" s="394"/>
      <c r="AJ223" s="395"/>
      <c r="AK223" s="394"/>
      <c r="AL223" s="394"/>
    </row>
    <row r="224" spans="1:39" x14ac:dyDescent="0.25">
      <c r="A224" s="238"/>
      <c r="B224" s="249"/>
      <c r="C224" s="293">
        <v>9</v>
      </c>
      <c r="D224" s="83" t="s">
        <v>468</v>
      </c>
      <c r="E224" s="242">
        <v>12</v>
      </c>
      <c r="F224" s="242">
        <v>12</v>
      </c>
      <c r="G224" s="77" t="s">
        <v>28</v>
      </c>
      <c r="H224" s="74">
        <f>550/1.05</f>
        <v>523.80952380952374</v>
      </c>
      <c r="I224" s="74">
        <f t="shared" si="158"/>
        <v>6285.7142857142844</v>
      </c>
      <c r="J224" s="74">
        <f>150+100</f>
        <v>250</v>
      </c>
      <c r="K224" s="74">
        <f t="shared" si="159"/>
        <v>3000</v>
      </c>
      <c r="L224" s="72">
        <f t="shared" si="160"/>
        <v>9285.7142857142844</v>
      </c>
      <c r="M224" s="566">
        <f t="shared" si="161"/>
        <v>730.24471328348159</v>
      </c>
      <c r="N224" s="566">
        <f t="shared" si="162"/>
        <v>348.52588588529807</v>
      </c>
      <c r="O224" s="565">
        <f t="shared" si="163"/>
        <v>1078.7705991687797</v>
      </c>
      <c r="P224" s="567">
        <f t="shared" si="164"/>
        <v>12945.247190025355</v>
      </c>
      <c r="Q224" s="568">
        <f t="shared" si="155"/>
        <v>12945.247190025355</v>
      </c>
      <c r="R224" s="569">
        <f t="shared" si="165"/>
        <v>0</v>
      </c>
      <c r="V224" s="273"/>
      <c r="W224" s="396"/>
      <c r="X224" s="397"/>
      <c r="Y224" s="397"/>
      <c r="Z224" s="397"/>
      <c r="AA224" s="397"/>
      <c r="AB224" s="397"/>
      <c r="AC224" s="397"/>
      <c r="AD224" s="397"/>
      <c r="AE224" s="397"/>
      <c r="AF224" s="393"/>
      <c r="AG224" s="393"/>
      <c r="AH224" s="395"/>
      <c r="AI224" s="394"/>
      <c r="AJ224" s="395"/>
      <c r="AK224" s="394"/>
      <c r="AL224" s="394"/>
    </row>
    <row r="225" spans="1:38" x14ac:dyDescent="0.25">
      <c r="A225" s="238"/>
      <c r="B225" s="249"/>
      <c r="C225" s="293">
        <v>10</v>
      </c>
      <c r="D225" s="83" t="s">
        <v>470</v>
      </c>
      <c r="E225" s="242">
        <v>2</v>
      </c>
      <c r="F225" s="242">
        <v>2</v>
      </c>
      <c r="G225" s="77" t="s">
        <v>28</v>
      </c>
      <c r="H225" s="74">
        <f>6000/1.05</f>
        <v>5714.2857142857138</v>
      </c>
      <c r="I225" s="74">
        <f t="shared" si="158"/>
        <v>11428.571428571428</v>
      </c>
      <c r="J225" s="74">
        <v>1500</v>
      </c>
      <c r="K225" s="74">
        <f t="shared" si="159"/>
        <v>3000</v>
      </c>
      <c r="L225" s="72">
        <f t="shared" si="160"/>
        <v>14428.571428571428</v>
      </c>
      <c r="M225" s="566">
        <f t="shared" si="161"/>
        <v>7966.3059630925263</v>
      </c>
      <c r="N225" s="566">
        <f t="shared" si="162"/>
        <v>2091.1553153117884</v>
      </c>
      <c r="O225" s="565">
        <f t="shared" si="163"/>
        <v>10057.461278404315</v>
      </c>
      <c r="P225" s="567">
        <f t="shared" si="164"/>
        <v>20114.922556808629</v>
      </c>
      <c r="Q225" s="568">
        <f t="shared" si="155"/>
        <v>20114.922556808629</v>
      </c>
      <c r="R225" s="569">
        <f t="shared" si="165"/>
        <v>0</v>
      </c>
      <c r="V225" s="273"/>
      <c r="AD225" s="18"/>
      <c r="AF225" s="384"/>
      <c r="AG225" s="385"/>
      <c r="AH225" s="385"/>
      <c r="AI225" s="385"/>
      <c r="AJ225" s="385"/>
      <c r="AK225" s="385" t="s">
        <v>397</v>
      </c>
      <c r="AL225" s="385" t="s">
        <v>398</v>
      </c>
    </row>
    <row r="226" spans="1:38" x14ac:dyDescent="0.25">
      <c r="A226" s="238"/>
      <c r="B226" s="249"/>
      <c r="C226" s="293">
        <v>11</v>
      </c>
      <c r="D226" s="83" t="s">
        <v>467</v>
      </c>
      <c r="E226" s="242">
        <v>1</v>
      </c>
      <c r="F226" s="242">
        <v>1</v>
      </c>
      <c r="G226" s="77" t="s">
        <v>301</v>
      </c>
      <c r="H226" s="74">
        <v>10000</v>
      </c>
      <c r="I226" s="74">
        <f t="shared" ref="I226:I227" si="167">F226*H226</f>
        <v>10000</v>
      </c>
      <c r="J226" s="74">
        <v>4000</v>
      </c>
      <c r="K226" s="74">
        <f t="shared" ref="K226:K227" si="168">F226*J226</f>
        <v>4000</v>
      </c>
      <c r="L226" s="72">
        <f t="shared" ref="L226:L227" si="169">I226+K226</f>
        <v>14000</v>
      </c>
      <c r="M226" s="566">
        <f t="shared" ref="M226:M227" si="170">H226/$P$260*$P$268</f>
        <v>13941.035435411923</v>
      </c>
      <c r="N226" s="566">
        <f t="shared" ref="N226:N227" si="171">J226/$P$260*$P$268</f>
        <v>5576.4141741647691</v>
      </c>
      <c r="O226" s="565">
        <f t="shared" ref="O226:O227" si="172">N226+M226</f>
        <v>19517.449609576692</v>
      </c>
      <c r="P226" s="567">
        <f t="shared" ref="P226:P227" si="173">O226*F226</f>
        <v>19517.449609576692</v>
      </c>
      <c r="Q226" s="568">
        <f t="shared" ref="Q226:Q227" si="174">L226/$P$260*$P$268</f>
        <v>19517.449609576692</v>
      </c>
      <c r="R226" s="569">
        <f t="shared" ref="R226:R227" si="175">P226-Q226</f>
        <v>0</v>
      </c>
      <c r="V226" s="273"/>
      <c r="W226" s="769" t="s">
        <v>4</v>
      </c>
      <c r="X226" s="769" t="s">
        <v>7</v>
      </c>
      <c r="Y226" s="769" t="s">
        <v>6</v>
      </c>
      <c r="Z226" s="769" t="s">
        <v>5</v>
      </c>
      <c r="AA226" s="897" t="s">
        <v>380</v>
      </c>
      <c r="AB226" s="897"/>
      <c r="AC226" s="897"/>
      <c r="AD226" s="897" t="s">
        <v>381</v>
      </c>
      <c r="AE226" s="897"/>
      <c r="AF226" s="384"/>
      <c r="AG226" s="385"/>
      <c r="AH226" s="385"/>
      <c r="AI226" s="385"/>
      <c r="AJ226" s="385"/>
      <c r="AK226" s="385"/>
      <c r="AL226" s="385"/>
    </row>
    <row r="227" spans="1:38" x14ac:dyDescent="0.25">
      <c r="A227" s="238"/>
      <c r="B227" s="249"/>
      <c r="C227" s="293">
        <v>12</v>
      </c>
      <c r="D227" s="83" t="s">
        <v>528</v>
      </c>
      <c r="E227" s="242">
        <v>2</v>
      </c>
      <c r="F227" s="242">
        <v>2</v>
      </c>
      <c r="G227" s="77" t="s">
        <v>28</v>
      </c>
      <c r="H227" s="407">
        <f>(7000+2000)/1.03</f>
        <v>8737.8640776699031</v>
      </c>
      <c r="I227" s="74">
        <f t="shared" si="167"/>
        <v>17475.728155339806</v>
      </c>
      <c r="J227" s="74">
        <v>2000</v>
      </c>
      <c r="K227" s="74">
        <f t="shared" si="168"/>
        <v>4000</v>
      </c>
      <c r="L227" s="72">
        <f t="shared" si="169"/>
        <v>21475.728155339806</v>
      </c>
      <c r="M227" s="566">
        <f t="shared" si="170"/>
        <v>12181.487273660903</v>
      </c>
      <c r="N227" s="566">
        <f t="shared" si="171"/>
        <v>2788.2070870823845</v>
      </c>
      <c r="O227" s="565">
        <f t="shared" si="172"/>
        <v>14969.694360743288</v>
      </c>
      <c r="P227" s="567">
        <f t="shared" si="173"/>
        <v>29939.388721486575</v>
      </c>
      <c r="Q227" s="568">
        <f t="shared" si="174"/>
        <v>29939.388721486579</v>
      </c>
      <c r="R227" s="569">
        <f t="shared" si="175"/>
        <v>0</v>
      </c>
      <c r="V227" s="273"/>
      <c r="W227" s="769" t="s">
        <v>4</v>
      </c>
      <c r="X227" s="769" t="s">
        <v>7</v>
      </c>
      <c r="Y227" s="769" t="s">
        <v>6</v>
      </c>
      <c r="Z227" s="769" t="s">
        <v>5</v>
      </c>
      <c r="AA227" s="897" t="s">
        <v>380</v>
      </c>
      <c r="AB227" s="897"/>
      <c r="AC227" s="897"/>
      <c r="AD227" s="897" t="s">
        <v>381</v>
      </c>
      <c r="AE227" s="897"/>
      <c r="AF227" s="384"/>
      <c r="AG227" s="385"/>
      <c r="AH227" s="385"/>
      <c r="AI227" s="385"/>
      <c r="AJ227" s="385"/>
      <c r="AK227" s="385"/>
      <c r="AL227" s="385"/>
    </row>
    <row r="228" spans="1:38" x14ac:dyDescent="0.25">
      <c r="A228" s="238"/>
      <c r="B228" s="249"/>
      <c r="C228" s="293">
        <v>13</v>
      </c>
      <c r="D228" s="83" t="s">
        <v>527</v>
      </c>
      <c r="E228" s="242">
        <v>1</v>
      </c>
      <c r="F228" s="242">
        <v>1</v>
      </c>
      <c r="G228" s="77" t="s">
        <v>243</v>
      </c>
      <c r="H228" s="407">
        <f>160000/1.085</f>
        <v>147465.43778801843</v>
      </c>
      <c r="I228" s="74">
        <f t="shared" si="158"/>
        <v>147465.43778801843</v>
      </c>
      <c r="J228" s="74">
        <v>5000</v>
      </c>
      <c r="K228" s="74">
        <f t="shared" si="159"/>
        <v>5000</v>
      </c>
      <c r="L228" s="72">
        <f t="shared" si="160"/>
        <v>152465.43778801843</v>
      </c>
      <c r="M228" s="566">
        <f t="shared" si="161"/>
        <v>205582.08937012972</v>
      </c>
      <c r="N228" s="566">
        <f t="shared" si="162"/>
        <v>6970.5177177059613</v>
      </c>
      <c r="O228" s="565">
        <f t="shared" si="163"/>
        <v>212552.60708783567</v>
      </c>
      <c r="P228" s="567">
        <f t="shared" si="164"/>
        <v>212552.60708783567</v>
      </c>
      <c r="Q228" s="568">
        <f t="shared" si="155"/>
        <v>212552.6070878357</v>
      </c>
      <c r="R228" s="569">
        <f t="shared" si="165"/>
        <v>0</v>
      </c>
      <c r="V228" s="273"/>
      <c r="W228" s="667" t="s">
        <v>4</v>
      </c>
      <c r="X228" s="667" t="s">
        <v>7</v>
      </c>
      <c r="Y228" s="667" t="s">
        <v>6</v>
      </c>
      <c r="Z228" s="667" t="s">
        <v>5</v>
      </c>
      <c r="AA228" s="897" t="s">
        <v>380</v>
      </c>
      <c r="AB228" s="897"/>
      <c r="AC228" s="897"/>
      <c r="AD228" s="897" t="s">
        <v>381</v>
      </c>
      <c r="AE228" s="897"/>
      <c r="AF228" s="384"/>
      <c r="AG228" s="385"/>
      <c r="AH228" s="385"/>
      <c r="AI228" s="385"/>
      <c r="AJ228" s="385"/>
      <c r="AK228" s="385"/>
      <c r="AL228" s="385"/>
    </row>
    <row r="229" spans="1:38" x14ac:dyDescent="0.25">
      <c r="A229" s="238"/>
      <c r="B229" s="249"/>
      <c r="C229" s="293"/>
      <c r="D229" s="83"/>
      <c r="E229" s="242"/>
      <c r="F229" s="302"/>
      <c r="G229" s="77"/>
      <c r="H229" s="74"/>
      <c r="I229" s="74"/>
      <c r="J229" s="74"/>
      <c r="K229" s="74"/>
      <c r="L229" s="74"/>
      <c r="M229" s="566">
        <f t="shared" si="161"/>
        <v>0</v>
      </c>
      <c r="N229" s="566">
        <f t="shared" si="162"/>
        <v>0</v>
      </c>
      <c r="O229" s="565">
        <f t="shared" si="163"/>
        <v>0</v>
      </c>
      <c r="P229" s="567">
        <f t="shared" si="164"/>
        <v>0</v>
      </c>
      <c r="Q229" s="568">
        <f t="shared" si="155"/>
        <v>0</v>
      </c>
      <c r="R229" s="569">
        <f t="shared" si="165"/>
        <v>0</v>
      </c>
      <c r="W229" s="368" t="s">
        <v>399</v>
      </c>
      <c r="X229" s="667"/>
      <c r="Y229" s="667"/>
      <c r="Z229" s="667"/>
      <c r="AA229" s="667"/>
      <c r="AB229" s="667"/>
      <c r="AC229" s="667"/>
      <c r="AD229" s="667"/>
      <c r="AE229" s="667"/>
      <c r="AF229" s="386"/>
      <c r="AG229" s="386">
        <v>0.6</v>
      </c>
      <c r="AH229" s="387">
        <v>1</v>
      </c>
      <c r="AI229" s="385">
        <f>AG229*AH229</f>
        <v>0.6</v>
      </c>
      <c r="AJ229" s="387">
        <f>AG229+AH229</f>
        <v>1.6</v>
      </c>
      <c r="AK229" s="385">
        <v>0.6</v>
      </c>
      <c r="AL229" s="385">
        <v>0.15</v>
      </c>
    </row>
    <row r="230" spans="1:38" x14ac:dyDescent="0.25">
      <c r="A230" s="238"/>
      <c r="B230" s="290" t="s">
        <v>320</v>
      </c>
      <c r="C230" s="291" t="s">
        <v>355</v>
      </c>
      <c r="D230" s="83"/>
      <c r="E230" s="242"/>
      <c r="F230" s="242"/>
      <c r="G230" s="77"/>
      <c r="H230" s="74"/>
      <c r="I230" s="74"/>
      <c r="J230" s="74"/>
      <c r="K230" s="74"/>
      <c r="L230" s="72"/>
      <c r="M230" s="566">
        <f t="shared" si="161"/>
        <v>0</v>
      </c>
      <c r="N230" s="566">
        <f t="shared" si="162"/>
        <v>0</v>
      </c>
      <c r="O230" s="565">
        <f t="shared" si="163"/>
        <v>0</v>
      </c>
      <c r="P230" s="567">
        <f t="shared" si="164"/>
        <v>0</v>
      </c>
      <c r="Q230" s="568">
        <f t="shared" si="155"/>
        <v>0</v>
      </c>
      <c r="R230" s="569">
        <f t="shared" si="165"/>
        <v>0</v>
      </c>
      <c r="V230" s="273"/>
      <c r="W230" s="667" t="s">
        <v>9</v>
      </c>
      <c r="X230" s="667" t="s">
        <v>382</v>
      </c>
      <c r="Y230" s="369">
        <f>+Y234*1.2</f>
        <v>1.548</v>
      </c>
      <c r="Z230" s="370" t="s">
        <v>383</v>
      </c>
      <c r="AA230" s="371" t="s">
        <v>384</v>
      </c>
      <c r="AB230" s="372">
        <v>2300</v>
      </c>
      <c r="AC230" s="370" t="s">
        <v>385</v>
      </c>
      <c r="AD230" s="373" t="s">
        <v>384</v>
      </c>
      <c r="AE230" s="374">
        <f>Y230*AB230</f>
        <v>3560.4</v>
      </c>
      <c r="AF230" s="386"/>
      <c r="AG230" s="385">
        <v>0.15</v>
      </c>
      <c r="AH230" s="385">
        <v>1</v>
      </c>
      <c r="AI230" s="385">
        <f>AG230*AH230</f>
        <v>0.15</v>
      </c>
      <c r="AJ230" s="387">
        <f t="shared" ref="AJ230" si="176">AG230+AH230</f>
        <v>1.1499999999999999</v>
      </c>
      <c r="AK230" s="385">
        <v>1</v>
      </c>
      <c r="AL230" s="385">
        <v>0.6</v>
      </c>
    </row>
    <row r="231" spans="1:38" s="585" customFormat="1" x14ac:dyDescent="0.25">
      <c r="A231" s="600"/>
      <c r="B231" s="646"/>
      <c r="C231" s="560">
        <v>1</v>
      </c>
      <c r="D231" s="582" t="s">
        <v>526</v>
      </c>
      <c r="E231" s="583">
        <v>5</v>
      </c>
      <c r="F231" s="583">
        <v>5</v>
      </c>
      <c r="G231" s="584" t="s">
        <v>283</v>
      </c>
      <c r="H231" s="407">
        <f>19482/1.075</f>
        <v>18122.79069767442</v>
      </c>
      <c r="I231" s="566">
        <f t="shared" ref="I231:I238" si="177">F231*H231</f>
        <v>90613.953488372092</v>
      </c>
      <c r="J231" s="566">
        <v>1000</v>
      </c>
      <c r="K231" s="566">
        <f t="shared" ref="K231:K238" si="178">F231*J231</f>
        <v>5000</v>
      </c>
      <c r="L231" s="565">
        <f t="shared" ref="L231:L238" si="179">I231+K231</f>
        <v>95613.953488372092</v>
      </c>
      <c r="M231" s="566">
        <f t="shared" si="161"/>
        <v>25265.046730483264</v>
      </c>
      <c r="N231" s="566">
        <f t="shared" si="162"/>
        <v>1394.1035435411923</v>
      </c>
      <c r="O231" s="565">
        <f t="shared" si="163"/>
        <v>26659.150274024454</v>
      </c>
      <c r="P231" s="567">
        <f t="shared" si="164"/>
        <v>133295.75137012228</v>
      </c>
      <c r="Q231" s="568">
        <f t="shared" si="155"/>
        <v>133295.75137012228</v>
      </c>
      <c r="R231" s="569">
        <f t="shared" si="165"/>
        <v>0</v>
      </c>
      <c r="T231" s="579"/>
      <c r="W231" s="647"/>
      <c r="X231" s="647"/>
      <c r="Y231" s="648"/>
      <c r="Z231" s="639"/>
      <c r="AA231" s="649"/>
      <c r="AB231" s="650"/>
      <c r="AC231" s="639"/>
      <c r="AD231" s="640"/>
      <c r="AE231" s="651"/>
      <c r="AF231" s="642"/>
      <c r="AG231" s="643"/>
      <c r="AH231" s="643"/>
      <c r="AI231" s="643"/>
      <c r="AJ231" s="644"/>
      <c r="AK231" s="643"/>
      <c r="AL231" s="643"/>
    </row>
    <row r="232" spans="1:38" x14ac:dyDescent="0.25">
      <c r="A232" s="238"/>
      <c r="B232" s="249"/>
      <c r="C232" s="293">
        <v>2</v>
      </c>
      <c r="D232" s="83" t="s">
        <v>361</v>
      </c>
      <c r="E232" s="242">
        <v>10</v>
      </c>
      <c r="F232" s="242">
        <v>10</v>
      </c>
      <c r="G232" s="77" t="s">
        <v>283</v>
      </c>
      <c r="H232" s="74"/>
      <c r="I232" s="74">
        <f t="shared" si="177"/>
        <v>0</v>
      </c>
      <c r="J232" s="74">
        <f>150+100</f>
        <v>250</v>
      </c>
      <c r="K232" s="74">
        <f t="shared" si="178"/>
        <v>2500</v>
      </c>
      <c r="L232" s="72">
        <f t="shared" si="179"/>
        <v>2500</v>
      </c>
      <c r="M232" s="566">
        <f t="shared" si="161"/>
        <v>0</v>
      </c>
      <c r="N232" s="566">
        <f t="shared" si="162"/>
        <v>348.52588588529807</v>
      </c>
      <c r="O232" s="565">
        <f t="shared" si="163"/>
        <v>348.52588588529807</v>
      </c>
      <c r="P232" s="567">
        <f t="shared" si="164"/>
        <v>3485.2588588529807</v>
      </c>
      <c r="Q232" s="568">
        <f t="shared" si="155"/>
        <v>3485.2588588529807</v>
      </c>
      <c r="R232" s="569">
        <f t="shared" si="165"/>
        <v>0</v>
      </c>
      <c r="V232" s="287"/>
      <c r="W232" s="375"/>
      <c r="X232" s="376"/>
      <c r="Y232" s="370"/>
      <c r="Z232" s="370"/>
      <c r="AA232" s="371"/>
      <c r="AB232" s="370"/>
      <c r="AC232" s="373" t="s">
        <v>386</v>
      </c>
      <c r="AD232" s="373" t="s">
        <v>384</v>
      </c>
      <c r="AE232" s="377">
        <f>SUM(AE230:AE230)</f>
        <v>3560.4</v>
      </c>
      <c r="AF232" s="386"/>
      <c r="AG232" s="385">
        <v>0.15</v>
      </c>
      <c r="AH232" s="385">
        <v>0.6</v>
      </c>
      <c r="AI232" s="385">
        <f>AG232*AH232</f>
        <v>0.09</v>
      </c>
      <c r="AJ232" s="387">
        <f>AG232+AH232</f>
        <v>0.75</v>
      </c>
      <c r="AK232" s="385">
        <v>0.15</v>
      </c>
      <c r="AL232" s="385">
        <v>1</v>
      </c>
    </row>
    <row r="233" spans="1:38" s="585" customFormat="1" x14ac:dyDescent="0.25">
      <c r="A233" s="600"/>
      <c r="B233" s="601"/>
      <c r="C233" s="560">
        <v>3</v>
      </c>
      <c r="D233" s="582" t="s">
        <v>517</v>
      </c>
      <c r="E233" s="583">
        <v>1</v>
      </c>
      <c r="F233" s="583">
        <v>1</v>
      </c>
      <c r="G233" s="584" t="s">
        <v>55</v>
      </c>
      <c r="H233" s="658">
        <f>4200/1.085</f>
        <v>3870.9677419354839</v>
      </c>
      <c r="I233" s="566">
        <f t="shared" si="177"/>
        <v>3870.9677419354839</v>
      </c>
      <c r="J233" s="566">
        <f>600+100</f>
        <v>700</v>
      </c>
      <c r="K233" s="566">
        <f t="shared" si="178"/>
        <v>700</v>
      </c>
      <c r="L233" s="565">
        <f t="shared" si="179"/>
        <v>4570.9677419354839</v>
      </c>
      <c r="M233" s="566">
        <f t="shared" si="161"/>
        <v>5396.5298459659061</v>
      </c>
      <c r="N233" s="566">
        <f t="shared" si="162"/>
        <v>975.87248047883463</v>
      </c>
      <c r="O233" s="565">
        <f t="shared" si="163"/>
        <v>6372.4023264447405</v>
      </c>
      <c r="P233" s="567">
        <f t="shared" si="164"/>
        <v>6372.4023264447405</v>
      </c>
      <c r="Q233" s="568">
        <f t="shared" si="155"/>
        <v>6372.4023264447396</v>
      </c>
      <c r="R233" s="569">
        <f t="shared" si="165"/>
        <v>0</v>
      </c>
      <c r="T233" s="579"/>
      <c r="V233" s="652"/>
      <c r="W233" s="637"/>
      <c r="X233" s="638"/>
      <c r="Y233" s="639"/>
      <c r="Z233" s="639"/>
      <c r="AA233" s="649"/>
      <c r="AB233" s="639"/>
      <c r="AC233" s="640"/>
      <c r="AD233" s="640"/>
      <c r="AE233" s="651"/>
      <c r="AF233" s="642"/>
      <c r="AG233" s="643">
        <v>0.15</v>
      </c>
      <c r="AH233" s="643">
        <v>0.6</v>
      </c>
      <c r="AI233" s="643">
        <f>AG233*AH233</f>
        <v>0.09</v>
      </c>
      <c r="AJ233" s="644">
        <f>AG233+AH233</f>
        <v>0.75</v>
      </c>
      <c r="AK233" s="643"/>
      <c r="AL233" s="643">
        <v>0.6</v>
      </c>
    </row>
    <row r="234" spans="1:38" s="585" customFormat="1" x14ac:dyDescent="0.25">
      <c r="A234" s="600"/>
      <c r="B234" s="601"/>
      <c r="C234" s="560">
        <v>4</v>
      </c>
      <c r="D234" s="582" t="s">
        <v>518</v>
      </c>
      <c r="E234" s="583">
        <v>7</v>
      </c>
      <c r="F234" s="583">
        <v>7</v>
      </c>
      <c r="G234" s="584" t="s">
        <v>28</v>
      </c>
      <c r="H234" s="658">
        <f>AE282</f>
        <v>2337.1111111111113</v>
      </c>
      <c r="I234" s="566">
        <f t="shared" si="177"/>
        <v>16359.777777777779</v>
      </c>
      <c r="J234" s="566">
        <v>1200</v>
      </c>
      <c r="K234" s="566">
        <f t="shared" si="178"/>
        <v>8400</v>
      </c>
      <c r="L234" s="565">
        <f t="shared" si="179"/>
        <v>24759.777777777781</v>
      </c>
      <c r="M234" s="566">
        <f t="shared" si="161"/>
        <v>3258.1748816494933</v>
      </c>
      <c r="N234" s="566">
        <f t="shared" si="162"/>
        <v>1672.9242522494308</v>
      </c>
      <c r="O234" s="565">
        <f t="shared" si="163"/>
        <v>4931.0991338989243</v>
      </c>
      <c r="P234" s="567">
        <f t="shared" si="164"/>
        <v>34517.693937292468</v>
      </c>
      <c r="Q234" s="568">
        <f t="shared" si="155"/>
        <v>34517.693937292468</v>
      </c>
      <c r="R234" s="569">
        <f t="shared" si="165"/>
        <v>0</v>
      </c>
      <c r="T234" s="579"/>
      <c r="V234" s="652"/>
      <c r="W234" s="647" t="s">
        <v>10</v>
      </c>
      <c r="X234" s="653" t="s">
        <v>387</v>
      </c>
      <c r="Y234" s="654">
        <f>AI239</f>
        <v>1.29</v>
      </c>
      <c r="Z234" s="639" t="s">
        <v>383</v>
      </c>
      <c r="AA234" s="649" t="s">
        <v>384</v>
      </c>
      <c r="AB234" s="650">
        <v>400</v>
      </c>
      <c r="AC234" s="639" t="s">
        <v>385</v>
      </c>
      <c r="AD234" s="640" t="s">
        <v>384</v>
      </c>
      <c r="AE234" s="651">
        <f t="shared" ref="AE234:AE237" si="180">Y234*AB234</f>
        <v>516</v>
      </c>
      <c r="AF234" s="642"/>
      <c r="AG234" s="643">
        <v>0.2</v>
      </c>
      <c r="AH234" s="643">
        <v>1.8</v>
      </c>
      <c r="AI234" s="643">
        <f>AG234*AH234</f>
        <v>0.36000000000000004</v>
      </c>
      <c r="AJ234" s="644">
        <f>AG234+AH234</f>
        <v>2</v>
      </c>
      <c r="AK234" s="643"/>
      <c r="AL234" s="643">
        <v>0.2</v>
      </c>
    </row>
    <row r="235" spans="1:38" s="585" customFormat="1" x14ac:dyDescent="0.25">
      <c r="A235" s="600"/>
      <c r="B235" s="601"/>
      <c r="C235" s="560">
        <v>5</v>
      </c>
      <c r="D235" s="582" t="s">
        <v>519</v>
      </c>
      <c r="E235" s="583">
        <v>2</v>
      </c>
      <c r="F235" s="583">
        <v>2</v>
      </c>
      <c r="G235" s="584" t="s">
        <v>283</v>
      </c>
      <c r="H235" s="658">
        <v>3000</v>
      </c>
      <c r="I235" s="566">
        <f t="shared" si="177"/>
        <v>6000</v>
      </c>
      <c r="J235" s="566">
        <f>350+100</f>
        <v>450</v>
      </c>
      <c r="K235" s="566">
        <f t="shared" si="178"/>
        <v>900</v>
      </c>
      <c r="L235" s="565">
        <f t="shared" si="179"/>
        <v>6900</v>
      </c>
      <c r="M235" s="566">
        <f t="shared" si="161"/>
        <v>4182.3106306235768</v>
      </c>
      <c r="N235" s="566">
        <f t="shared" si="162"/>
        <v>627.34659459353657</v>
      </c>
      <c r="O235" s="565">
        <f t="shared" si="163"/>
        <v>4809.6572252171136</v>
      </c>
      <c r="P235" s="567">
        <f t="shared" si="164"/>
        <v>9619.3144504342272</v>
      </c>
      <c r="Q235" s="568">
        <f t="shared" si="155"/>
        <v>9619.3144504342254</v>
      </c>
      <c r="R235" s="569">
        <f t="shared" si="165"/>
        <v>0</v>
      </c>
      <c r="T235" s="579"/>
      <c r="V235" s="652"/>
      <c r="W235" s="647"/>
      <c r="X235" s="653" t="s">
        <v>388</v>
      </c>
      <c r="Y235" s="654">
        <f>AJ239</f>
        <v>6.25</v>
      </c>
      <c r="Z235" s="639" t="s">
        <v>383</v>
      </c>
      <c r="AA235" s="649"/>
      <c r="AB235" s="650">
        <v>100</v>
      </c>
      <c r="AC235" s="639" t="s">
        <v>385</v>
      </c>
      <c r="AD235" s="640"/>
      <c r="AE235" s="651">
        <f t="shared" si="180"/>
        <v>625</v>
      </c>
      <c r="AF235" s="642"/>
      <c r="AG235" s="643"/>
      <c r="AH235" s="643"/>
      <c r="AI235" s="643"/>
      <c r="AJ235" s="644"/>
      <c r="AK235" s="643"/>
      <c r="AL235" s="643"/>
    </row>
    <row r="236" spans="1:38" s="585" customFormat="1" x14ac:dyDescent="0.25">
      <c r="A236" s="600"/>
      <c r="B236" s="601"/>
      <c r="C236" s="560">
        <v>6</v>
      </c>
      <c r="D236" s="582" t="s">
        <v>520</v>
      </c>
      <c r="E236" s="583">
        <v>2</v>
      </c>
      <c r="F236" s="583">
        <v>2</v>
      </c>
      <c r="G236" s="584" t="s">
        <v>283</v>
      </c>
      <c r="H236" s="658">
        <v>3500</v>
      </c>
      <c r="I236" s="566">
        <f t="shared" si="177"/>
        <v>7000</v>
      </c>
      <c r="J236" s="566">
        <f>350+100</f>
        <v>450</v>
      </c>
      <c r="K236" s="566">
        <f t="shared" si="178"/>
        <v>900</v>
      </c>
      <c r="L236" s="565">
        <f t="shared" si="179"/>
        <v>7900</v>
      </c>
      <c r="M236" s="566">
        <f t="shared" si="161"/>
        <v>4879.3624023941729</v>
      </c>
      <c r="N236" s="566">
        <f t="shared" si="162"/>
        <v>627.34659459353657</v>
      </c>
      <c r="O236" s="565">
        <f t="shared" si="163"/>
        <v>5506.7089969877097</v>
      </c>
      <c r="P236" s="567">
        <f t="shared" si="164"/>
        <v>11013.417993975419</v>
      </c>
      <c r="Q236" s="568">
        <f t="shared" si="155"/>
        <v>11013.417993975419</v>
      </c>
      <c r="R236" s="569">
        <f t="shared" si="165"/>
        <v>0</v>
      </c>
      <c r="T236" s="579"/>
      <c r="V236" s="652"/>
      <c r="W236" s="647"/>
      <c r="X236" s="653" t="s">
        <v>389</v>
      </c>
      <c r="Y236" s="654">
        <f>AK239</f>
        <v>1.75</v>
      </c>
      <c r="Z236" s="639" t="s">
        <v>100</v>
      </c>
      <c r="AA236" s="649"/>
      <c r="AB236" s="650">
        <v>400</v>
      </c>
      <c r="AC236" s="655" t="s">
        <v>390</v>
      </c>
      <c r="AD236" s="640"/>
      <c r="AE236" s="651">
        <f t="shared" si="180"/>
        <v>700</v>
      </c>
      <c r="AF236" s="642"/>
      <c r="AG236" s="643"/>
      <c r="AH236" s="643"/>
      <c r="AI236" s="643"/>
      <c r="AJ236" s="644"/>
      <c r="AK236" s="643"/>
      <c r="AL236" s="643"/>
    </row>
    <row r="237" spans="1:38" x14ac:dyDescent="0.25">
      <c r="A237" s="238"/>
      <c r="B237" s="249"/>
      <c r="C237" s="293">
        <v>7</v>
      </c>
      <c r="D237" s="83" t="s">
        <v>360</v>
      </c>
      <c r="E237" s="242">
        <f>35.04+6</f>
        <v>41.04</v>
      </c>
      <c r="F237" s="242">
        <v>42</v>
      </c>
      <c r="G237" s="77" t="s">
        <v>100</v>
      </c>
      <c r="H237" s="74">
        <f>(480/2.4)/1.075</f>
        <v>186.04651162790699</v>
      </c>
      <c r="I237" s="74">
        <f t="shared" si="177"/>
        <v>7813.9534883720935</v>
      </c>
      <c r="J237" s="74">
        <f>65+100</f>
        <v>165</v>
      </c>
      <c r="K237" s="74">
        <f t="shared" si="178"/>
        <v>6930</v>
      </c>
      <c r="L237" s="72">
        <f t="shared" si="179"/>
        <v>14743.953488372093</v>
      </c>
      <c r="M237" s="566">
        <f t="shared" si="161"/>
        <v>259.36810112394278</v>
      </c>
      <c r="N237" s="566">
        <f t="shared" si="162"/>
        <v>230.02708468429674</v>
      </c>
      <c r="O237" s="565">
        <f t="shared" si="163"/>
        <v>489.39518580823949</v>
      </c>
      <c r="P237" s="567">
        <f t="shared" si="164"/>
        <v>20554.597803946057</v>
      </c>
      <c r="Q237" s="568">
        <f t="shared" si="155"/>
        <v>20554.597803946057</v>
      </c>
      <c r="R237" s="569">
        <f t="shared" si="165"/>
        <v>0</v>
      </c>
      <c r="V237" s="287"/>
      <c r="W237" s="667"/>
      <c r="X237" s="379" t="s">
        <v>391</v>
      </c>
      <c r="Y237" s="380">
        <f>AL239</f>
        <v>2.5500000000000003</v>
      </c>
      <c r="Z237" s="370" t="s">
        <v>100</v>
      </c>
      <c r="AA237" s="371"/>
      <c r="AB237" s="372">
        <v>400</v>
      </c>
      <c r="AC237" s="381" t="s">
        <v>390</v>
      </c>
      <c r="AD237" s="373"/>
      <c r="AE237" s="378">
        <f t="shared" si="180"/>
        <v>1020.0000000000001</v>
      </c>
      <c r="AF237" s="386"/>
      <c r="AG237" s="385"/>
      <c r="AH237" s="385"/>
      <c r="AI237" s="385"/>
      <c r="AJ237" s="387"/>
      <c r="AK237" s="385"/>
      <c r="AL237" s="385"/>
    </row>
    <row r="238" spans="1:38" x14ac:dyDescent="0.25">
      <c r="A238" s="238"/>
      <c r="B238" s="249"/>
      <c r="C238" s="293">
        <v>8</v>
      </c>
      <c r="D238" s="83" t="s">
        <v>411</v>
      </c>
      <c r="E238" s="242">
        <f>0.6*2</f>
        <v>1.2</v>
      </c>
      <c r="F238" s="242">
        <v>2.4</v>
      </c>
      <c r="G238" s="73" t="s">
        <v>100</v>
      </c>
      <c r="H238" s="67">
        <f>1850/1.075</f>
        <v>1720.9302325581396</v>
      </c>
      <c r="I238" s="67">
        <f t="shared" si="177"/>
        <v>4130.2325581395344</v>
      </c>
      <c r="J238" s="67">
        <f>160+100</f>
        <v>260</v>
      </c>
      <c r="K238" s="67">
        <f t="shared" si="178"/>
        <v>624</v>
      </c>
      <c r="L238" s="72">
        <f t="shared" si="179"/>
        <v>4754.2325581395344</v>
      </c>
      <c r="M238" s="566">
        <f t="shared" si="161"/>
        <v>2399.1549353964706</v>
      </c>
      <c r="N238" s="566">
        <f t="shared" si="162"/>
        <v>362.46692132070996</v>
      </c>
      <c r="O238" s="565">
        <f t="shared" si="163"/>
        <v>2761.6218567171804</v>
      </c>
      <c r="P238" s="567">
        <f t="shared" si="164"/>
        <v>6627.8924561212325</v>
      </c>
      <c r="Q238" s="568">
        <f t="shared" si="155"/>
        <v>6627.8924561212325</v>
      </c>
      <c r="R238" s="569">
        <f t="shared" si="165"/>
        <v>0</v>
      </c>
      <c r="V238" s="287"/>
      <c r="W238" s="667"/>
      <c r="X238" s="379" t="s">
        <v>392</v>
      </c>
      <c r="Y238" s="382">
        <v>1</v>
      </c>
      <c r="Z238" s="370" t="s">
        <v>393</v>
      </c>
      <c r="AA238" s="373"/>
      <c r="AB238" s="372">
        <v>500</v>
      </c>
      <c r="AC238" s="381" t="s">
        <v>394</v>
      </c>
      <c r="AD238" s="373"/>
      <c r="AE238" s="374">
        <f>Y238*AB238</f>
        <v>500</v>
      </c>
      <c r="AF238" s="386"/>
      <c r="AG238" s="385"/>
      <c r="AH238" s="385"/>
      <c r="AI238" s="388"/>
      <c r="AJ238" s="388"/>
      <c r="AK238" s="388"/>
      <c r="AL238" s="388"/>
    </row>
    <row r="239" spans="1:38" hidden="1" x14ac:dyDescent="0.25">
      <c r="A239" s="238"/>
      <c r="B239" s="249"/>
      <c r="C239" s="293">
        <v>9</v>
      </c>
      <c r="D239" s="83" t="s">
        <v>411</v>
      </c>
      <c r="E239" s="242">
        <f>0.6*2</f>
        <v>1.2</v>
      </c>
      <c r="F239" s="242">
        <v>2.4</v>
      </c>
      <c r="G239" s="73" t="s">
        <v>100</v>
      </c>
      <c r="H239" s="67"/>
      <c r="I239" s="67"/>
      <c r="J239" s="67"/>
      <c r="K239" s="67"/>
      <c r="L239" s="72"/>
      <c r="M239" s="566"/>
      <c r="N239" s="566"/>
      <c r="O239" s="565"/>
      <c r="P239" s="567"/>
      <c r="Q239" s="568"/>
      <c r="R239" s="569"/>
      <c r="V239" s="287"/>
      <c r="W239" s="667"/>
      <c r="AC239" s="373" t="s">
        <v>395</v>
      </c>
      <c r="AD239" s="373" t="s">
        <v>384</v>
      </c>
      <c r="AE239" s="377">
        <f>SUM(AE234:AE238)</f>
        <v>3361</v>
      </c>
      <c r="AF239" s="386"/>
      <c r="AG239" s="385"/>
      <c r="AH239" s="385"/>
      <c r="AI239" s="388">
        <f>SUM(AI229:AI234)</f>
        <v>1.29</v>
      </c>
      <c r="AJ239" s="388">
        <f>SUM(AJ229:AJ234)</f>
        <v>6.25</v>
      </c>
      <c r="AK239" s="388">
        <f>SUM(AK229:AK233)</f>
        <v>1.75</v>
      </c>
      <c r="AL239" s="388">
        <f>SUM(AL229:AL234)</f>
        <v>2.5500000000000003</v>
      </c>
    </row>
    <row r="240" spans="1:38" ht="15.75" thickBot="1" x14ac:dyDescent="0.3">
      <c r="A240" s="238"/>
      <c r="B240" s="249"/>
      <c r="C240" s="293"/>
      <c r="D240" s="83"/>
      <c r="E240" s="242"/>
      <c r="F240" s="242"/>
      <c r="G240" s="73"/>
      <c r="H240" s="67"/>
      <c r="I240" s="67"/>
      <c r="J240" s="67"/>
      <c r="K240" s="67"/>
      <c r="L240" s="72"/>
      <c r="M240" s="67"/>
      <c r="N240" s="67"/>
      <c r="O240" s="72"/>
      <c r="P240" s="203"/>
      <c r="Q240" s="272">
        <f t="shared" si="155"/>
        <v>0</v>
      </c>
      <c r="R240" s="439"/>
      <c r="V240" s="27"/>
      <c r="W240" s="375"/>
      <c r="X240" s="376"/>
      <c r="Y240" s="370"/>
      <c r="Z240" s="370"/>
      <c r="AA240" s="373"/>
      <c r="AB240" s="370"/>
      <c r="AC240" s="373" t="s">
        <v>396</v>
      </c>
      <c r="AD240" s="373" t="s">
        <v>384</v>
      </c>
      <c r="AE240" s="383">
        <f>AE232+AE239</f>
        <v>6921.4</v>
      </c>
      <c r="AF240" s="386"/>
      <c r="AG240" s="385"/>
      <c r="AH240" s="385"/>
      <c r="AI240" s="385"/>
      <c r="AJ240" s="387"/>
      <c r="AK240" s="385"/>
      <c r="AL240" s="385"/>
    </row>
    <row r="241" spans="1:39" s="234" customFormat="1" ht="16.5" thickTop="1" thickBot="1" x14ac:dyDescent="0.3">
      <c r="A241" s="308"/>
      <c r="B241" s="910" t="s">
        <v>348</v>
      </c>
      <c r="C241" s="911"/>
      <c r="D241" s="912"/>
      <c r="E241" s="309"/>
      <c r="F241" s="310"/>
      <c r="G241" s="311"/>
      <c r="H241" s="312"/>
      <c r="I241" s="313">
        <f>SUM(I214:I240)</f>
        <v>339520.97222625959</v>
      </c>
      <c r="J241" s="312"/>
      <c r="K241" s="313">
        <f>SUM(K214:K240)</f>
        <v>69804</v>
      </c>
      <c r="L241" s="313">
        <f>SUM(L214:L240)</f>
        <v>409324.97222625965</v>
      </c>
      <c r="M241" s="312"/>
      <c r="N241" s="312"/>
      <c r="O241" s="313"/>
      <c r="P241" s="315">
        <f>SUM(P214:P240)</f>
        <v>570641.39424052858</v>
      </c>
      <c r="Q241" s="272">
        <f t="shared" si="155"/>
        <v>570641.39424052869</v>
      </c>
      <c r="R241" s="439">
        <f t="shared" ref="R241" si="181">P241-Q241</f>
        <v>0</v>
      </c>
      <c r="T241" s="443"/>
      <c r="U241" s="275"/>
      <c r="V241" s="402"/>
      <c r="W241" s="375"/>
      <c r="X241" s="376"/>
      <c r="Y241" s="370"/>
      <c r="Z241" s="370"/>
      <c r="AF241" s="386"/>
      <c r="AG241" s="385"/>
      <c r="AH241" s="385"/>
      <c r="AI241" s="385"/>
      <c r="AJ241" s="387"/>
      <c r="AK241" s="385"/>
      <c r="AL241" s="385"/>
      <c r="AM241" s="282"/>
    </row>
    <row r="242" spans="1:39" s="1" customFormat="1" x14ac:dyDescent="0.25">
      <c r="A242" s="500"/>
      <c r="B242" s="501"/>
      <c r="C242" s="293"/>
      <c r="D242" s="502"/>
      <c r="E242" s="503"/>
      <c r="F242" s="504"/>
      <c r="G242" s="504"/>
      <c r="H242" s="504"/>
      <c r="I242" s="504"/>
      <c r="J242" s="504"/>
      <c r="K242" s="504"/>
      <c r="L242" s="504">
        <f>SUM(L241,L213,L151,L35)</f>
        <v>6993259.6077013928</v>
      </c>
      <c r="M242" s="504"/>
      <c r="N242" s="504"/>
      <c r="O242" s="504"/>
      <c r="P242" s="505"/>
      <c r="Q242" s="272">
        <f t="shared" si="155"/>
        <v>9749328</v>
      </c>
      <c r="R242" s="439"/>
      <c r="V242" s="211"/>
      <c r="W242" s="506"/>
      <c r="X242" s="507"/>
      <c r="Y242" s="508"/>
      <c r="Z242" s="508"/>
      <c r="AA242" s="509"/>
      <c r="AB242" s="508"/>
      <c r="AC242" s="510"/>
      <c r="AD242" s="510"/>
      <c r="AE242" s="511"/>
      <c r="AF242" s="508"/>
      <c r="AG242" s="512"/>
      <c r="AH242" s="512"/>
      <c r="AI242" s="512"/>
      <c r="AJ242" s="512"/>
      <c r="AK242" s="512"/>
      <c r="AL242" s="512"/>
    </row>
    <row r="243" spans="1:39" s="287" customFormat="1" ht="20.25" customHeight="1" thickBot="1" x14ac:dyDescent="0.3">
      <c r="A243" s="329"/>
      <c r="B243" s="901" t="s">
        <v>347</v>
      </c>
      <c r="C243" s="902"/>
      <c r="D243" s="903"/>
      <c r="E243" s="330"/>
      <c r="F243" s="331"/>
      <c r="G243" s="332"/>
      <c r="H243" s="663"/>
      <c r="I243" s="663">
        <f>I241+I213+I151+I35</f>
        <v>5172886.1841704044</v>
      </c>
      <c r="J243" s="663"/>
      <c r="K243" s="663">
        <f>K241+K213+K151+K35</f>
        <v>1820373.4235309875</v>
      </c>
      <c r="L243" s="663">
        <f>L241+L213+L151+L35</f>
        <v>6993259.6077013928</v>
      </c>
      <c r="M243" s="922">
        <f>P241+P213+P151+P35</f>
        <v>9750000.1289979592</v>
      </c>
      <c r="N243" s="922"/>
      <c r="O243" s="922"/>
      <c r="P243" s="923"/>
      <c r="Q243" s="272">
        <f t="shared" si="155"/>
        <v>9749328</v>
      </c>
      <c r="R243" s="439">
        <f>M243-Q243</f>
        <v>672.12899795919657</v>
      </c>
      <c r="T243" s="443"/>
      <c r="V243" s="446"/>
      <c r="W243" s="447"/>
      <c r="X243" s="448"/>
      <c r="Y243" s="448"/>
      <c r="Z243" s="448"/>
      <c r="AA243" s="448"/>
      <c r="AB243" s="448"/>
      <c r="AC243" s="448"/>
      <c r="AD243" s="448"/>
      <c r="AE243" s="448"/>
      <c r="AF243" s="449"/>
      <c r="AG243" s="449"/>
      <c r="AH243" s="450"/>
      <c r="AI243" s="451"/>
      <c r="AJ243" s="450"/>
      <c r="AK243" s="451"/>
      <c r="AL243" s="451"/>
    </row>
    <row r="244" spans="1:39" s="528" customFormat="1" x14ac:dyDescent="0.25">
      <c r="A244" s="521"/>
      <c r="B244" s="526"/>
      <c r="C244" s="527"/>
      <c r="E244" s="529"/>
      <c r="F244" s="530"/>
      <c r="G244" s="521"/>
      <c r="H244" s="522"/>
      <c r="I244" s="522"/>
      <c r="J244" s="522"/>
      <c r="K244" s="522"/>
      <c r="L244" s="522"/>
      <c r="M244" s="523"/>
      <c r="N244" s="523"/>
      <c r="O244" s="523"/>
      <c r="P244" s="523"/>
      <c r="Q244" s="523"/>
      <c r="R244" s="523"/>
      <c r="T244" s="523"/>
      <c r="V244" s="531"/>
      <c r="W244" s="666" t="s">
        <v>4</v>
      </c>
      <c r="X244" s="666" t="s">
        <v>7</v>
      </c>
      <c r="Y244" s="666" t="s">
        <v>6</v>
      </c>
      <c r="Z244" s="666" t="s">
        <v>5</v>
      </c>
      <c r="AA244" s="896" t="s">
        <v>380</v>
      </c>
      <c r="AB244" s="896"/>
      <c r="AC244" s="896"/>
      <c r="AD244" s="896" t="s">
        <v>381</v>
      </c>
      <c r="AE244" s="896"/>
      <c r="AF244" s="453"/>
      <c r="AG244" s="454"/>
      <c r="AH244" s="454"/>
      <c r="AI244" s="454"/>
      <c r="AJ244" s="454"/>
      <c r="AK244" s="454" t="s">
        <v>397</v>
      </c>
      <c r="AL244" s="454" t="s">
        <v>398</v>
      </c>
    </row>
    <row r="245" spans="1:39" s="528" customFormat="1" x14ac:dyDescent="0.25">
      <c r="A245" s="521"/>
      <c r="B245" s="526"/>
      <c r="C245" s="527"/>
      <c r="E245" s="529"/>
      <c r="F245" s="530"/>
      <c r="G245" s="521"/>
      <c r="H245" s="522"/>
      <c r="I245" s="522"/>
      <c r="J245" s="522"/>
      <c r="K245" s="522"/>
      <c r="L245" s="522"/>
      <c r="M245" s="523"/>
      <c r="N245" s="523"/>
      <c r="O245" s="523"/>
      <c r="P245" s="523"/>
      <c r="Q245" s="523"/>
      <c r="R245" s="523"/>
      <c r="T245" s="523"/>
      <c r="V245" s="531"/>
      <c r="W245" s="455" t="s">
        <v>401</v>
      </c>
      <c r="X245" s="666"/>
      <c r="Y245" s="666"/>
      <c r="Z245" s="666"/>
      <c r="AA245" s="666"/>
      <c r="AB245" s="666"/>
      <c r="AC245" s="666"/>
      <c r="AD245" s="666"/>
      <c r="AE245" s="666"/>
      <c r="AF245" s="456"/>
      <c r="AG245" s="456">
        <v>0.6</v>
      </c>
      <c r="AH245" s="457">
        <v>2.25</v>
      </c>
      <c r="AI245" s="454">
        <f>AG245*AH245</f>
        <v>1.3499999999999999</v>
      </c>
      <c r="AJ245" s="457">
        <f>AG245+AH245</f>
        <v>2.85</v>
      </c>
      <c r="AK245" s="454">
        <v>0.6</v>
      </c>
      <c r="AL245" s="454">
        <v>0.1</v>
      </c>
    </row>
    <row r="246" spans="1:39" s="528" customFormat="1" x14ac:dyDescent="0.25">
      <c r="A246" s="521"/>
      <c r="B246" s="526"/>
      <c r="C246" s="527"/>
      <c r="E246" s="529"/>
      <c r="F246" s="530"/>
      <c r="G246" s="518"/>
      <c r="H246" s="519"/>
      <c r="I246" s="519"/>
      <c r="J246" s="519"/>
      <c r="K246" s="519"/>
      <c r="L246" s="519"/>
      <c r="M246" s="520"/>
      <c r="N246" s="520"/>
      <c r="O246" s="520"/>
      <c r="P246" s="520"/>
      <c r="Q246" s="520"/>
      <c r="R246" s="520"/>
      <c r="T246" s="523"/>
      <c r="V246" s="531"/>
      <c r="W246" s="666" t="s">
        <v>9</v>
      </c>
      <c r="X246" s="666" t="s">
        <v>382</v>
      </c>
      <c r="Y246" s="458">
        <f>+Y249*1.2</f>
        <v>2.2094999999999998</v>
      </c>
      <c r="Z246" s="459" t="s">
        <v>383</v>
      </c>
      <c r="AA246" s="460" t="s">
        <v>384</v>
      </c>
      <c r="AB246" s="461">
        <v>2300</v>
      </c>
      <c r="AC246" s="459" t="s">
        <v>385</v>
      </c>
      <c r="AD246" s="462" t="s">
        <v>384</v>
      </c>
      <c r="AE246" s="463">
        <f>Y246*AB246</f>
        <v>5081.8499999999995</v>
      </c>
      <c r="AF246" s="456"/>
      <c r="AG246" s="454">
        <v>0.1</v>
      </c>
      <c r="AH246" s="454">
        <v>2.25</v>
      </c>
      <c r="AI246" s="454">
        <f>AG246*AH246</f>
        <v>0.22500000000000001</v>
      </c>
      <c r="AJ246" s="457">
        <f t="shared" ref="AJ246" si="182">AG246+AH246</f>
        <v>2.35</v>
      </c>
      <c r="AK246" s="454">
        <v>2.25</v>
      </c>
      <c r="AL246" s="454">
        <v>0.6</v>
      </c>
    </row>
    <row r="247" spans="1:39" s="528" customFormat="1" x14ac:dyDescent="0.25">
      <c r="A247" s="521"/>
      <c r="B247" s="526"/>
      <c r="C247" s="527"/>
      <c r="E247" s="529"/>
      <c r="F247" s="530"/>
      <c r="G247" s="518"/>
      <c r="H247" s="519"/>
      <c r="Q247" s="520"/>
      <c r="R247" s="520"/>
      <c r="T247" s="523"/>
      <c r="V247" s="531"/>
      <c r="W247" s="464"/>
      <c r="X247" s="465"/>
      <c r="Y247" s="459"/>
      <c r="Z247" s="459"/>
      <c r="AA247" s="460"/>
      <c r="AB247" s="459"/>
      <c r="AC247" s="462" t="s">
        <v>386</v>
      </c>
      <c r="AD247" s="462" t="s">
        <v>384</v>
      </c>
      <c r="AE247" s="466">
        <f>SUM(AE246:AE246)</f>
        <v>5081.8499999999995</v>
      </c>
      <c r="AF247" s="456"/>
      <c r="AG247" s="454">
        <v>0.1</v>
      </c>
      <c r="AH247" s="454">
        <v>0.6</v>
      </c>
      <c r="AI247" s="454">
        <f>AG247*AH247</f>
        <v>0.06</v>
      </c>
      <c r="AJ247" s="457">
        <f>AG247+AH247</f>
        <v>0.7</v>
      </c>
      <c r="AK247" s="454">
        <v>0.1</v>
      </c>
      <c r="AL247" s="454">
        <v>2.25</v>
      </c>
    </row>
    <row r="248" spans="1:39" s="528" customFormat="1" ht="15.75" x14ac:dyDescent="0.25">
      <c r="A248" s="532" t="s">
        <v>18</v>
      </c>
      <c r="B248" s="533"/>
      <c r="C248" s="534"/>
      <c r="D248" s="535"/>
      <c r="E248" s="529"/>
      <c r="F248" s="530"/>
      <c r="G248" s="521"/>
      <c r="H248" s="522"/>
      <c r="Q248" s="523"/>
      <c r="R248" s="520"/>
      <c r="T248" s="523"/>
      <c r="V248" s="531"/>
      <c r="W248" s="464"/>
      <c r="X248" s="465"/>
      <c r="Y248" s="459"/>
      <c r="Z248" s="459"/>
      <c r="AA248" s="460"/>
      <c r="AB248" s="459"/>
      <c r="AC248" s="462"/>
      <c r="AD248" s="462"/>
      <c r="AE248" s="467"/>
      <c r="AF248" s="456"/>
      <c r="AG248" s="454">
        <v>0.1</v>
      </c>
      <c r="AH248" s="454">
        <v>0.6</v>
      </c>
      <c r="AI248" s="454">
        <f>AG248*AH248</f>
        <v>0.06</v>
      </c>
      <c r="AJ248" s="457">
        <f>AG248+AH248</f>
        <v>0.7</v>
      </c>
      <c r="AK248" s="454"/>
      <c r="AL248" s="454">
        <v>0.6</v>
      </c>
    </row>
    <row r="249" spans="1:39" s="522" customFormat="1" ht="15.75" x14ac:dyDescent="0.25">
      <c r="A249" s="536"/>
      <c r="B249" s="533"/>
      <c r="C249" s="534"/>
      <c r="D249" s="537"/>
      <c r="R249" s="519"/>
      <c r="V249" s="538"/>
      <c r="W249" s="666" t="s">
        <v>10</v>
      </c>
      <c r="X249" s="469" t="s">
        <v>387</v>
      </c>
      <c r="Y249" s="470">
        <f>AI253</f>
        <v>1.8412500000000001</v>
      </c>
      <c r="Z249" s="459" t="s">
        <v>383</v>
      </c>
      <c r="AA249" s="460" t="s">
        <v>384</v>
      </c>
      <c r="AB249" s="461">
        <v>400</v>
      </c>
      <c r="AC249" s="459" t="s">
        <v>385</v>
      </c>
      <c r="AD249" s="462" t="s">
        <v>384</v>
      </c>
      <c r="AE249" s="467">
        <f t="shared" ref="AE249:AE253" si="183">Y249*AB249</f>
        <v>736.5</v>
      </c>
      <c r="AF249" s="456"/>
      <c r="AG249" s="454">
        <v>6.5000000000000002E-2</v>
      </c>
      <c r="AH249" s="454">
        <v>2.25</v>
      </c>
      <c r="AI249" s="454">
        <f>AG249*AH249</f>
        <v>0.14624999999999999</v>
      </c>
      <c r="AJ249" s="457">
        <f>AG249+AH249</f>
        <v>2.3149999999999999</v>
      </c>
      <c r="AK249" s="454"/>
      <c r="AL249" s="454">
        <v>0.1</v>
      </c>
    </row>
    <row r="250" spans="1:39" s="522" customFormat="1" ht="15.75" x14ac:dyDescent="0.25">
      <c r="A250" s="532" t="s">
        <v>19</v>
      </c>
      <c r="B250" s="533"/>
      <c r="C250" s="534"/>
      <c r="D250" s="535"/>
      <c r="R250" s="519"/>
      <c r="V250" s="538"/>
      <c r="W250" s="666"/>
      <c r="X250" s="469" t="s">
        <v>388</v>
      </c>
      <c r="Y250" s="470">
        <f>AJ253</f>
        <v>8.9150000000000009</v>
      </c>
      <c r="Z250" s="459" t="s">
        <v>383</v>
      </c>
      <c r="AA250" s="460"/>
      <c r="AB250" s="461">
        <v>100</v>
      </c>
      <c r="AC250" s="459" t="s">
        <v>385</v>
      </c>
      <c r="AD250" s="462"/>
      <c r="AE250" s="467">
        <f t="shared" si="183"/>
        <v>891.50000000000011</v>
      </c>
      <c r="AF250" s="456"/>
      <c r="AG250" s="454"/>
      <c r="AH250" s="454"/>
      <c r="AI250" s="454"/>
      <c r="AJ250" s="457"/>
      <c r="AK250" s="454"/>
      <c r="AL250" s="454"/>
    </row>
    <row r="251" spans="1:39" s="522" customFormat="1" ht="15.75" x14ac:dyDescent="0.25">
      <c r="A251" s="536"/>
      <c r="B251" s="533"/>
      <c r="C251" s="534"/>
      <c r="D251" s="535"/>
      <c r="R251" s="519"/>
      <c r="V251" s="538"/>
      <c r="W251" s="666"/>
      <c r="X251" s="469" t="s">
        <v>389</v>
      </c>
      <c r="Y251" s="470">
        <f>AK253</f>
        <v>2.95</v>
      </c>
      <c r="Z251" s="459" t="s">
        <v>100</v>
      </c>
      <c r="AA251" s="460"/>
      <c r="AB251" s="461">
        <v>400</v>
      </c>
      <c r="AC251" s="471" t="s">
        <v>390</v>
      </c>
      <c r="AD251" s="462"/>
      <c r="AE251" s="467">
        <f t="shared" si="183"/>
        <v>1180</v>
      </c>
      <c r="AF251" s="456"/>
      <c r="AG251" s="454"/>
      <c r="AH251" s="454"/>
      <c r="AI251" s="454"/>
      <c r="AJ251" s="457"/>
      <c r="AK251" s="454"/>
      <c r="AL251" s="454"/>
    </row>
    <row r="252" spans="1:39" s="522" customFormat="1" ht="15.75" x14ac:dyDescent="0.25">
      <c r="A252" s="536"/>
      <c r="B252" s="533"/>
      <c r="C252" s="534"/>
      <c r="D252" s="535"/>
      <c r="R252" s="519"/>
      <c r="V252" s="538"/>
      <c r="W252" s="666"/>
      <c r="X252" s="469" t="s">
        <v>391</v>
      </c>
      <c r="Y252" s="470">
        <f>AL253</f>
        <v>3.6500000000000004</v>
      </c>
      <c r="Z252" s="459" t="s">
        <v>100</v>
      </c>
      <c r="AA252" s="460"/>
      <c r="AB252" s="461">
        <v>400</v>
      </c>
      <c r="AC252" s="471" t="s">
        <v>390</v>
      </c>
      <c r="AD252" s="462"/>
      <c r="AE252" s="467">
        <f t="shared" si="183"/>
        <v>1460.0000000000002</v>
      </c>
      <c r="AF252" s="456"/>
      <c r="AG252" s="454"/>
      <c r="AH252" s="454"/>
      <c r="AI252" s="454"/>
      <c r="AJ252" s="457"/>
      <c r="AK252" s="454"/>
      <c r="AL252" s="454"/>
    </row>
    <row r="253" spans="1:39" s="522" customFormat="1" ht="15.75" x14ac:dyDescent="0.25">
      <c r="A253" s="532" t="s">
        <v>20</v>
      </c>
      <c r="B253" s="533"/>
      <c r="C253" s="534"/>
      <c r="D253" s="535"/>
      <c r="R253" s="519"/>
      <c r="V253" s="538"/>
      <c r="W253" s="666"/>
      <c r="X253" s="469" t="s">
        <v>392</v>
      </c>
      <c r="Y253" s="472">
        <v>1</v>
      </c>
      <c r="Z253" s="459" t="s">
        <v>393</v>
      </c>
      <c r="AA253" s="462"/>
      <c r="AB253" s="461">
        <v>500</v>
      </c>
      <c r="AC253" s="471" t="s">
        <v>394</v>
      </c>
      <c r="AD253" s="462"/>
      <c r="AE253" s="463">
        <f t="shared" si="183"/>
        <v>500</v>
      </c>
      <c r="AF253" s="456"/>
      <c r="AG253" s="454"/>
      <c r="AH253" s="454"/>
      <c r="AI253" s="473">
        <f>SUM(AI245:AI249)</f>
        <v>1.8412500000000001</v>
      </c>
      <c r="AJ253" s="473">
        <f>SUM(AJ245:AJ249)</f>
        <v>8.9150000000000009</v>
      </c>
      <c r="AK253" s="473">
        <f>SUM(AK245:AK248)</f>
        <v>2.95</v>
      </c>
      <c r="AL253" s="473">
        <f>SUM(AL245:AL249)</f>
        <v>3.6500000000000004</v>
      </c>
    </row>
    <row r="254" spans="1:39" s="522" customFormat="1" ht="15.75" x14ac:dyDescent="0.25">
      <c r="A254" s="532" t="s">
        <v>349</v>
      </c>
      <c r="B254" s="533"/>
      <c r="C254" s="534"/>
      <c r="D254" s="535"/>
      <c r="R254" s="519"/>
      <c r="V254" s="538"/>
      <c r="W254" s="464"/>
      <c r="X254" s="465"/>
      <c r="Y254" s="459"/>
      <c r="Z254" s="459"/>
      <c r="AA254" s="462"/>
      <c r="AB254" s="459"/>
      <c r="AC254" s="462" t="s">
        <v>395</v>
      </c>
      <c r="AD254" s="462" t="s">
        <v>384</v>
      </c>
      <c r="AE254" s="466">
        <f>SUM(AE249:AE253)</f>
        <v>4768</v>
      </c>
      <c r="AF254" s="456"/>
      <c r="AG254" s="454"/>
      <c r="AH254" s="454"/>
      <c r="AI254" s="454"/>
      <c r="AJ254" s="457"/>
      <c r="AK254" s="454"/>
      <c r="AL254" s="454"/>
    </row>
    <row r="255" spans="1:39" s="528" customFormat="1" ht="15.75" thickBot="1" x14ac:dyDescent="0.3">
      <c r="A255" s="521"/>
      <c r="B255" s="526"/>
      <c r="C255" s="527"/>
      <c r="E255" s="529"/>
      <c r="F255" s="530"/>
      <c r="G255" s="541"/>
      <c r="H255" s="542"/>
      <c r="Q255" s="523"/>
      <c r="R255" s="520"/>
      <c r="T255" s="523"/>
      <c r="V255" s="531"/>
      <c r="W255" s="464"/>
      <c r="X255" s="465"/>
      <c r="Y255" s="459"/>
      <c r="Z255" s="459"/>
      <c r="AA255" s="462"/>
      <c r="AB255" s="459"/>
      <c r="AC255" s="462" t="s">
        <v>396</v>
      </c>
      <c r="AD255" s="462" t="s">
        <v>384</v>
      </c>
      <c r="AE255" s="474">
        <f>AE247+AE254</f>
        <v>9849.8499999999985</v>
      </c>
      <c r="AF255" s="456"/>
      <c r="AG255" s="454"/>
      <c r="AH255" s="454"/>
      <c r="AI255" s="454"/>
      <c r="AJ255" s="457"/>
      <c r="AK255" s="454"/>
      <c r="AL255" s="454"/>
    </row>
    <row r="256" spans="1:39" s="528" customFormat="1" ht="16.5" thickTop="1" x14ac:dyDescent="0.25">
      <c r="A256" s="521"/>
      <c r="B256" s="526"/>
      <c r="C256" s="527"/>
      <c r="E256" s="529"/>
      <c r="F256" s="530"/>
      <c r="G256" s="541"/>
      <c r="H256" s="542"/>
      <c r="I256" s="542"/>
      <c r="J256" s="671"/>
      <c r="K256" s="671"/>
      <c r="L256" s="429"/>
      <c r="M256" s="428"/>
      <c r="N256" s="426"/>
      <c r="O256" s="422"/>
      <c r="P256" s="422"/>
      <c r="Q256" s="523"/>
      <c r="R256" s="520"/>
      <c r="T256" s="523"/>
      <c r="V256" s="531"/>
      <c r="W256" s="464"/>
      <c r="X256" s="465"/>
      <c r="Y256" s="459"/>
      <c r="Z256" s="459"/>
      <c r="AA256" s="462"/>
      <c r="AB256" s="459"/>
      <c r="AC256" s="462"/>
      <c r="AD256" s="462"/>
      <c r="AE256" s="467"/>
      <c r="AF256" s="456"/>
      <c r="AG256" s="454"/>
      <c r="AH256" s="454"/>
      <c r="AI256" s="454"/>
      <c r="AJ256" s="457"/>
      <c r="AK256" s="454"/>
      <c r="AL256" s="454"/>
    </row>
    <row r="257" spans="1:38" s="528" customFormat="1" ht="15.75" x14ac:dyDescent="0.25">
      <c r="A257" s="521"/>
      <c r="B257" s="526"/>
      <c r="C257" s="527"/>
      <c r="E257" s="529"/>
      <c r="F257" s="530"/>
      <c r="G257" s="541"/>
      <c r="H257" s="542"/>
      <c r="I257" s="542"/>
      <c r="J257" s="671"/>
      <c r="K257" s="671"/>
      <c r="L257" s="429"/>
      <c r="M257" s="428"/>
      <c r="N257" s="426"/>
      <c r="O257" s="422"/>
      <c r="P257" s="422"/>
      <c r="Q257" s="523"/>
      <c r="R257" s="520"/>
      <c r="T257" s="523"/>
      <c r="V257" s="531"/>
      <c r="W257" s="464"/>
      <c r="X257" s="465"/>
      <c r="Y257" s="459"/>
      <c r="Z257" s="459"/>
      <c r="AA257" s="462"/>
      <c r="AB257" s="459"/>
      <c r="AC257" s="462"/>
      <c r="AD257" s="462"/>
      <c r="AE257" s="467"/>
      <c r="AF257" s="456"/>
      <c r="AG257" s="454"/>
      <c r="AH257" s="454"/>
      <c r="AI257" s="454"/>
      <c r="AJ257" s="457"/>
      <c r="AK257" s="454"/>
      <c r="AL257" s="454"/>
    </row>
    <row r="258" spans="1:38" s="528" customFormat="1" ht="15.75" x14ac:dyDescent="0.25">
      <c r="A258" s="521"/>
      <c r="B258" s="526"/>
      <c r="C258" s="527"/>
      <c r="E258" s="529"/>
      <c r="F258" s="530"/>
      <c r="G258" s="541"/>
      <c r="H258" s="542"/>
      <c r="I258" s="542"/>
      <c r="J258" s="671"/>
      <c r="K258" s="671"/>
      <c r="L258" s="429"/>
      <c r="M258" s="428"/>
      <c r="N258" s="426"/>
      <c r="O258" s="422"/>
      <c r="P258" s="422"/>
      <c r="Q258" s="523"/>
      <c r="R258" s="520"/>
      <c r="T258" s="523"/>
      <c r="V258" s="531"/>
      <c r="W258" s="666" t="s">
        <v>4</v>
      </c>
      <c r="X258" s="666" t="s">
        <v>7</v>
      </c>
      <c r="Y258" s="666" t="s">
        <v>6</v>
      </c>
      <c r="Z258" s="666" t="s">
        <v>5</v>
      </c>
      <c r="AA258" s="896" t="s">
        <v>380</v>
      </c>
      <c r="AB258" s="896"/>
      <c r="AC258" s="896"/>
      <c r="AD258" s="896" t="s">
        <v>381</v>
      </c>
      <c r="AE258" s="896"/>
      <c r="AF258" s="453"/>
      <c r="AG258" s="454"/>
      <c r="AH258" s="454"/>
      <c r="AI258" s="454"/>
      <c r="AJ258" s="454"/>
      <c r="AK258" s="454" t="s">
        <v>397</v>
      </c>
      <c r="AL258" s="454" t="s">
        <v>398</v>
      </c>
    </row>
    <row r="259" spans="1:38" s="528" customFormat="1" x14ac:dyDescent="0.25">
      <c r="A259" s="19"/>
      <c r="B259" s="526"/>
      <c r="C259" s="527"/>
      <c r="E259" s="529"/>
      <c r="F259" s="530"/>
      <c r="G259" s="541"/>
      <c r="H259" s="542"/>
      <c r="I259" s="519"/>
      <c r="J259" s="519"/>
      <c r="K259" s="519"/>
      <c r="L259" s="519"/>
      <c r="M259" s="520"/>
      <c r="N259" s="520"/>
      <c r="O259" s="520"/>
      <c r="P259" s="520"/>
      <c r="Q259" s="523"/>
      <c r="R259" s="523"/>
      <c r="T259" s="523"/>
      <c r="V259" s="531"/>
      <c r="W259" s="455" t="s">
        <v>402</v>
      </c>
      <c r="X259" s="666"/>
      <c r="Y259" s="666"/>
      <c r="Z259" s="666"/>
      <c r="AA259" s="666"/>
      <c r="AB259" s="666"/>
      <c r="AC259" s="666"/>
      <c r="AD259" s="666"/>
      <c r="AE259" s="666"/>
      <c r="AF259" s="456"/>
      <c r="AG259" s="456">
        <v>0.6</v>
      </c>
      <c r="AH259" s="457">
        <v>3.2</v>
      </c>
      <c r="AI259" s="454">
        <f>AG259*AH259</f>
        <v>1.92</v>
      </c>
      <c r="AJ259" s="457">
        <f>AG259+AH259</f>
        <v>3.8000000000000003</v>
      </c>
      <c r="AK259" s="454">
        <v>0.6</v>
      </c>
      <c r="AL259" s="454">
        <v>0.1</v>
      </c>
    </row>
    <row r="260" spans="1:38" s="528" customFormat="1" ht="15.75" x14ac:dyDescent="0.25">
      <c r="A260" s="521"/>
      <c r="B260" s="526"/>
      <c r="C260" s="527"/>
      <c r="E260" s="529"/>
      <c r="F260" s="530"/>
      <c r="G260" s="541"/>
      <c r="H260" s="542"/>
      <c r="I260" s="522"/>
      <c r="J260" s="417"/>
      <c r="K260" s="417"/>
      <c r="L260" s="670"/>
      <c r="M260" s="419"/>
      <c r="N260" s="420" t="s">
        <v>178</v>
      </c>
      <c r="O260" s="420"/>
      <c r="P260" s="420">
        <f>L243</f>
        <v>6993259.6077013928</v>
      </c>
      <c r="Q260" s="523"/>
      <c r="R260" s="523"/>
      <c r="T260" s="523"/>
      <c r="V260" s="531"/>
      <c r="W260" s="666" t="s">
        <v>9</v>
      </c>
      <c r="X260" s="666" t="s">
        <v>382</v>
      </c>
      <c r="Y260" s="458">
        <f>+Y263*1.2</f>
        <v>3.0816000000000003</v>
      </c>
      <c r="Z260" s="459" t="s">
        <v>383</v>
      </c>
      <c r="AA260" s="460" t="s">
        <v>384</v>
      </c>
      <c r="AB260" s="461">
        <v>2300</v>
      </c>
      <c r="AC260" s="459" t="s">
        <v>385</v>
      </c>
      <c r="AD260" s="462" t="s">
        <v>384</v>
      </c>
      <c r="AE260" s="463">
        <f>Y260*AB260</f>
        <v>7087.6800000000012</v>
      </c>
      <c r="AF260" s="456"/>
      <c r="AG260" s="454">
        <v>0.1</v>
      </c>
      <c r="AH260" s="454">
        <v>3.2</v>
      </c>
      <c r="AI260" s="454">
        <f>AG260*AH260</f>
        <v>0.32000000000000006</v>
      </c>
      <c r="AJ260" s="457">
        <f t="shared" ref="AJ260" si="184">AG260+AH260</f>
        <v>3.3000000000000003</v>
      </c>
      <c r="AK260" s="454">
        <v>3.2</v>
      </c>
      <c r="AL260" s="454">
        <v>0.6</v>
      </c>
    </row>
    <row r="261" spans="1:38" s="528" customFormat="1" ht="15.75" x14ac:dyDescent="0.25">
      <c r="A261" s="521"/>
      <c r="B261" s="526"/>
      <c r="C261" s="527"/>
      <c r="E261" s="529"/>
      <c r="F261" s="530"/>
      <c r="G261" s="541"/>
      <c r="H261" s="542"/>
      <c r="I261" s="522"/>
      <c r="J261" s="421"/>
      <c r="K261" s="421"/>
      <c r="L261" s="670"/>
      <c r="M261" s="420"/>
      <c r="N261" s="422"/>
      <c r="O261" s="422"/>
      <c r="P261" s="422"/>
      <c r="Q261" s="523"/>
      <c r="R261" s="523"/>
      <c r="T261" s="523"/>
      <c r="V261" s="531"/>
      <c r="W261" s="464"/>
      <c r="X261" s="465"/>
      <c r="Y261" s="459"/>
      <c r="Z261" s="459"/>
      <c r="AA261" s="460"/>
      <c r="AB261" s="459"/>
      <c r="AC261" s="462" t="s">
        <v>386</v>
      </c>
      <c r="AD261" s="462" t="s">
        <v>384</v>
      </c>
      <c r="AE261" s="466">
        <f>SUM(AE260:AE260)</f>
        <v>7087.6800000000012</v>
      </c>
      <c r="AF261" s="456"/>
      <c r="AG261" s="454">
        <v>0.1</v>
      </c>
      <c r="AH261" s="454">
        <v>0.6</v>
      </c>
      <c r="AI261" s="454">
        <f>AG261*AH261</f>
        <v>0.06</v>
      </c>
      <c r="AJ261" s="457">
        <f>AG261+AH261</f>
        <v>0.7</v>
      </c>
      <c r="AK261" s="454">
        <v>0.1</v>
      </c>
      <c r="AL261" s="454">
        <v>3.2</v>
      </c>
    </row>
    <row r="262" spans="1:38" s="528" customFormat="1" ht="15.75" x14ac:dyDescent="0.25">
      <c r="A262" s="521"/>
      <c r="B262" s="526"/>
      <c r="C262" s="527"/>
      <c r="E262" s="529"/>
      <c r="F262" s="530"/>
      <c r="G262" s="541"/>
      <c r="H262" s="542"/>
      <c r="I262" s="522"/>
      <c r="J262" s="921" t="s">
        <v>179</v>
      </c>
      <c r="K262" s="921"/>
      <c r="L262" s="423" t="s">
        <v>180</v>
      </c>
      <c r="M262" s="420" t="s">
        <v>181</v>
      </c>
      <c r="N262" s="424">
        <f>P260*0.03</f>
        <v>209797.78823104178</v>
      </c>
      <c r="O262" s="422"/>
      <c r="P262" s="422">
        <f>N262+P260</f>
        <v>7203057.3959324351</v>
      </c>
      <c r="Q262" s="523"/>
      <c r="R262" s="523"/>
      <c r="T262" s="523"/>
      <c r="V262" s="531"/>
      <c r="W262" s="464"/>
      <c r="X262" s="465"/>
      <c r="Y262" s="459"/>
      <c r="Z262" s="459"/>
      <c r="AA262" s="460"/>
      <c r="AB262" s="459"/>
      <c r="AC262" s="462"/>
      <c r="AD262" s="462"/>
      <c r="AE262" s="467"/>
      <c r="AF262" s="456"/>
      <c r="AG262" s="454">
        <v>0.1</v>
      </c>
      <c r="AH262" s="454">
        <v>0.6</v>
      </c>
      <c r="AI262" s="454">
        <f>AG262*AH262</f>
        <v>0.06</v>
      </c>
      <c r="AJ262" s="457">
        <f>AG262+AH262</f>
        <v>0.7</v>
      </c>
      <c r="AK262" s="454"/>
      <c r="AL262" s="454">
        <v>0.6</v>
      </c>
    </row>
    <row r="263" spans="1:38" s="528" customFormat="1" ht="15.75" x14ac:dyDescent="0.25">
      <c r="A263" s="521"/>
      <c r="B263" s="526"/>
      <c r="C263" s="527"/>
      <c r="E263" s="529"/>
      <c r="F263" s="530"/>
      <c r="G263" s="541"/>
      <c r="H263" s="542"/>
      <c r="I263" s="522"/>
      <c r="J263" s="921" t="s">
        <v>182</v>
      </c>
      <c r="K263" s="921"/>
      <c r="L263" s="423" t="s">
        <v>180</v>
      </c>
      <c r="M263" s="420" t="s">
        <v>183</v>
      </c>
      <c r="N263" s="424">
        <f>SUM(L262:L310)</f>
        <v>328828.34994462901</v>
      </c>
      <c r="O263" s="422"/>
      <c r="P263" s="422">
        <f>P262+N263</f>
        <v>7531885.7458770638</v>
      </c>
      <c r="Q263" s="523"/>
      <c r="R263" s="523"/>
      <c r="T263" s="523"/>
      <c r="V263" s="531"/>
      <c r="W263" s="666" t="s">
        <v>10</v>
      </c>
      <c r="X263" s="469" t="s">
        <v>387</v>
      </c>
      <c r="Y263" s="470">
        <f>AI267</f>
        <v>2.5680000000000005</v>
      </c>
      <c r="Z263" s="459" t="s">
        <v>383</v>
      </c>
      <c r="AA263" s="460" t="s">
        <v>384</v>
      </c>
      <c r="AB263" s="461">
        <v>400</v>
      </c>
      <c r="AC263" s="459" t="s">
        <v>385</v>
      </c>
      <c r="AD263" s="462" t="s">
        <v>384</v>
      </c>
      <c r="AE263" s="467">
        <f t="shared" ref="AE263:AE267" si="185">Y263*AB263</f>
        <v>1027.2000000000003</v>
      </c>
      <c r="AF263" s="456"/>
      <c r="AG263" s="454">
        <v>6.5000000000000002E-2</v>
      </c>
      <c r="AH263" s="454">
        <v>3.2</v>
      </c>
      <c r="AI263" s="454">
        <f>AG263*AH263</f>
        <v>0.20800000000000002</v>
      </c>
      <c r="AJ263" s="457">
        <f>AG263+AH263</f>
        <v>3.2650000000000001</v>
      </c>
      <c r="AK263" s="454"/>
      <c r="AL263" s="454">
        <v>0.1</v>
      </c>
    </row>
    <row r="264" spans="1:38" s="528" customFormat="1" ht="15.75" x14ac:dyDescent="0.25">
      <c r="A264" s="521"/>
      <c r="B264" s="526"/>
      <c r="C264" s="527"/>
      <c r="E264" s="529"/>
      <c r="F264" s="530"/>
      <c r="G264" s="541"/>
      <c r="H264" s="542"/>
      <c r="I264" s="522"/>
      <c r="J264" s="921" t="s">
        <v>184</v>
      </c>
      <c r="K264" s="921"/>
      <c r="L264" s="423" t="s">
        <v>161</v>
      </c>
      <c r="M264" s="420" t="s">
        <v>185</v>
      </c>
      <c r="N264" s="424"/>
      <c r="O264" s="422"/>
      <c r="P264" s="422">
        <f>P263+N264</f>
        <v>7531885.7458770638</v>
      </c>
      <c r="Q264" s="523"/>
      <c r="R264" s="523"/>
      <c r="T264" s="523"/>
      <c r="V264" s="531"/>
      <c r="W264" s="666"/>
      <c r="X264" s="469" t="s">
        <v>388</v>
      </c>
      <c r="Y264" s="470">
        <f>AJ267</f>
        <v>11.765000000000001</v>
      </c>
      <c r="Z264" s="459" t="s">
        <v>383</v>
      </c>
      <c r="AA264" s="460"/>
      <c r="AB264" s="461">
        <v>100</v>
      </c>
      <c r="AC264" s="459" t="s">
        <v>385</v>
      </c>
      <c r="AD264" s="462"/>
      <c r="AE264" s="467">
        <f t="shared" si="185"/>
        <v>1176.5</v>
      </c>
      <c r="AF264" s="456"/>
      <c r="AG264" s="454"/>
      <c r="AH264" s="454"/>
      <c r="AI264" s="454"/>
      <c r="AJ264" s="457"/>
      <c r="AK264" s="454"/>
      <c r="AL264" s="454"/>
    </row>
    <row r="265" spans="1:38" s="528" customFormat="1" ht="15.75" x14ac:dyDescent="0.25">
      <c r="A265" s="521"/>
      <c r="B265" s="526"/>
      <c r="C265" s="527"/>
      <c r="E265" s="529"/>
      <c r="F265" s="530"/>
      <c r="G265" s="541"/>
      <c r="H265" s="542"/>
      <c r="I265" s="522"/>
      <c r="J265" s="921" t="s">
        <v>186</v>
      </c>
      <c r="K265" s="921"/>
      <c r="L265" s="423" t="s">
        <v>161</v>
      </c>
      <c r="M265" s="420" t="s">
        <v>187</v>
      </c>
      <c r="N265" s="424">
        <f>P264*0.15</f>
        <v>1129782.8618815595</v>
      </c>
      <c r="O265" s="422"/>
      <c r="P265" s="422">
        <f>P264+N265</f>
        <v>8661668.6077586226</v>
      </c>
      <c r="Q265" s="523"/>
      <c r="R265" s="523"/>
      <c r="T265" s="523"/>
      <c r="V265" s="531"/>
      <c r="W265" s="666"/>
      <c r="X265" s="469" t="s">
        <v>389</v>
      </c>
      <c r="Y265" s="470">
        <f>AK267</f>
        <v>3.9000000000000004</v>
      </c>
      <c r="Z265" s="459" t="s">
        <v>100</v>
      </c>
      <c r="AA265" s="460"/>
      <c r="AB265" s="461">
        <v>400</v>
      </c>
      <c r="AC265" s="471" t="s">
        <v>390</v>
      </c>
      <c r="AD265" s="462"/>
      <c r="AE265" s="467">
        <f t="shared" si="185"/>
        <v>1560.0000000000002</v>
      </c>
      <c r="AF265" s="456"/>
      <c r="AG265" s="454"/>
      <c r="AH265" s="454"/>
      <c r="AI265" s="454"/>
      <c r="AJ265" s="457"/>
      <c r="AK265" s="454"/>
      <c r="AL265" s="454"/>
    </row>
    <row r="266" spans="1:38" s="528" customFormat="1" ht="15.75" x14ac:dyDescent="0.25">
      <c r="A266" s="521"/>
      <c r="B266" s="526"/>
      <c r="C266" s="527"/>
      <c r="E266" s="529"/>
      <c r="F266" s="530"/>
      <c r="G266" s="541"/>
      <c r="H266" s="542"/>
      <c r="I266" s="522" t="s">
        <v>495</v>
      </c>
      <c r="J266" s="921" t="s">
        <v>188</v>
      </c>
      <c r="K266" s="921"/>
      <c r="L266" s="425"/>
      <c r="M266" s="420" t="s">
        <v>190</v>
      </c>
      <c r="N266" s="424">
        <f>P265*0.1</f>
        <v>866166.86077586235</v>
      </c>
      <c r="O266" s="422"/>
      <c r="P266" s="422">
        <f>P265+N266</f>
        <v>9527835.4685344845</v>
      </c>
      <c r="Q266" s="523"/>
      <c r="R266" s="523">
        <f>M243-P266</f>
        <v>222164.66046347469</v>
      </c>
      <c r="T266" s="523"/>
      <c r="V266" s="531"/>
      <c r="W266" s="666"/>
      <c r="X266" s="469" t="s">
        <v>391</v>
      </c>
      <c r="Y266" s="470">
        <f>AL267</f>
        <v>4.5999999999999996</v>
      </c>
      <c r="Z266" s="459" t="s">
        <v>100</v>
      </c>
      <c r="AA266" s="460"/>
      <c r="AB266" s="461">
        <v>400</v>
      </c>
      <c r="AC266" s="471" t="s">
        <v>390</v>
      </c>
      <c r="AD266" s="462"/>
      <c r="AE266" s="467">
        <f t="shared" si="185"/>
        <v>1839.9999999999998</v>
      </c>
      <c r="AF266" s="456"/>
      <c r="AG266" s="454"/>
      <c r="AH266" s="454"/>
      <c r="AI266" s="454"/>
      <c r="AJ266" s="457"/>
      <c r="AK266" s="454"/>
      <c r="AL266" s="454"/>
    </row>
    <row r="267" spans="1:38" s="528" customFormat="1" ht="15.75" x14ac:dyDescent="0.25">
      <c r="A267" s="521"/>
      <c r="B267" s="526"/>
      <c r="C267" s="527"/>
      <c r="E267" s="529"/>
      <c r="F267" s="530"/>
      <c r="G267" s="541"/>
      <c r="H267" s="542"/>
      <c r="I267" s="542"/>
      <c r="J267" s="924" t="s">
        <v>191</v>
      </c>
      <c r="K267" s="924"/>
      <c r="L267" s="429" t="s">
        <v>180</v>
      </c>
      <c r="M267" s="428"/>
      <c r="N267" s="426"/>
      <c r="O267" s="422"/>
      <c r="P267" s="422"/>
      <c r="Q267" s="523"/>
      <c r="R267" s="523"/>
      <c r="T267" s="523"/>
      <c r="V267" s="531"/>
      <c r="W267" s="666"/>
      <c r="X267" s="469" t="s">
        <v>392</v>
      </c>
      <c r="Y267" s="472">
        <v>1</v>
      </c>
      <c r="Z267" s="459" t="s">
        <v>393</v>
      </c>
      <c r="AA267" s="462"/>
      <c r="AB267" s="461">
        <v>500</v>
      </c>
      <c r="AC267" s="471" t="s">
        <v>394</v>
      </c>
      <c r="AD267" s="462"/>
      <c r="AE267" s="463">
        <f t="shared" si="185"/>
        <v>500</v>
      </c>
      <c r="AF267" s="456"/>
      <c r="AG267" s="454"/>
      <c r="AH267" s="454"/>
      <c r="AI267" s="473">
        <f>SUM(AI259:AI263)</f>
        <v>2.5680000000000005</v>
      </c>
      <c r="AJ267" s="473">
        <f>SUM(AJ259:AJ263)</f>
        <v>11.765000000000001</v>
      </c>
      <c r="AK267" s="473">
        <f>SUM(AK259:AK262)</f>
        <v>3.9000000000000004</v>
      </c>
      <c r="AL267" s="473">
        <f>SUM(AL259:AL263)</f>
        <v>4.5999999999999996</v>
      </c>
    </row>
    <row r="268" spans="1:38" s="528" customFormat="1" ht="15.75" x14ac:dyDescent="0.25">
      <c r="A268" s="521"/>
      <c r="B268" s="526"/>
      <c r="C268" s="527"/>
      <c r="E268" s="529"/>
      <c r="F268" s="530"/>
      <c r="G268" s="541"/>
      <c r="H268" s="542"/>
      <c r="I268" s="542"/>
      <c r="J268" s="924" t="s">
        <v>472</v>
      </c>
      <c r="K268" s="924"/>
      <c r="L268" s="429">
        <f>4*17000/1.05</f>
        <v>64761.904761904756</v>
      </c>
      <c r="M268" s="428" t="s">
        <v>193</v>
      </c>
      <c r="N268" s="426">
        <f>SUM(N262:N266)</f>
        <v>2534575.8608330926</v>
      </c>
      <c r="O268" s="427"/>
      <c r="P268" s="428">
        <v>9749328</v>
      </c>
      <c r="Q268" s="523"/>
      <c r="R268" s="523"/>
      <c r="T268" s="523"/>
      <c r="V268" s="531"/>
      <c r="W268" s="464"/>
      <c r="X268" s="465"/>
      <c r="Y268" s="459"/>
      <c r="Z268" s="459"/>
      <c r="AA268" s="462"/>
      <c r="AB268" s="459"/>
      <c r="AC268" s="462" t="s">
        <v>395</v>
      </c>
      <c r="AD268" s="462" t="s">
        <v>384</v>
      </c>
      <c r="AE268" s="466">
        <f>SUM(AE263:AE267)</f>
        <v>6103.7000000000007</v>
      </c>
      <c r="AF268" s="456"/>
      <c r="AG268" s="454"/>
      <c r="AH268" s="454"/>
      <c r="AI268" s="454"/>
      <c r="AJ268" s="457"/>
      <c r="AK268" s="454"/>
      <c r="AL268" s="454"/>
    </row>
    <row r="269" spans="1:38" s="528" customFormat="1" ht="16.5" thickBot="1" x14ac:dyDescent="0.3">
      <c r="A269" s="521"/>
      <c r="B269" s="526"/>
      <c r="C269" s="527"/>
      <c r="E269" s="529"/>
      <c r="F269" s="530"/>
      <c r="G269" s="541"/>
      <c r="H269" s="542"/>
      <c r="I269" s="542"/>
      <c r="J269" s="924" t="s">
        <v>194</v>
      </c>
      <c r="K269" s="924"/>
      <c r="L269" s="429">
        <v>30000</v>
      </c>
      <c r="M269" s="428" t="s">
        <v>195</v>
      </c>
      <c r="N269" s="426">
        <f>SUM(N262:N267)</f>
        <v>2534575.8608330926</v>
      </c>
      <c r="O269" s="427"/>
      <c r="P269" s="428">
        <f>P268-P266</f>
        <v>221492.53146551549</v>
      </c>
      <c r="Q269" s="523"/>
      <c r="R269" s="523"/>
      <c r="T269" s="523"/>
      <c r="V269" s="531"/>
      <c r="W269" s="464"/>
      <c r="X269" s="465"/>
      <c r="Y269" s="459"/>
      <c r="Z269" s="459"/>
      <c r="AA269" s="462"/>
      <c r="AB269" s="459"/>
      <c r="AC269" s="462" t="s">
        <v>396</v>
      </c>
      <c r="AD269" s="462" t="s">
        <v>384</v>
      </c>
      <c r="AE269" s="474">
        <f>AE261+AE268</f>
        <v>13191.380000000001</v>
      </c>
      <c r="AF269" s="456"/>
      <c r="AG269" s="454"/>
      <c r="AH269" s="454"/>
      <c r="AI269" s="454"/>
      <c r="AJ269" s="457"/>
      <c r="AK269" s="454"/>
      <c r="AL269" s="454"/>
    </row>
    <row r="270" spans="1:38" s="528" customFormat="1" ht="16.5" thickTop="1" x14ac:dyDescent="0.25">
      <c r="A270" s="521"/>
      <c r="B270" s="526"/>
      <c r="C270" s="527"/>
      <c r="E270" s="529"/>
      <c r="F270" s="530"/>
      <c r="G270" s="541"/>
      <c r="H270" s="542"/>
      <c r="I270" s="542"/>
      <c r="J270" s="924" t="s">
        <v>196</v>
      </c>
      <c r="K270" s="924"/>
      <c r="L270" s="429">
        <v>15000</v>
      </c>
      <c r="M270" s="428"/>
      <c r="N270" s="427"/>
      <c r="O270" s="422"/>
      <c r="P270" s="420"/>
      <c r="Q270" s="523"/>
      <c r="R270" s="523"/>
      <c r="T270" s="523"/>
      <c r="V270" s="531"/>
    </row>
    <row r="271" spans="1:38" s="528" customFormat="1" ht="15.75" x14ac:dyDescent="0.25">
      <c r="A271" s="521"/>
      <c r="B271" s="526"/>
      <c r="C271" s="527"/>
      <c r="E271" s="529"/>
      <c r="F271" s="530"/>
      <c r="G271" s="521"/>
      <c r="H271" s="522"/>
      <c r="I271" s="522"/>
      <c r="J271" s="921" t="s">
        <v>197</v>
      </c>
      <c r="K271" s="921"/>
      <c r="L271" s="423">
        <v>18000</v>
      </c>
      <c r="M271" s="428"/>
      <c r="N271" s="422"/>
      <c r="O271" s="422"/>
      <c r="P271" s="422"/>
      <c r="Q271" s="523"/>
      <c r="R271" s="523"/>
      <c r="T271" s="523"/>
      <c r="V271" s="531"/>
    </row>
    <row r="272" spans="1:38" s="528" customFormat="1" ht="15.75" x14ac:dyDescent="0.25">
      <c r="A272" s="521"/>
      <c r="B272" s="526"/>
      <c r="C272" s="527"/>
      <c r="E272" s="529"/>
      <c r="F272" s="530"/>
      <c r="G272" s="521"/>
      <c r="H272" s="522"/>
      <c r="I272" s="522"/>
      <c r="J272" s="921" t="s">
        <v>198</v>
      </c>
      <c r="K272" s="921"/>
      <c r="L272" s="423">
        <f>3*6000</f>
        <v>18000</v>
      </c>
      <c r="M272" s="422"/>
      <c r="N272" s="422"/>
      <c r="O272" s="422"/>
      <c r="P272" s="422"/>
      <c r="Q272" s="523"/>
      <c r="R272" s="523"/>
      <c r="T272" s="523"/>
      <c r="V272" s="531"/>
    </row>
    <row r="273" spans="1:38" ht="15.75" x14ac:dyDescent="0.25">
      <c r="D273" s="528"/>
      <c r="E273" s="529"/>
      <c r="F273" s="530"/>
      <c r="G273" s="521"/>
      <c r="H273" s="522"/>
      <c r="I273" s="522" t="s">
        <v>494</v>
      </c>
      <c r="J273" s="921" t="s">
        <v>199</v>
      </c>
      <c r="K273" s="921"/>
      <c r="L273" s="482"/>
      <c r="M273" s="422"/>
      <c r="N273" s="422"/>
      <c r="O273" s="422"/>
      <c r="P273" s="422"/>
      <c r="Q273" s="523"/>
      <c r="R273" s="523"/>
      <c r="S273" s="528"/>
      <c r="T273" s="523"/>
      <c r="U273" s="528"/>
      <c r="V273" s="446"/>
      <c r="AD273" s="18"/>
      <c r="AF273" s="18"/>
    </row>
    <row r="274" spans="1:38" ht="15.75" x14ac:dyDescent="0.25">
      <c r="A274" s="18"/>
      <c r="B274" s="18"/>
      <c r="C274" s="18"/>
      <c r="D274" s="528"/>
      <c r="E274" s="529"/>
      <c r="F274" s="530"/>
      <c r="G274" s="521"/>
      <c r="H274" s="522"/>
      <c r="I274" s="522"/>
      <c r="J274" s="921" t="s">
        <v>200</v>
      </c>
      <c r="K274" s="921"/>
      <c r="L274" s="425">
        <f>4*10000/1.075</f>
        <v>37209.302325581397</v>
      </c>
      <c r="M274" s="422"/>
      <c r="N274" s="422"/>
      <c r="O274" s="422"/>
      <c r="P274" s="422"/>
      <c r="Q274" s="523"/>
      <c r="R274" s="523"/>
      <c r="S274" s="528"/>
      <c r="T274" s="523"/>
      <c r="U274" s="528"/>
      <c r="V274" s="446"/>
      <c r="AD274" s="18"/>
      <c r="AF274" s="18"/>
    </row>
    <row r="275" spans="1:38" ht="15.75" x14ac:dyDescent="0.25">
      <c r="A275" s="18"/>
      <c r="B275" s="18"/>
      <c r="C275" s="18"/>
      <c r="D275" s="528"/>
      <c r="E275" s="529"/>
      <c r="F275" s="530"/>
      <c r="G275" s="521"/>
      <c r="H275" s="522"/>
      <c r="I275" s="522"/>
      <c r="J275" s="921" t="s">
        <v>201</v>
      </c>
      <c r="K275" s="921"/>
      <c r="L275" s="423" t="s">
        <v>180</v>
      </c>
      <c r="M275" s="422"/>
      <c r="N275" s="422"/>
      <c r="O275" s="422"/>
      <c r="P275" s="422"/>
      <c r="Q275" s="523"/>
      <c r="V275" s="446"/>
      <c r="AD275" s="18"/>
      <c r="AF275" s="18"/>
    </row>
    <row r="276" spans="1:38" ht="15.75" x14ac:dyDescent="0.25">
      <c r="A276" s="18"/>
      <c r="B276" s="18"/>
      <c r="C276" s="18"/>
      <c r="D276" s="528"/>
      <c r="E276" s="529"/>
      <c r="F276" s="530"/>
      <c r="G276" s="521"/>
      <c r="H276" s="522"/>
      <c r="I276" s="522" t="s">
        <v>494</v>
      </c>
      <c r="J276" s="921" t="s">
        <v>202</v>
      </c>
      <c r="K276" s="921"/>
      <c r="L276" s="482"/>
      <c r="M276" s="422"/>
      <c r="N276" s="422"/>
      <c r="O276" s="422"/>
      <c r="P276" s="422"/>
      <c r="Q276" s="523"/>
      <c r="V276" s="446"/>
      <c r="X276" s="877" t="s">
        <v>511</v>
      </c>
      <c r="Y276" s="877"/>
      <c r="Z276" s="877"/>
      <c r="AA276" s="662" t="s">
        <v>243</v>
      </c>
      <c r="AB276" s="662" t="s">
        <v>244</v>
      </c>
      <c r="AC276" s="662" t="s">
        <v>245</v>
      </c>
      <c r="AD276" s="123" t="s">
        <v>246</v>
      </c>
      <c r="AE276" s="196" t="s">
        <v>247</v>
      </c>
      <c r="AF276" s="662" t="s">
        <v>248</v>
      </c>
      <c r="AG276" s="212" t="s">
        <v>249</v>
      </c>
    </row>
    <row r="277" spans="1:38" ht="15.75" x14ac:dyDescent="0.25">
      <c r="A277" s="18"/>
      <c r="B277" s="18"/>
      <c r="C277" s="18"/>
      <c r="D277" s="528"/>
      <c r="E277" s="529"/>
      <c r="F277" s="530"/>
      <c r="G277" s="521"/>
      <c r="H277" s="522"/>
      <c r="I277" s="522"/>
      <c r="J277" s="921" t="s">
        <v>203</v>
      </c>
      <c r="K277" s="921"/>
      <c r="L277" s="423">
        <v>16000</v>
      </c>
      <c r="M277" s="422"/>
      <c r="N277" s="422"/>
      <c r="O277" s="422"/>
      <c r="P277" s="422"/>
      <c r="Q277" s="523"/>
      <c r="V277" s="446"/>
      <c r="X277" s="878" t="s">
        <v>512</v>
      </c>
      <c r="Y277" s="878"/>
      <c r="Z277" s="878"/>
      <c r="AA277" s="124" t="s">
        <v>513</v>
      </c>
      <c r="AB277" s="675">
        <f>(1.1*0.6)*3.28*3.28</f>
        <v>7.1005440000000002</v>
      </c>
      <c r="AC277" s="661">
        <v>8</v>
      </c>
      <c r="AD277" s="123">
        <v>200</v>
      </c>
      <c r="AE277" s="196">
        <f>AD277*AC277</f>
        <v>1600</v>
      </c>
      <c r="AF277" s="661"/>
      <c r="AG277" s="219">
        <f>AF277*AC277</f>
        <v>0</v>
      </c>
    </row>
    <row r="278" spans="1:38" ht="15.75" x14ac:dyDescent="0.25">
      <c r="A278" s="18"/>
      <c r="B278" s="18"/>
      <c r="C278" s="18"/>
      <c r="J278" s="894" t="s">
        <v>204</v>
      </c>
      <c r="K278" s="894"/>
      <c r="L278" s="423" t="s">
        <v>180</v>
      </c>
      <c r="M278" s="422"/>
      <c r="N278" s="422"/>
      <c r="O278" s="422"/>
      <c r="P278" s="422"/>
      <c r="V278" s="446"/>
      <c r="X278" s="878" t="s">
        <v>514</v>
      </c>
      <c r="Y278" s="878"/>
      <c r="Z278" s="878"/>
      <c r="AA278" s="124" t="s">
        <v>100</v>
      </c>
      <c r="AB278" s="661">
        <f>(1.1+0.6+1.1+0.6)</f>
        <v>3.4000000000000004</v>
      </c>
      <c r="AC278" s="661">
        <v>3.5</v>
      </c>
      <c r="AD278" s="123">
        <v>20</v>
      </c>
      <c r="AE278" s="196">
        <f>AD278*AC278</f>
        <v>70</v>
      </c>
      <c r="AF278" s="661"/>
      <c r="AG278" s="219">
        <f>AF278*AC278</f>
        <v>0</v>
      </c>
    </row>
    <row r="279" spans="1:38" ht="15.75" x14ac:dyDescent="0.25">
      <c r="A279" s="18"/>
      <c r="B279" s="18"/>
      <c r="C279" s="18"/>
      <c r="I279" s="2" t="s">
        <v>494</v>
      </c>
      <c r="J279" s="894" t="s">
        <v>205</v>
      </c>
      <c r="K279" s="894"/>
      <c r="L279" s="482"/>
      <c r="M279" s="422"/>
      <c r="N279" s="422"/>
      <c r="O279" s="422"/>
      <c r="P279" s="422"/>
      <c r="V279" s="446"/>
      <c r="X279" s="878" t="s">
        <v>515</v>
      </c>
      <c r="Y279" s="878"/>
      <c r="Z279" s="878"/>
      <c r="AA279" s="124" t="s">
        <v>100</v>
      </c>
      <c r="AB279" s="661">
        <f>(1.1+0.6+1.1+0.6)</f>
        <v>3.4000000000000004</v>
      </c>
      <c r="AC279" s="661">
        <v>3.5</v>
      </c>
      <c r="AD279" s="123">
        <v>16</v>
      </c>
      <c r="AE279" s="196">
        <f>AD279*AC279</f>
        <v>56</v>
      </c>
      <c r="AF279" s="661"/>
      <c r="AG279" s="219">
        <f>AF279*AC279</f>
        <v>0</v>
      </c>
    </row>
    <row r="280" spans="1:38" ht="15.75" x14ac:dyDescent="0.25">
      <c r="A280" s="18"/>
      <c r="B280" s="18"/>
      <c r="C280" s="18"/>
      <c r="I280" s="2" t="s">
        <v>494</v>
      </c>
      <c r="J280" s="894" t="s">
        <v>206</v>
      </c>
      <c r="K280" s="894"/>
      <c r="L280" s="482"/>
      <c r="M280" s="422"/>
      <c r="N280" s="422"/>
      <c r="O280" s="422"/>
      <c r="P280" s="422"/>
      <c r="V280" s="446"/>
      <c r="X280" s="878" t="s">
        <v>516</v>
      </c>
      <c r="Y280" s="878"/>
      <c r="Z280" s="878"/>
      <c r="AA280" s="124" t="s">
        <v>101</v>
      </c>
      <c r="AB280" s="675">
        <f>1.1*0.6</f>
        <v>0.66</v>
      </c>
      <c r="AC280" s="661">
        <v>0.8</v>
      </c>
      <c r="AD280" s="676">
        <f>400/2.88</f>
        <v>138.88888888888889</v>
      </c>
      <c r="AE280" s="196">
        <f t="shared" ref="AE280" si="186">AD280*AC280</f>
        <v>111.11111111111111</v>
      </c>
      <c r="AF280" s="661"/>
      <c r="AG280" s="219">
        <f t="shared" ref="AG280" si="187">AF280*AC280</f>
        <v>0</v>
      </c>
    </row>
    <row r="281" spans="1:38" ht="15.75" x14ac:dyDescent="0.25">
      <c r="A281" s="18"/>
      <c r="B281" s="18"/>
      <c r="C281" s="18"/>
      <c r="I281" s="2" t="s">
        <v>494</v>
      </c>
      <c r="J281" s="894" t="s">
        <v>473</v>
      </c>
      <c r="K281" s="894"/>
      <c r="L281" s="482"/>
      <c r="M281" s="422"/>
      <c r="N281" s="422"/>
      <c r="O281" s="422"/>
      <c r="P281" s="422"/>
      <c r="V281" s="446"/>
      <c r="X281" s="878" t="s">
        <v>379</v>
      </c>
      <c r="Y281" s="878"/>
      <c r="Z281" s="878"/>
      <c r="AA281" s="124" t="s">
        <v>301</v>
      </c>
      <c r="AB281" s="661">
        <v>1</v>
      </c>
      <c r="AC281" s="661">
        <v>1</v>
      </c>
      <c r="AD281" s="676">
        <v>500</v>
      </c>
      <c r="AE281" s="196">
        <f>AD281*AC281</f>
        <v>500</v>
      </c>
      <c r="AF281" s="661"/>
      <c r="AG281" s="219">
        <f>AF281*AC281</f>
        <v>0</v>
      </c>
    </row>
    <row r="282" spans="1:38" ht="15.75" x14ac:dyDescent="0.25">
      <c r="A282" s="18"/>
      <c r="B282" s="18"/>
      <c r="C282" s="18"/>
      <c r="I282" s="2" t="s">
        <v>494</v>
      </c>
      <c r="J282" s="894" t="s">
        <v>208</v>
      </c>
      <c r="K282" s="894"/>
      <c r="L282" s="482"/>
      <c r="M282" s="422"/>
      <c r="N282" s="422"/>
      <c r="O282" s="422"/>
      <c r="P282" s="422"/>
      <c r="V282" s="27"/>
      <c r="X282" s="878"/>
      <c r="Y282" s="878"/>
      <c r="Z282" s="878"/>
      <c r="AA282" s="124"/>
      <c r="AB282" s="661"/>
      <c r="AC282" s="661"/>
      <c r="AD282" s="123"/>
      <c r="AE282" s="212">
        <f>SUM(AE277:AE281)</f>
        <v>2337.1111111111113</v>
      </c>
      <c r="AF282" s="661"/>
      <c r="AG282" s="212">
        <f>SUM(AG277:AG281)</f>
        <v>0</v>
      </c>
    </row>
    <row r="283" spans="1:38" ht="15.75" x14ac:dyDescent="0.25">
      <c r="A283" s="18"/>
      <c r="B283" s="18"/>
      <c r="C283" s="18"/>
      <c r="I283" s="2" t="s">
        <v>496</v>
      </c>
      <c r="J283" s="894" t="s">
        <v>209</v>
      </c>
      <c r="K283" s="894"/>
      <c r="L283" s="482"/>
      <c r="M283" s="422"/>
      <c r="N283" s="422"/>
      <c r="O283" s="422"/>
      <c r="P283" s="422"/>
      <c r="V283" s="27"/>
      <c r="AD283" s="18"/>
      <c r="AF283" s="18"/>
    </row>
    <row r="284" spans="1:38" ht="15.75" x14ac:dyDescent="0.25">
      <c r="A284" s="18"/>
      <c r="B284" s="18"/>
      <c r="C284" s="18"/>
      <c r="J284" s="894" t="s">
        <v>474</v>
      </c>
      <c r="K284" s="894"/>
      <c r="L284" s="423">
        <v>15000</v>
      </c>
      <c r="M284" s="422"/>
      <c r="N284" s="422"/>
      <c r="O284" s="422"/>
      <c r="P284" s="422"/>
      <c r="V284" s="27"/>
      <c r="AD284" s="18"/>
      <c r="AF284" s="18"/>
    </row>
    <row r="285" spans="1:38" ht="15.75" x14ac:dyDescent="0.25">
      <c r="A285" s="18"/>
      <c r="B285" s="18"/>
      <c r="C285" s="18"/>
      <c r="I285" s="2" t="s">
        <v>494</v>
      </c>
      <c r="J285" s="894" t="s">
        <v>211</v>
      </c>
      <c r="K285" s="894"/>
      <c r="L285" s="482"/>
      <c r="M285" s="422"/>
      <c r="N285" s="422"/>
      <c r="O285" s="422"/>
      <c r="P285" s="422"/>
      <c r="V285" s="27"/>
      <c r="AD285" s="18"/>
      <c r="AF285" s="18"/>
    </row>
    <row r="286" spans="1:38" ht="15.75" x14ac:dyDescent="0.25">
      <c r="A286" s="18"/>
      <c r="B286" s="18"/>
      <c r="C286" s="18"/>
      <c r="J286" s="894" t="s">
        <v>212</v>
      </c>
      <c r="K286" s="894"/>
      <c r="L286" s="423">
        <v>15000</v>
      </c>
      <c r="M286" s="422"/>
      <c r="N286" s="422"/>
      <c r="O286" s="422"/>
      <c r="P286" s="422"/>
      <c r="V286" s="27"/>
    </row>
    <row r="287" spans="1:38" ht="15.75" x14ac:dyDescent="0.25">
      <c r="A287" s="18"/>
      <c r="B287" s="18"/>
      <c r="C287" s="18"/>
      <c r="J287" s="894" t="s">
        <v>475</v>
      </c>
      <c r="K287" s="894"/>
      <c r="L287" s="423">
        <f>4*12000/1.12</f>
        <v>42857.142857142855</v>
      </c>
      <c r="M287" s="422"/>
      <c r="N287" s="422"/>
      <c r="O287" s="422"/>
      <c r="P287" s="422"/>
      <c r="V287" s="27"/>
      <c r="X287" s="878" t="s">
        <v>522</v>
      </c>
      <c r="Y287" s="878"/>
      <c r="Z287" s="878"/>
      <c r="AA287" s="124" t="s">
        <v>101</v>
      </c>
      <c r="AB287" s="675">
        <f>(3.2*1.5)*2+(1*1.5)*2</f>
        <v>12.600000000000001</v>
      </c>
      <c r="AC287" s="661">
        <v>13</v>
      </c>
      <c r="AD287" s="676">
        <f>375*(3.28*3.28)/1.075</f>
        <v>3752.9302325581389</v>
      </c>
      <c r="AE287" s="196">
        <f t="shared" ref="AE287" si="188">AD287*AC287</f>
        <v>48788.093023255802</v>
      </c>
      <c r="AF287" s="677">
        <f>AD287*0.35</f>
        <v>1313.5255813953486</v>
      </c>
      <c r="AG287" s="219">
        <f t="shared" ref="AG287" si="189">AF287*AC287</f>
        <v>17075.832558139533</v>
      </c>
    </row>
    <row r="288" spans="1:38" ht="15.75" x14ac:dyDescent="0.25">
      <c r="A288" s="18"/>
      <c r="B288" s="18"/>
      <c r="C288" s="18"/>
      <c r="J288" s="894" t="s">
        <v>214</v>
      </c>
      <c r="K288" s="894"/>
      <c r="L288" s="423" t="s">
        <v>189</v>
      </c>
      <c r="M288" s="422"/>
      <c r="N288" s="422"/>
      <c r="O288" s="422"/>
      <c r="P288" s="422"/>
      <c r="V288" s="27"/>
      <c r="W288" s="397"/>
      <c r="X288" s="878" t="s">
        <v>379</v>
      </c>
      <c r="Y288" s="878"/>
      <c r="Z288" s="878"/>
      <c r="AA288" s="124" t="s">
        <v>301</v>
      </c>
      <c r="AB288" s="661">
        <v>1</v>
      </c>
      <c r="AC288" s="661">
        <v>1</v>
      </c>
      <c r="AD288" s="676">
        <v>2000</v>
      </c>
      <c r="AE288" s="196">
        <f>AD288*AC288</f>
        <v>2000</v>
      </c>
      <c r="AF288" s="661">
        <v>1000</v>
      </c>
      <c r="AG288" s="219">
        <f>AF288*AC288</f>
        <v>1000</v>
      </c>
      <c r="AH288" s="394"/>
      <c r="AI288" s="394"/>
      <c r="AJ288" s="395"/>
      <c r="AK288" s="394"/>
      <c r="AL288" s="394"/>
    </row>
    <row r="289" spans="1:44" ht="15.75" x14ac:dyDescent="0.25">
      <c r="A289" s="18"/>
      <c r="B289" s="18"/>
      <c r="C289" s="18"/>
      <c r="J289" s="894" t="s">
        <v>476</v>
      </c>
      <c r="K289" s="894"/>
      <c r="L289" s="423">
        <v>10000</v>
      </c>
      <c r="M289" s="422"/>
      <c r="N289" s="422"/>
      <c r="O289" s="422"/>
      <c r="P289" s="422"/>
      <c r="V289" s="27"/>
      <c r="W289" s="397"/>
      <c r="AD289" s="18"/>
      <c r="AE289" s="365">
        <f>SUM(AE287:AE288)</f>
        <v>50788.093023255802</v>
      </c>
      <c r="AF289" s="18"/>
      <c r="AG289" s="365">
        <f>SUM(AG287:AG288)</f>
        <v>18075.832558139533</v>
      </c>
      <c r="AH289" s="394"/>
      <c r="AI289" s="394"/>
      <c r="AJ289" s="395"/>
      <c r="AK289" s="394"/>
      <c r="AL289" s="394"/>
    </row>
    <row r="290" spans="1:44" ht="15.75" x14ac:dyDescent="0.25">
      <c r="J290" s="894" t="s">
        <v>477</v>
      </c>
      <c r="K290" s="894"/>
      <c r="L290" s="429"/>
      <c r="M290" s="422"/>
      <c r="N290" s="422"/>
      <c r="O290" s="422"/>
      <c r="P290" s="422"/>
      <c r="V290" s="27"/>
      <c r="W290" s="397"/>
      <c r="X290" s="400"/>
      <c r="Y290" s="404"/>
      <c r="Z290" s="391"/>
      <c r="AA290" s="392"/>
      <c r="AB290" s="399"/>
      <c r="AC290" s="403"/>
      <c r="AD290" s="392"/>
      <c r="AE290" s="378"/>
      <c r="AF290" s="393"/>
      <c r="AG290" s="394"/>
      <c r="AH290" s="394"/>
      <c r="AI290" s="405"/>
      <c r="AJ290" s="405"/>
      <c r="AK290" s="405"/>
      <c r="AL290" s="405"/>
    </row>
    <row r="291" spans="1:44" ht="15.75" x14ac:dyDescent="0.25">
      <c r="J291" s="894" t="s">
        <v>217</v>
      </c>
      <c r="K291" s="894"/>
      <c r="L291" s="429" t="s">
        <v>180</v>
      </c>
      <c r="M291" s="422"/>
      <c r="N291" s="422"/>
      <c r="O291" s="422"/>
      <c r="P291" s="422"/>
      <c r="V291" s="27"/>
      <c r="W291" s="389"/>
      <c r="X291" s="390"/>
      <c r="Y291" s="391"/>
      <c r="Z291" s="391"/>
      <c r="AA291" s="392"/>
      <c r="AB291" s="391"/>
      <c r="AC291" s="392"/>
      <c r="AD291" s="392"/>
      <c r="AE291" s="378"/>
      <c r="AF291" s="393"/>
      <c r="AG291" s="394"/>
      <c r="AH291" s="394"/>
      <c r="AI291" s="394"/>
      <c r="AJ291" s="395"/>
      <c r="AK291" s="394"/>
      <c r="AL291" s="394"/>
    </row>
    <row r="292" spans="1:44" ht="15.75" x14ac:dyDescent="0.25">
      <c r="J292" s="894" t="s">
        <v>478</v>
      </c>
      <c r="K292" s="894"/>
      <c r="L292" s="429">
        <v>3500</v>
      </c>
      <c r="M292" s="422"/>
      <c r="N292" s="422"/>
      <c r="O292" s="422"/>
      <c r="P292" s="422"/>
      <c r="V292" s="27"/>
      <c r="W292" s="389"/>
      <c r="X292" s="390"/>
      <c r="Y292" s="391"/>
      <c r="Z292" s="391"/>
      <c r="AA292" s="392"/>
      <c r="AB292" s="391"/>
      <c r="AC292" s="392"/>
      <c r="AD292" s="392"/>
      <c r="AE292" s="378"/>
      <c r="AF292" s="393"/>
      <c r="AG292" s="394"/>
      <c r="AH292" s="394"/>
      <c r="AI292" s="394"/>
      <c r="AJ292" s="395"/>
      <c r="AK292" s="394"/>
      <c r="AL292" s="394"/>
    </row>
    <row r="293" spans="1:44" ht="15.75" x14ac:dyDescent="0.25">
      <c r="J293" s="894" t="s">
        <v>219</v>
      </c>
      <c r="K293" s="894"/>
      <c r="L293" s="429" t="s">
        <v>180</v>
      </c>
      <c r="M293" s="422"/>
      <c r="N293" s="422"/>
      <c r="O293" s="422"/>
      <c r="P293" s="422"/>
      <c r="V293" s="27"/>
      <c r="W293" s="273"/>
      <c r="X293" s="273"/>
      <c r="Y293" s="273"/>
      <c r="Z293" s="273"/>
      <c r="AA293" s="273"/>
      <c r="AB293" s="273"/>
      <c r="AC293" s="273"/>
      <c r="AD293" s="224"/>
      <c r="AE293" s="273"/>
      <c r="AF293" s="224"/>
      <c r="AG293" s="1"/>
      <c r="AH293" s="1"/>
      <c r="AI293" s="1"/>
      <c r="AJ293" s="1"/>
      <c r="AK293" s="1"/>
      <c r="AL293" s="1"/>
    </row>
    <row r="294" spans="1:44" s="1" customFormat="1" ht="15.75" x14ac:dyDescent="0.25">
      <c r="A294" s="19"/>
      <c r="B294" s="153"/>
      <c r="C294" s="294"/>
      <c r="D294" s="18"/>
      <c r="E294" s="60"/>
      <c r="F294" s="91"/>
      <c r="G294" s="19"/>
      <c r="H294" s="2"/>
      <c r="I294" s="2"/>
      <c r="J294" s="894" t="s">
        <v>220</v>
      </c>
      <c r="K294" s="894"/>
      <c r="L294" s="429">
        <v>3500</v>
      </c>
      <c r="M294" s="422"/>
      <c r="N294" s="422"/>
      <c r="O294" s="422"/>
      <c r="P294" s="422"/>
      <c r="S294" s="18"/>
      <c r="U294" s="18"/>
      <c r="V294" s="18"/>
      <c r="W294" s="18"/>
      <c r="X294" s="18"/>
      <c r="Y294" s="18"/>
      <c r="Z294" s="18"/>
      <c r="AA294" s="18"/>
      <c r="AB294" s="18"/>
      <c r="AC294" s="18"/>
      <c r="AE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</row>
    <row r="295" spans="1:44" s="1" customFormat="1" ht="15.75" x14ac:dyDescent="0.25">
      <c r="A295" s="19"/>
      <c r="B295" s="153"/>
      <c r="C295" s="294"/>
      <c r="D295" s="18"/>
      <c r="E295" s="60"/>
      <c r="F295" s="91"/>
      <c r="G295" s="19"/>
      <c r="H295" s="2"/>
      <c r="I295" s="2"/>
      <c r="J295" s="894" t="s">
        <v>221</v>
      </c>
      <c r="K295" s="894"/>
      <c r="L295" s="429">
        <v>3500</v>
      </c>
      <c r="M295" s="422"/>
      <c r="N295" s="422"/>
      <c r="O295" s="422"/>
      <c r="P295" s="422"/>
      <c r="S295" s="18"/>
      <c r="U295" s="18"/>
      <c r="V295" s="18"/>
      <c r="W295" s="18"/>
      <c r="X295" s="18"/>
      <c r="Y295" s="18"/>
      <c r="Z295" s="18"/>
      <c r="AA295" s="18"/>
      <c r="AB295" s="18"/>
      <c r="AC295" s="18"/>
      <c r="AE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</row>
    <row r="296" spans="1:44" s="1" customFormat="1" ht="15.75" x14ac:dyDescent="0.25">
      <c r="A296" s="19"/>
      <c r="B296" s="153"/>
      <c r="C296" s="294"/>
      <c r="D296" s="18"/>
      <c r="E296" s="60"/>
      <c r="F296" s="91"/>
      <c r="G296" s="19"/>
      <c r="H296" s="2"/>
      <c r="I296" s="2"/>
      <c r="J296" s="894" t="s">
        <v>479</v>
      </c>
      <c r="K296" s="894"/>
      <c r="L296" s="423">
        <v>0</v>
      </c>
      <c r="M296" s="422"/>
      <c r="N296" s="422"/>
      <c r="O296" s="422"/>
      <c r="P296" s="422"/>
      <c r="S296" s="18"/>
      <c r="U296" s="18"/>
      <c r="V296" s="18"/>
      <c r="W296" s="18"/>
      <c r="X296" s="18"/>
      <c r="Y296" s="18"/>
      <c r="Z296" s="18"/>
      <c r="AA296" s="18"/>
      <c r="AB296" s="18"/>
      <c r="AC296" s="18"/>
      <c r="AE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</row>
    <row r="297" spans="1:44" s="1" customFormat="1" ht="15.75" x14ac:dyDescent="0.25">
      <c r="A297" s="19"/>
      <c r="B297" s="153"/>
      <c r="C297" s="294"/>
      <c r="D297" s="18"/>
      <c r="E297" s="60"/>
      <c r="F297" s="91"/>
      <c r="G297" s="19"/>
      <c r="H297" s="2"/>
      <c r="I297" s="2"/>
      <c r="J297" s="894" t="s">
        <v>223</v>
      </c>
      <c r="K297" s="894"/>
      <c r="L297" s="423">
        <v>12000</v>
      </c>
      <c r="M297" s="430"/>
      <c r="N297" s="422"/>
      <c r="O297" s="422"/>
      <c r="P297" s="422"/>
      <c r="S297" s="18"/>
      <c r="U297" s="18"/>
      <c r="V297" s="18"/>
      <c r="W297" s="18"/>
      <c r="X297" s="18"/>
      <c r="Y297" s="18"/>
      <c r="Z297" s="18"/>
      <c r="AA297" s="18"/>
      <c r="AB297" s="18"/>
      <c r="AC297" s="18"/>
      <c r="AE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</row>
    <row r="298" spans="1:44" s="1" customFormat="1" ht="15.75" x14ac:dyDescent="0.25">
      <c r="A298" s="19"/>
      <c r="B298" s="153"/>
      <c r="C298" s="294"/>
      <c r="D298" s="18"/>
      <c r="E298" s="60"/>
      <c r="F298" s="91"/>
      <c r="G298" s="19"/>
      <c r="H298" s="2"/>
      <c r="I298" s="2"/>
      <c r="J298" s="894" t="s">
        <v>480</v>
      </c>
      <c r="K298" s="894"/>
      <c r="L298" s="423" t="s">
        <v>189</v>
      </c>
      <c r="M298" s="431"/>
      <c r="N298" s="431"/>
      <c r="O298" s="431"/>
      <c r="P298" s="431"/>
      <c r="S298" s="18"/>
      <c r="U298" s="18"/>
      <c r="V298" s="18"/>
      <c r="W298" s="18"/>
      <c r="X298" s="18"/>
      <c r="Y298" s="18"/>
      <c r="Z298" s="18"/>
      <c r="AA298" s="18"/>
      <c r="AB298" s="18"/>
      <c r="AC298" s="18"/>
      <c r="AE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</row>
    <row r="299" spans="1:44" s="1" customFormat="1" ht="15.75" x14ac:dyDescent="0.25">
      <c r="A299" s="19"/>
      <c r="B299" s="153"/>
      <c r="C299" s="294"/>
      <c r="D299" s="18"/>
      <c r="E299" s="60"/>
      <c r="F299" s="91"/>
      <c r="G299" s="19"/>
      <c r="H299" s="2"/>
      <c r="I299" s="2"/>
      <c r="J299" s="893" t="s">
        <v>481</v>
      </c>
      <c r="K299" s="893"/>
      <c r="L299" s="432">
        <v>8500</v>
      </c>
      <c r="M299" s="431"/>
      <c r="N299" s="431"/>
      <c r="O299" s="431"/>
      <c r="P299" s="431"/>
      <c r="S299" s="18"/>
      <c r="U299" s="18"/>
      <c r="V299" s="18"/>
      <c r="W299" s="18"/>
      <c r="X299" s="18"/>
      <c r="Y299" s="18"/>
      <c r="Z299" s="18"/>
      <c r="AA299" s="18"/>
      <c r="AB299" s="18"/>
      <c r="AC299" s="18"/>
      <c r="AE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</row>
    <row r="300" spans="1:44" s="1" customFormat="1" ht="15.75" x14ac:dyDescent="0.25">
      <c r="A300" s="19"/>
      <c r="B300" s="153"/>
      <c r="C300" s="294"/>
      <c r="D300" s="18"/>
      <c r="E300" s="60"/>
      <c r="F300" s="91"/>
      <c r="G300" s="19"/>
      <c r="H300" s="2"/>
      <c r="I300" s="2"/>
      <c r="J300" s="894" t="s">
        <v>482</v>
      </c>
      <c r="K300" s="894"/>
      <c r="L300" s="423">
        <v>8500</v>
      </c>
      <c r="M300" s="431"/>
      <c r="N300" s="431"/>
      <c r="O300" s="431"/>
      <c r="P300" s="431"/>
      <c r="S300" s="18"/>
      <c r="U300" s="18"/>
      <c r="V300" s="18"/>
      <c r="W300" s="18"/>
      <c r="X300" s="18"/>
      <c r="Y300" s="18"/>
      <c r="Z300" s="18"/>
      <c r="AA300" s="18"/>
      <c r="AB300" s="18"/>
      <c r="AC300" s="18"/>
      <c r="AE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</row>
    <row r="301" spans="1:44" s="1" customFormat="1" ht="15.75" x14ac:dyDescent="0.25">
      <c r="A301" s="19"/>
      <c r="B301" s="153"/>
      <c r="C301" s="294"/>
      <c r="D301" s="18"/>
      <c r="E301" s="60"/>
      <c r="F301" s="91"/>
      <c r="G301" s="19"/>
      <c r="H301" s="2"/>
      <c r="I301" s="2"/>
      <c r="J301" s="895" t="s">
        <v>483</v>
      </c>
      <c r="K301" s="895"/>
      <c r="L301" s="669" t="s">
        <v>189</v>
      </c>
      <c r="M301" s="434"/>
      <c r="N301" s="434"/>
      <c r="O301" s="434"/>
      <c r="P301" s="434"/>
      <c r="S301" s="18"/>
      <c r="U301" s="18"/>
      <c r="V301" s="18"/>
      <c r="W301" s="18"/>
      <c r="X301" s="18"/>
      <c r="Y301" s="18"/>
      <c r="Z301" s="18"/>
      <c r="AA301" s="18"/>
      <c r="AB301" s="18"/>
      <c r="AC301" s="18"/>
      <c r="AE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</row>
    <row r="302" spans="1:44" s="1" customFormat="1" ht="15.75" x14ac:dyDescent="0.25">
      <c r="A302" s="19"/>
      <c r="B302" s="153"/>
      <c r="C302" s="294"/>
      <c r="D302" s="18"/>
      <c r="E302" s="60"/>
      <c r="F302" s="91"/>
      <c r="G302" s="19"/>
      <c r="H302" s="2"/>
      <c r="I302" s="2" t="s">
        <v>494</v>
      </c>
      <c r="J302" s="895" t="s">
        <v>484</v>
      </c>
      <c r="K302" s="895"/>
      <c r="L302" s="485"/>
      <c r="M302" s="434"/>
      <c r="N302" s="434"/>
      <c r="O302" s="434"/>
      <c r="P302" s="434"/>
      <c r="S302" s="18"/>
      <c r="U302" s="18"/>
      <c r="V302" s="18"/>
      <c r="W302" s="18"/>
      <c r="X302" s="18"/>
      <c r="Y302" s="18"/>
      <c r="Z302" s="18"/>
      <c r="AA302" s="18"/>
      <c r="AB302" s="18"/>
      <c r="AC302" s="18"/>
      <c r="AE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</row>
    <row r="303" spans="1:44" s="1" customFormat="1" ht="15.75" x14ac:dyDescent="0.25">
      <c r="A303" s="19"/>
      <c r="B303" s="153"/>
      <c r="C303" s="294"/>
      <c r="D303" s="18"/>
      <c r="E303" s="60"/>
      <c r="F303" s="91"/>
      <c r="G303" s="19"/>
      <c r="H303" s="2"/>
      <c r="I303" s="2"/>
      <c r="J303" s="895" t="s">
        <v>485</v>
      </c>
      <c r="K303" s="895"/>
      <c r="L303" s="669" t="s">
        <v>189</v>
      </c>
      <c r="M303" s="434"/>
      <c r="N303" s="434"/>
      <c r="O303" s="434"/>
      <c r="P303" s="434"/>
      <c r="S303" s="18"/>
      <c r="U303" s="18"/>
      <c r="V303" s="18"/>
      <c r="W303" s="18"/>
      <c r="X303" s="18"/>
      <c r="Y303" s="18"/>
      <c r="Z303" s="18"/>
      <c r="AA303" s="18"/>
      <c r="AB303" s="18"/>
      <c r="AC303" s="18"/>
      <c r="AE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</row>
    <row r="304" spans="1:44" s="1" customFormat="1" ht="15.75" x14ac:dyDescent="0.25">
      <c r="A304" s="19"/>
      <c r="B304" s="153"/>
      <c r="C304" s="294"/>
      <c r="D304" s="18"/>
      <c r="E304" s="60"/>
      <c r="F304" s="91"/>
      <c r="G304" s="19"/>
      <c r="H304" s="2"/>
      <c r="I304" s="2"/>
      <c r="J304" s="895" t="s">
        <v>486</v>
      </c>
      <c r="K304" s="895"/>
      <c r="L304" s="669" t="s">
        <v>189</v>
      </c>
      <c r="M304" s="434"/>
      <c r="N304" s="434"/>
      <c r="O304" s="434"/>
      <c r="P304" s="434"/>
      <c r="S304" s="18"/>
      <c r="U304" s="18"/>
      <c r="V304" s="18"/>
      <c r="W304" s="18"/>
      <c r="X304" s="18"/>
      <c r="Y304" s="18"/>
      <c r="Z304" s="18"/>
      <c r="AA304" s="18"/>
      <c r="AB304" s="18"/>
      <c r="AC304" s="18"/>
      <c r="AE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</row>
    <row r="305" spans="1:44" s="1" customFormat="1" ht="15.75" x14ac:dyDescent="0.25">
      <c r="A305" s="19"/>
      <c r="B305" s="153"/>
      <c r="C305" s="294"/>
      <c r="D305" s="18"/>
      <c r="E305" s="60"/>
      <c r="F305" s="91"/>
      <c r="G305" s="19"/>
      <c r="H305" s="2"/>
      <c r="I305" s="2"/>
      <c r="J305" s="892" t="s">
        <v>222</v>
      </c>
      <c r="K305" s="892"/>
      <c r="L305" s="669">
        <v>7500</v>
      </c>
      <c r="M305" s="434"/>
      <c r="N305" s="434"/>
      <c r="O305" s="434"/>
      <c r="P305" s="434"/>
      <c r="S305" s="18"/>
      <c r="U305" s="18"/>
      <c r="V305" s="18"/>
      <c r="W305" s="18"/>
      <c r="X305" s="18"/>
      <c r="Y305" s="18"/>
      <c r="Z305" s="18"/>
      <c r="AA305" s="18"/>
      <c r="AB305" s="18"/>
      <c r="AC305" s="18"/>
      <c r="AE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</row>
    <row r="306" spans="1:44" s="1" customFormat="1" ht="15.75" x14ac:dyDescent="0.25">
      <c r="A306" s="19"/>
      <c r="B306" s="153"/>
      <c r="C306" s="294"/>
      <c r="D306" s="18"/>
      <c r="E306" s="60"/>
      <c r="F306" s="91"/>
      <c r="G306" s="19"/>
      <c r="H306" s="2"/>
      <c r="I306" s="2"/>
      <c r="J306" s="892" t="s">
        <v>487</v>
      </c>
      <c r="K306" s="892"/>
      <c r="L306" s="669"/>
      <c r="M306" s="434"/>
      <c r="N306" s="434"/>
      <c r="O306" s="434"/>
      <c r="P306" s="434"/>
      <c r="S306" s="18"/>
      <c r="U306" s="18"/>
      <c r="V306" s="18"/>
      <c r="W306" s="18"/>
      <c r="X306" s="18"/>
      <c r="Y306" s="18"/>
      <c r="Z306" s="18"/>
      <c r="AA306" s="18"/>
      <c r="AB306" s="18"/>
      <c r="AC306" s="18"/>
      <c r="AE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</row>
    <row r="307" spans="1:44" s="1" customFormat="1" ht="15.75" x14ac:dyDescent="0.25">
      <c r="A307" s="19"/>
      <c r="B307" s="153"/>
      <c r="C307" s="294"/>
      <c r="D307" s="18"/>
      <c r="E307" s="60"/>
      <c r="F307" s="91"/>
      <c r="G307" s="19"/>
      <c r="H307" s="2"/>
      <c r="I307" s="2"/>
      <c r="J307" s="892" t="s">
        <v>213</v>
      </c>
      <c r="K307" s="892"/>
      <c r="L307" s="669" t="s">
        <v>161</v>
      </c>
      <c r="M307" s="434"/>
      <c r="N307" s="434"/>
      <c r="O307" s="434"/>
      <c r="P307" s="434"/>
      <c r="S307" s="18"/>
      <c r="U307" s="18"/>
      <c r="V307" s="18"/>
      <c r="W307" s="18"/>
      <c r="X307" s="18"/>
      <c r="Y307" s="18"/>
      <c r="Z307" s="18"/>
      <c r="AA307" s="18"/>
      <c r="AB307" s="18"/>
      <c r="AC307" s="18"/>
      <c r="AE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</row>
    <row r="308" spans="1:44" s="1" customFormat="1" ht="15.75" x14ac:dyDescent="0.25">
      <c r="A308" s="19"/>
      <c r="B308" s="153"/>
      <c r="C308" s="294"/>
      <c r="D308" s="18"/>
      <c r="E308" s="60"/>
      <c r="F308" s="91"/>
      <c r="G308" s="19"/>
      <c r="H308" s="2"/>
      <c r="I308" s="2" t="s">
        <v>494</v>
      </c>
      <c r="J308" s="892" t="s">
        <v>488</v>
      </c>
      <c r="K308" s="892"/>
      <c r="L308" s="485"/>
      <c r="M308" s="434"/>
      <c r="N308" s="434"/>
      <c r="O308" s="434"/>
      <c r="P308" s="434"/>
      <c r="S308" s="18"/>
      <c r="U308" s="18"/>
      <c r="V308" s="18"/>
      <c r="W308" s="18"/>
      <c r="X308" s="18"/>
      <c r="Y308" s="18"/>
      <c r="Z308" s="18"/>
      <c r="AA308" s="18"/>
      <c r="AB308" s="18"/>
      <c r="AC308" s="18"/>
      <c r="AE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</row>
    <row r="309" spans="1:44" s="1" customFormat="1" ht="15.75" x14ac:dyDescent="0.25">
      <c r="A309" s="19"/>
      <c r="B309" s="153"/>
      <c r="C309" s="294"/>
      <c r="D309" s="18"/>
      <c r="E309" s="60"/>
      <c r="F309" s="91"/>
      <c r="G309" s="19"/>
      <c r="H309" s="2"/>
      <c r="I309" s="2"/>
      <c r="J309" s="892" t="s">
        <v>489</v>
      </c>
      <c r="K309" s="892"/>
      <c r="L309" s="669"/>
      <c r="M309" s="434"/>
      <c r="N309" s="434"/>
      <c r="O309" s="434"/>
      <c r="P309" s="434"/>
      <c r="S309" s="18"/>
      <c r="U309" s="18"/>
      <c r="V309" s="18"/>
      <c r="W309" s="18"/>
      <c r="X309" s="18"/>
      <c r="Y309" s="18"/>
      <c r="Z309" s="18"/>
      <c r="AA309" s="18"/>
      <c r="AB309" s="18"/>
      <c r="AC309" s="18"/>
      <c r="AE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</row>
  </sheetData>
  <mergeCells count="164">
    <mergeCell ref="J307:K307"/>
    <mergeCell ref="J308:K308"/>
    <mergeCell ref="J309:K309"/>
    <mergeCell ref="J301:K301"/>
    <mergeCell ref="J302:K302"/>
    <mergeCell ref="J303:K303"/>
    <mergeCell ref="J304:K304"/>
    <mergeCell ref="J305:K305"/>
    <mergeCell ref="J306:K306"/>
    <mergeCell ref="J295:K295"/>
    <mergeCell ref="J296:K296"/>
    <mergeCell ref="J297:K297"/>
    <mergeCell ref="J298:K298"/>
    <mergeCell ref="J299:K299"/>
    <mergeCell ref="J300:K300"/>
    <mergeCell ref="J289:K289"/>
    <mergeCell ref="J290:K290"/>
    <mergeCell ref="J291:K291"/>
    <mergeCell ref="J292:K292"/>
    <mergeCell ref="J293:K293"/>
    <mergeCell ref="J294:K294"/>
    <mergeCell ref="J285:K285"/>
    <mergeCell ref="J286:K286"/>
    <mergeCell ref="J287:K287"/>
    <mergeCell ref="X287:Z287"/>
    <mergeCell ref="J288:K288"/>
    <mergeCell ref="X288:Z288"/>
    <mergeCell ref="J281:K281"/>
    <mergeCell ref="X281:Z281"/>
    <mergeCell ref="J282:K282"/>
    <mergeCell ref="X282:Z282"/>
    <mergeCell ref="J283:K283"/>
    <mergeCell ref="J284:K284"/>
    <mergeCell ref="J278:K278"/>
    <mergeCell ref="X278:Z278"/>
    <mergeCell ref="J279:K279"/>
    <mergeCell ref="X279:Z279"/>
    <mergeCell ref="J280:K280"/>
    <mergeCell ref="X280:Z280"/>
    <mergeCell ref="J274:K274"/>
    <mergeCell ref="J275:K275"/>
    <mergeCell ref="J276:K276"/>
    <mergeCell ref="X276:Z276"/>
    <mergeCell ref="J277:K277"/>
    <mergeCell ref="X277:Z277"/>
    <mergeCell ref="J268:K268"/>
    <mergeCell ref="J269:K269"/>
    <mergeCell ref="J270:K270"/>
    <mergeCell ref="J271:K271"/>
    <mergeCell ref="J272:K272"/>
    <mergeCell ref="J273:K273"/>
    <mergeCell ref="J262:K262"/>
    <mergeCell ref="J263:K263"/>
    <mergeCell ref="J264:K264"/>
    <mergeCell ref="J265:K265"/>
    <mergeCell ref="J266:K266"/>
    <mergeCell ref="J267:K267"/>
    <mergeCell ref="B243:D243"/>
    <mergeCell ref="M243:P243"/>
    <mergeCell ref="AA244:AC244"/>
    <mergeCell ref="AD244:AE244"/>
    <mergeCell ref="AA258:AC258"/>
    <mergeCell ref="AD258:AE258"/>
    <mergeCell ref="AA211:AC211"/>
    <mergeCell ref="AD211:AE211"/>
    <mergeCell ref="B213:D213"/>
    <mergeCell ref="AA228:AC228"/>
    <mergeCell ref="AD228:AE228"/>
    <mergeCell ref="B241:D241"/>
    <mergeCell ref="AA226:AC226"/>
    <mergeCell ref="AD226:AE226"/>
    <mergeCell ref="AA227:AC227"/>
    <mergeCell ref="AD227:AE227"/>
    <mergeCell ref="AL200:AM200"/>
    <mergeCell ref="AL201:AM201"/>
    <mergeCell ref="AL202:AM202"/>
    <mergeCell ref="AL203:AM203"/>
    <mergeCell ref="AL204:AM204"/>
    <mergeCell ref="AL205:AM205"/>
    <mergeCell ref="AL186:AM186"/>
    <mergeCell ref="AL189:AM189"/>
    <mergeCell ref="AL195:AM195"/>
    <mergeCell ref="AL196:AM196"/>
    <mergeCell ref="AL197:AM197"/>
    <mergeCell ref="AL198:AM198"/>
    <mergeCell ref="AL199:AM199"/>
    <mergeCell ref="AL178:AN178"/>
    <mergeCell ref="AL179:AN179"/>
    <mergeCell ref="AL180:AN180"/>
    <mergeCell ref="AL181:AN181"/>
    <mergeCell ref="AL182:AN182"/>
    <mergeCell ref="AL185:AM185"/>
    <mergeCell ref="AL166:AN166"/>
    <mergeCell ref="AL170:AN170"/>
    <mergeCell ref="AL171:AN171"/>
    <mergeCell ref="AL172:AN172"/>
    <mergeCell ref="AL173:AN173"/>
    <mergeCell ref="AL174:AN174"/>
    <mergeCell ref="Y161:AA161"/>
    <mergeCell ref="Y162:AA162"/>
    <mergeCell ref="AL162:AN162"/>
    <mergeCell ref="AL163:AN163"/>
    <mergeCell ref="AL164:AN164"/>
    <mergeCell ref="AL165:AN165"/>
    <mergeCell ref="Y155:AA155"/>
    <mergeCell ref="Y156:AA156"/>
    <mergeCell ref="Y157:AA157"/>
    <mergeCell ref="Y158:AA158"/>
    <mergeCell ref="Y159:AA159"/>
    <mergeCell ref="Y160:AA160"/>
    <mergeCell ref="Y150:AA150"/>
    <mergeCell ref="B151:D151"/>
    <mergeCell ref="Y151:AA151"/>
    <mergeCell ref="Y152:AA152"/>
    <mergeCell ref="Y153:AA153"/>
    <mergeCell ref="V154:AA154"/>
    <mergeCell ref="W128:Y128"/>
    <mergeCell ref="W129:Y129"/>
    <mergeCell ref="W130:Y130"/>
    <mergeCell ref="W131:Y131"/>
    <mergeCell ref="Y147:AA147"/>
    <mergeCell ref="Y149:AA149"/>
    <mergeCell ref="W120:Y120"/>
    <mergeCell ref="W121:Y121"/>
    <mergeCell ref="W122:Y122"/>
    <mergeCell ref="W123:Y123"/>
    <mergeCell ref="W124:Y124"/>
    <mergeCell ref="W127:Y127"/>
    <mergeCell ref="W73:Y73"/>
    <mergeCell ref="W76:Y76"/>
    <mergeCell ref="W77:Y77"/>
    <mergeCell ref="W78:Y78"/>
    <mergeCell ref="W79:Y79"/>
    <mergeCell ref="W80:Y80"/>
    <mergeCell ref="W58:Y58"/>
    <mergeCell ref="W59:Y59"/>
    <mergeCell ref="W60:Y60"/>
    <mergeCell ref="W61:Y61"/>
    <mergeCell ref="W62:Y62"/>
    <mergeCell ref="W72:Y72"/>
    <mergeCell ref="W42:Y42"/>
    <mergeCell ref="W43:Y43"/>
    <mergeCell ref="W44:Y44"/>
    <mergeCell ref="W45:Y45"/>
    <mergeCell ref="W46:Y46"/>
    <mergeCell ref="W57:Y57"/>
    <mergeCell ref="W37:Y37"/>
    <mergeCell ref="W38:Y38"/>
    <mergeCell ref="W39:Y39"/>
    <mergeCell ref="I14:I15"/>
    <mergeCell ref="J14:J15"/>
    <mergeCell ref="K14:K15"/>
    <mergeCell ref="L14:L15"/>
    <mergeCell ref="M14:O14"/>
    <mergeCell ref="P14:P15"/>
    <mergeCell ref="A14:A15"/>
    <mergeCell ref="B14:D15"/>
    <mergeCell ref="E14:E15"/>
    <mergeCell ref="F14:F15"/>
    <mergeCell ref="G14:G15"/>
    <mergeCell ref="H14:H15"/>
    <mergeCell ref="B35:D35"/>
    <mergeCell ref="W35:Y35"/>
    <mergeCell ref="W36:Y36"/>
  </mergeCells>
  <printOptions horizontalCentered="1"/>
  <pageMargins left="0.25" right="0.25" top="0.75" bottom="0.5" header="0.3" footer="0.3"/>
  <pageSetup paperSize="197" scale="54" orientation="portrait" r:id="rId1"/>
  <headerFooter>
    <oddFooter>Page &amp;P of &amp;N</oddFooter>
  </headerFooter>
  <rowBreaks count="2" manualBreakCount="2">
    <brk id="108" min="3" max="15" man="1"/>
    <brk id="217" min="3" max="1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ALVEO </vt:lpstr>
      <vt:lpstr>Sheet2</vt:lpstr>
      <vt:lpstr>alveo_final</vt:lpstr>
      <vt:lpstr>Archi-Elec-Plumb</vt:lpstr>
      <vt:lpstr>ELECTRICAL</vt:lpstr>
      <vt:lpstr>Archi-Elec-Plumb (FINAL)</vt:lpstr>
      <vt:lpstr>Archi-Elec-Plumb (FINAL) (2)</vt:lpstr>
      <vt:lpstr>Archi-Elec-Plumb (FINAL) (3)</vt:lpstr>
      <vt:lpstr>Archi.(checked by prexy)</vt:lpstr>
      <vt:lpstr>Archi-Elec-Plumb (FINAL) (5)</vt:lpstr>
      <vt:lpstr>Archi.(checked by prexy)for PDF</vt:lpstr>
      <vt:lpstr>Archi for editing(latest)</vt:lpstr>
      <vt:lpstr>Archi for editing (latest)PDF</vt:lpstr>
      <vt:lpstr>for review</vt:lpstr>
      <vt:lpstr>'Archi for editing (latest)PDF'!Print_Area</vt:lpstr>
      <vt:lpstr>'Archi for editing(latest)'!Print_Area</vt:lpstr>
      <vt:lpstr>'Archi.(checked by prexy)'!Print_Area</vt:lpstr>
      <vt:lpstr>'Archi.(checked by prexy)for PDF'!Print_Area</vt:lpstr>
      <vt:lpstr>'Archi-Elec-Plumb'!Print_Area</vt:lpstr>
      <vt:lpstr>'Archi-Elec-Plumb (FINAL)'!Print_Area</vt:lpstr>
      <vt:lpstr>'Archi-Elec-Plumb (FINAL) (2)'!Print_Area</vt:lpstr>
      <vt:lpstr>'Archi-Elec-Plumb (FINAL) (3)'!Print_Area</vt:lpstr>
      <vt:lpstr>'Archi-Elec-Plumb (FINAL) (5)'!Print_Area</vt:lpstr>
      <vt:lpstr>'for review'!Print_Area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rodolfo.rodolfo</dc:creator>
  <cp:lastModifiedBy>JM Ramos</cp:lastModifiedBy>
  <cp:lastPrinted>2014-09-20T08:58:22Z</cp:lastPrinted>
  <dcterms:created xsi:type="dcterms:W3CDTF">2014-03-11T05:55:56Z</dcterms:created>
  <dcterms:modified xsi:type="dcterms:W3CDTF">2015-03-09T03:06:24Z</dcterms:modified>
</cp:coreProperties>
</file>