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nivella\workspace_v9\pymeasure\examples\EfficiencyMeasurements\"/>
    </mc:Choice>
  </mc:AlternateContent>
  <bookViews>
    <workbookView xWindow="0" yWindow="0" windowWidth="28800" windowHeight="12300" firstSheet="3" activeTab="7"/>
  </bookViews>
  <sheets>
    <sheet name="req" sheetId="1" r:id="rId1"/>
    <sheet name="PowerBudget" sheetId="12" r:id="rId2"/>
    <sheet name="OperatingPoints" sheetId="9" r:id="rId3"/>
    <sheet name="CircuitConfigs." sheetId="20" r:id="rId4"/>
    <sheet name="Waveforms" sheetId="18" r:id="rId5"/>
    <sheet name="Semic.Loss" sheetId="11" r:id="rId6"/>
    <sheet name="MotorConfigs." sheetId="2" r:id="rId7"/>
    <sheet name="20191115_EZW1_TC" sheetId="22" r:id="rId8"/>
    <sheet name="20191115_ElectroThermMeas._smal" sheetId="15" r:id="rId9"/>
    <sheet name="20191107_ElectroThermConfig." sheetId="21" r:id="rId10"/>
    <sheet name="Efficiency_Munich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3" i="22" l="1"/>
  <c r="BJ3" i="22"/>
  <c r="BI3" i="22"/>
  <c r="BH3" i="22"/>
  <c r="BG3" i="22"/>
  <c r="BF3" i="22"/>
  <c r="BE3" i="22"/>
  <c r="BD3" i="22"/>
  <c r="BC3" i="22"/>
  <c r="BB3" i="22"/>
  <c r="BA3" i="22"/>
  <c r="AZ3" i="22"/>
  <c r="C7" i="22"/>
  <c r="M7" i="22" s="1"/>
  <c r="J7" i="22"/>
  <c r="K7" i="22"/>
  <c r="N7" i="22" s="1"/>
  <c r="AC7" i="22" s="1"/>
  <c r="L7" i="22"/>
  <c r="R7" i="22" s="1"/>
  <c r="C8" i="22"/>
  <c r="M8" i="22" s="1"/>
  <c r="J8" i="22"/>
  <c r="K8" i="22"/>
  <c r="N8" i="22" s="1"/>
  <c r="L8" i="22"/>
  <c r="R8" i="22" s="1"/>
  <c r="M40" i="22"/>
  <c r="L40" i="22"/>
  <c r="K40" i="22"/>
  <c r="N40" i="22" s="1"/>
  <c r="J40" i="22"/>
  <c r="M39" i="22"/>
  <c r="L39" i="22"/>
  <c r="R39" i="22" s="1"/>
  <c r="K39" i="22"/>
  <c r="N39" i="22" s="1"/>
  <c r="AC39" i="22" s="1"/>
  <c r="J39" i="22"/>
  <c r="M38" i="22"/>
  <c r="L38" i="22"/>
  <c r="R38" i="22" s="1"/>
  <c r="K38" i="22"/>
  <c r="N38" i="22" s="1"/>
  <c r="J38" i="22"/>
  <c r="M37" i="22"/>
  <c r="L37" i="22"/>
  <c r="R37" i="22" s="1"/>
  <c r="K37" i="22"/>
  <c r="N37" i="22" s="1"/>
  <c r="J37" i="22"/>
  <c r="M36" i="22"/>
  <c r="L36" i="22"/>
  <c r="R36" i="22" s="1"/>
  <c r="K36" i="22"/>
  <c r="N36" i="22" s="1"/>
  <c r="J36" i="22"/>
  <c r="M35" i="22"/>
  <c r="L35" i="22"/>
  <c r="R35" i="22" s="1"/>
  <c r="K35" i="22"/>
  <c r="N35" i="22" s="1"/>
  <c r="J35" i="22"/>
  <c r="M34" i="22"/>
  <c r="L34" i="22"/>
  <c r="R34" i="22" s="1"/>
  <c r="K34" i="22"/>
  <c r="N34" i="22" s="1"/>
  <c r="AC34" i="22" s="1"/>
  <c r="J34" i="22"/>
  <c r="M33" i="22"/>
  <c r="L33" i="22"/>
  <c r="R33" i="22" s="1"/>
  <c r="K33" i="22"/>
  <c r="N33" i="22" s="1"/>
  <c r="J33" i="22"/>
  <c r="M32" i="22"/>
  <c r="L32" i="22"/>
  <c r="R32" i="22" s="1"/>
  <c r="K32" i="22"/>
  <c r="N32" i="22" s="1"/>
  <c r="J32" i="22"/>
  <c r="M31" i="22"/>
  <c r="L31" i="22"/>
  <c r="R31" i="22" s="1"/>
  <c r="K31" i="22"/>
  <c r="N31" i="22" s="1"/>
  <c r="J31" i="22"/>
  <c r="M30" i="22"/>
  <c r="L30" i="22"/>
  <c r="R30" i="22" s="1"/>
  <c r="K30" i="22"/>
  <c r="N30" i="22" s="1"/>
  <c r="J30" i="22"/>
  <c r="R29" i="22"/>
  <c r="M29" i="22"/>
  <c r="L29" i="22"/>
  <c r="K29" i="22"/>
  <c r="N29" i="22" s="1"/>
  <c r="J29" i="22"/>
  <c r="M28" i="22"/>
  <c r="L28" i="22"/>
  <c r="R28" i="22" s="1"/>
  <c r="K28" i="22"/>
  <c r="N28" i="22" s="1"/>
  <c r="J28" i="22"/>
  <c r="M27" i="22"/>
  <c r="L27" i="22"/>
  <c r="R27" i="22" s="1"/>
  <c r="K27" i="22"/>
  <c r="J27" i="22"/>
  <c r="D27" i="22"/>
  <c r="M26" i="22"/>
  <c r="L26" i="22"/>
  <c r="R26" i="22" s="1"/>
  <c r="K26" i="22"/>
  <c r="N26" i="22" s="1"/>
  <c r="J26" i="22"/>
  <c r="M25" i="22"/>
  <c r="L25" i="22"/>
  <c r="K25" i="22"/>
  <c r="N25" i="22" s="1"/>
  <c r="J25" i="22"/>
  <c r="L24" i="22"/>
  <c r="R24" i="22" s="1"/>
  <c r="K24" i="22"/>
  <c r="N24" i="22" s="1"/>
  <c r="J24" i="22"/>
  <c r="C24" i="22"/>
  <c r="M24" i="22" s="1"/>
  <c r="L23" i="22"/>
  <c r="R23" i="22" s="1"/>
  <c r="K23" i="22"/>
  <c r="N23" i="22" s="1"/>
  <c r="J23" i="22"/>
  <c r="C23" i="22"/>
  <c r="M23" i="22" s="1"/>
  <c r="M22" i="22"/>
  <c r="L22" i="22"/>
  <c r="K22" i="22"/>
  <c r="N22" i="22" s="1"/>
  <c r="J22" i="22"/>
  <c r="L21" i="22"/>
  <c r="R21" i="22" s="1"/>
  <c r="K21" i="22"/>
  <c r="N21" i="22" s="1"/>
  <c r="J21" i="22"/>
  <c r="C21" i="22"/>
  <c r="M21" i="22" s="1"/>
  <c r="L20" i="22"/>
  <c r="R20" i="22" s="1"/>
  <c r="K20" i="22"/>
  <c r="N20" i="22" s="1"/>
  <c r="J20" i="22"/>
  <c r="C20" i="22"/>
  <c r="M20" i="22" s="1"/>
  <c r="L19" i="22"/>
  <c r="R19" i="22" s="1"/>
  <c r="K19" i="22"/>
  <c r="N19" i="22" s="1"/>
  <c r="J19" i="22"/>
  <c r="C19" i="22"/>
  <c r="M19" i="22" s="1"/>
  <c r="M18" i="22"/>
  <c r="L18" i="22"/>
  <c r="K18" i="22"/>
  <c r="N18" i="22" s="1"/>
  <c r="J18" i="22"/>
  <c r="L17" i="22"/>
  <c r="R17" i="22" s="1"/>
  <c r="K17" i="22"/>
  <c r="N17" i="22" s="1"/>
  <c r="J17" i="22"/>
  <c r="C17" i="22"/>
  <c r="M17" i="22" s="1"/>
  <c r="L16" i="22"/>
  <c r="R16" i="22" s="1"/>
  <c r="K16" i="22"/>
  <c r="N16" i="22" s="1"/>
  <c r="J16" i="22"/>
  <c r="C16" i="22"/>
  <c r="M16" i="22" s="1"/>
  <c r="L15" i="22"/>
  <c r="R15" i="22" s="1"/>
  <c r="K15" i="22"/>
  <c r="N15" i="22" s="1"/>
  <c r="J15" i="22"/>
  <c r="C15" i="22"/>
  <c r="M15" i="22" s="1"/>
  <c r="L14" i="22"/>
  <c r="R14" i="22" s="1"/>
  <c r="K14" i="22"/>
  <c r="N14" i="22" s="1"/>
  <c r="AC14" i="22" s="1"/>
  <c r="J14" i="22"/>
  <c r="C14" i="22"/>
  <c r="M14" i="22" s="1"/>
  <c r="L13" i="22"/>
  <c r="R13" i="22" s="1"/>
  <c r="K13" i="22"/>
  <c r="N13" i="22" s="1"/>
  <c r="J13" i="22"/>
  <c r="C13" i="22"/>
  <c r="M13" i="22" s="1"/>
  <c r="L12" i="22"/>
  <c r="R12" i="22" s="1"/>
  <c r="K12" i="22"/>
  <c r="N12" i="22" s="1"/>
  <c r="J12" i="22"/>
  <c r="C12" i="22"/>
  <c r="M12" i="22" s="1"/>
  <c r="L11" i="22"/>
  <c r="R11" i="22" s="1"/>
  <c r="K11" i="22"/>
  <c r="N11" i="22" s="1"/>
  <c r="J11" i="22"/>
  <c r="C11" i="22"/>
  <c r="M11" i="22" s="1"/>
  <c r="L10" i="22"/>
  <c r="R10" i="22" s="1"/>
  <c r="K10" i="22"/>
  <c r="N10" i="22" s="1"/>
  <c r="AC10" i="22" s="1"/>
  <c r="J10" i="22"/>
  <c r="C10" i="22"/>
  <c r="M10" i="22" s="1"/>
  <c r="L9" i="22"/>
  <c r="R9" i="22" s="1"/>
  <c r="K9" i="22"/>
  <c r="N9" i="22" s="1"/>
  <c r="J9" i="22"/>
  <c r="C9" i="22"/>
  <c r="M9" i="22" s="1"/>
  <c r="L6" i="22"/>
  <c r="R6" i="22" s="1"/>
  <c r="K6" i="22"/>
  <c r="N6" i="22" s="1"/>
  <c r="J6" i="22"/>
  <c r="C6" i="22"/>
  <c r="M6" i="22" s="1"/>
  <c r="L5" i="22"/>
  <c r="R5" i="22" s="1"/>
  <c r="K5" i="22"/>
  <c r="N5" i="22" s="1"/>
  <c r="J5" i="22"/>
  <c r="C5" i="22"/>
  <c r="M5" i="22" s="1"/>
  <c r="L4" i="22"/>
  <c r="R4" i="22" s="1"/>
  <c r="K4" i="22"/>
  <c r="N4" i="22" s="1"/>
  <c r="J4" i="22"/>
  <c r="C4" i="22"/>
  <c r="M4" i="22" s="1"/>
  <c r="L3" i="22"/>
  <c r="R3" i="22" s="1"/>
  <c r="K3" i="22"/>
  <c r="N3" i="22" s="1"/>
  <c r="J3" i="22"/>
  <c r="C3" i="22"/>
  <c r="M3" i="22" s="1"/>
  <c r="L31" i="15"/>
  <c r="R31" i="15" s="1"/>
  <c r="K31" i="15"/>
  <c r="N31" i="15" s="1"/>
  <c r="J31" i="15"/>
  <c r="C31" i="15"/>
  <c r="M31" i="15" s="1"/>
  <c r="L30" i="15"/>
  <c r="R30" i="15" s="1"/>
  <c r="K30" i="15"/>
  <c r="N30" i="15" s="1"/>
  <c r="AC30" i="15" s="1"/>
  <c r="J30" i="15"/>
  <c r="C30" i="15"/>
  <c r="M30" i="15" s="1"/>
  <c r="L28" i="15"/>
  <c r="R28" i="15" s="1"/>
  <c r="K28" i="15"/>
  <c r="N28" i="15" s="1"/>
  <c r="J28" i="15"/>
  <c r="L27" i="15"/>
  <c r="R27" i="15" s="1"/>
  <c r="K27" i="15"/>
  <c r="N27" i="15" s="1"/>
  <c r="J27" i="15"/>
  <c r="L26" i="15"/>
  <c r="R26" i="15" s="1"/>
  <c r="K26" i="15"/>
  <c r="N26" i="15" s="1"/>
  <c r="AC26" i="15" s="1"/>
  <c r="J26" i="15"/>
  <c r="C28" i="15"/>
  <c r="M28" i="15" s="1"/>
  <c r="C27" i="15"/>
  <c r="M27" i="15" s="1"/>
  <c r="C26" i="15"/>
  <c r="M26" i="15" s="1"/>
  <c r="L25" i="15"/>
  <c r="R25" i="15" s="1"/>
  <c r="K25" i="15"/>
  <c r="N25" i="15" s="1"/>
  <c r="J25" i="15"/>
  <c r="C25" i="15"/>
  <c r="M25" i="15" s="1"/>
  <c r="L24" i="15"/>
  <c r="R24" i="15" s="1"/>
  <c r="K24" i="15"/>
  <c r="N24" i="15" s="1"/>
  <c r="J24" i="15"/>
  <c r="C24" i="15"/>
  <c r="M24" i="15" s="1"/>
  <c r="L23" i="15"/>
  <c r="R23" i="15" s="1"/>
  <c r="K23" i="15"/>
  <c r="N23" i="15" s="1"/>
  <c r="J23" i="15"/>
  <c r="C23" i="15"/>
  <c r="M23" i="15" s="1"/>
  <c r="L22" i="15"/>
  <c r="R22" i="15" s="1"/>
  <c r="K22" i="15"/>
  <c r="N22" i="15" s="1"/>
  <c r="AC22" i="15" s="1"/>
  <c r="J22" i="15"/>
  <c r="C22" i="15"/>
  <c r="M22" i="15" s="1"/>
  <c r="L21" i="15"/>
  <c r="R21" i="15" s="1"/>
  <c r="K21" i="15"/>
  <c r="N21" i="15" s="1"/>
  <c r="J21" i="15"/>
  <c r="C21" i="15"/>
  <c r="M21" i="15" s="1"/>
  <c r="L20" i="15"/>
  <c r="R20" i="15" s="1"/>
  <c r="K20" i="15"/>
  <c r="N20" i="15" s="1"/>
  <c r="J20" i="15"/>
  <c r="C20" i="15"/>
  <c r="M20" i="15" s="1"/>
  <c r="L19" i="15"/>
  <c r="R19" i="15" s="1"/>
  <c r="K19" i="15"/>
  <c r="N19" i="15" s="1"/>
  <c r="AC19" i="15" s="1"/>
  <c r="J19" i="15"/>
  <c r="C19" i="15"/>
  <c r="M19" i="15" s="1"/>
  <c r="M18" i="15"/>
  <c r="L18" i="15"/>
  <c r="K18" i="15"/>
  <c r="N18" i="15" s="1"/>
  <c r="J18" i="15"/>
  <c r="M46" i="15"/>
  <c r="L46" i="15"/>
  <c r="R46" i="15" s="1"/>
  <c r="K46" i="15"/>
  <c r="N46" i="15" s="1"/>
  <c r="AC46" i="15" s="1"/>
  <c r="J46" i="15"/>
  <c r="M45" i="15"/>
  <c r="L45" i="15"/>
  <c r="R45" i="15" s="1"/>
  <c r="K45" i="15"/>
  <c r="N45" i="15" s="1"/>
  <c r="AC45" i="15" s="1"/>
  <c r="J45" i="15"/>
  <c r="M44" i="15"/>
  <c r="L44" i="15"/>
  <c r="R44" i="15" s="1"/>
  <c r="K44" i="15"/>
  <c r="N44" i="15" s="1"/>
  <c r="AC44" i="15" s="1"/>
  <c r="J44" i="15"/>
  <c r="M43" i="15"/>
  <c r="L43" i="15"/>
  <c r="R43" i="15" s="1"/>
  <c r="K43" i="15"/>
  <c r="N43" i="15" s="1"/>
  <c r="AC43" i="15" s="1"/>
  <c r="J43" i="15"/>
  <c r="M42" i="15"/>
  <c r="L42" i="15"/>
  <c r="R42" i="15" s="1"/>
  <c r="K42" i="15"/>
  <c r="N42" i="15" s="1"/>
  <c r="AC42" i="15" s="1"/>
  <c r="J42" i="15"/>
  <c r="M41" i="15"/>
  <c r="L41" i="15"/>
  <c r="R41" i="15" s="1"/>
  <c r="K41" i="15"/>
  <c r="N41" i="15" s="1"/>
  <c r="AC41" i="15" s="1"/>
  <c r="J41" i="15"/>
  <c r="M40" i="15"/>
  <c r="L40" i="15"/>
  <c r="R40" i="15" s="1"/>
  <c r="K40" i="15"/>
  <c r="N40" i="15" s="1"/>
  <c r="AC40" i="15" s="1"/>
  <c r="J40" i="15"/>
  <c r="M39" i="15"/>
  <c r="L39" i="15"/>
  <c r="R39" i="15" s="1"/>
  <c r="K39" i="15"/>
  <c r="N39" i="15" s="1"/>
  <c r="AC39" i="15" s="1"/>
  <c r="J39" i="15"/>
  <c r="M38" i="15"/>
  <c r="L38" i="15"/>
  <c r="R38" i="15" s="1"/>
  <c r="K38" i="15"/>
  <c r="N38" i="15" s="1"/>
  <c r="AC38" i="15" s="1"/>
  <c r="J38" i="15"/>
  <c r="M37" i="15"/>
  <c r="L37" i="15"/>
  <c r="R37" i="15" s="1"/>
  <c r="K37" i="15"/>
  <c r="N37" i="15" s="1"/>
  <c r="AC37" i="15" s="1"/>
  <c r="J37" i="15"/>
  <c r="M36" i="15"/>
  <c r="L36" i="15"/>
  <c r="R36" i="15" s="1"/>
  <c r="K36" i="15"/>
  <c r="N36" i="15" s="1"/>
  <c r="AC36" i="15" s="1"/>
  <c r="J36" i="15"/>
  <c r="M35" i="15"/>
  <c r="L35" i="15"/>
  <c r="R35" i="15" s="1"/>
  <c r="K35" i="15"/>
  <c r="N35" i="15" s="1"/>
  <c r="AC35" i="15" s="1"/>
  <c r="J35" i="15"/>
  <c r="M34" i="15"/>
  <c r="L34" i="15"/>
  <c r="R34" i="15" s="1"/>
  <c r="K34" i="15"/>
  <c r="J34" i="15"/>
  <c r="M33" i="15"/>
  <c r="L33" i="15"/>
  <c r="R33" i="15" s="1"/>
  <c r="K33" i="15"/>
  <c r="N33" i="15" s="1"/>
  <c r="J33" i="15"/>
  <c r="D34" i="15"/>
  <c r="L17" i="15"/>
  <c r="R17" i="15" s="1"/>
  <c r="L16" i="15"/>
  <c r="R16" i="15" s="1"/>
  <c r="L15" i="15"/>
  <c r="R15" i="15" s="1"/>
  <c r="L14" i="15"/>
  <c r="R14" i="15" s="1"/>
  <c r="L13" i="15"/>
  <c r="R13" i="15" s="1"/>
  <c r="L12" i="15"/>
  <c r="R12" i="15" s="1"/>
  <c r="L11" i="15"/>
  <c r="R11" i="15" s="1"/>
  <c r="L10" i="15"/>
  <c r="R10" i="15" s="1"/>
  <c r="L9" i="15"/>
  <c r="R9" i="15" s="1"/>
  <c r="L8" i="15"/>
  <c r="R8" i="15" s="1"/>
  <c r="L7" i="15"/>
  <c r="R7" i="15" s="1"/>
  <c r="L6" i="15"/>
  <c r="R6" i="15" s="1"/>
  <c r="L5" i="15"/>
  <c r="R5" i="15" s="1"/>
  <c r="L4" i="15"/>
  <c r="R4" i="15" s="1"/>
  <c r="K17" i="15"/>
  <c r="N17" i="15" s="1"/>
  <c r="J17" i="15"/>
  <c r="K16" i="15"/>
  <c r="N16" i="15" s="1"/>
  <c r="J16" i="15"/>
  <c r="K15" i="15"/>
  <c r="N15" i="15" s="1"/>
  <c r="J15" i="15"/>
  <c r="K14" i="15"/>
  <c r="N14" i="15" s="1"/>
  <c r="J14" i="15"/>
  <c r="K13" i="15"/>
  <c r="N13" i="15" s="1"/>
  <c r="J13" i="15"/>
  <c r="K12" i="15"/>
  <c r="N12" i="15" s="1"/>
  <c r="J12" i="15"/>
  <c r="K11" i="15"/>
  <c r="N11" i="15" s="1"/>
  <c r="J11" i="15"/>
  <c r="K10" i="15"/>
  <c r="N10" i="15" s="1"/>
  <c r="J10" i="15"/>
  <c r="K9" i="15"/>
  <c r="N9" i="15" s="1"/>
  <c r="J9" i="15"/>
  <c r="K8" i="15"/>
  <c r="N8" i="15" s="1"/>
  <c r="J8" i="15"/>
  <c r="K7" i="15"/>
  <c r="N7" i="15" s="1"/>
  <c r="J7" i="15"/>
  <c r="K6" i="15"/>
  <c r="N6" i="15" s="1"/>
  <c r="J6" i="15"/>
  <c r="K5" i="15"/>
  <c r="N5" i="15" s="1"/>
  <c r="J5" i="15"/>
  <c r="K4" i="15"/>
  <c r="N4" i="15" s="1"/>
  <c r="J4" i="15"/>
  <c r="C17" i="15"/>
  <c r="M17" i="15" s="1"/>
  <c r="C16" i="15"/>
  <c r="M16" i="15" s="1"/>
  <c r="C15" i="15"/>
  <c r="M15" i="15" s="1"/>
  <c r="C14" i="15"/>
  <c r="M14" i="15" s="1"/>
  <c r="C4" i="15"/>
  <c r="M4" i="15" s="1"/>
  <c r="C5" i="15"/>
  <c r="M5" i="15" s="1"/>
  <c r="C6" i="15"/>
  <c r="M6" i="15" s="1"/>
  <c r="C7" i="15"/>
  <c r="M7" i="15" s="1"/>
  <c r="C8" i="15"/>
  <c r="M8" i="15" s="1"/>
  <c r="C9" i="15"/>
  <c r="M9" i="15" s="1"/>
  <c r="C10" i="15"/>
  <c r="M10" i="15" s="1"/>
  <c r="C11" i="15"/>
  <c r="M11" i="15" s="1"/>
  <c r="C12" i="15"/>
  <c r="M12" i="15" s="1"/>
  <c r="C13" i="15"/>
  <c r="M13" i="15" s="1"/>
  <c r="C3" i="15"/>
  <c r="M3" i="15" s="1"/>
  <c r="L3" i="15"/>
  <c r="R3" i="15" s="1"/>
  <c r="K3" i="15"/>
  <c r="N3" i="15" s="1"/>
  <c r="AC3" i="15" s="1"/>
  <c r="J3" i="15"/>
  <c r="M32" i="15"/>
  <c r="L32" i="15"/>
  <c r="K32" i="15"/>
  <c r="N32" i="15" s="1"/>
  <c r="J32" i="15"/>
  <c r="M47" i="15"/>
  <c r="L47" i="15"/>
  <c r="K47" i="15"/>
  <c r="N47" i="15" s="1"/>
  <c r="J47" i="15"/>
  <c r="M29" i="15"/>
  <c r="L29" i="15"/>
  <c r="K29" i="15"/>
  <c r="N29" i="15" s="1"/>
  <c r="J29" i="15"/>
  <c r="M27" i="9"/>
  <c r="L27" i="9"/>
  <c r="K27" i="9"/>
  <c r="N27" i="9" s="1"/>
  <c r="J27" i="9"/>
  <c r="M26" i="9"/>
  <c r="L26" i="9"/>
  <c r="K26" i="9"/>
  <c r="N26" i="9" s="1"/>
  <c r="J26" i="9"/>
  <c r="M25" i="9"/>
  <c r="L25" i="9"/>
  <c r="K25" i="9"/>
  <c r="N25" i="9" s="1"/>
  <c r="J25" i="9"/>
  <c r="M24" i="9"/>
  <c r="L24" i="9"/>
  <c r="K24" i="9"/>
  <c r="N24" i="9" s="1"/>
  <c r="J24" i="9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P10" i="9"/>
  <c r="Q10" i="9" s="1"/>
  <c r="P9" i="9"/>
  <c r="Q9" i="9" s="1"/>
  <c r="P8" i="9"/>
  <c r="Q8" i="9" s="1"/>
  <c r="P7" i="9"/>
  <c r="Q7" i="9" s="1"/>
  <c r="P6" i="9"/>
  <c r="Q6" i="9" s="1"/>
  <c r="P5" i="9"/>
  <c r="Q5" i="9" s="1"/>
  <c r="P4" i="9"/>
  <c r="Q4" i="9" s="1"/>
  <c r="O11" i="9"/>
  <c r="O4" i="9"/>
  <c r="N16" i="9"/>
  <c r="O16" i="9" s="1"/>
  <c r="N12" i="9"/>
  <c r="N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O8" i="9" s="1"/>
  <c r="M7" i="9"/>
  <c r="M6" i="9"/>
  <c r="M5" i="9"/>
  <c r="M4" i="9"/>
  <c r="M3" i="9"/>
  <c r="J4" i="9"/>
  <c r="K4" i="9"/>
  <c r="J5" i="9"/>
  <c r="K5" i="9"/>
  <c r="N5" i="9" s="1"/>
  <c r="O5" i="9" s="1"/>
  <c r="J6" i="9"/>
  <c r="K6" i="9"/>
  <c r="N6" i="9" s="1"/>
  <c r="O6" i="9" s="1"/>
  <c r="J7" i="9"/>
  <c r="K7" i="9"/>
  <c r="N7" i="9" s="1"/>
  <c r="J8" i="9"/>
  <c r="K8" i="9"/>
  <c r="N8" i="9" s="1"/>
  <c r="J9" i="9"/>
  <c r="K9" i="9"/>
  <c r="N9" i="9" s="1"/>
  <c r="J10" i="9"/>
  <c r="K10" i="9"/>
  <c r="N10" i="9" s="1"/>
  <c r="J11" i="9"/>
  <c r="K11" i="9"/>
  <c r="N11" i="9" s="1"/>
  <c r="J12" i="9"/>
  <c r="K12" i="9"/>
  <c r="J13" i="9"/>
  <c r="K13" i="9"/>
  <c r="N13" i="9" s="1"/>
  <c r="O13" i="9" s="1"/>
  <c r="J14" i="9"/>
  <c r="K14" i="9"/>
  <c r="N14" i="9" s="1"/>
  <c r="O14" i="9" s="1"/>
  <c r="J15" i="9"/>
  <c r="K15" i="9"/>
  <c r="N15" i="9" s="1"/>
  <c r="O15" i="9" s="1"/>
  <c r="J16" i="9"/>
  <c r="K16" i="9"/>
  <c r="J17" i="9"/>
  <c r="K17" i="9"/>
  <c r="N17" i="9" s="1"/>
  <c r="J18" i="9"/>
  <c r="K18" i="9"/>
  <c r="N18" i="9" s="1"/>
  <c r="J19" i="9"/>
  <c r="K19" i="9"/>
  <c r="N19" i="9" s="1"/>
  <c r="J20" i="9"/>
  <c r="K20" i="9"/>
  <c r="N20" i="9" s="1"/>
  <c r="J21" i="9"/>
  <c r="K21" i="9"/>
  <c r="N21" i="9" s="1"/>
  <c r="J22" i="9"/>
  <c r="K22" i="9"/>
  <c r="N22" i="9" s="1"/>
  <c r="J23" i="9"/>
  <c r="K23" i="9"/>
  <c r="N23" i="9" s="1"/>
  <c r="K3" i="9"/>
  <c r="N3" i="9" s="1"/>
  <c r="P3" i="9" s="1"/>
  <c r="Q3" i="9" s="1"/>
  <c r="J3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P31" i="22" l="1"/>
  <c r="T31" i="22" s="1"/>
  <c r="AC37" i="22"/>
  <c r="O37" i="22"/>
  <c r="AB37" i="22" s="1"/>
  <c r="O19" i="22"/>
  <c r="AB19" i="22" s="1"/>
  <c r="P37" i="22"/>
  <c r="T37" i="22" s="1"/>
  <c r="P18" i="22"/>
  <c r="Q18" i="22" s="1"/>
  <c r="O18" i="22"/>
  <c r="AC26" i="22"/>
  <c r="P26" i="22"/>
  <c r="T26" i="22" s="1"/>
  <c r="O26" i="22"/>
  <c r="AB26" i="22" s="1"/>
  <c r="AC29" i="22"/>
  <c r="O29" i="22"/>
  <c r="AB29" i="22" s="1"/>
  <c r="P29" i="22"/>
  <c r="T29" i="22" s="1"/>
  <c r="AC35" i="22"/>
  <c r="O35" i="22"/>
  <c r="AB35" i="22" s="1"/>
  <c r="P40" i="22"/>
  <c r="Q40" i="22" s="1"/>
  <c r="O40" i="22"/>
  <c r="P25" i="22"/>
  <c r="Q25" i="22" s="1"/>
  <c r="O25" i="22"/>
  <c r="N27" i="22"/>
  <c r="P27" i="22" s="1"/>
  <c r="AC19" i="22"/>
  <c r="O7" i="22"/>
  <c r="AB7" i="22" s="1"/>
  <c r="P35" i="22"/>
  <c r="Q35" i="22" s="1"/>
  <c r="S35" i="22" s="1"/>
  <c r="AC8" i="22"/>
  <c r="O8" i="22"/>
  <c r="AB8" i="22" s="1"/>
  <c r="P8" i="22"/>
  <c r="P7" i="22"/>
  <c r="O6" i="22"/>
  <c r="AB6" i="22" s="1"/>
  <c r="P38" i="22"/>
  <c r="O38" i="22"/>
  <c r="AB38" i="22" s="1"/>
  <c r="AC38" i="22"/>
  <c r="P12" i="22"/>
  <c r="O12" i="22"/>
  <c r="AB12" i="22" s="1"/>
  <c r="AC12" i="22"/>
  <c r="P24" i="22"/>
  <c r="O24" i="22"/>
  <c r="AB24" i="22" s="1"/>
  <c r="AC24" i="22"/>
  <c r="P9" i="22"/>
  <c r="O9" i="22"/>
  <c r="AB9" i="22" s="1"/>
  <c r="AC9" i="22"/>
  <c r="P17" i="22"/>
  <c r="O17" i="22"/>
  <c r="AB17" i="22" s="1"/>
  <c r="AC17" i="22"/>
  <c r="P28" i="22"/>
  <c r="O28" i="22"/>
  <c r="AB28" i="22" s="1"/>
  <c r="AC28" i="22"/>
  <c r="O32" i="22"/>
  <c r="AB32" i="22" s="1"/>
  <c r="AC32" i="22"/>
  <c r="P32" i="22"/>
  <c r="P4" i="22"/>
  <c r="O4" i="22"/>
  <c r="AB4" i="22" s="1"/>
  <c r="AC4" i="22"/>
  <c r="O15" i="22"/>
  <c r="AB15" i="22" s="1"/>
  <c r="AC15" i="22"/>
  <c r="P15" i="22"/>
  <c r="P21" i="22"/>
  <c r="O21" i="22"/>
  <c r="AB21" i="22" s="1"/>
  <c r="AC21" i="22"/>
  <c r="P23" i="22"/>
  <c r="O23" i="22"/>
  <c r="AB23" i="22" s="1"/>
  <c r="AC23" i="22"/>
  <c r="P33" i="22"/>
  <c r="O33" i="22"/>
  <c r="AB33" i="22" s="1"/>
  <c r="AC33" i="22"/>
  <c r="P36" i="22"/>
  <c r="O36" i="22"/>
  <c r="AB36" i="22" s="1"/>
  <c r="AC36" i="22"/>
  <c r="O3" i="22"/>
  <c r="AB3" i="22" s="1"/>
  <c r="AC3" i="22"/>
  <c r="P3" i="22"/>
  <c r="O11" i="22"/>
  <c r="AB11" i="22" s="1"/>
  <c r="AC11" i="22"/>
  <c r="P11" i="22"/>
  <c r="P16" i="22"/>
  <c r="O16" i="22"/>
  <c r="AB16" i="22" s="1"/>
  <c r="AC16" i="22"/>
  <c r="P5" i="22"/>
  <c r="O5" i="22"/>
  <c r="AB5" i="22" s="1"/>
  <c r="AC5" i="22"/>
  <c r="P13" i="22"/>
  <c r="O13" i="22"/>
  <c r="AB13" i="22" s="1"/>
  <c r="AC13" i="22"/>
  <c r="P30" i="22"/>
  <c r="O30" i="22"/>
  <c r="AB30" i="22" s="1"/>
  <c r="AC30" i="22"/>
  <c r="Q31" i="22"/>
  <c r="S31" i="22" s="1"/>
  <c r="O20" i="22"/>
  <c r="AB20" i="22" s="1"/>
  <c r="AC20" i="22"/>
  <c r="P20" i="22"/>
  <c r="P22" i="22"/>
  <c r="Q22" i="22" s="1"/>
  <c r="O22" i="22"/>
  <c r="O10" i="22"/>
  <c r="AB10" i="22" s="1"/>
  <c r="AC31" i="22"/>
  <c r="O34" i="22"/>
  <c r="AB34" i="22" s="1"/>
  <c r="P6" i="22"/>
  <c r="P10" i="22"/>
  <c r="P14" i="22"/>
  <c r="P19" i="22"/>
  <c r="O31" i="22"/>
  <c r="AB31" i="22" s="1"/>
  <c r="P34" i="22"/>
  <c r="O39" i="22"/>
  <c r="AB39" i="22" s="1"/>
  <c r="P39" i="22"/>
  <c r="AC6" i="22"/>
  <c r="O14" i="22"/>
  <c r="AB14" i="22" s="1"/>
  <c r="AC31" i="15"/>
  <c r="O31" i="15"/>
  <c r="AB31" i="15" s="1"/>
  <c r="P31" i="15"/>
  <c r="P18" i="15"/>
  <c r="Q18" i="15" s="1"/>
  <c r="P25" i="15"/>
  <c r="T25" i="15" s="1"/>
  <c r="P30" i="15"/>
  <c r="O30" i="15"/>
  <c r="AB30" i="15" s="1"/>
  <c r="P26" i="15"/>
  <c r="Q26" i="15" s="1"/>
  <c r="S26" i="15" s="1"/>
  <c r="O26" i="15"/>
  <c r="AB26" i="15" s="1"/>
  <c r="P28" i="15"/>
  <c r="O28" i="15"/>
  <c r="AB28" i="15" s="1"/>
  <c r="AC28" i="15"/>
  <c r="O27" i="15"/>
  <c r="AB27" i="15" s="1"/>
  <c r="AC27" i="15"/>
  <c r="P27" i="15"/>
  <c r="P21" i="15"/>
  <c r="T21" i="15" s="1"/>
  <c r="P20" i="15"/>
  <c r="T20" i="15" s="1"/>
  <c r="O25" i="15"/>
  <c r="AB25" i="15" s="1"/>
  <c r="AC25" i="15"/>
  <c r="P16" i="15"/>
  <c r="Q16" i="15" s="1"/>
  <c r="S16" i="15" s="1"/>
  <c r="O24" i="15"/>
  <c r="AB24" i="15" s="1"/>
  <c r="P24" i="15"/>
  <c r="AC24" i="15"/>
  <c r="P10" i="15"/>
  <c r="Q10" i="15" s="1"/>
  <c r="S10" i="15" s="1"/>
  <c r="AC23" i="15"/>
  <c r="P23" i="15"/>
  <c r="O23" i="15"/>
  <c r="AB23" i="15" s="1"/>
  <c r="O22" i="15"/>
  <c r="AB22" i="15" s="1"/>
  <c r="P22" i="15"/>
  <c r="T22" i="15" s="1"/>
  <c r="O21" i="15"/>
  <c r="AB21" i="15" s="1"/>
  <c r="AC21" i="15"/>
  <c r="O20" i="15"/>
  <c r="AB20" i="15" s="1"/>
  <c r="AC20" i="15"/>
  <c r="O19" i="15"/>
  <c r="AB19" i="15" s="1"/>
  <c r="P19" i="15"/>
  <c r="O18" i="15"/>
  <c r="O33" i="15"/>
  <c r="AB33" i="15" s="1"/>
  <c r="AC33" i="15"/>
  <c r="P33" i="15"/>
  <c r="P7" i="15"/>
  <c r="T7" i="15" s="1"/>
  <c r="N34" i="15"/>
  <c r="AC34" i="15" s="1"/>
  <c r="P39" i="15"/>
  <c r="O39" i="15"/>
  <c r="AB39" i="15" s="1"/>
  <c r="O41" i="15"/>
  <c r="AB41" i="15" s="1"/>
  <c r="P41" i="15"/>
  <c r="P35" i="15"/>
  <c r="O35" i="15"/>
  <c r="AB35" i="15" s="1"/>
  <c r="P45" i="15"/>
  <c r="O45" i="15"/>
  <c r="AB45" i="15" s="1"/>
  <c r="O37" i="15"/>
  <c r="AB37" i="15" s="1"/>
  <c r="P37" i="15"/>
  <c r="P43" i="15"/>
  <c r="O43" i="15"/>
  <c r="AB43" i="15" s="1"/>
  <c r="P36" i="15"/>
  <c r="O36" i="15"/>
  <c r="AB36" i="15" s="1"/>
  <c r="P38" i="15"/>
  <c r="O38" i="15"/>
  <c r="AB38" i="15" s="1"/>
  <c r="P40" i="15"/>
  <c r="O40" i="15"/>
  <c r="AB40" i="15" s="1"/>
  <c r="P42" i="15"/>
  <c r="O42" i="15"/>
  <c r="AB42" i="15" s="1"/>
  <c r="P44" i="15"/>
  <c r="O44" i="15"/>
  <c r="AB44" i="15" s="1"/>
  <c r="O46" i="15"/>
  <c r="AB46" i="15" s="1"/>
  <c r="P46" i="15"/>
  <c r="P14" i="15"/>
  <c r="Q14" i="15" s="1"/>
  <c r="S14" i="15" s="1"/>
  <c r="AC10" i="15"/>
  <c r="P17" i="15"/>
  <c r="AC17" i="15"/>
  <c r="P6" i="15"/>
  <c r="AC6" i="15"/>
  <c r="O9" i="15"/>
  <c r="AB9" i="15" s="1"/>
  <c r="P9" i="15"/>
  <c r="AC9" i="15"/>
  <c r="P11" i="15"/>
  <c r="AC11" i="15"/>
  <c r="O11" i="15"/>
  <c r="AB11" i="15" s="1"/>
  <c r="P4" i="15"/>
  <c r="AC4" i="15"/>
  <c r="P12" i="15"/>
  <c r="AC12" i="15"/>
  <c r="O5" i="15"/>
  <c r="AB5" i="15" s="1"/>
  <c r="P5" i="15"/>
  <c r="AC5" i="15"/>
  <c r="O13" i="15"/>
  <c r="AB13" i="15" s="1"/>
  <c r="AC13" i="15"/>
  <c r="P13" i="15"/>
  <c r="P15" i="15"/>
  <c r="O15" i="15"/>
  <c r="AB15" i="15" s="1"/>
  <c r="AC15" i="15"/>
  <c r="P8" i="15"/>
  <c r="AC8" i="15"/>
  <c r="AC14" i="15"/>
  <c r="O7" i="15"/>
  <c r="AB7" i="15" s="1"/>
  <c r="AC7" i="15"/>
  <c r="T10" i="15"/>
  <c r="AC16" i="15"/>
  <c r="O4" i="15"/>
  <c r="AB4" i="15" s="1"/>
  <c r="O8" i="15"/>
  <c r="AB8" i="15" s="1"/>
  <c r="O12" i="15"/>
  <c r="AB12" i="15" s="1"/>
  <c r="O16" i="15"/>
  <c r="AB16" i="15" s="1"/>
  <c r="O6" i="15"/>
  <c r="AB6" i="15" s="1"/>
  <c r="O10" i="15"/>
  <c r="AB10" i="15" s="1"/>
  <c r="O14" i="15"/>
  <c r="AB14" i="15" s="1"/>
  <c r="O17" i="15"/>
  <c r="AB17" i="15" s="1"/>
  <c r="P3" i="15"/>
  <c r="O3" i="15"/>
  <c r="AB3" i="15" s="1"/>
  <c r="P47" i="15"/>
  <c r="Q47" i="15" s="1"/>
  <c r="P29" i="15"/>
  <c r="Q29" i="15" s="1"/>
  <c r="O32" i="15"/>
  <c r="O29" i="15"/>
  <c r="O47" i="15"/>
  <c r="P32" i="15"/>
  <c r="Q32" i="15" s="1"/>
  <c r="P24" i="9"/>
  <c r="Q24" i="9" s="1"/>
  <c r="O24" i="9"/>
  <c r="P26" i="9"/>
  <c r="Q26" i="9" s="1"/>
  <c r="O26" i="9"/>
  <c r="P25" i="9"/>
  <c r="Q25" i="9" s="1"/>
  <c r="O25" i="9"/>
  <c r="P27" i="9"/>
  <c r="Q27" i="9" s="1"/>
  <c r="O27" i="9"/>
  <c r="O20" i="9"/>
  <c r="O19" i="9"/>
  <c r="O22" i="9"/>
  <c r="O23" i="9"/>
  <c r="O21" i="9"/>
  <c r="O17" i="9"/>
  <c r="O9" i="9"/>
  <c r="O10" i="9"/>
  <c r="O18" i="9"/>
  <c r="O12" i="9"/>
  <c r="O3" i="9"/>
  <c r="O7" i="9"/>
  <c r="G8" i="18"/>
  <c r="F8" i="18"/>
  <c r="E8" i="18"/>
  <c r="G7" i="18"/>
  <c r="F7" i="18"/>
  <c r="E7" i="18"/>
  <c r="G6" i="18"/>
  <c r="F6" i="18"/>
  <c r="E6" i="18"/>
  <c r="G5" i="18"/>
  <c r="F5" i="18"/>
  <c r="E5" i="18"/>
  <c r="G4" i="18"/>
  <c r="F4" i="18"/>
  <c r="E4" i="18"/>
  <c r="G3" i="18"/>
  <c r="F3" i="18"/>
  <c r="E3" i="18"/>
  <c r="D8" i="18"/>
  <c r="D7" i="18"/>
  <c r="D6" i="18"/>
  <c r="D5" i="18"/>
  <c r="D4" i="18"/>
  <c r="D3" i="18"/>
  <c r="C8" i="18"/>
  <c r="C7" i="18"/>
  <c r="C6" i="18"/>
  <c r="C5" i="18"/>
  <c r="C4" i="18"/>
  <c r="C3" i="18"/>
  <c r="H6" i="18"/>
  <c r="H5" i="18"/>
  <c r="H4" i="18"/>
  <c r="H3" i="18"/>
  <c r="O27" i="22" l="1"/>
  <c r="AB27" i="22" s="1"/>
  <c r="T35" i="22"/>
  <c r="Q29" i="22"/>
  <c r="S29" i="22" s="1"/>
  <c r="Q26" i="22"/>
  <c r="S26" i="22" s="1"/>
  <c r="Q37" i="22"/>
  <c r="S37" i="22" s="1"/>
  <c r="AC27" i="22"/>
  <c r="T8" i="22"/>
  <c r="Q8" i="22"/>
  <c r="S8" i="22" s="1"/>
  <c r="T7" i="22"/>
  <c r="Q7" i="22"/>
  <c r="S7" i="22" s="1"/>
  <c r="T14" i="22"/>
  <c r="Q14" i="22"/>
  <c r="S14" i="22" s="1"/>
  <c r="Q5" i="22"/>
  <c r="S5" i="22" s="1"/>
  <c r="T5" i="22"/>
  <c r="T28" i="22"/>
  <c r="Q28" i="22"/>
  <c r="S28" i="22" s="1"/>
  <c r="T10" i="22"/>
  <c r="Q10" i="22"/>
  <c r="S10" i="22" s="1"/>
  <c r="Q3" i="22"/>
  <c r="S3" i="22" s="1"/>
  <c r="T3" i="22"/>
  <c r="Q20" i="22"/>
  <c r="S20" i="22" s="1"/>
  <c r="T20" i="22"/>
  <c r="Q16" i="22"/>
  <c r="S16" i="22" s="1"/>
  <c r="T16" i="22"/>
  <c r="Q32" i="22"/>
  <c r="S32" i="22" s="1"/>
  <c r="T32" i="22"/>
  <c r="Q17" i="22"/>
  <c r="S17" i="22" s="1"/>
  <c r="T17" i="22"/>
  <c r="T11" i="22"/>
  <c r="Q11" i="22"/>
  <c r="S11" i="22" s="1"/>
  <c r="Q33" i="22"/>
  <c r="S33" i="22" s="1"/>
  <c r="T33" i="22"/>
  <c r="Q12" i="22"/>
  <c r="S12" i="22" s="1"/>
  <c r="T12" i="22"/>
  <c r="Q30" i="22"/>
  <c r="S30" i="22" s="1"/>
  <c r="T30" i="22"/>
  <c r="Q4" i="22"/>
  <c r="S4" i="22" s="1"/>
  <c r="T4" i="22"/>
  <c r="Q13" i="22"/>
  <c r="S13" i="22" s="1"/>
  <c r="T13" i="22"/>
  <c r="Q21" i="22"/>
  <c r="S21" i="22" s="1"/>
  <c r="T21" i="22"/>
  <c r="T15" i="22"/>
  <c r="Q15" i="22"/>
  <c r="S15" i="22" s="1"/>
  <c r="T34" i="22"/>
  <c r="Q34" i="22"/>
  <c r="S34" i="22" s="1"/>
  <c r="Q36" i="22"/>
  <c r="S36" i="22" s="1"/>
  <c r="T36" i="22"/>
  <c r="T39" i="22"/>
  <c r="Q39" i="22"/>
  <c r="S39" i="22" s="1"/>
  <c r="T19" i="22"/>
  <c r="Q19" i="22"/>
  <c r="S19" i="22" s="1"/>
  <c r="Q27" i="22"/>
  <c r="S27" i="22" s="1"/>
  <c r="T27" i="22"/>
  <c r="Q9" i="22"/>
  <c r="S9" i="22" s="1"/>
  <c r="T9" i="22"/>
  <c r="Q24" i="22"/>
  <c r="S24" i="22" s="1"/>
  <c r="T24" i="22"/>
  <c r="T6" i="22"/>
  <c r="Q6" i="22"/>
  <c r="S6" i="22" s="1"/>
  <c r="Q23" i="22"/>
  <c r="S23" i="22" s="1"/>
  <c r="T23" i="22"/>
  <c r="Q38" i="22"/>
  <c r="S38" i="22" s="1"/>
  <c r="T38" i="22"/>
  <c r="T31" i="15"/>
  <c r="Q31" i="15"/>
  <c r="S31" i="15" s="1"/>
  <c r="Q20" i="15"/>
  <c r="S20" i="15" s="1"/>
  <c r="Q25" i="15"/>
  <c r="S25" i="15" s="1"/>
  <c r="T30" i="15"/>
  <c r="Q30" i="15"/>
  <c r="S30" i="15" s="1"/>
  <c r="T16" i="15"/>
  <c r="Q21" i="15"/>
  <c r="S21" i="15" s="1"/>
  <c r="T26" i="15"/>
  <c r="T27" i="15"/>
  <c r="Q27" i="15"/>
  <c r="S27" i="15" s="1"/>
  <c r="Q28" i="15"/>
  <c r="S28" i="15" s="1"/>
  <c r="T28" i="15"/>
  <c r="Q7" i="15"/>
  <c r="S7" i="15" s="1"/>
  <c r="T24" i="15"/>
  <c r="Q24" i="15"/>
  <c r="S24" i="15" s="1"/>
  <c r="T23" i="15"/>
  <c r="Q23" i="15"/>
  <c r="S23" i="15" s="1"/>
  <c r="Q22" i="15"/>
  <c r="S22" i="15" s="1"/>
  <c r="T19" i="15"/>
  <c r="Q19" i="15"/>
  <c r="S19" i="15" s="1"/>
  <c r="O34" i="15"/>
  <c r="AB34" i="15" s="1"/>
  <c r="Q42" i="15"/>
  <c r="S42" i="15" s="1"/>
  <c r="T42" i="15"/>
  <c r="Q41" i="15"/>
  <c r="S41" i="15" s="1"/>
  <c r="T41" i="15"/>
  <c r="Q40" i="15"/>
  <c r="S40" i="15" s="1"/>
  <c r="T40" i="15"/>
  <c r="Q43" i="15"/>
  <c r="S43" i="15" s="1"/>
  <c r="T43" i="15"/>
  <c r="Q46" i="15"/>
  <c r="S46" i="15" s="1"/>
  <c r="T46" i="15"/>
  <c r="Q37" i="15"/>
  <c r="S37" i="15" s="1"/>
  <c r="T37" i="15"/>
  <c r="T14" i="15"/>
  <c r="Q44" i="15"/>
  <c r="S44" i="15" s="1"/>
  <c r="T44" i="15"/>
  <c r="Q36" i="15"/>
  <c r="S36" i="15" s="1"/>
  <c r="T36" i="15"/>
  <c r="Q45" i="15"/>
  <c r="S45" i="15" s="1"/>
  <c r="T45" i="15"/>
  <c r="Q35" i="15"/>
  <c r="S35" i="15" s="1"/>
  <c r="T35" i="15"/>
  <c r="Q38" i="15"/>
  <c r="S38" i="15" s="1"/>
  <c r="T38" i="15"/>
  <c r="Q39" i="15"/>
  <c r="S39" i="15" s="1"/>
  <c r="T39" i="15"/>
  <c r="P34" i="15"/>
  <c r="Q33" i="15"/>
  <c r="S33" i="15" s="1"/>
  <c r="T33" i="15"/>
  <c r="Q11" i="15"/>
  <c r="S11" i="15" s="1"/>
  <c r="T11" i="15"/>
  <c r="Q15" i="15"/>
  <c r="S15" i="15" s="1"/>
  <c r="T15" i="15"/>
  <c r="Q12" i="15"/>
  <c r="S12" i="15" s="1"/>
  <c r="T12" i="15"/>
  <c r="Q5" i="15"/>
  <c r="S5" i="15" s="1"/>
  <c r="T5" i="15"/>
  <c r="Q13" i="15"/>
  <c r="S13" i="15" s="1"/>
  <c r="T13" i="15"/>
  <c r="Q9" i="15"/>
  <c r="S9" i="15" s="1"/>
  <c r="T9" i="15"/>
  <c r="Q4" i="15"/>
  <c r="S4" i="15" s="1"/>
  <c r="T4" i="15"/>
  <c r="Q6" i="15"/>
  <c r="S6" i="15" s="1"/>
  <c r="T6" i="15"/>
  <c r="Q8" i="15"/>
  <c r="S8" i="15" s="1"/>
  <c r="T8" i="15"/>
  <c r="Q17" i="15"/>
  <c r="S17" i="15" s="1"/>
  <c r="T17" i="15"/>
  <c r="T3" i="15"/>
  <c r="Q3" i="15"/>
  <c r="S3" i="15" s="1"/>
  <c r="H7" i="18"/>
  <c r="H8" i="18"/>
  <c r="Q34" i="15" l="1"/>
  <c r="S34" i="15" s="1"/>
  <c r="T34" i="15"/>
  <c r="AM3" i="18"/>
  <c r="AM4" i="18"/>
  <c r="AM5" i="18"/>
  <c r="AM6" i="18"/>
  <c r="S14" i="1" l="1"/>
  <c r="S15" i="1"/>
  <c r="B7" i="12"/>
  <c r="D7" i="12" s="1"/>
  <c r="S16" i="1"/>
  <c r="L5" i="1"/>
  <c r="L4" i="1"/>
  <c r="L3" i="1"/>
  <c r="L2" i="1"/>
  <c r="U11" i="1" s="1"/>
  <c r="T16" i="1" l="1"/>
  <c r="B8" i="12"/>
  <c r="D8" i="12" s="1"/>
  <c r="H3" i="2"/>
  <c r="H2" i="2"/>
  <c r="I3" i="2"/>
  <c r="I2" i="2"/>
  <c r="B4" i="2"/>
  <c r="E4" i="2"/>
  <c r="H4" i="2" s="1"/>
  <c r="G4" i="2"/>
  <c r="I4" i="2" l="1"/>
  <c r="B9" i="12"/>
  <c r="D9" i="12" s="1"/>
  <c r="B5" i="12"/>
  <c r="B6" i="12" s="1"/>
  <c r="D6" i="12" s="1"/>
  <c r="D4" i="12"/>
  <c r="B10" i="12" l="1"/>
  <c r="D10" i="12" s="1"/>
  <c r="D5" i="12"/>
  <c r="AF26" i="11"/>
  <c r="AK26" i="11" s="1"/>
  <c r="AD26" i="11"/>
  <c r="AC26" i="11"/>
  <c r="AB26" i="11"/>
  <c r="AA26" i="11"/>
  <c r="AF25" i="11"/>
  <c r="AK25" i="11" s="1"/>
  <c r="AD25" i="11"/>
  <c r="AC25" i="11"/>
  <c r="AB25" i="11"/>
  <c r="AA25" i="11"/>
  <c r="AF24" i="11"/>
  <c r="AK24" i="11" s="1"/>
  <c r="AD24" i="11"/>
  <c r="AC24" i="11"/>
  <c r="AB24" i="11"/>
  <c r="AA24" i="11"/>
  <c r="AF23" i="11"/>
  <c r="AK23" i="11" s="1"/>
  <c r="AD23" i="11"/>
  <c r="AC23" i="11"/>
  <c r="AB23" i="11"/>
  <c r="AA23" i="11"/>
  <c r="AN21" i="11"/>
  <c r="AF21" i="11"/>
  <c r="AJ21" i="11" s="1"/>
  <c r="AD21" i="11"/>
  <c r="AC21" i="11"/>
  <c r="AB21" i="11"/>
  <c r="AA21" i="11"/>
  <c r="AN20" i="11"/>
  <c r="AF20" i="11"/>
  <c r="AE20" i="11" s="1"/>
  <c r="AM20" i="11" s="1"/>
  <c r="AD20" i="11"/>
  <c r="AC20" i="11"/>
  <c r="AB20" i="11"/>
  <c r="AA20" i="11"/>
  <c r="AN19" i="11"/>
  <c r="AF19" i="11"/>
  <c r="AE19" i="11" s="1"/>
  <c r="AM19" i="11" s="1"/>
  <c r="AD19" i="11"/>
  <c r="AC19" i="11"/>
  <c r="AB19" i="11"/>
  <c r="AA19" i="11"/>
  <c r="AN18" i="11"/>
  <c r="AF18" i="11"/>
  <c r="AI18" i="11" s="1"/>
  <c r="AD18" i="11"/>
  <c r="AC18" i="11"/>
  <c r="AB18" i="11"/>
  <c r="AA18" i="11"/>
  <c r="AN16" i="11"/>
  <c r="AF16" i="11"/>
  <c r="AK16" i="11" s="1"/>
  <c r="AD16" i="11"/>
  <c r="AC16" i="11"/>
  <c r="AB16" i="11"/>
  <c r="AA16" i="11"/>
  <c r="AN15" i="11"/>
  <c r="AF15" i="11"/>
  <c r="AK15" i="11" s="1"/>
  <c r="AD15" i="11"/>
  <c r="AC15" i="11"/>
  <c r="AB15" i="11"/>
  <c r="AA15" i="11"/>
  <c r="AN14" i="11"/>
  <c r="AF14" i="11"/>
  <c r="AJ14" i="11" s="1"/>
  <c r="AD14" i="11"/>
  <c r="AC14" i="11"/>
  <c r="AB14" i="11"/>
  <c r="AA14" i="11"/>
  <c r="AN13" i="11"/>
  <c r="AF13" i="11"/>
  <c r="AH13" i="11" s="1"/>
  <c r="AD13" i="11"/>
  <c r="AC13" i="11"/>
  <c r="AB13" i="11"/>
  <c r="AA13" i="11"/>
  <c r="AN11" i="11"/>
  <c r="AF11" i="11"/>
  <c r="AD11" i="11"/>
  <c r="AC11" i="11"/>
  <c r="AB11" i="11"/>
  <c r="AA11" i="11"/>
  <c r="AN10" i="11"/>
  <c r="AF10" i="11"/>
  <c r="AI10" i="11" s="1"/>
  <c r="AD10" i="11"/>
  <c r="AC10" i="11"/>
  <c r="AB10" i="11"/>
  <c r="AA10" i="11"/>
  <c r="AN9" i="11"/>
  <c r="AF9" i="11"/>
  <c r="AK9" i="11" s="1"/>
  <c r="AD9" i="11"/>
  <c r="AC9" i="11"/>
  <c r="AB9" i="11"/>
  <c r="AA9" i="11"/>
  <c r="AN8" i="11"/>
  <c r="AF8" i="11"/>
  <c r="AK8" i="11" s="1"/>
  <c r="AD8" i="11"/>
  <c r="AC8" i="11"/>
  <c r="AB8" i="11"/>
  <c r="AA8" i="11"/>
  <c r="AN6" i="11"/>
  <c r="AF6" i="11"/>
  <c r="AJ6" i="11" s="1"/>
  <c r="AD6" i="11"/>
  <c r="AC6" i="11"/>
  <c r="AB6" i="11"/>
  <c r="AA6" i="11"/>
  <c r="AN5" i="11"/>
  <c r="AF5" i="11"/>
  <c r="AH5" i="11" s="1"/>
  <c r="AD5" i="11"/>
  <c r="AC5" i="11"/>
  <c r="AB5" i="11"/>
  <c r="AA5" i="11"/>
  <c r="AN4" i="11"/>
  <c r="AF4" i="11"/>
  <c r="AD4" i="11"/>
  <c r="AC4" i="11"/>
  <c r="AB4" i="11"/>
  <c r="AA4" i="11"/>
  <c r="AN3" i="11"/>
  <c r="AF3" i="11"/>
  <c r="AD3" i="11"/>
  <c r="AC3" i="11"/>
  <c r="AB3" i="11"/>
  <c r="AA3" i="11"/>
  <c r="AL18" i="11" l="1"/>
  <c r="AE9" i="11"/>
  <c r="AM9" i="11" s="1"/>
  <c r="AE8" i="11"/>
  <c r="AM8" i="11" s="1"/>
  <c r="AE14" i="11"/>
  <c r="AM14" i="11" s="1"/>
  <c r="AL3" i="11"/>
  <c r="AH6" i="11"/>
  <c r="AI6" i="11"/>
  <c r="AG19" i="11"/>
  <c r="AG4" i="11"/>
  <c r="AG11" i="11"/>
  <c r="AJ3" i="11"/>
  <c r="AE21" i="11"/>
  <c r="AM21" i="11" s="1"/>
  <c r="AE25" i="11"/>
  <c r="AM25" i="11" s="1"/>
  <c r="AL11" i="11"/>
  <c r="AI5" i="11"/>
  <c r="AK19" i="11"/>
  <c r="AJ5" i="11"/>
  <c r="AK13" i="11"/>
  <c r="AK5" i="11"/>
  <c r="AG5" i="11"/>
  <c r="AK18" i="11"/>
  <c r="AJ11" i="11"/>
  <c r="AE3" i="11"/>
  <c r="AM3" i="11" s="1"/>
  <c r="AI11" i="11"/>
  <c r="AI8" i="11"/>
  <c r="AK11" i="11"/>
  <c r="AG9" i="11"/>
  <c r="AE10" i="11"/>
  <c r="AM10" i="11" s="1"/>
  <c r="AE16" i="11"/>
  <c r="AM16" i="11" s="1"/>
  <c r="AH4" i="11"/>
  <c r="AI4" i="11"/>
  <c r="AK6" i="11"/>
  <c r="AH24" i="11"/>
  <c r="AK4" i="11"/>
  <c r="AK3" i="11"/>
  <c r="AL4" i="11"/>
  <c r="AE15" i="11"/>
  <c r="AM15" i="11" s="1"/>
  <c r="AE23" i="11"/>
  <c r="AM23" i="11" s="1"/>
  <c r="AG14" i="11"/>
  <c r="AG20" i="11"/>
  <c r="AG21" i="11"/>
  <c r="AI23" i="11"/>
  <c r="AE6" i="11"/>
  <c r="AM6" i="11" s="1"/>
  <c r="AG13" i="11"/>
  <c r="AH14" i="11"/>
  <c r="AG16" i="11"/>
  <c r="AE18" i="11"/>
  <c r="AM18" i="11" s="1"/>
  <c r="AH19" i="11"/>
  <c r="AH20" i="11"/>
  <c r="AH21" i="11"/>
  <c r="AI15" i="11"/>
  <c r="AG23" i="11"/>
  <c r="AI13" i="11"/>
  <c r="AI14" i="11"/>
  <c r="AI19" i="11"/>
  <c r="AI20" i="11"/>
  <c r="AI21" i="11"/>
  <c r="AG6" i="11"/>
  <c r="AH11" i="11"/>
  <c r="AJ13" i="11"/>
  <c r="AK14" i="11"/>
  <c r="AJ18" i="11"/>
  <c r="AJ19" i="11"/>
  <c r="AJ20" i="11"/>
  <c r="AK21" i="11"/>
  <c r="AK20" i="11"/>
  <c r="AJ10" i="11"/>
  <c r="AJ4" i="11"/>
  <c r="AK10" i="11"/>
  <c r="AG25" i="11"/>
  <c r="AL26" i="11"/>
  <c r="AL19" i="11"/>
  <c r="AE24" i="11"/>
  <c r="AM24" i="11" s="1"/>
  <c r="AG8" i="11"/>
  <c r="AG15" i="11"/>
  <c r="AL5" i="11"/>
  <c r="AH8" i="11"/>
  <c r="AL13" i="11"/>
  <c r="AH15" i="11"/>
  <c r="AL20" i="11"/>
  <c r="AH23" i="11"/>
  <c r="AG24" i="11"/>
  <c r="AE26" i="11"/>
  <c r="AM26" i="11" s="1"/>
  <c r="AL6" i="11"/>
  <c r="AJ8" i="11"/>
  <c r="AH9" i="11"/>
  <c r="AL14" i="11"/>
  <c r="AJ15" i="11"/>
  <c r="AH16" i="11"/>
  <c r="AL21" i="11"/>
  <c r="AJ23" i="11"/>
  <c r="AI24" i="11"/>
  <c r="AH25" i="11"/>
  <c r="AG26" i="11"/>
  <c r="AG3" i="11"/>
  <c r="AE4" i="11"/>
  <c r="AM4" i="11" s="1"/>
  <c r="AI9" i="11"/>
  <c r="AG10" i="11"/>
  <c r="AE11" i="11"/>
  <c r="AM11" i="11" s="1"/>
  <c r="AI16" i="11"/>
  <c r="AG18" i="11"/>
  <c r="AJ24" i="11"/>
  <c r="AI25" i="11"/>
  <c r="AH26" i="11"/>
  <c r="AL8" i="11"/>
  <c r="AJ9" i="11"/>
  <c r="AH10" i="11"/>
  <c r="AL15" i="11"/>
  <c r="AJ16" i="11"/>
  <c r="AH18" i="11"/>
  <c r="AL23" i="11"/>
  <c r="AJ25" i="11"/>
  <c r="AI26" i="11"/>
  <c r="AH3" i="11"/>
  <c r="AI3" i="11"/>
  <c r="AE5" i="11"/>
  <c r="AM5" i="11" s="1"/>
  <c r="AE13" i="11"/>
  <c r="AM13" i="11" s="1"/>
  <c r="AL24" i="11"/>
  <c r="AJ26" i="11"/>
  <c r="AL9" i="11"/>
  <c r="AL16" i="11"/>
  <c r="AL25" i="11"/>
  <c r="AL10" i="11"/>
</calcChain>
</file>

<file path=xl/comments1.xml><?xml version="1.0" encoding="utf-8"?>
<comments xmlns="http://schemas.openxmlformats.org/spreadsheetml/2006/main">
  <authors>
    <author>Michael Leibl</author>
    <author>Tinivella Riccardo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Operating point number</t>
        </r>
      </text>
    </comment>
    <comment ref="B2" authorId="0" shapeId="0">
      <text>
        <r>
          <rPr>
            <sz val="9"/>
            <color indexed="81"/>
            <rFont val="Tahoma"/>
            <family val="2"/>
          </rPr>
          <t>Secondary DC voltage</t>
        </r>
      </text>
    </comment>
    <comment ref="C2" authorId="0" shapeId="0">
      <text>
        <r>
          <rPr>
            <sz val="9"/>
            <color indexed="81"/>
            <rFont val="Tahoma"/>
            <family val="2"/>
          </rPr>
          <t>Secondary DC voltage</t>
        </r>
      </text>
    </comment>
    <comment ref="D2" authorId="0" shapeId="0">
      <text>
        <r>
          <rPr>
            <sz val="9"/>
            <color indexed="81"/>
            <rFont val="Tahoma"/>
            <family val="2"/>
          </rPr>
          <t>Secondary DC voltage</t>
        </r>
      </text>
    </comment>
    <comment ref="A3" authorId="1" shapeId="0">
      <text>
        <r>
          <rPr>
            <b/>
            <sz val="9"/>
            <color indexed="81"/>
            <rFont val="Tahoma"/>
            <family val="2"/>
          </rPr>
          <t>Tinivella Riccardo:</t>
        </r>
        <r>
          <rPr>
            <sz val="9"/>
            <color indexed="81"/>
            <rFont val="Tahoma"/>
            <family val="2"/>
          </rPr>
          <t xml:space="preserve">
max input current=350A
</t>
        </r>
      </text>
    </comment>
    <comment ref="A10" authorId="1" shapeId="0">
      <text>
        <r>
          <rPr>
            <b/>
            <sz val="9"/>
            <color indexed="81"/>
            <rFont val="Tahoma"/>
            <family val="2"/>
          </rPr>
          <t>Tinivella Riccardo:</t>
        </r>
        <r>
          <rPr>
            <sz val="9"/>
            <color indexed="81"/>
            <rFont val="Tahoma"/>
            <family val="2"/>
          </rPr>
          <t xml:space="preserve">
max input current=max phase current=230A</t>
        </r>
      </text>
    </comment>
    <comment ref="A19" authorId="1" shapeId="0">
      <text>
        <r>
          <rPr>
            <b/>
            <sz val="9"/>
            <color indexed="81"/>
            <rFont val="Tahoma"/>
            <family val="2"/>
          </rPr>
          <t>Tinivella Riccardo:</t>
        </r>
        <r>
          <rPr>
            <sz val="9"/>
            <color indexed="81"/>
            <rFont val="Tahoma"/>
            <family val="2"/>
          </rPr>
          <t xml:space="preserve">
NTB test setup limits
Test according to TKP specs</t>
        </r>
      </text>
    </comment>
  </commentList>
</comments>
</file>

<file path=xl/comments2.xml><?xml version="1.0" encoding="utf-8"?>
<comments xmlns="http://schemas.openxmlformats.org/spreadsheetml/2006/main">
  <authors>
    <author>Michael Leibl</author>
    <author>Tinivella Riccardo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Operating point number</t>
        </r>
      </text>
    </comment>
    <comment ref="B2" authorId="0" shapeId="0">
      <text>
        <r>
          <rPr>
            <sz val="9"/>
            <color indexed="81"/>
            <rFont val="Tahoma"/>
            <family val="2"/>
          </rPr>
          <t>Secondary DC voltage</t>
        </r>
      </text>
    </comment>
    <comment ref="C2" authorId="0" shapeId="0">
      <text>
        <r>
          <rPr>
            <sz val="9"/>
            <color indexed="81"/>
            <rFont val="Tahoma"/>
            <family val="2"/>
          </rPr>
          <t>Secondary DC voltage</t>
        </r>
      </text>
    </comment>
    <comment ref="D2" authorId="0" shapeId="0">
      <text>
        <r>
          <rPr>
            <sz val="9"/>
            <color indexed="81"/>
            <rFont val="Tahoma"/>
            <family val="2"/>
          </rPr>
          <t>Secondary DC voltage</t>
        </r>
      </text>
    </comment>
    <comment ref="A9" authorId="1" shapeId="0">
      <text>
        <r>
          <rPr>
            <b/>
            <sz val="9"/>
            <color indexed="81"/>
            <rFont val="Tahoma"/>
            <family val="2"/>
          </rPr>
          <t>Tinivella Riccardo:</t>
        </r>
        <r>
          <rPr>
            <sz val="9"/>
            <color indexed="81"/>
            <rFont val="Tahoma"/>
            <family val="2"/>
          </rPr>
          <t xml:space="preserve">
NTB test setup limits
Test according to TKP specs</t>
        </r>
      </text>
    </comment>
  </commentList>
</comments>
</file>

<file path=xl/comments3.xml><?xml version="1.0" encoding="utf-8"?>
<comments xmlns="http://schemas.openxmlformats.org/spreadsheetml/2006/main">
  <authors>
    <author>Michael Leibl</author>
    <author>Tinivella Riccardo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Operating point number</t>
        </r>
      </text>
    </comment>
    <comment ref="B2" authorId="0" shapeId="0">
      <text>
        <r>
          <rPr>
            <sz val="9"/>
            <color indexed="81"/>
            <rFont val="Tahoma"/>
            <family val="2"/>
          </rPr>
          <t>Secondary DC voltage</t>
        </r>
      </text>
    </comment>
    <comment ref="C2" authorId="0" shapeId="0">
      <text>
        <r>
          <rPr>
            <sz val="9"/>
            <color indexed="81"/>
            <rFont val="Tahoma"/>
            <family val="2"/>
          </rPr>
          <t>Secondary DC voltage</t>
        </r>
      </text>
    </comment>
    <comment ref="D2" authorId="0" shapeId="0">
      <text>
        <r>
          <rPr>
            <sz val="9"/>
            <color indexed="81"/>
            <rFont val="Tahoma"/>
            <family val="2"/>
          </rPr>
          <t>Secondary DC voltage</t>
        </r>
      </text>
    </comment>
    <comment ref="A9" authorId="1" shapeId="0">
      <text>
        <r>
          <rPr>
            <b/>
            <sz val="9"/>
            <color indexed="81"/>
            <rFont val="Tahoma"/>
            <family val="2"/>
          </rPr>
          <t>Tinivella Riccardo:</t>
        </r>
        <r>
          <rPr>
            <sz val="9"/>
            <color indexed="81"/>
            <rFont val="Tahoma"/>
            <family val="2"/>
          </rPr>
          <t xml:space="preserve">
NTB test setup limits
Test according to TKP specs</t>
        </r>
      </text>
    </comment>
  </commentList>
</comments>
</file>

<file path=xl/sharedStrings.xml><?xml version="1.0" encoding="utf-8"?>
<sst xmlns="http://schemas.openxmlformats.org/spreadsheetml/2006/main" count="578" uniqueCount="331">
  <si>
    <t>MIN</t>
  </si>
  <si>
    <t>NOM</t>
  </si>
  <si>
    <t>MAX</t>
  </si>
  <si>
    <t>W</t>
  </si>
  <si>
    <t>OPN</t>
  </si>
  <si>
    <t>Topology</t>
  </si>
  <si>
    <t>Efficiency (%)</t>
  </si>
  <si>
    <t>Configuration Name</t>
  </si>
  <si>
    <t>Duty</t>
  </si>
  <si>
    <t>Conduction Loss (W)</t>
  </si>
  <si>
    <t>Switching Loss (W)</t>
  </si>
  <si>
    <t>Other data from simulations</t>
  </si>
  <si>
    <t>S1</t>
  </si>
  <si>
    <t>S2</t>
  </si>
  <si>
    <t>S3</t>
  </si>
  <si>
    <t>S4</t>
  </si>
  <si>
    <t>S5</t>
  </si>
  <si>
    <t>S6</t>
  </si>
  <si>
    <t>S7</t>
  </si>
  <si>
    <t>S8</t>
  </si>
  <si>
    <t>Icdcp (A)</t>
  </si>
  <si>
    <t>Icdcs (A)</t>
  </si>
  <si>
    <t>Icp (A)</t>
  </si>
  <si>
    <t>Ics (A)</t>
  </si>
  <si>
    <t>fmin (Hz)</t>
  </si>
  <si>
    <t>Capacitor Losses (W)</t>
  </si>
  <si>
    <t>Derived Values</t>
  </si>
  <si>
    <t>fmax (Hz)</t>
  </si>
  <si>
    <t>Vcpmax (V)</t>
  </si>
  <si>
    <t>Vcsmax (V)</t>
  </si>
  <si>
    <t>Cdcp</t>
  </si>
  <si>
    <t>Cdcs</t>
  </si>
  <si>
    <t>Crp</t>
  </si>
  <si>
    <t>Crs</t>
  </si>
  <si>
    <t>Transformer Loss (W)</t>
  </si>
  <si>
    <t>P(W)</t>
  </si>
  <si>
    <t>Conduction Loss Primary (%)</t>
  </si>
  <si>
    <t>Switching Loss Primary (%)</t>
  </si>
  <si>
    <t>Conduction Loss Secondary (%)</t>
  </si>
  <si>
    <t>Switching Loss Secondary (%)</t>
  </si>
  <si>
    <t>Capacitor Loss (%)</t>
  </si>
  <si>
    <t>Transformer Loss (%)</t>
  </si>
  <si>
    <t>chart title</t>
  </si>
  <si>
    <t>Vo (V)</t>
  </si>
  <si>
    <t>Vi (V)</t>
  </si>
  <si>
    <t>Power</t>
  </si>
  <si>
    <t>kW</t>
  </si>
  <si>
    <t>Efficiency Target</t>
  </si>
  <si>
    <t>%</t>
  </si>
  <si>
    <t>Auxiliary Loss</t>
  </si>
  <si>
    <t>PFC Semiconductor Conduction Loss</t>
  </si>
  <si>
    <t>DCDC Semiconductor Conduction Loss</t>
  </si>
  <si>
    <t>PFC Semiconductor Switching Loss</t>
  </si>
  <si>
    <t>DCDC Semiconductor Switching Loss</t>
  </si>
  <si>
    <t>Transformers</t>
  </si>
  <si>
    <t>Inductors</t>
  </si>
  <si>
    <t>Vin(V)</t>
  </si>
  <si>
    <t>Vout(V)</t>
  </si>
  <si>
    <t>Pout(W)</t>
  </si>
  <si>
    <t>Twater(C)</t>
  </si>
  <si>
    <t>Vol(L)</t>
  </si>
  <si>
    <t>flow_rate(L/min)</t>
  </si>
  <si>
    <t>eff()</t>
  </si>
  <si>
    <t>Vout/Vin()</t>
  </si>
  <si>
    <t>ConfigName</t>
  </si>
  <si>
    <t>Motor_Tamb=20_Id=0A</t>
  </si>
  <si>
    <t>Motor_Tamb20C_Id=200A</t>
  </si>
  <si>
    <t>Motor_Tamb=120C_Id=200A</t>
  </si>
  <si>
    <t>Rst [Ohm]</t>
  </si>
  <si>
    <t>Lst [H]</t>
  </si>
  <si>
    <t>Lm [H]</t>
  </si>
  <si>
    <t>Rrot [Ohm]</t>
  </si>
  <si>
    <t>Lrot [H]</t>
  </si>
  <si>
    <t>T [C]</t>
  </si>
  <si>
    <t>f_LmRr[Hz]</t>
  </si>
  <si>
    <t>f_LrRr[Hz]</t>
  </si>
  <si>
    <t>Iin</t>
  </si>
  <si>
    <t>Rlmax</t>
  </si>
  <si>
    <t>Plbst</t>
  </si>
  <si>
    <t>Author:</t>
  </si>
  <si>
    <t>Motor Type:</t>
  </si>
  <si>
    <t>Efficiency estimation</t>
  </si>
  <si>
    <t>TKP EZW1</t>
  </si>
  <si>
    <t>DUT</t>
  </si>
  <si>
    <t>Inverter</t>
  </si>
  <si>
    <t>Instrumentation</t>
  </si>
  <si>
    <t>Supply</t>
  </si>
  <si>
    <t>SW</t>
  </si>
  <si>
    <t>Oscilloscope</t>
  </si>
  <si>
    <t>Probe</t>
  </si>
  <si>
    <t>Vin</t>
  </si>
  <si>
    <t>Config_Name</t>
  </si>
  <si>
    <t>Vout</t>
  </si>
  <si>
    <t>Io</t>
  </si>
  <si>
    <t>image</t>
  </si>
  <si>
    <t>comments</t>
  </si>
  <si>
    <t>3ph_interleaved_120deg</t>
  </si>
  <si>
    <t>Location, date</t>
  </si>
  <si>
    <t>TKP</t>
  </si>
  <si>
    <t>Ploss_mot</t>
  </si>
  <si>
    <t>2ph_interleaved_180deg</t>
  </si>
  <si>
    <t>1ph_U</t>
  </si>
  <si>
    <t>2L-IES inverter</t>
  </si>
  <si>
    <t>Munich, 28.06.18</t>
  </si>
  <si>
    <t>i_in (A)</t>
  </si>
  <si>
    <t>Ploss_max (W)</t>
  </si>
  <si>
    <t>fs (Hz)</t>
  </si>
  <si>
    <t>Po (W)</t>
  </si>
  <si>
    <t>Ii (A)</t>
  </si>
  <si>
    <t>CFN</t>
  </si>
  <si>
    <t>Po(W)</t>
  </si>
  <si>
    <t>NIBB_10kHz_120uF</t>
  </si>
  <si>
    <t>Cdclink (F)</t>
  </si>
  <si>
    <t>Cdm (F)</t>
  </si>
  <si>
    <t>Vi_dc.voltage.rms</t>
  </si>
  <si>
    <t>Vi_dc.current.rms</t>
  </si>
  <si>
    <t>Vi_dc.power.rms</t>
  </si>
  <si>
    <t>Am_in.current.rms</t>
  </si>
  <si>
    <t>Cdm.voltage.rms</t>
  </si>
  <si>
    <t>Cdm.current.rms</t>
  </si>
  <si>
    <t>motor_phU.current.rms</t>
  </si>
  <si>
    <t>motor_phU.voltage.rms</t>
  </si>
  <si>
    <t>motor_phV.current.rms</t>
  </si>
  <si>
    <t>motor_phV.voltage.rms</t>
  </si>
  <si>
    <t>motor_phW.current.rms</t>
  </si>
  <si>
    <t>motor_phW.voltage.rms</t>
  </si>
  <si>
    <t>S_ULS.voltage.rms</t>
  </si>
  <si>
    <t>S_ULS.current.rms</t>
  </si>
  <si>
    <t>S_UHS.voltage.rms</t>
  </si>
  <si>
    <t>S_UHS.current.rms</t>
  </si>
  <si>
    <t>S_VLS.voltage.rms</t>
  </si>
  <si>
    <t>S_VLS.current.rms</t>
  </si>
  <si>
    <t>S_VHS.voltage.rms</t>
  </si>
  <si>
    <t>S_VHS.current.rms</t>
  </si>
  <si>
    <t>S_WLS.voltage.rms</t>
  </si>
  <si>
    <t>S_WLS.current.rms</t>
  </si>
  <si>
    <t>S_WHS.voltage.rms</t>
  </si>
  <si>
    <t>S_WHS.current.rms</t>
  </si>
  <si>
    <t>Cdclink.voltage.rms</t>
  </si>
  <si>
    <t>Cdclink.current.rms</t>
  </si>
  <si>
    <t>Am_out.current.rms</t>
  </si>
  <si>
    <t>Vo_dc.voltage.rms</t>
  </si>
  <si>
    <t>Vo_dc.current.rms</t>
  </si>
  <si>
    <t>Vo_dc.power.rms</t>
  </si>
  <si>
    <t>NIBB_20kHz_120uF</t>
  </si>
  <si>
    <t>NIBB_30kHz_120uF</t>
  </si>
  <si>
    <t>NIBB_40kHz_120uF</t>
  </si>
  <si>
    <t>NIBB_50kHz_120uF</t>
  </si>
  <si>
    <t>NIBB_au_10kHz_120uF</t>
  </si>
  <si>
    <t>NIBB_au_20kHz_120uF</t>
  </si>
  <si>
    <t>NIBB_au_30kHz_120uF</t>
  </si>
  <si>
    <t>NIBB_au_40kHz_120uF</t>
  </si>
  <si>
    <t>NIBB_au_50kHz_120uF</t>
  </si>
  <si>
    <t>Bst3PHparIntlCoupl_10kHz_120uF</t>
  </si>
  <si>
    <t>Bst3PHparIntlCoupl_20kHz_120uF</t>
  </si>
  <si>
    <t>Bst3PHparIntlCoupl_30kHz_120uF</t>
  </si>
  <si>
    <t>Bst3PHparIntlCoupl_40kHz_120uF</t>
  </si>
  <si>
    <t>Bst3PHparIntlCoupl_50kHz_120uF</t>
  </si>
  <si>
    <t>Bst1PHser2PHparIntlCoupl_10kHz_120uF</t>
  </si>
  <si>
    <t>Bst1PHser2PHparIntlCoupl_20kHz_120uF</t>
  </si>
  <si>
    <t>Bst1PHser2PHparIntlCoupl_30kHz_120uF</t>
  </si>
  <si>
    <t>Bst1PHser2PHparIntlCoupl_40kHz_120uF</t>
  </si>
  <si>
    <t>Bst1PHser2PHparIntlCoupl_50kHz_120uF</t>
  </si>
  <si>
    <t>Bst2PHserCoupl_10kHz_120uF</t>
  </si>
  <si>
    <t>Bst2PHserCoupl_20kHz_120uF</t>
  </si>
  <si>
    <t>Bst2PHserCoupl_30kHz_120uF</t>
  </si>
  <si>
    <t>Bst2PHserCoupl_40kHz_120uF</t>
  </si>
  <si>
    <t>Bst2PHserCoupl_50kHz_120uF</t>
  </si>
  <si>
    <t>fsw[kHz]</t>
  </si>
  <si>
    <t>boost_NIBB_coupled</t>
  </si>
  <si>
    <t>boost_NIBB_InvertedPower</t>
  </si>
  <si>
    <t>boost_3phintlY_coupled</t>
  </si>
  <si>
    <t>boost_2phintl_coupled</t>
  </si>
  <si>
    <t>boost_1ph_coupled</t>
  </si>
  <si>
    <t>TC1</t>
  </si>
  <si>
    <t>TC_ref</t>
  </si>
  <si>
    <t>TC2</t>
  </si>
  <si>
    <t>TC3</t>
  </si>
  <si>
    <t>TC4</t>
  </si>
  <si>
    <t>TC5</t>
  </si>
  <si>
    <t>Ii_max (A)</t>
  </si>
  <si>
    <t>inverterSiC_EZW1_Y2UV</t>
  </si>
  <si>
    <t>inverterSiC_EZW1_W2UV</t>
  </si>
  <si>
    <t>duty_openloop ()</t>
  </si>
  <si>
    <t>L (H)</t>
  </si>
  <si>
    <t>k ()</t>
  </si>
  <si>
    <t>ron (ohm)</t>
  </si>
  <si>
    <t>meas_EZW1_Y2UV_16kHz_D55%</t>
  </si>
  <si>
    <t>meas_EZW1_W2UV_16kHz_D55%</t>
  </si>
  <si>
    <t>meas_Raketa_Y2UV_16kHz_D55%</t>
  </si>
  <si>
    <t>meas_Raketa_W2UV_16kHz_D55%</t>
  </si>
  <si>
    <t>inverterSiC_Raketa_Y2UV</t>
  </si>
  <si>
    <t>inverterSiC_Raketa_W2UV</t>
  </si>
  <si>
    <t>meas_EZW1_Y2UV_25kHz_D55%</t>
  </si>
  <si>
    <t>meas_EZW1_W2UV_25kHz_D55%</t>
  </si>
  <si>
    <t>Lph_EZW1</t>
  </si>
  <si>
    <t>k_EZW1</t>
  </si>
  <si>
    <t>Io_max (A)</t>
  </si>
  <si>
    <t>Vi_max (V)</t>
  </si>
  <si>
    <t>Vo_max (V)</t>
  </si>
  <si>
    <t>Ii_set (A)</t>
  </si>
  <si>
    <t>Po_set (W)</t>
  </si>
  <si>
    <t>Vi_set (A)</t>
  </si>
  <si>
    <t>Pi_set (W)</t>
  </si>
  <si>
    <t>Pi_max (W)</t>
  </si>
  <si>
    <t>Po_max (V)</t>
  </si>
  <si>
    <t>Derating limit</t>
  </si>
  <si>
    <t>Vo_set (V)</t>
  </si>
  <si>
    <t>Io_set (A)</t>
  </si>
  <si>
    <t>Ii_Q4 (A)</t>
  </si>
  <si>
    <t>Vi_Q4 (V)</t>
  </si>
  <si>
    <t>Pi_Q4 (W)</t>
  </si>
  <si>
    <t>Vi_Q1 (V)</t>
  </si>
  <si>
    <t>Ii_Q1 (A)</t>
  </si>
  <si>
    <t>Pi_Q1 (W)</t>
  </si>
  <si>
    <t>TC6</t>
  </si>
  <si>
    <t>TC7</t>
  </si>
  <si>
    <t>TC8</t>
  </si>
  <si>
    <t>Regatron setting</t>
  </si>
  <si>
    <t>Scan</t>
  </si>
  <si>
    <t>Time</t>
  </si>
  <si>
    <t>Idc_in</t>
  </si>
  <si>
    <t>P_IN</t>
  </si>
  <si>
    <t>Agilent34465A</t>
  </si>
  <si>
    <t>Agilent34970A</t>
  </si>
  <si>
    <t>Regatron</t>
  </si>
  <si>
    <t>'TCPIP0::146.136.35.174::inst0::INSTR'</t>
  </si>
  <si>
    <t>dmm_vin</t>
  </si>
  <si>
    <t>Data Acquisition</t>
  </si>
  <si>
    <t>Multimeter</t>
  </si>
  <si>
    <t>dmm_vout</t>
  </si>
  <si>
    <t>SupplyBidirectional</t>
  </si>
  <si>
    <t>source</t>
  </si>
  <si>
    <t>'COM7'</t>
  </si>
  <si>
    <t>load</t>
  </si>
  <si>
    <t>'COM4'</t>
  </si>
  <si>
    <t>146.136.35.134'</t>
  </si>
  <si>
    <t>Instrument</t>
  </si>
  <si>
    <t>Function</t>
  </si>
  <si>
    <t>Model</t>
  </si>
  <si>
    <t>Address</t>
  </si>
  <si>
    <t>SerialNumber</t>
  </si>
  <si>
    <t>booster</t>
  </si>
  <si>
    <t>thermo</t>
  </si>
  <si>
    <t>scope</t>
  </si>
  <si>
    <t>Waverunner8104-MS</t>
  </si>
  <si>
    <t>TCPIP0::146.136.35.176::inst0::INSTR'</t>
  </si>
  <si>
    <t>ASM_EZW1_SiCinverter</t>
  </si>
  <si>
    <t>EZW1_NTBsic</t>
  </si>
  <si>
    <t>'COM5'</t>
  </si>
  <si>
    <t>timeout</t>
  </si>
  <si>
    <t>ASRL10::INSTR'</t>
  </si>
  <si>
    <t>9600,None,8bits</t>
  </si>
  <si>
    <t>38400,None,8bits</t>
  </si>
  <si>
    <t>param</t>
  </si>
  <si>
    <t>V_Q1 (V)</t>
  </si>
  <si>
    <t>I_Q1 (A)</t>
  </si>
  <si>
    <t>P_Q1 (W)</t>
  </si>
  <si>
    <t>V_Q4 (V)</t>
  </si>
  <si>
    <t>I_Q4 (A)</t>
  </si>
  <si>
    <t>P_Q4 (W)</t>
  </si>
  <si>
    <t>Source Regatron setting</t>
  </si>
  <si>
    <t>Load Regatron setting</t>
  </si>
  <si>
    <t>TC4_noload</t>
  </si>
  <si>
    <t>to_TC_ref_1</t>
  </si>
  <si>
    <t>to_TC_ref_2</t>
  </si>
  <si>
    <t>to_TC_ref_3</t>
  </si>
  <si>
    <t>to_TC_ref_4</t>
  </si>
  <si>
    <t>to_TC_ref_5</t>
  </si>
  <si>
    <t>to_TC_ref_6</t>
  </si>
  <si>
    <t>to_TC4_noload_1</t>
  </si>
  <si>
    <t>to_TC4_noload_2</t>
  </si>
  <si>
    <t>to_TC4_noload_3</t>
  </si>
  <si>
    <t>to_TC4_noload_4</t>
  </si>
  <si>
    <t>to_TC4_1</t>
  </si>
  <si>
    <t>to_TC4_2</t>
  </si>
  <si>
    <t>to_TC4_3</t>
  </si>
  <si>
    <t>to_TC3_1</t>
  </si>
  <si>
    <t>to_TC3_2</t>
  </si>
  <si>
    <t>to_TC3_3</t>
  </si>
  <si>
    <t>to_TC3_4</t>
  </si>
  <si>
    <t>to_TC3_5</t>
  </si>
  <si>
    <t>to_TC3_6</t>
  </si>
  <si>
    <t>to_TC3_7</t>
  </si>
  <si>
    <t>to_TC3_8</t>
  </si>
  <si>
    <t>to_TC3_9</t>
  </si>
  <si>
    <t>to_TC3_10</t>
  </si>
  <si>
    <t>to_TC3_11</t>
  </si>
  <si>
    <t>to_TC3_12</t>
  </si>
  <si>
    <t>to_TC3_13</t>
  </si>
  <si>
    <t>to_TC3_14</t>
  </si>
  <si>
    <t>to_TC1_1</t>
  </si>
  <si>
    <t>to_TC1_2</t>
  </si>
  <si>
    <t>to_TC1_3</t>
  </si>
  <si>
    <t>TC1_noload</t>
  </si>
  <si>
    <t>to_TC1_noload_1</t>
  </si>
  <si>
    <t>to_TC1_noload_2</t>
  </si>
  <si>
    <t>Pi (W)</t>
  </si>
  <si>
    <t>Io (A)</t>
  </si>
  <si>
    <t>Vi (W)</t>
  </si>
  <si>
    <t>I_1 (A)</t>
  </si>
  <si>
    <t>I_2 (A)</t>
  </si>
  <si>
    <t>I_3 (A)</t>
  </si>
  <si>
    <t>V_1 (V)</t>
  </si>
  <si>
    <t>V_2 (V)</t>
  </si>
  <si>
    <t>V_3 (V)</t>
  </si>
  <si>
    <t>P_3 (W)</t>
  </si>
  <si>
    <t>P_1 (W)</t>
  </si>
  <si>
    <t>P_2 (W)</t>
  </si>
  <si>
    <t>Meas Source</t>
  </si>
  <si>
    <t>Meas Load</t>
  </si>
  <si>
    <t>Meas Power Meter</t>
  </si>
  <si>
    <t>Eff ( )</t>
  </si>
  <si>
    <t>TS1 (°C)</t>
  </si>
  <si>
    <t>TS2 (°C)</t>
  </si>
  <si>
    <t>TC1.1 (°C)</t>
  </si>
  <si>
    <t>TC1.2 (°C)</t>
  </si>
  <si>
    <t>TC2.1 (°C)</t>
  </si>
  <si>
    <t>TC2.2 (°C)</t>
  </si>
  <si>
    <t>TSCR1.1 (°C)</t>
  </si>
  <si>
    <t>TSCR1.2 (°C)</t>
  </si>
  <si>
    <t>TSCR2.1 (°C)</t>
  </si>
  <si>
    <t>TSCR2.2 (°C)</t>
  </si>
  <si>
    <t>TSCR2.3 (°C)</t>
  </si>
  <si>
    <t>TSCR2.4 (°C)</t>
  </si>
  <si>
    <t>Temperature motor</t>
  </si>
  <si>
    <t>P_INV (W)</t>
  </si>
  <si>
    <t>P_MOT_WT1806E (W)</t>
  </si>
  <si>
    <t>Pmot Test 1 (W)</t>
  </si>
  <si>
    <t>P_MOT Sim.  (W)</t>
  </si>
  <si>
    <t>TCN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</si>
</sst>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0.0E+0\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6" fillId="8" borderId="17" applyNumberFormat="0" applyAlignment="0" applyProtection="0"/>
    <xf numFmtId="9" fontId="9" fillId="0" borderId="0" applyFont="0" applyFill="0" applyBorder="0" applyAlignment="0" applyProtection="0"/>
    <xf numFmtId="0" fontId="10" fillId="10" borderId="0" applyNumberFormat="0" applyBorder="0" applyAlignment="0" applyProtection="0"/>
  </cellStyleXfs>
  <cellXfs count="157">
    <xf numFmtId="0" fontId="0" fillId="0" borderId="0" xfId="0"/>
    <xf numFmtId="48" fontId="1" fillId="0" borderId="20" xfId="0" applyNumberFormat="1" applyFont="1" applyBorder="1" applyAlignment="1">
      <alignment horizontal="center" vertical="center"/>
    </xf>
    <xf numFmtId="48" fontId="1" fillId="0" borderId="20" xfId="0" applyNumberFormat="1" applyFont="1" applyFill="1" applyBorder="1" applyAlignment="1">
      <alignment horizontal="center" vertical="center"/>
    </xf>
    <xf numFmtId="48" fontId="1" fillId="0" borderId="21" xfId="0" applyNumberFormat="1" applyFont="1" applyFill="1" applyBorder="1" applyAlignment="1">
      <alignment horizontal="center" vertical="center"/>
    </xf>
    <xf numFmtId="48" fontId="0" fillId="0" borderId="0" xfId="0" applyNumberFormat="1"/>
    <xf numFmtId="164" fontId="2" fillId="0" borderId="16" xfId="0" applyNumberFormat="1" applyFont="1" applyBorder="1" applyAlignment="1">
      <alignment horizontal="center" vertical="center"/>
    </xf>
    <xf numFmtId="164" fontId="0" fillId="0" borderId="0" xfId="0" applyNumberFormat="1"/>
    <xf numFmtId="164" fontId="2" fillId="0" borderId="19" xfId="0" applyNumberFormat="1" applyFont="1" applyBorder="1" applyAlignment="1">
      <alignment horizontal="center" vertical="center"/>
    </xf>
    <xf numFmtId="164" fontId="0" fillId="0" borderId="16" xfId="0" applyNumberFormat="1" applyBorder="1"/>
    <xf numFmtId="164" fontId="2" fillId="0" borderId="15" xfId="0" applyNumberFormat="1" applyFont="1" applyBorder="1" applyAlignment="1">
      <alignment horizontal="center" vertical="center"/>
    </xf>
    <xf numFmtId="164" fontId="0" fillId="0" borderId="0" xfId="0" applyNumberFormat="1" applyAlignment="1">
      <alignment wrapText="1"/>
    </xf>
    <xf numFmtId="164" fontId="0" fillId="0" borderId="0" xfId="0" applyNumberFormat="1" applyAlignment="1"/>
    <xf numFmtId="164" fontId="0" fillId="2" borderId="1" xfId="0" applyNumberFormat="1" applyFill="1" applyBorder="1"/>
    <xf numFmtId="164" fontId="0" fillId="0" borderId="7" xfId="0" applyNumberFormat="1" applyBorder="1"/>
    <xf numFmtId="164" fontId="1" fillId="3" borderId="0" xfId="0" applyNumberFormat="1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164" fontId="1" fillId="2" borderId="4" xfId="0" applyNumberFormat="1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64" fontId="1" fillId="4" borderId="5" xfId="0" applyNumberFormat="1" applyFont="1" applyFill="1" applyBorder="1" applyAlignment="1">
      <alignment horizontal="center" vertical="center" wrapText="1"/>
    </xf>
    <xf numFmtId="164" fontId="1" fillId="6" borderId="5" xfId="0" applyNumberFormat="1" applyFont="1" applyFill="1" applyBorder="1" applyAlignment="1">
      <alignment horizontal="center" vertical="center" wrapText="1"/>
    </xf>
    <xf numFmtId="164" fontId="1" fillId="6" borderId="6" xfId="0" applyNumberFormat="1" applyFont="1" applyFill="1" applyBorder="1" applyAlignment="1">
      <alignment horizontal="center"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164" fontId="1" fillId="3" borderId="14" xfId="0" applyNumberFormat="1" applyFont="1" applyFill="1" applyBorder="1" applyAlignment="1">
      <alignment horizontal="center"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164" fontId="1" fillId="7" borderId="5" xfId="0" applyNumberFormat="1" applyFont="1" applyFill="1" applyBorder="1" applyAlignment="1">
      <alignment horizontal="center" vertical="center" wrapText="1"/>
    </xf>
    <xf numFmtId="164" fontId="1" fillId="7" borderId="6" xfId="0" applyNumberFormat="1" applyFont="1" applyFill="1" applyBorder="1" applyAlignment="1">
      <alignment horizontal="center" vertical="center" wrapText="1"/>
    </xf>
    <xf numFmtId="164" fontId="1" fillId="7" borderId="15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" fillId="2" borderId="18" xfId="0" applyNumberFormat="1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164" fontId="6" fillId="8" borderId="16" xfId="1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7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Alignment="1">
      <alignment wrapText="1"/>
    </xf>
    <xf numFmtId="164" fontId="7" fillId="0" borderId="0" xfId="0" applyNumberFormat="1" applyFont="1" applyAlignment="1">
      <alignment wrapText="1"/>
    </xf>
    <xf numFmtId="164" fontId="7" fillId="0" borderId="0" xfId="0" applyNumberFormat="1" applyFont="1" applyAlignment="1">
      <alignment vertical="center" wrapText="1"/>
    </xf>
    <xf numFmtId="164" fontId="7" fillId="0" borderId="0" xfId="2" applyNumberFormat="1" applyFont="1"/>
    <xf numFmtId="0" fontId="1" fillId="0" borderId="20" xfId="0" applyNumberFormat="1" applyFont="1" applyBorder="1" applyAlignment="1">
      <alignment horizontal="center" vertical="center"/>
    </xf>
    <xf numFmtId="0" fontId="0" fillId="0" borderId="0" xfId="0" quotePrefix="1" applyNumberFormat="1"/>
    <xf numFmtId="0" fontId="0" fillId="0" borderId="0" xfId="0" applyNumberFormat="1"/>
    <xf numFmtId="0" fontId="0" fillId="0" borderId="0" xfId="0" applyNumberFormat="1" applyAlignment="1"/>
    <xf numFmtId="10" fontId="0" fillId="0" borderId="0" xfId="2" applyNumberFormat="1" applyFont="1"/>
    <xf numFmtId="0" fontId="0" fillId="0" borderId="0" xfId="0"/>
    <xf numFmtId="0" fontId="3" fillId="0" borderId="0" xfId="0" applyFont="1" applyFill="1"/>
    <xf numFmtId="164" fontId="3" fillId="0" borderId="0" xfId="0" applyNumberFormat="1" applyFont="1" applyFill="1" applyAlignment="1"/>
    <xf numFmtId="11" fontId="3" fillId="0" borderId="0" xfId="0" applyNumberFormat="1" applyFont="1" applyFill="1"/>
    <xf numFmtId="0" fontId="3" fillId="0" borderId="0" xfId="3" applyFont="1" applyFill="1"/>
    <xf numFmtId="164" fontId="1" fillId="2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0" fillId="9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11" fontId="3" fillId="0" borderId="0" xfId="0" applyNumberFormat="1" applyFont="1" applyFill="1" applyAlignment="1">
      <alignment horizontal="center"/>
    </xf>
    <xf numFmtId="0" fontId="3" fillId="0" borderId="0" xfId="3" applyFont="1" applyFill="1" applyAlignment="1">
      <alignment horizontal="center"/>
    </xf>
    <xf numFmtId="11" fontId="3" fillId="0" borderId="0" xfId="3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164" fontId="0" fillId="11" borderId="0" xfId="0" applyNumberFormat="1" applyFill="1" applyAlignment="1"/>
    <xf numFmtId="164" fontId="1" fillId="2" borderId="13" xfId="0" applyNumberFormat="1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wrapText="1"/>
    </xf>
    <xf numFmtId="164" fontId="1" fillId="3" borderId="9" xfId="0" applyNumberFormat="1" applyFont="1" applyFill="1" applyBorder="1" applyAlignment="1">
      <alignment wrapText="1"/>
    </xf>
    <xf numFmtId="164" fontId="1" fillId="3" borderId="12" xfId="0" applyNumberFormat="1" applyFont="1" applyFill="1" applyBorder="1" applyAlignment="1">
      <alignment wrapText="1"/>
    </xf>
    <xf numFmtId="164" fontId="2" fillId="0" borderId="22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1" fillId="14" borderId="0" xfId="0" applyNumberFormat="1" applyFont="1" applyFill="1" applyBorder="1" applyAlignment="1"/>
    <xf numFmtId="164" fontId="1" fillId="14" borderId="23" xfId="0" applyNumberFormat="1" applyFont="1" applyFill="1" applyBorder="1" applyAlignment="1">
      <alignment horizontal="center" vertical="center"/>
    </xf>
    <xf numFmtId="164" fontId="1" fillId="14" borderId="12" xfId="0" applyNumberFormat="1" applyFont="1" applyFill="1" applyBorder="1" applyAlignment="1"/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 applyFill="1" applyAlignment="1">
      <alignment horizontal="center"/>
    </xf>
    <xf numFmtId="164" fontId="10" fillId="10" borderId="0" xfId="3" applyNumberFormat="1" applyAlignment="1"/>
    <xf numFmtId="164" fontId="2" fillId="0" borderId="23" xfId="0" applyNumberFormat="1" applyFont="1" applyBorder="1" applyAlignment="1">
      <alignment horizontal="center" vertical="center" wrapText="1"/>
    </xf>
    <xf numFmtId="164" fontId="2" fillId="15" borderId="22" xfId="0" applyNumberFormat="1" applyFont="1" applyFill="1" applyBorder="1" applyAlignment="1">
      <alignment horizontal="center" vertical="center" wrapText="1"/>
    </xf>
    <xf numFmtId="164" fontId="2" fillId="15" borderId="4" xfId="0" applyNumberFormat="1" applyFont="1" applyFill="1" applyBorder="1" applyAlignment="1">
      <alignment horizontal="center" vertical="center" wrapText="1"/>
    </xf>
    <xf numFmtId="0" fontId="10" fillId="10" borderId="0" xfId="3" applyNumberFormat="1" applyAlignment="1"/>
    <xf numFmtId="11" fontId="0" fillId="0" borderId="0" xfId="0" applyNumberFormat="1" applyAlignment="1"/>
    <xf numFmtId="11" fontId="10" fillId="10" borderId="0" xfId="3" applyNumberFormat="1" applyAlignment="1"/>
    <xf numFmtId="0" fontId="0" fillId="0" borderId="0" xfId="0"/>
    <xf numFmtId="0" fontId="0" fillId="0" borderId="0" xfId="0" quotePrefix="1"/>
    <xf numFmtId="0" fontId="0" fillId="0" borderId="24" xfId="0" applyBorder="1"/>
    <xf numFmtId="0" fontId="0" fillId="0" borderId="0" xfId="0" applyFill="1" applyBorder="1"/>
    <xf numFmtId="2" fontId="1" fillId="3" borderId="9" xfId="0" applyNumberFormat="1" applyFont="1" applyFill="1" applyBorder="1" applyAlignment="1">
      <alignment wrapText="1"/>
    </xf>
    <xf numFmtId="2" fontId="1" fillId="3" borderId="0" xfId="0" applyNumberFormat="1" applyFont="1" applyFill="1" applyBorder="1" applyAlignment="1">
      <alignment wrapText="1"/>
    </xf>
    <xf numFmtId="2" fontId="1" fillId="3" borderId="12" xfId="0" applyNumberFormat="1" applyFont="1" applyFill="1" applyBorder="1" applyAlignment="1">
      <alignment wrapText="1"/>
    </xf>
    <xf numFmtId="2" fontId="1" fillId="14" borderId="0" xfId="0" applyNumberFormat="1" applyFont="1" applyFill="1" applyBorder="1" applyAlignment="1"/>
    <xf numFmtId="2" fontId="1" fillId="14" borderId="12" xfId="0" applyNumberFormat="1" applyFont="1" applyFill="1" applyBorder="1" applyAlignment="1"/>
    <xf numFmtId="2" fontId="0" fillId="0" borderId="0" xfId="0" applyNumberFormat="1" applyAlignment="1"/>
    <xf numFmtId="2" fontId="0" fillId="4" borderId="0" xfId="0" applyNumberFormat="1" applyFill="1" applyAlignment="1"/>
    <xf numFmtId="2" fontId="0" fillId="11" borderId="0" xfId="0" applyNumberFormat="1" applyFill="1" applyAlignment="1"/>
    <xf numFmtId="2" fontId="0" fillId="0" borderId="0" xfId="0" applyNumberFormat="1" applyFill="1" applyAlignment="1"/>
    <xf numFmtId="2" fontId="1" fillId="2" borderId="0" xfId="0" applyNumberFormat="1" applyFont="1" applyFill="1" applyBorder="1" applyAlignment="1">
      <alignment vertical="center"/>
    </xf>
    <xf numFmtId="0" fontId="1" fillId="0" borderId="16" xfId="0" applyFont="1" applyBorder="1" applyAlignment="1">
      <alignment vertical="top"/>
    </xf>
    <xf numFmtId="2" fontId="1" fillId="2" borderId="13" xfId="0" applyNumberFormat="1" applyFont="1" applyFill="1" applyBorder="1" applyAlignment="1">
      <alignment vertical="center"/>
    </xf>
    <xf numFmtId="2" fontId="1" fillId="3" borderId="23" xfId="0" applyNumberFormat="1" applyFont="1" applyFill="1" applyBorder="1" applyAlignment="1">
      <alignment vertical="center"/>
    </xf>
    <xf numFmtId="2" fontId="1" fillId="14" borderId="23" xfId="0" applyNumberFormat="1" applyFont="1" applyFill="1" applyBorder="1" applyAlignment="1">
      <alignment vertical="center"/>
    </xf>
    <xf numFmtId="2" fontId="2" fillId="0" borderId="4" xfId="0" applyNumberFormat="1" applyFont="1" applyBorder="1" applyAlignment="1">
      <alignment vertical="center" wrapText="1"/>
    </xf>
    <xf numFmtId="2" fontId="2" fillId="0" borderId="22" xfId="0" applyNumberFormat="1" applyFont="1" applyBorder="1" applyAlignment="1">
      <alignment vertical="center" wrapText="1"/>
    </xf>
    <xf numFmtId="2" fontId="2" fillId="0" borderId="23" xfId="0" applyNumberFormat="1" applyFont="1" applyBorder="1" applyAlignment="1">
      <alignment vertical="center" wrapText="1"/>
    </xf>
    <xf numFmtId="2" fontId="2" fillId="15" borderId="22" xfId="0" applyNumberFormat="1" applyFont="1" applyFill="1" applyBorder="1" applyAlignment="1">
      <alignment vertical="center" wrapText="1"/>
    </xf>
    <xf numFmtId="2" fontId="2" fillId="15" borderId="4" xfId="0" applyNumberFormat="1" applyFont="1" applyFill="1" applyBorder="1" applyAlignment="1">
      <alignment vertical="center" wrapText="1"/>
    </xf>
    <xf numFmtId="2" fontId="2" fillId="13" borderId="22" xfId="0" applyNumberFormat="1" applyFont="1" applyFill="1" applyBorder="1" applyAlignment="1">
      <alignment vertical="center" wrapText="1"/>
    </xf>
    <xf numFmtId="2" fontId="2" fillId="13" borderId="4" xfId="0" applyNumberFormat="1" applyFont="1" applyFill="1" applyBorder="1" applyAlignment="1">
      <alignment vertical="center" wrapText="1"/>
    </xf>
    <xf numFmtId="2" fontId="3" fillId="0" borderId="0" xfId="0" applyNumberFormat="1" applyFont="1" applyFill="1" applyAlignment="1"/>
    <xf numFmtId="2" fontId="3" fillId="11" borderId="0" xfId="0" applyNumberFormat="1" applyFont="1" applyFill="1" applyAlignment="1"/>
    <xf numFmtId="11" fontId="0" fillId="11" borderId="0" xfId="0" applyNumberFormat="1" applyFill="1" applyAlignment="1"/>
    <xf numFmtId="0" fontId="0" fillId="11" borderId="0" xfId="0" applyFill="1" applyAlignment="1"/>
    <xf numFmtId="2" fontId="0" fillId="12" borderId="0" xfId="0" applyNumberFormat="1" applyFill="1" applyAlignment="1"/>
    <xf numFmtId="2" fontId="3" fillId="12" borderId="0" xfId="0" applyNumberFormat="1" applyFont="1" applyFill="1" applyAlignment="1"/>
    <xf numFmtId="164" fontId="0" fillId="12" borderId="0" xfId="0" applyNumberFormat="1" applyFill="1" applyAlignmen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2" fontId="0" fillId="0" borderId="0" xfId="0" applyNumberFormat="1"/>
    <xf numFmtId="164" fontId="1" fillId="7" borderId="9" xfId="0" applyNumberFormat="1" applyFont="1" applyFill="1" applyBorder="1" applyAlignment="1">
      <alignment horizontal="center"/>
    </xf>
    <xf numFmtId="164" fontId="1" fillId="7" borderId="0" xfId="0" applyNumberFormat="1" applyFont="1" applyFill="1" applyBorder="1" applyAlignment="1">
      <alignment horizontal="center"/>
    </xf>
    <xf numFmtId="164" fontId="1" fillId="7" borderId="12" xfId="0" applyNumberFormat="1" applyFont="1" applyFill="1" applyBorder="1" applyAlignment="1">
      <alignment horizontal="center"/>
    </xf>
    <xf numFmtId="164" fontId="1" fillId="15" borderId="9" xfId="0" applyNumberFormat="1" applyFont="1" applyFill="1" applyBorder="1" applyAlignment="1">
      <alignment horizontal="center"/>
    </xf>
    <xf numFmtId="164" fontId="1" fillId="15" borderId="0" xfId="0" applyNumberFormat="1" applyFont="1" applyFill="1" applyBorder="1" applyAlignment="1">
      <alignment horizontal="center"/>
    </xf>
    <xf numFmtId="164" fontId="1" fillId="4" borderId="7" xfId="0" applyNumberFormat="1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164" fontId="1" fillId="6" borderId="8" xfId="0" applyNumberFormat="1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horizontal="center"/>
    </xf>
    <xf numFmtId="164" fontId="1" fillId="6" borderId="0" xfId="0" applyNumberFormat="1" applyFont="1" applyFill="1" applyAlignment="1">
      <alignment horizontal="center"/>
    </xf>
    <xf numFmtId="164" fontId="1" fillId="3" borderId="11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7" borderId="0" xfId="0" applyNumberFormat="1" applyFont="1" applyFill="1" applyAlignment="1">
      <alignment horizontal="center"/>
    </xf>
    <xf numFmtId="2" fontId="1" fillId="9" borderId="9" xfId="0" applyNumberFormat="1" applyFont="1" applyFill="1" applyBorder="1" applyAlignment="1">
      <alignment horizontal="center"/>
    </xf>
    <xf numFmtId="2" fontId="1" fillId="9" borderId="0" xfId="0" applyNumberFormat="1" applyFont="1" applyFill="1" applyBorder="1" applyAlignment="1">
      <alignment horizontal="center"/>
    </xf>
    <xf numFmtId="2" fontId="1" fillId="7" borderId="9" xfId="0" applyNumberFormat="1" applyFont="1" applyFill="1" applyBorder="1" applyAlignment="1"/>
    <xf numFmtId="2" fontId="1" fillId="7" borderId="0" xfId="0" applyNumberFormat="1" applyFont="1" applyFill="1" applyBorder="1" applyAlignment="1"/>
    <xf numFmtId="2" fontId="1" fillId="7" borderId="12" xfId="0" applyNumberFormat="1" applyFont="1" applyFill="1" applyBorder="1" applyAlignment="1"/>
    <xf numFmtId="2" fontId="1" fillId="15" borderId="9" xfId="0" applyNumberFormat="1" applyFont="1" applyFill="1" applyBorder="1" applyAlignment="1"/>
    <xf numFmtId="2" fontId="1" fillId="15" borderId="0" xfId="0" applyNumberFormat="1" applyFont="1" applyFill="1" applyBorder="1" applyAlignment="1"/>
    <xf numFmtId="2" fontId="1" fillId="13" borderId="9" xfId="0" applyNumberFormat="1" applyFont="1" applyFill="1" applyBorder="1" applyAlignment="1"/>
    <xf numFmtId="2" fontId="1" fillId="13" borderId="0" xfId="0" applyNumberFormat="1" applyFont="1" applyFill="1" applyBorder="1" applyAlignment="1"/>
    <xf numFmtId="2" fontId="1" fillId="15" borderId="9" xfId="0" applyNumberFormat="1" applyFont="1" applyFill="1" applyBorder="1" applyAlignment="1">
      <alignment horizontal="center"/>
    </xf>
    <xf numFmtId="2" fontId="1" fillId="15" borderId="0" xfId="0" applyNumberFormat="1" applyFont="1" applyFill="1" applyBorder="1" applyAlignment="1">
      <alignment horizontal="center"/>
    </xf>
  </cellXfs>
  <cellStyles count="4">
    <cellStyle name="Bad" xfId="3" builtinId="27"/>
    <cellStyle name="Calculation" xfId="1" builtinId="22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strRef>
              <c:f>PowerBudget!$A$4:$A$10</c:f>
              <c:strCache>
                <c:ptCount val="7"/>
                <c:pt idx="0">
                  <c:v>Auxiliary Loss</c:v>
                </c:pt>
                <c:pt idx="1">
                  <c:v>PFC Semiconductor Conduction Loss</c:v>
                </c:pt>
                <c:pt idx="2">
                  <c:v>DCDC Semiconductor Conduction Loss</c:v>
                </c:pt>
                <c:pt idx="3">
                  <c:v>PFC Semiconductor Switching Loss</c:v>
                </c:pt>
                <c:pt idx="4">
                  <c:v>DCDC Semiconductor Switching Loss</c:v>
                </c:pt>
                <c:pt idx="5">
                  <c:v>Transformers</c:v>
                </c:pt>
                <c:pt idx="6">
                  <c:v>Inductors</c:v>
                </c:pt>
              </c:strCache>
            </c:strRef>
          </c:cat>
          <c:val>
            <c:numRef>
              <c:f>PowerBudget!$B$4:$B$10</c:f>
              <c:numCache>
                <c:formatCode>##0.0E+0\ </c:formatCode>
                <c:ptCount val="7"/>
                <c:pt idx="0">
                  <c:v>15</c:v>
                </c:pt>
                <c:pt idx="1">
                  <c:v>444.99999999999932</c:v>
                </c:pt>
                <c:pt idx="2">
                  <c:v>889.99999999999864</c:v>
                </c:pt>
                <c:pt idx="3">
                  <c:v>224.99999999999966</c:v>
                </c:pt>
                <c:pt idx="4">
                  <c:v>449.99999999999932</c:v>
                </c:pt>
                <c:pt idx="5">
                  <c:v>337.49999999999949</c:v>
                </c:pt>
                <c:pt idx="6">
                  <c:v>337.49999999999949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9-413D-886D-558D72FE3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Semic.Loss!$AH$2</c:f>
              <c:strCache>
                <c:ptCount val="1"/>
                <c:pt idx="0">
                  <c:v>Conduction Loss Primary (%)</c:v>
                </c:pt>
              </c:strCache>
            </c:strRef>
          </c:tx>
          <c:invertIfNegative val="0"/>
          <c:cat>
            <c:strRef>
              <c:f>Semic.Loss!$AN$3:$AN$21</c:f>
              <c:strCache>
                <c:ptCount val="19"/>
                <c:pt idx="0">
                  <c:v>: OP#</c:v>
                </c:pt>
                <c:pt idx="1">
                  <c:v>: OP#</c:v>
                </c:pt>
                <c:pt idx="2">
                  <c:v>: OP#</c:v>
                </c:pt>
                <c:pt idx="3">
                  <c:v>: OP#</c:v>
                </c:pt>
                <c:pt idx="5">
                  <c:v>: OP#</c:v>
                </c:pt>
                <c:pt idx="6">
                  <c:v>: OP#</c:v>
                </c:pt>
                <c:pt idx="7">
                  <c:v>: OP#</c:v>
                </c:pt>
                <c:pt idx="8">
                  <c:v>: OP#</c:v>
                </c:pt>
                <c:pt idx="10">
                  <c:v>: OP#</c:v>
                </c:pt>
                <c:pt idx="11">
                  <c:v>: OP#</c:v>
                </c:pt>
                <c:pt idx="12">
                  <c:v>: OP#</c:v>
                </c:pt>
                <c:pt idx="13">
                  <c:v>: OP#</c:v>
                </c:pt>
                <c:pt idx="15">
                  <c:v>: OP#</c:v>
                </c:pt>
                <c:pt idx="16">
                  <c:v>: OP#</c:v>
                </c:pt>
                <c:pt idx="17">
                  <c:v>: OP#</c:v>
                </c:pt>
                <c:pt idx="18">
                  <c:v>: OP#</c:v>
                </c:pt>
              </c:strCache>
            </c:strRef>
          </c:cat>
          <c:val>
            <c:numRef>
              <c:f>Semic.Loss!$AH$3:$AH$21</c:f>
              <c:numCache>
                <c:formatCode>##0.0E+0\ 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9-4ACB-90A0-4BAED8800CE9}"/>
            </c:ext>
          </c:extLst>
        </c:ser>
        <c:ser>
          <c:idx val="1"/>
          <c:order val="1"/>
          <c:tx>
            <c:strRef>
              <c:f>Semic.Loss!$AI$2</c:f>
              <c:strCache>
                <c:ptCount val="1"/>
                <c:pt idx="0">
                  <c:v>Switching Loss Primary (%)</c:v>
                </c:pt>
              </c:strCache>
            </c:strRef>
          </c:tx>
          <c:invertIfNegative val="0"/>
          <c:cat>
            <c:strRef>
              <c:f>Semic.Loss!$AN$3:$AN$21</c:f>
              <c:strCache>
                <c:ptCount val="19"/>
                <c:pt idx="0">
                  <c:v>: OP#</c:v>
                </c:pt>
                <c:pt idx="1">
                  <c:v>: OP#</c:v>
                </c:pt>
                <c:pt idx="2">
                  <c:v>: OP#</c:v>
                </c:pt>
                <c:pt idx="3">
                  <c:v>: OP#</c:v>
                </c:pt>
                <c:pt idx="5">
                  <c:v>: OP#</c:v>
                </c:pt>
                <c:pt idx="6">
                  <c:v>: OP#</c:v>
                </c:pt>
                <c:pt idx="7">
                  <c:v>: OP#</c:v>
                </c:pt>
                <c:pt idx="8">
                  <c:v>: OP#</c:v>
                </c:pt>
                <c:pt idx="10">
                  <c:v>: OP#</c:v>
                </c:pt>
                <c:pt idx="11">
                  <c:v>: OP#</c:v>
                </c:pt>
                <c:pt idx="12">
                  <c:v>: OP#</c:v>
                </c:pt>
                <c:pt idx="13">
                  <c:v>: OP#</c:v>
                </c:pt>
                <c:pt idx="15">
                  <c:v>: OP#</c:v>
                </c:pt>
                <c:pt idx="16">
                  <c:v>: OP#</c:v>
                </c:pt>
                <c:pt idx="17">
                  <c:v>: OP#</c:v>
                </c:pt>
                <c:pt idx="18">
                  <c:v>: OP#</c:v>
                </c:pt>
              </c:strCache>
            </c:strRef>
          </c:cat>
          <c:val>
            <c:numRef>
              <c:f>Semic.Loss!$AI$3:$AI$21</c:f>
              <c:numCache>
                <c:formatCode>##0.0E+0\ 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9-4ACB-90A0-4BAED8800CE9}"/>
            </c:ext>
          </c:extLst>
        </c:ser>
        <c:ser>
          <c:idx val="2"/>
          <c:order val="2"/>
          <c:tx>
            <c:strRef>
              <c:f>Semic.Loss!$AJ$2</c:f>
              <c:strCache>
                <c:ptCount val="1"/>
                <c:pt idx="0">
                  <c:v>Conduction Loss Secondary (%)</c:v>
                </c:pt>
              </c:strCache>
            </c:strRef>
          </c:tx>
          <c:invertIfNegative val="0"/>
          <c:cat>
            <c:strRef>
              <c:f>Semic.Loss!$AN$3:$AN$21</c:f>
              <c:strCache>
                <c:ptCount val="19"/>
                <c:pt idx="0">
                  <c:v>: OP#</c:v>
                </c:pt>
                <c:pt idx="1">
                  <c:v>: OP#</c:v>
                </c:pt>
                <c:pt idx="2">
                  <c:v>: OP#</c:v>
                </c:pt>
                <c:pt idx="3">
                  <c:v>: OP#</c:v>
                </c:pt>
                <c:pt idx="5">
                  <c:v>: OP#</c:v>
                </c:pt>
                <c:pt idx="6">
                  <c:v>: OP#</c:v>
                </c:pt>
                <c:pt idx="7">
                  <c:v>: OP#</c:v>
                </c:pt>
                <c:pt idx="8">
                  <c:v>: OP#</c:v>
                </c:pt>
                <c:pt idx="10">
                  <c:v>: OP#</c:v>
                </c:pt>
                <c:pt idx="11">
                  <c:v>: OP#</c:v>
                </c:pt>
                <c:pt idx="12">
                  <c:v>: OP#</c:v>
                </c:pt>
                <c:pt idx="13">
                  <c:v>: OP#</c:v>
                </c:pt>
                <c:pt idx="15">
                  <c:v>: OP#</c:v>
                </c:pt>
                <c:pt idx="16">
                  <c:v>: OP#</c:v>
                </c:pt>
                <c:pt idx="17">
                  <c:v>: OP#</c:v>
                </c:pt>
                <c:pt idx="18">
                  <c:v>: OP#</c:v>
                </c:pt>
              </c:strCache>
            </c:strRef>
          </c:cat>
          <c:val>
            <c:numRef>
              <c:f>Semic.Loss!$AJ$3:$AJ$21</c:f>
              <c:numCache>
                <c:formatCode>##0.0E+0\ 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C9-4ACB-90A0-4BAED8800CE9}"/>
            </c:ext>
          </c:extLst>
        </c:ser>
        <c:ser>
          <c:idx val="3"/>
          <c:order val="3"/>
          <c:tx>
            <c:strRef>
              <c:f>Semic.Loss!$AK$2</c:f>
              <c:strCache>
                <c:ptCount val="1"/>
                <c:pt idx="0">
                  <c:v>Switching Loss Secondary (%)</c:v>
                </c:pt>
              </c:strCache>
            </c:strRef>
          </c:tx>
          <c:invertIfNegative val="0"/>
          <c:cat>
            <c:strRef>
              <c:f>Semic.Loss!$AN$3:$AN$21</c:f>
              <c:strCache>
                <c:ptCount val="19"/>
                <c:pt idx="0">
                  <c:v>: OP#</c:v>
                </c:pt>
                <c:pt idx="1">
                  <c:v>: OP#</c:v>
                </c:pt>
                <c:pt idx="2">
                  <c:v>: OP#</c:v>
                </c:pt>
                <c:pt idx="3">
                  <c:v>: OP#</c:v>
                </c:pt>
                <c:pt idx="5">
                  <c:v>: OP#</c:v>
                </c:pt>
                <c:pt idx="6">
                  <c:v>: OP#</c:v>
                </c:pt>
                <c:pt idx="7">
                  <c:v>: OP#</c:v>
                </c:pt>
                <c:pt idx="8">
                  <c:v>: OP#</c:v>
                </c:pt>
                <c:pt idx="10">
                  <c:v>: OP#</c:v>
                </c:pt>
                <c:pt idx="11">
                  <c:v>: OP#</c:v>
                </c:pt>
                <c:pt idx="12">
                  <c:v>: OP#</c:v>
                </c:pt>
                <c:pt idx="13">
                  <c:v>: OP#</c:v>
                </c:pt>
                <c:pt idx="15">
                  <c:v>: OP#</c:v>
                </c:pt>
                <c:pt idx="16">
                  <c:v>: OP#</c:v>
                </c:pt>
                <c:pt idx="17">
                  <c:v>: OP#</c:v>
                </c:pt>
                <c:pt idx="18">
                  <c:v>: OP#</c:v>
                </c:pt>
              </c:strCache>
            </c:strRef>
          </c:cat>
          <c:val>
            <c:numRef>
              <c:f>Semic.Loss!$AK$3:$AK$21</c:f>
              <c:numCache>
                <c:formatCode>##0.0E+0\ 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C9-4ACB-90A0-4BAED8800CE9}"/>
            </c:ext>
          </c:extLst>
        </c:ser>
        <c:ser>
          <c:idx val="4"/>
          <c:order val="4"/>
          <c:tx>
            <c:strRef>
              <c:f>Semic.Loss!$AM$2</c:f>
              <c:strCache>
                <c:ptCount val="1"/>
                <c:pt idx="0">
                  <c:v>Transformer Loss (%)</c:v>
                </c:pt>
              </c:strCache>
            </c:strRef>
          </c:tx>
          <c:invertIfNegative val="0"/>
          <c:cat>
            <c:strRef>
              <c:f>Semic.Loss!$AN$3:$AN$21</c:f>
              <c:strCache>
                <c:ptCount val="19"/>
                <c:pt idx="0">
                  <c:v>: OP#</c:v>
                </c:pt>
                <c:pt idx="1">
                  <c:v>: OP#</c:v>
                </c:pt>
                <c:pt idx="2">
                  <c:v>: OP#</c:v>
                </c:pt>
                <c:pt idx="3">
                  <c:v>: OP#</c:v>
                </c:pt>
                <c:pt idx="5">
                  <c:v>: OP#</c:v>
                </c:pt>
                <c:pt idx="6">
                  <c:v>: OP#</c:v>
                </c:pt>
                <c:pt idx="7">
                  <c:v>: OP#</c:v>
                </c:pt>
                <c:pt idx="8">
                  <c:v>: OP#</c:v>
                </c:pt>
                <c:pt idx="10">
                  <c:v>: OP#</c:v>
                </c:pt>
                <c:pt idx="11">
                  <c:v>: OP#</c:v>
                </c:pt>
                <c:pt idx="12">
                  <c:v>: OP#</c:v>
                </c:pt>
                <c:pt idx="13">
                  <c:v>: OP#</c:v>
                </c:pt>
                <c:pt idx="15">
                  <c:v>: OP#</c:v>
                </c:pt>
                <c:pt idx="16">
                  <c:v>: OP#</c:v>
                </c:pt>
                <c:pt idx="17">
                  <c:v>: OP#</c:v>
                </c:pt>
                <c:pt idx="18">
                  <c:v>: OP#</c:v>
                </c:pt>
              </c:strCache>
            </c:strRef>
          </c:cat>
          <c:val>
            <c:numRef>
              <c:f>Semic.Loss!$AM$3:$AM$21</c:f>
              <c:numCache>
                <c:formatCode>##0.0E+0\ </c:formatCode>
                <c:ptCount val="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C9-4ACB-90A0-4BAED8800CE9}"/>
            </c:ext>
          </c:extLst>
        </c:ser>
        <c:ser>
          <c:idx val="5"/>
          <c:order val="5"/>
          <c:tx>
            <c:strRef>
              <c:f>Semic.Loss!$AL$2</c:f>
              <c:strCache>
                <c:ptCount val="1"/>
                <c:pt idx="0">
                  <c:v>Capacitor Loss (%)</c:v>
                </c:pt>
              </c:strCache>
            </c:strRef>
          </c:tx>
          <c:invertIfNegative val="0"/>
          <c:cat>
            <c:strRef>
              <c:f>Semic.Loss!$AN$3:$AN$21</c:f>
              <c:strCache>
                <c:ptCount val="19"/>
                <c:pt idx="0">
                  <c:v>: OP#</c:v>
                </c:pt>
                <c:pt idx="1">
                  <c:v>: OP#</c:v>
                </c:pt>
                <c:pt idx="2">
                  <c:v>: OP#</c:v>
                </c:pt>
                <c:pt idx="3">
                  <c:v>: OP#</c:v>
                </c:pt>
                <c:pt idx="5">
                  <c:v>: OP#</c:v>
                </c:pt>
                <c:pt idx="6">
                  <c:v>: OP#</c:v>
                </c:pt>
                <c:pt idx="7">
                  <c:v>: OP#</c:v>
                </c:pt>
                <c:pt idx="8">
                  <c:v>: OP#</c:v>
                </c:pt>
                <c:pt idx="10">
                  <c:v>: OP#</c:v>
                </c:pt>
                <c:pt idx="11">
                  <c:v>: OP#</c:v>
                </c:pt>
                <c:pt idx="12">
                  <c:v>: OP#</c:v>
                </c:pt>
                <c:pt idx="13">
                  <c:v>: OP#</c:v>
                </c:pt>
                <c:pt idx="15">
                  <c:v>: OP#</c:v>
                </c:pt>
                <c:pt idx="16">
                  <c:v>: OP#</c:v>
                </c:pt>
                <c:pt idx="17">
                  <c:v>: OP#</c:v>
                </c:pt>
                <c:pt idx="18">
                  <c:v>: OP#</c:v>
                </c:pt>
              </c:strCache>
            </c:strRef>
          </c:cat>
          <c:val>
            <c:numRef>
              <c:f>Semic.Loss!$AL$3:$AL$21</c:f>
              <c:numCache>
                <c:formatCode>##0.0E+0\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C9-4ACB-90A0-4BAED8800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726016"/>
        <c:axId val="115905664"/>
      </c:barChart>
      <c:catAx>
        <c:axId val="114726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5905664"/>
        <c:crosses val="autoZero"/>
        <c:auto val="1"/>
        <c:lblAlgn val="ctr"/>
        <c:lblOffset val="100"/>
        <c:noMultiLvlLbl val="0"/>
      </c:catAx>
      <c:valAx>
        <c:axId val="115905664"/>
        <c:scaling>
          <c:orientation val="minMax"/>
        </c:scaling>
        <c:delete val="0"/>
        <c:axPos val="b"/>
        <c:majorGridlines/>
        <c:numFmt formatCode="##0.0E+0\ " sourceLinked="1"/>
        <c:majorTickMark val="out"/>
        <c:minorTickMark val="none"/>
        <c:tickLblPos val="nextTo"/>
        <c:crossAx val="114726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6834167521298"/>
          <c:y val="0.58195397305037788"/>
          <c:w val="0.15691100595781277"/>
          <c:h val="0.24871317566963871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569595</xdr:colOff>
      <xdr:row>1</xdr:row>
      <xdr:rowOff>131445</xdr:rowOff>
    </xdr:from>
    <xdr:to>
      <xdr:col>10</xdr:col>
      <xdr:colOff>419100</xdr:colOff>
      <xdr:row>16</xdr:row>
      <xdr:rowOff>131445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35859</xdr:colOff>
      <xdr:row>7</xdr:row>
      <xdr:rowOff>53787</xdr:rowOff>
    </xdr:from>
    <xdr:to>
      <xdr:col>55</xdr:col>
      <xdr:colOff>600636</xdr:colOff>
      <xdr:row>38</xdr:row>
      <xdr:rowOff>35859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R11" sqref="R11:V17"/>
    </sheetView>
  </sheetViews>
  <sheetFormatPr defaultColWidth="11.42578125" defaultRowHeight="15" x14ac:dyDescent="0.25"/>
  <cols>
    <col min="1" max="1" width="5.7109375" bestFit="1" customWidth="1"/>
    <col min="2" max="5" width="9.85546875" bestFit="1" customWidth="1"/>
    <col min="6" max="6" width="9.5703125" bestFit="1" customWidth="1"/>
    <col min="7" max="7" width="16.42578125" bestFit="1" customWidth="1"/>
    <col min="8" max="8" width="5" bestFit="1" customWidth="1"/>
    <col min="9" max="11" width="11.5703125" bestFit="1" customWidth="1"/>
    <col min="12" max="12" width="15.140625" bestFit="1" customWidth="1"/>
    <col min="19" max="21" width="11.5703125" bestFit="1" customWidth="1"/>
  </cols>
  <sheetData>
    <row r="1" spans="1:23" x14ac:dyDescent="0.25">
      <c r="A1" s="5"/>
      <c r="B1" s="5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6"/>
      <c r="I1" s="5" t="s">
        <v>58</v>
      </c>
      <c r="J1" s="5" t="s">
        <v>63</v>
      </c>
      <c r="K1" s="5" t="s">
        <v>62</v>
      </c>
      <c r="L1" s="7" t="s">
        <v>105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25">
      <c r="A2" s="5" t="s">
        <v>0</v>
      </c>
      <c r="B2" s="8">
        <v>350</v>
      </c>
      <c r="C2" s="8">
        <v>750</v>
      </c>
      <c r="D2" s="8">
        <v>50000</v>
      </c>
      <c r="E2" s="8">
        <v>-40</v>
      </c>
      <c r="F2" s="8"/>
      <c r="G2" s="8"/>
      <c r="H2" s="6"/>
      <c r="I2" s="8">
        <v>150000</v>
      </c>
      <c r="J2" s="8">
        <v>2</v>
      </c>
      <c r="K2" s="8">
        <v>0.98199999999999998</v>
      </c>
      <c r="L2" s="6">
        <f>I2*(1/K2-1)</f>
        <v>2749.4908350305436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5" t="s">
        <v>1</v>
      </c>
      <c r="B3" s="8">
        <v>400</v>
      </c>
      <c r="C3" s="8">
        <v>800</v>
      </c>
      <c r="D3" s="6">
        <v>150000</v>
      </c>
      <c r="E3" s="8"/>
      <c r="F3" s="8"/>
      <c r="G3" s="8"/>
      <c r="H3" s="6"/>
      <c r="I3" s="8">
        <v>75000</v>
      </c>
      <c r="J3" s="8">
        <v>2</v>
      </c>
      <c r="K3" s="8">
        <v>0.98</v>
      </c>
      <c r="L3" s="6">
        <f t="shared" ref="L3:L5" si="0">I3*(1/K3-1)</f>
        <v>1530.6122448979609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5" t="s">
        <v>2</v>
      </c>
      <c r="B4" s="8">
        <v>450</v>
      </c>
      <c r="C4" s="8">
        <v>900</v>
      </c>
      <c r="D4" s="8">
        <v>150000</v>
      </c>
      <c r="E4" s="8">
        <v>75</v>
      </c>
      <c r="F4" s="8">
        <v>0.5</v>
      </c>
      <c r="G4" s="8">
        <v>7</v>
      </c>
      <c r="H4" s="6"/>
      <c r="I4" s="8">
        <v>37500</v>
      </c>
      <c r="J4" s="8">
        <v>2</v>
      </c>
      <c r="K4" s="8">
        <v>0.97499999999999998</v>
      </c>
      <c r="L4" s="6">
        <f t="shared" si="0"/>
        <v>961.53846153846644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6"/>
      <c r="B5" s="6"/>
      <c r="C5" s="6"/>
      <c r="D5" s="6"/>
      <c r="E5" s="6"/>
      <c r="F5" s="6"/>
      <c r="G5" s="6"/>
      <c r="H5" s="6"/>
      <c r="I5" s="8">
        <v>150000</v>
      </c>
      <c r="J5" s="8">
        <v>1.5</v>
      </c>
      <c r="K5" s="8">
        <v>0.98499999999999999</v>
      </c>
      <c r="L5" s="6">
        <f t="shared" si="0"/>
        <v>2284.263959390853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6"/>
      <c r="B6" s="6"/>
      <c r="C6" s="6"/>
      <c r="D6" s="6"/>
      <c r="E6" s="6"/>
      <c r="F6" s="6"/>
      <c r="G6" s="6"/>
      <c r="H6" s="6"/>
      <c r="I6" s="8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 t="s">
        <v>78</v>
      </c>
      <c r="U11" s="6">
        <f>L2/3</f>
        <v>916.49694501018121</v>
      </c>
      <c r="V11" s="6"/>
      <c r="W11" s="6"/>
    </row>
    <row r="12" spans="1:23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9" t="s">
        <v>104</v>
      </c>
      <c r="T13" s="6" t="s">
        <v>77</v>
      </c>
      <c r="U13" s="6"/>
      <c r="V13" s="6"/>
      <c r="W13" s="6"/>
    </row>
    <row r="14" spans="1:23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5" t="s">
        <v>0</v>
      </c>
      <c r="S14" s="6">
        <f>+I2/K2/B4</f>
        <v>339.4433129667346</v>
      </c>
      <c r="T14" s="6"/>
      <c r="U14" s="6"/>
      <c r="V14" s="6"/>
      <c r="W14" s="6"/>
    </row>
    <row r="15" spans="1:23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5" t="s">
        <v>1</v>
      </c>
      <c r="S15" s="6">
        <f>+I2/K2/B3</f>
        <v>381.87372708757641</v>
      </c>
      <c r="T15" s="6"/>
      <c r="U15" s="6"/>
      <c r="V15" s="6"/>
      <c r="W15" s="6"/>
    </row>
    <row r="16" spans="1:2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5" t="s">
        <v>2</v>
      </c>
      <c r="S16" s="6">
        <f>+I2/K2/B2</f>
        <v>436.42711667151588</v>
      </c>
      <c r="T16" s="6">
        <f>U11/S16^2</f>
        <v>4.8117999999999885E-3</v>
      </c>
      <c r="U16" s="6"/>
      <c r="V16" s="6"/>
      <c r="W16" s="6"/>
    </row>
    <row r="17" spans="1:23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2" sqref="F2"/>
    </sheetView>
  </sheetViews>
  <sheetFormatPr defaultRowHeight="15" x14ac:dyDescent="0.25"/>
  <cols>
    <col min="1" max="1" width="18.5703125" style="87" bestFit="1" customWidth="1"/>
    <col min="2" max="2" width="14.7109375" style="87" bestFit="1" customWidth="1"/>
    <col min="3" max="3" width="22" style="87" bestFit="1" customWidth="1"/>
    <col min="4" max="4" width="17.28515625" style="87" customWidth="1"/>
    <col min="5" max="5" width="45.5703125" style="87" bestFit="1" customWidth="1"/>
    <col min="6" max="6" width="16.42578125" style="87" bestFit="1" customWidth="1"/>
    <col min="7" max="16384" width="9.140625" style="87"/>
  </cols>
  <sheetData>
    <row r="1" spans="1:7" x14ac:dyDescent="0.25">
      <c r="A1" s="89" t="s">
        <v>237</v>
      </c>
      <c r="B1" s="89" t="s">
        <v>238</v>
      </c>
      <c r="C1" s="89" t="s">
        <v>239</v>
      </c>
      <c r="D1" s="89" t="s">
        <v>241</v>
      </c>
      <c r="E1" s="89" t="s">
        <v>240</v>
      </c>
      <c r="F1" s="90" t="s">
        <v>254</v>
      </c>
      <c r="G1" s="90" t="s">
        <v>250</v>
      </c>
    </row>
    <row r="2" spans="1:7" x14ac:dyDescent="0.25">
      <c r="A2" s="87" t="s">
        <v>229</v>
      </c>
      <c r="B2" s="87" t="s">
        <v>227</v>
      </c>
      <c r="C2" s="87" t="s">
        <v>223</v>
      </c>
      <c r="E2" s="87" t="s">
        <v>226</v>
      </c>
    </row>
    <row r="3" spans="1:7" x14ac:dyDescent="0.25">
      <c r="A3" s="87" t="s">
        <v>229</v>
      </c>
      <c r="B3" s="87" t="s">
        <v>230</v>
      </c>
      <c r="C3" s="87" t="s">
        <v>223</v>
      </c>
      <c r="E3" s="88" t="s">
        <v>246</v>
      </c>
    </row>
    <row r="4" spans="1:7" x14ac:dyDescent="0.25">
      <c r="A4" s="87" t="s">
        <v>88</v>
      </c>
      <c r="B4" s="87" t="s">
        <v>244</v>
      </c>
      <c r="C4" s="87" t="s">
        <v>245</v>
      </c>
      <c r="E4" s="88" t="s">
        <v>236</v>
      </c>
    </row>
    <row r="5" spans="1:7" x14ac:dyDescent="0.25">
      <c r="A5" s="87" t="s">
        <v>228</v>
      </c>
      <c r="B5" s="87" t="s">
        <v>243</v>
      </c>
      <c r="C5" s="87" t="s">
        <v>224</v>
      </c>
      <c r="E5" s="88" t="s">
        <v>251</v>
      </c>
      <c r="F5" s="87" t="s">
        <v>252</v>
      </c>
    </row>
    <row r="6" spans="1:7" x14ac:dyDescent="0.25">
      <c r="A6" s="87" t="s">
        <v>231</v>
      </c>
      <c r="B6" s="87" t="s">
        <v>232</v>
      </c>
      <c r="C6" s="87" t="s">
        <v>225</v>
      </c>
      <c r="E6" s="87" t="s">
        <v>233</v>
      </c>
      <c r="F6" s="87" t="s">
        <v>253</v>
      </c>
    </row>
    <row r="7" spans="1:7" x14ac:dyDescent="0.25">
      <c r="A7" s="87" t="s">
        <v>231</v>
      </c>
      <c r="B7" s="87" t="s">
        <v>234</v>
      </c>
      <c r="C7" s="87" t="s">
        <v>225</v>
      </c>
      <c r="E7" s="87" t="s">
        <v>235</v>
      </c>
      <c r="F7" s="87" t="s">
        <v>253</v>
      </c>
    </row>
    <row r="8" spans="1:7" x14ac:dyDescent="0.25">
      <c r="A8" s="87" t="s">
        <v>83</v>
      </c>
      <c r="B8" s="87" t="s">
        <v>242</v>
      </c>
      <c r="C8" s="87" t="s">
        <v>247</v>
      </c>
      <c r="D8" s="87" t="s">
        <v>248</v>
      </c>
      <c r="E8" s="87" t="s">
        <v>249</v>
      </c>
      <c r="F8" s="87" t="s">
        <v>252</v>
      </c>
      <c r="G8" s="87">
        <v>0.5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/>
  </sheetViews>
  <sheetFormatPr defaultColWidth="11.42578125" defaultRowHeight="15" x14ac:dyDescent="0.25"/>
  <cols>
    <col min="1" max="1" width="18.140625" style="38" bestFit="1" customWidth="1"/>
    <col min="2" max="2" width="12.7109375" style="38" bestFit="1" customWidth="1"/>
    <col min="3" max="3" width="2.7109375" style="38" bestFit="1" customWidth="1"/>
    <col min="4" max="4" width="8" style="38" bestFit="1" customWidth="1"/>
    <col min="5" max="5" width="7.42578125" style="38" bestFit="1" customWidth="1"/>
    <col min="6" max="6" width="2.28515625" style="38" bestFit="1" customWidth="1"/>
    <col min="7" max="7" width="7.140625" style="38" bestFit="1" customWidth="1"/>
    <col min="8" max="8" width="6.5703125" style="38" bestFit="1" customWidth="1"/>
    <col min="9" max="9" width="5.140625" style="38" bestFit="1" customWidth="1"/>
    <col min="10" max="10" width="8.140625" style="38" bestFit="1" customWidth="1"/>
    <col min="11" max="15" width="6.85546875" style="41" customWidth="1"/>
    <col min="16" max="16384" width="11.42578125" style="6"/>
  </cols>
  <sheetData>
    <row r="1" spans="1:15" x14ac:dyDescent="0.25">
      <c r="A1" s="39" t="s">
        <v>81</v>
      </c>
      <c r="B1" s="39"/>
      <c r="C1" s="39"/>
      <c r="D1" s="39"/>
      <c r="E1" s="39"/>
      <c r="F1" s="39"/>
      <c r="G1" s="39"/>
      <c r="H1" s="39"/>
      <c r="K1" s="40"/>
      <c r="L1" s="40"/>
      <c r="M1" s="40"/>
      <c r="N1" s="40"/>
      <c r="O1" s="40"/>
    </row>
    <row r="2" spans="1:15" x14ac:dyDescent="0.25">
      <c r="A2" s="38" t="s">
        <v>97</v>
      </c>
      <c r="B2" s="38" t="s">
        <v>103</v>
      </c>
    </row>
    <row r="3" spans="1:15" x14ac:dyDescent="0.25">
      <c r="A3" s="38" t="s">
        <v>79</v>
      </c>
      <c r="B3" s="38" t="s">
        <v>98</v>
      </c>
      <c r="M3" s="42"/>
      <c r="N3" s="42"/>
      <c r="O3" s="42"/>
    </row>
    <row r="4" spans="1:15" x14ac:dyDescent="0.25">
      <c r="A4" s="38" t="s">
        <v>83</v>
      </c>
      <c r="M4" s="42"/>
      <c r="N4" s="42"/>
      <c r="O4" s="42"/>
    </row>
    <row r="5" spans="1:15" x14ac:dyDescent="0.25">
      <c r="A5" s="38" t="s">
        <v>80</v>
      </c>
      <c r="B5" s="38" t="s">
        <v>82</v>
      </c>
      <c r="M5" s="42"/>
      <c r="N5" s="42"/>
      <c r="O5" s="42"/>
    </row>
    <row r="6" spans="1:15" x14ac:dyDescent="0.25">
      <c r="A6" s="38" t="s">
        <v>84</v>
      </c>
      <c r="B6" s="38" t="s">
        <v>102</v>
      </c>
      <c r="M6" s="42"/>
      <c r="N6" s="42"/>
      <c r="O6" s="42"/>
    </row>
    <row r="7" spans="1:15" x14ac:dyDescent="0.25">
      <c r="A7" s="38" t="s">
        <v>85</v>
      </c>
      <c r="M7" s="42"/>
      <c r="N7" s="42"/>
      <c r="O7" s="42"/>
    </row>
    <row r="8" spans="1:15" x14ac:dyDescent="0.25">
      <c r="A8" s="38" t="s">
        <v>86</v>
      </c>
      <c r="M8" s="42"/>
      <c r="N8" s="42"/>
      <c r="O8" s="42"/>
    </row>
    <row r="9" spans="1:15" x14ac:dyDescent="0.25">
      <c r="M9" s="42"/>
      <c r="N9" s="42"/>
      <c r="O9" s="42"/>
    </row>
    <row r="10" spans="1:15" x14ac:dyDescent="0.25">
      <c r="A10" s="38" t="s">
        <v>88</v>
      </c>
      <c r="M10" s="42"/>
      <c r="N10" s="42"/>
      <c r="O10" s="42"/>
    </row>
    <row r="11" spans="1:15" x14ac:dyDescent="0.25">
      <c r="A11" s="38" t="s">
        <v>89</v>
      </c>
      <c r="M11" s="42"/>
      <c r="N11" s="42"/>
      <c r="O11" s="42"/>
    </row>
    <row r="12" spans="1:15" x14ac:dyDescent="0.25">
      <c r="M12" s="42"/>
      <c r="N12" s="42"/>
      <c r="O12" s="42"/>
    </row>
    <row r="13" spans="1:15" x14ac:dyDescent="0.25">
      <c r="M13" s="42"/>
      <c r="N13" s="42"/>
      <c r="O13" s="42"/>
    </row>
    <row r="14" spans="1:15" x14ac:dyDescent="0.25">
      <c r="A14" s="38" t="s">
        <v>87</v>
      </c>
      <c r="M14" s="42"/>
      <c r="N14" s="42"/>
      <c r="O14" s="42"/>
    </row>
    <row r="17" spans="1:15" x14ac:dyDescent="0.25">
      <c r="A17" s="38" t="s">
        <v>91</v>
      </c>
      <c r="B17" s="38" t="s">
        <v>90</v>
      </c>
      <c r="C17" s="38" t="s">
        <v>76</v>
      </c>
      <c r="D17" s="38" t="s">
        <v>99</v>
      </c>
      <c r="E17" s="38" t="s">
        <v>92</v>
      </c>
      <c r="F17" s="38" t="s">
        <v>93</v>
      </c>
      <c r="G17" s="38" t="s">
        <v>8</v>
      </c>
      <c r="H17" s="38" t="s">
        <v>168</v>
      </c>
      <c r="I17" s="38" t="s">
        <v>94</v>
      </c>
      <c r="J17" s="38" t="s">
        <v>95</v>
      </c>
      <c r="K17" s="42"/>
      <c r="L17" s="42"/>
      <c r="M17" s="42"/>
      <c r="N17" s="42"/>
      <c r="O17" s="42"/>
    </row>
    <row r="18" spans="1:15" x14ac:dyDescent="0.25">
      <c r="A18" s="38" t="s">
        <v>96</v>
      </c>
      <c r="D18" s="38">
        <v>214.9</v>
      </c>
      <c r="E18" s="38">
        <v>200</v>
      </c>
      <c r="G18" s="38">
        <v>0.2</v>
      </c>
      <c r="H18" s="38">
        <v>16</v>
      </c>
      <c r="M18" s="42"/>
      <c r="N18" s="42"/>
      <c r="O18" s="42"/>
    </row>
    <row r="19" spans="1:15" x14ac:dyDescent="0.25">
      <c r="A19" s="38" t="s">
        <v>96</v>
      </c>
      <c r="D19" s="38">
        <v>387.3</v>
      </c>
      <c r="E19" s="38">
        <v>200</v>
      </c>
      <c r="G19" s="38">
        <v>0.4</v>
      </c>
      <c r="H19" s="38">
        <v>16</v>
      </c>
      <c r="M19" s="42"/>
      <c r="N19" s="42"/>
      <c r="O19" s="42"/>
    </row>
    <row r="20" spans="1:15" x14ac:dyDescent="0.25">
      <c r="A20" s="38" t="s">
        <v>96</v>
      </c>
      <c r="D20" s="38">
        <v>416.3</v>
      </c>
      <c r="E20" s="38">
        <v>200</v>
      </c>
      <c r="G20" s="38">
        <v>0.5</v>
      </c>
      <c r="H20" s="38">
        <v>16</v>
      </c>
      <c r="M20" s="42"/>
      <c r="N20" s="42"/>
      <c r="O20" s="42"/>
    </row>
    <row r="21" spans="1:15" x14ac:dyDescent="0.25">
      <c r="A21" s="38" t="s">
        <v>96</v>
      </c>
      <c r="D21" s="38">
        <v>392.3</v>
      </c>
      <c r="E21" s="38">
        <v>200</v>
      </c>
      <c r="G21" s="38">
        <v>0.6</v>
      </c>
      <c r="H21" s="38">
        <v>16</v>
      </c>
      <c r="K21" s="42"/>
      <c r="L21" s="42"/>
      <c r="M21" s="42"/>
      <c r="N21" s="42"/>
      <c r="O21" s="42"/>
    </row>
    <row r="22" spans="1:15" x14ac:dyDescent="0.25">
      <c r="A22" s="38" t="s">
        <v>96</v>
      </c>
      <c r="D22" s="38">
        <v>220.9</v>
      </c>
      <c r="E22" s="38">
        <v>200</v>
      </c>
      <c r="G22" s="38">
        <v>0.8</v>
      </c>
      <c r="H22" s="38">
        <v>16</v>
      </c>
      <c r="K22" s="42"/>
      <c r="L22" s="42"/>
      <c r="M22" s="42"/>
      <c r="N22" s="42"/>
      <c r="O22" s="42"/>
    </row>
    <row r="23" spans="1:15" x14ac:dyDescent="0.25">
      <c r="A23" s="38" t="s">
        <v>96</v>
      </c>
      <c r="D23" s="38">
        <v>870.6</v>
      </c>
      <c r="E23" s="38">
        <v>400</v>
      </c>
      <c r="G23" s="38">
        <v>0.2</v>
      </c>
      <c r="H23" s="38">
        <v>16</v>
      </c>
      <c r="K23" s="42"/>
      <c r="L23" s="42"/>
      <c r="M23" s="42"/>
      <c r="N23" s="42"/>
      <c r="O23" s="42"/>
    </row>
    <row r="24" spans="1:15" x14ac:dyDescent="0.25">
      <c r="A24" s="38" t="s">
        <v>96</v>
      </c>
      <c r="D24" s="38">
        <v>1493</v>
      </c>
      <c r="E24" s="38">
        <v>400</v>
      </c>
      <c r="G24" s="38">
        <v>0.4</v>
      </c>
      <c r="H24" s="38">
        <v>16</v>
      </c>
      <c r="K24" s="42"/>
      <c r="L24" s="42"/>
      <c r="M24" s="42"/>
      <c r="N24" s="42"/>
      <c r="O24" s="42"/>
    </row>
    <row r="25" spans="1:15" x14ac:dyDescent="0.25">
      <c r="A25" s="38" t="s">
        <v>96</v>
      </c>
      <c r="D25" s="38">
        <v>1566.5</v>
      </c>
      <c r="E25" s="38">
        <v>400</v>
      </c>
      <c r="G25" s="38">
        <v>0.5</v>
      </c>
      <c r="H25" s="38">
        <v>16</v>
      </c>
      <c r="K25" s="42"/>
      <c r="L25" s="42"/>
      <c r="M25" s="42"/>
      <c r="N25" s="42"/>
      <c r="O25" s="42"/>
    </row>
    <row r="26" spans="1:15" x14ac:dyDescent="0.25">
      <c r="A26" s="38" t="s">
        <v>96</v>
      </c>
      <c r="D26" s="38">
        <v>1498.2</v>
      </c>
      <c r="E26" s="38">
        <v>400</v>
      </c>
      <c r="G26" s="38">
        <v>0.6</v>
      </c>
      <c r="H26" s="38">
        <v>16</v>
      </c>
      <c r="K26" s="42"/>
      <c r="L26" s="42"/>
      <c r="M26" s="42"/>
      <c r="N26" s="42"/>
      <c r="O26" s="42"/>
    </row>
    <row r="27" spans="1:15" x14ac:dyDescent="0.25">
      <c r="A27" s="38" t="s">
        <v>96</v>
      </c>
      <c r="D27" s="38">
        <v>884.8</v>
      </c>
      <c r="E27" s="38">
        <v>400</v>
      </c>
      <c r="G27" s="38">
        <v>0.8</v>
      </c>
      <c r="H27" s="38">
        <v>16</v>
      </c>
      <c r="K27" s="42"/>
      <c r="L27" s="42"/>
      <c r="M27" s="42"/>
      <c r="N27" s="42"/>
      <c r="O27" s="42"/>
    </row>
    <row r="28" spans="1:15" x14ac:dyDescent="0.25">
      <c r="A28" s="38" t="s">
        <v>96</v>
      </c>
      <c r="D28" s="38">
        <v>2920</v>
      </c>
      <c r="E28" s="38">
        <v>600</v>
      </c>
      <c r="G28" s="38">
        <v>0.4</v>
      </c>
      <c r="H28" s="38">
        <v>16</v>
      </c>
      <c r="K28" s="42"/>
      <c r="L28" s="42"/>
      <c r="M28" s="42"/>
      <c r="N28" s="42"/>
      <c r="O28" s="42"/>
    </row>
    <row r="29" spans="1:15" x14ac:dyDescent="0.25">
      <c r="A29" s="38" t="s">
        <v>96</v>
      </c>
      <c r="D29" s="38">
        <v>3115</v>
      </c>
      <c r="E29" s="38">
        <v>600</v>
      </c>
      <c r="G29" s="38">
        <v>0.5</v>
      </c>
      <c r="H29" s="38">
        <v>16</v>
      </c>
      <c r="K29" s="42"/>
      <c r="L29" s="42"/>
      <c r="M29" s="42"/>
      <c r="N29" s="42"/>
      <c r="O29" s="42"/>
    </row>
    <row r="30" spans="1:15" x14ac:dyDescent="0.25">
      <c r="A30" s="38" t="s">
        <v>96</v>
      </c>
      <c r="D30" s="38">
        <v>2945.6</v>
      </c>
      <c r="E30" s="38">
        <v>600</v>
      </c>
      <c r="G30" s="38">
        <v>0.6</v>
      </c>
      <c r="H30" s="38">
        <v>16</v>
      </c>
      <c r="M30" s="42"/>
      <c r="N30" s="42"/>
    </row>
    <row r="31" spans="1:15" x14ac:dyDescent="0.25">
      <c r="A31" s="38" t="s">
        <v>96</v>
      </c>
      <c r="D31" s="38">
        <v>1958.1</v>
      </c>
      <c r="E31" s="38">
        <v>600</v>
      </c>
      <c r="G31" s="38">
        <v>0.8</v>
      </c>
      <c r="H31" s="38">
        <v>16</v>
      </c>
      <c r="M31" s="42"/>
      <c r="N31" s="42"/>
    </row>
    <row r="32" spans="1:15" x14ac:dyDescent="0.25">
      <c r="A32" s="38" t="s">
        <v>96</v>
      </c>
      <c r="D32" s="38">
        <v>4923</v>
      </c>
      <c r="E32" s="38">
        <v>800</v>
      </c>
      <c r="G32" s="38">
        <v>0.4</v>
      </c>
      <c r="H32" s="38">
        <v>16</v>
      </c>
      <c r="M32" s="42"/>
      <c r="N32" s="42"/>
    </row>
    <row r="33" spans="1:14" x14ac:dyDescent="0.25">
      <c r="A33" s="38" t="s">
        <v>96</v>
      </c>
      <c r="D33" s="38">
        <v>5071</v>
      </c>
      <c r="E33" s="38">
        <v>800</v>
      </c>
      <c r="G33" s="38">
        <v>0.5</v>
      </c>
      <c r="H33" s="38">
        <v>16</v>
      </c>
      <c r="M33" s="42"/>
      <c r="N33" s="42"/>
    </row>
    <row r="34" spans="1:14" x14ac:dyDescent="0.25">
      <c r="A34" s="38" t="s">
        <v>96</v>
      </c>
      <c r="D34" s="38">
        <v>4956</v>
      </c>
      <c r="E34" s="38">
        <v>800</v>
      </c>
      <c r="G34" s="38">
        <v>0.6</v>
      </c>
      <c r="H34" s="38">
        <v>16</v>
      </c>
      <c r="M34" s="42"/>
      <c r="N34" s="42"/>
    </row>
    <row r="35" spans="1:14" x14ac:dyDescent="0.25">
      <c r="A35" s="38" t="s">
        <v>96</v>
      </c>
      <c r="D35" s="38">
        <v>3066</v>
      </c>
      <c r="E35" s="38">
        <v>800</v>
      </c>
      <c r="G35" s="38">
        <v>0.8</v>
      </c>
      <c r="H35" s="38">
        <v>16</v>
      </c>
      <c r="M35" s="42"/>
      <c r="N35" s="42"/>
    </row>
    <row r="36" spans="1:14" x14ac:dyDescent="0.25">
      <c r="A36" s="38" t="s">
        <v>100</v>
      </c>
      <c r="D36" s="38">
        <v>124.50000000000001</v>
      </c>
      <c r="E36" s="38">
        <v>200</v>
      </c>
      <c r="G36" s="38">
        <v>0.2</v>
      </c>
      <c r="H36" s="38">
        <v>16</v>
      </c>
      <c r="M36" s="42"/>
      <c r="N36" s="42"/>
    </row>
    <row r="37" spans="1:14" x14ac:dyDescent="0.25">
      <c r="A37" s="38" t="s">
        <v>100</v>
      </c>
      <c r="D37" s="38">
        <v>250.6</v>
      </c>
      <c r="E37" s="38">
        <v>200</v>
      </c>
      <c r="G37" s="38">
        <v>0.4</v>
      </c>
      <c r="H37" s="38">
        <v>16</v>
      </c>
      <c r="M37" s="42"/>
      <c r="N37" s="42"/>
    </row>
    <row r="38" spans="1:14" x14ac:dyDescent="0.25">
      <c r="A38" s="38" t="s">
        <v>100</v>
      </c>
      <c r="D38" s="38">
        <v>272.8</v>
      </c>
      <c r="E38" s="38">
        <v>200</v>
      </c>
      <c r="G38" s="43">
        <v>0.5</v>
      </c>
      <c r="H38" s="38">
        <v>16</v>
      </c>
      <c r="M38" s="42"/>
      <c r="N38" s="42"/>
    </row>
    <row r="39" spans="1:14" x14ac:dyDescent="0.25">
      <c r="A39" s="38" t="s">
        <v>100</v>
      </c>
      <c r="D39" s="38">
        <v>253.10000000000002</v>
      </c>
      <c r="E39" s="38">
        <v>200</v>
      </c>
      <c r="G39" s="43">
        <v>0.6</v>
      </c>
      <c r="H39" s="38">
        <v>16</v>
      </c>
      <c r="M39" s="42"/>
      <c r="N39" s="42"/>
    </row>
    <row r="40" spans="1:14" x14ac:dyDescent="0.25">
      <c r="A40" s="38" t="s">
        <v>100</v>
      </c>
      <c r="D40" s="38">
        <v>130</v>
      </c>
      <c r="E40" s="38">
        <v>200</v>
      </c>
      <c r="G40" s="43">
        <v>0.8</v>
      </c>
      <c r="H40" s="38">
        <v>16</v>
      </c>
      <c r="M40" s="42"/>
      <c r="N40" s="42"/>
    </row>
    <row r="41" spans="1:14" x14ac:dyDescent="0.25">
      <c r="A41" s="38" t="s">
        <v>100</v>
      </c>
      <c r="D41" s="38">
        <v>501</v>
      </c>
      <c r="E41" s="38">
        <v>400</v>
      </c>
      <c r="G41" s="43">
        <v>0.2</v>
      </c>
      <c r="H41" s="38">
        <v>16</v>
      </c>
      <c r="M41" s="42"/>
      <c r="N41" s="42"/>
    </row>
    <row r="42" spans="1:14" x14ac:dyDescent="0.25">
      <c r="A42" s="38" t="s">
        <v>100</v>
      </c>
      <c r="D42" s="38">
        <v>947</v>
      </c>
      <c r="E42" s="38">
        <v>400</v>
      </c>
      <c r="G42" s="43">
        <v>0.4</v>
      </c>
      <c r="H42" s="38">
        <v>16</v>
      </c>
      <c r="M42" s="42"/>
      <c r="N42" s="42"/>
    </row>
    <row r="43" spans="1:14" x14ac:dyDescent="0.25">
      <c r="A43" s="38" t="s">
        <v>100</v>
      </c>
      <c r="D43" s="38">
        <v>1035</v>
      </c>
      <c r="E43" s="38">
        <v>400</v>
      </c>
      <c r="G43" s="43">
        <v>0.5</v>
      </c>
      <c r="H43" s="38">
        <v>16</v>
      </c>
      <c r="M43" s="42"/>
      <c r="N43" s="42"/>
    </row>
    <row r="44" spans="1:14" x14ac:dyDescent="0.25">
      <c r="A44" s="38" t="s">
        <v>100</v>
      </c>
      <c r="D44" s="38">
        <v>949.89999999999986</v>
      </c>
      <c r="E44" s="38">
        <v>400</v>
      </c>
      <c r="G44" s="43">
        <v>0.6</v>
      </c>
      <c r="H44" s="38">
        <v>16</v>
      </c>
      <c r="M44" s="42"/>
      <c r="N44" s="42"/>
    </row>
    <row r="45" spans="1:14" x14ac:dyDescent="0.25">
      <c r="A45" s="38" t="s">
        <v>100</v>
      </c>
      <c r="D45" s="38">
        <v>506.8</v>
      </c>
      <c r="E45" s="38">
        <v>400</v>
      </c>
      <c r="G45" s="43">
        <v>0.8</v>
      </c>
      <c r="H45" s="38">
        <v>16</v>
      </c>
      <c r="M45" s="42"/>
      <c r="N45" s="42"/>
    </row>
    <row r="46" spans="1:14" x14ac:dyDescent="0.25">
      <c r="A46" s="38" t="s">
        <v>100</v>
      </c>
      <c r="D46" s="38">
        <v>1052</v>
      </c>
      <c r="E46" s="38">
        <v>600</v>
      </c>
      <c r="G46" s="43">
        <v>0.2</v>
      </c>
      <c r="H46" s="38">
        <v>16</v>
      </c>
      <c r="M46" s="42"/>
      <c r="N46" s="42"/>
    </row>
    <row r="47" spans="1:14" x14ac:dyDescent="0.25">
      <c r="A47" s="38" t="s">
        <v>100</v>
      </c>
      <c r="D47" s="38">
        <v>1965</v>
      </c>
      <c r="E47" s="38">
        <v>600</v>
      </c>
      <c r="G47" s="43">
        <v>0.4</v>
      </c>
      <c r="H47" s="38">
        <v>16</v>
      </c>
      <c r="M47" s="42"/>
      <c r="N47" s="42"/>
    </row>
    <row r="48" spans="1:14" x14ac:dyDescent="0.25">
      <c r="A48" s="38" t="s">
        <v>100</v>
      </c>
      <c r="D48" s="38">
        <v>2193</v>
      </c>
      <c r="E48" s="38">
        <v>600</v>
      </c>
      <c r="G48" s="43">
        <v>0.5</v>
      </c>
      <c r="H48" s="38">
        <v>16</v>
      </c>
      <c r="M48" s="42"/>
      <c r="N48" s="42"/>
    </row>
    <row r="49" spans="1:14" x14ac:dyDescent="0.25">
      <c r="A49" s="38" t="s">
        <v>100</v>
      </c>
      <c r="D49" s="38">
        <v>1943</v>
      </c>
      <c r="E49" s="38">
        <v>600</v>
      </c>
      <c r="G49" s="43">
        <v>0.6</v>
      </c>
      <c r="H49" s="38">
        <v>16</v>
      </c>
      <c r="M49" s="42"/>
      <c r="N49" s="42"/>
    </row>
    <row r="50" spans="1:14" x14ac:dyDescent="0.25">
      <c r="A50" s="38" t="s">
        <v>100</v>
      </c>
      <c r="D50" s="38">
        <v>1062.4000000000001</v>
      </c>
      <c r="E50" s="38">
        <v>600</v>
      </c>
      <c r="G50" s="43">
        <v>0.8</v>
      </c>
      <c r="H50" s="38">
        <v>16</v>
      </c>
      <c r="M50" s="42"/>
      <c r="N50" s="42"/>
    </row>
    <row r="51" spans="1:14" x14ac:dyDescent="0.25">
      <c r="A51" s="38" t="s">
        <v>100</v>
      </c>
      <c r="D51" s="38">
        <v>2493</v>
      </c>
      <c r="E51" s="38">
        <v>800</v>
      </c>
      <c r="G51" s="43">
        <v>0.4</v>
      </c>
      <c r="H51" s="38">
        <v>16</v>
      </c>
    </row>
    <row r="52" spans="1:14" x14ac:dyDescent="0.25">
      <c r="A52" s="38" t="s">
        <v>100</v>
      </c>
      <c r="D52" s="38">
        <v>3638</v>
      </c>
      <c r="E52" s="38">
        <v>800</v>
      </c>
      <c r="G52" s="43">
        <v>0.5</v>
      </c>
      <c r="H52" s="38">
        <v>16</v>
      </c>
    </row>
    <row r="53" spans="1:14" x14ac:dyDescent="0.25">
      <c r="A53" s="38" t="s">
        <v>100</v>
      </c>
      <c r="D53" s="38">
        <v>3174</v>
      </c>
      <c r="E53" s="38">
        <v>800</v>
      </c>
      <c r="G53" s="38">
        <v>0.6</v>
      </c>
      <c r="H53" s="38">
        <v>16</v>
      </c>
    </row>
    <row r="54" spans="1:14" x14ac:dyDescent="0.25">
      <c r="A54" s="38" t="s">
        <v>100</v>
      </c>
      <c r="D54" s="38">
        <v>1785</v>
      </c>
      <c r="E54" s="38">
        <v>800</v>
      </c>
      <c r="G54" s="38">
        <v>0.8</v>
      </c>
      <c r="H54" s="38">
        <v>16</v>
      </c>
    </row>
    <row r="55" spans="1:14" x14ac:dyDescent="0.25">
      <c r="A55" s="38" t="s">
        <v>101</v>
      </c>
      <c r="D55" s="38">
        <v>72.099999999999994</v>
      </c>
      <c r="E55" s="38">
        <v>200</v>
      </c>
      <c r="G55" s="38">
        <v>0.2</v>
      </c>
      <c r="H55" s="38">
        <v>16</v>
      </c>
    </row>
    <row r="56" spans="1:14" x14ac:dyDescent="0.25">
      <c r="A56" s="38" t="s">
        <v>101</v>
      </c>
      <c r="D56" s="38">
        <v>134.70000000000002</v>
      </c>
      <c r="E56" s="38">
        <v>200</v>
      </c>
      <c r="G56" s="38">
        <v>0.4</v>
      </c>
      <c r="H56" s="38">
        <v>16</v>
      </c>
    </row>
    <row r="57" spans="1:14" x14ac:dyDescent="0.25">
      <c r="A57" s="38" t="s">
        <v>101</v>
      </c>
      <c r="D57" s="38">
        <v>144.20000000000002</v>
      </c>
      <c r="E57" s="38">
        <v>200</v>
      </c>
      <c r="G57" s="38">
        <v>0.5</v>
      </c>
      <c r="H57" s="38">
        <v>16</v>
      </c>
    </row>
    <row r="58" spans="1:14" x14ac:dyDescent="0.25">
      <c r="A58" s="38" t="s">
        <v>101</v>
      </c>
      <c r="D58" s="38">
        <v>134.6</v>
      </c>
      <c r="E58" s="38">
        <v>200</v>
      </c>
      <c r="G58" s="38">
        <v>0.6</v>
      </c>
      <c r="H58" s="38">
        <v>16</v>
      </c>
    </row>
    <row r="59" spans="1:14" x14ac:dyDescent="0.25">
      <c r="A59" s="38" t="s">
        <v>101</v>
      </c>
      <c r="D59" s="38">
        <v>71.199999999999989</v>
      </c>
      <c r="E59" s="38">
        <v>200</v>
      </c>
      <c r="G59" s="38">
        <v>0.8</v>
      </c>
      <c r="H59" s="38">
        <v>16</v>
      </c>
    </row>
    <row r="60" spans="1:14" x14ac:dyDescent="0.25">
      <c r="A60" s="38" t="s">
        <v>101</v>
      </c>
      <c r="D60" s="38">
        <v>282.39999999999998</v>
      </c>
      <c r="E60" s="38">
        <v>400</v>
      </c>
      <c r="G60" s="38">
        <v>0.2</v>
      </c>
      <c r="H60" s="38">
        <v>16</v>
      </c>
    </row>
    <row r="61" spans="1:14" x14ac:dyDescent="0.25">
      <c r="A61" s="38" t="s">
        <v>101</v>
      </c>
      <c r="D61" s="38">
        <v>505.20000000000005</v>
      </c>
      <c r="E61" s="38">
        <v>400</v>
      </c>
      <c r="G61" s="38">
        <v>0.4</v>
      </c>
      <c r="H61" s="38">
        <v>16</v>
      </c>
    </row>
    <row r="62" spans="1:14" x14ac:dyDescent="0.25">
      <c r="A62" s="38" t="s">
        <v>101</v>
      </c>
      <c r="D62" s="38">
        <v>541.29999999999995</v>
      </c>
      <c r="E62" s="38">
        <v>400</v>
      </c>
      <c r="G62" s="38">
        <v>0.5</v>
      </c>
      <c r="H62" s="38">
        <v>16</v>
      </c>
    </row>
    <row r="63" spans="1:14" x14ac:dyDescent="0.25">
      <c r="A63" s="38" t="s">
        <v>101</v>
      </c>
      <c r="D63" s="38">
        <v>506.29999999999995</v>
      </c>
      <c r="E63" s="38">
        <v>400</v>
      </c>
      <c r="G63" s="38">
        <v>0.6</v>
      </c>
      <c r="H63" s="38">
        <v>16</v>
      </c>
    </row>
    <row r="64" spans="1:14" x14ac:dyDescent="0.25">
      <c r="A64" s="38" t="s">
        <v>101</v>
      </c>
      <c r="D64" s="38">
        <v>281.3</v>
      </c>
      <c r="E64" s="38">
        <v>400</v>
      </c>
      <c r="G64" s="38">
        <v>0.8</v>
      </c>
      <c r="H64" s="38">
        <v>16</v>
      </c>
    </row>
    <row r="65" spans="1:8" x14ac:dyDescent="0.25">
      <c r="A65" s="38" t="s">
        <v>101</v>
      </c>
      <c r="D65" s="38">
        <v>617</v>
      </c>
      <c r="E65" s="38">
        <v>600</v>
      </c>
      <c r="G65" s="38">
        <v>0.2</v>
      </c>
      <c r="H65" s="38">
        <v>16</v>
      </c>
    </row>
    <row r="66" spans="1:8" x14ac:dyDescent="0.25">
      <c r="A66" s="38" t="s">
        <v>101</v>
      </c>
      <c r="D66" s="38">
        <v>1030</v>
      </c>
      <c r="E66" s="38">
        <v>600</v>
      </c>
      <c r="G66" s="38">
        <v>0.4</v>
      </c>
      <c r="H66" s="38">
        <v>16</v>
      </c>
    </row>
    <row r="67" spans="1:8" x14ac:dyDescent="0.25">
      <c r="A67" s="38" t="s">
        <v>101</v>
      </c>
      <c r="D67" s="38">
        <v>1088.5999999999999</v>
      </c>
      <c r="E67" s="38">
        <v>600</v>
      </c>
      <c r="G67" s="38">
        <v>0.5</v>
      </c>
      <c r="H67" s="38">
        <v>16</v>
      </c>
    </row>
    <row r="68" spans="1:8" x14ac:dyDescent="0.25">
      <c r="A68" s="38" t="s">
        <v>101</v>
      </c>
      <c r="D68" s="38">
        <v>1021</v>
      </c>
      <c r="E68" s="38">
        <v>600</v>
      </c>
      <c r="G68" s="38">
        <v>0.6</v>
      </c>
      <c r="H68" s="38">
        <v>16</v>
      </c>
    </row>
    <row r="69" spans="1:8" x14ac:dyDescent="0.25">
      <c r="A69" s="38" t="s">
        <v>101</v>
      </c>
      <c r="D69" s="38">
        <v>610.19999999999993</v>
      </c>
      <c r="E69" s="38">
        <v>600</v>
      </c>
      <c r="G69" s="38">
        <v>0.8</v>
      </c>
      <c r="H69" s="38">
        <v>16</v>
      </c>
    </row>
    <row r="70" spans="1:8" x14ac:dyDescent="0.25">
      <c r="A70" s="38" t="s">
        <v>101</v>
      </c>
      <c r="D70" s="38">
        <v>1184</v>
      </c>
      <c r="E70" s="38">
        <v>800</v>
      </c>
      <c r="G70" s="38">
        <v>0.2</v>
      </c>
      <c r="H70" s="38">
        <v>16</v>
      </c>
    </row>
    <row r="71" spans="1:8" x14ac:dyDescent="0.25">
      <c r="A71" s="38" t="s">
        <v>101</v>
      </c>
      <c r="D71" s="38">
        <v>1616</v>
      </c>
      <c r="E71" s="38">
        <v>800</v>
      </c>
      <c r="G71" s="38">
        <v>0.4</v>
      </c>
      <c r="H71" s="38">
        <v>16</v>
      </c>
    </row>
    <row r="72" spans="1:8" x14ac:dyDescent="0.25">
      <c r="A72" s="38" t="s">
        <v>101</v>
      </c>
      <c r="D72" s="38">
        <v>1722</v>
      </c>
      <c r="E72" s="38">
        <v>800</v>
      </c>
      <c r="G72" s="38">
        <v>0.5</v>
      </c>
      <c r="H72" s="38">
        <v>16</v>
      </c>
    </row>
    <row r="73" spans="1:8" x14ac:dyDescent="0.25">
      <c r="A73" s="38" t="s">
        <v>101</v>
      </c>
      <c r="D73" s="38">
        <v>1607</v>
      </c>
      <c r="E73" s="38">
        <v>800</v>
      </c>
      <c r="G73" s="38">
        <v>0.6</v>
      </c>
      <c r="H73" s="38">
        <v>16</v>
      </c>
    </row>
    <row r="74" spans="1:8" x14ac:dyDescent="0.25">
      <c r="A74" s="38" t="s">
        <v>101</v>
      </c>
      <c r="D74" s="38">
        <v>1015.1</v>
      </c>
      <c r="E74" s="38">
        <v>800</v>
      </c>
      <c r="G74" s="38">
        <v>0.8</v>
      </c>
      <c r="H74" s="38">
        <v>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ColWidth="11.42578125" defaultRowHeight="15" x14ac:dyDescent="0.25"/>
  <cols>
    <col min="1" max="1" width="35.140625" style="6" bestFit="1" customWidth="1"/>
    <col min="2" max="3" width="11.42578125" style="6"/>
    <col min="4" max="4" width="11.42578125" style="48"/>
    <col min="5" max="16384" width="11.42578125" style="6"/>
  </cols>
  <sheetData>
    <row r="1" spans="1:4" x14ac:dyDescent="0.25">
      <c r="A1" s="6" t="s">
        <v>45</v>
      </c>
      <c r="B1" s="6">
        <v>150</v>
      </c>
      <c r="C1" s="6" t="s">
        <v>46</v>
      </c>
    </row>
    <row r="2" spans="1:4" x14ac:dyDescent="0.25">
      <c r="A2" s="6" t="s">
        <v>47</v>
      </c>
      <c r="B2" s="6">
        <v>98.2</v>
      </c>
      <c r="C2" s="6" t="s">
        <v>48</v>
      </c>
    </row>
    <row r="4" spans="1:4" x14ac:dyDescent="0.25">
      <c r="A4" s="6" t="s">
        <v>49</v>
      </c>
      <c r="B4" s="6">
        <v>15</v>
      </c>
      <c r="C4" s="6" t="s">
        <v>3</v>
      </c>
      <c r="D4" s="48">
        <f>B4/$B$1/1000</f>
        <v>1E-4</v>
      </c>
    </row>
    <row r="5" spans="1:4" x14ac:dyDescent="0.25">
      <c r="A5" s="6" t="s">
        <v>50</v>
      </c>
      <c r="B5" s="6">
        <f>((100-B2)*0.01*B1*1000*0.5-B4)/3</f>
        <v>444.99999999999932</v>
      </c>
      <c r="C5" s="6" t="s">
        <v>3</v>
      </c>
      <c r="D5" s="48">
        <f t="shared" ref="D5:D10" si="0">B5/$B$1/1000</f>
        <v>2.9666666666666617E-3</v>
      </c>
    </row>
    <row r="6" spans="1:4" x14ac:dyDescent="0.25">
      <c r="A6" s="6" t="s">
        <v>51</v>
      </c>
      <c r="B6" s="6">
        <f>2*B5</f>
        <v>889.99999999999864</v>
      </c>
      <c r="C6" s="6" t="s">
        <v>3</v>
      </c>
      <c r="D6" s="48">
        <f t="shared" si="0"/>
        <v>5.9333333333333235E-3</v>
      </c>
    </row>
    <row r="7" spans="1:4" x14ac:dyDescent="0.25">
      <c r="A7" s="6" t="s">
        <v>52</v>
      </c>
      <c r="B7" s="6">
        <f>((100-B2)*0.01*B1*1000*0.25)/3</f>
        <v>224.99999999999966</v>
      </c>
      <c r="C7" s="6" t="s">
        <v>3</v>
      </c>
      <c r="D7" s="48">
        <f t="shared" si="0"/>
        <v>1.4999999999999979E-3</v>
      </c>
    </row>
    <row r="8" spans="1:4" x14ac:dyDescent="0.25">
      <c r="A8" s="6" t="s">
        <v>53</v>
      </c>
      <c r="B8" s="6">
        <f>2*B7</f>
        <v>449.99999999999932</v>
      </c>
      <c r="C8" s="6" t="s">
        <v>3</v>
      </c>
      <c r="D8" s="48">
        <f t="shared" si="0"/>
        <v>2.9999999999999957E-3</v>
      </c>
    </row>
    <row r="9" spans="1:4" x14ac:dyDescent="0.25">
      <c r="A9" s="6" t="s">
        <v>54</v>
      </c>
      <c r="B9" s="6">
        <f>(100-B2)*0.01*B1*1000*0.125</f>
        <v>337.49999999999949</v>
      </c>
      <c r="C9" s="6" t="s">
        <v>3</v>
      </c>
      <c r="D9" s="48">
        <f t="shared" si="0"/>
        <v>2.2499999999999964E-3</v>
      </c>
    </row>
    <row r="10" spans="1:4" x14ac:dyDescent="0.25">
      <c r="A10" s="6" t="s">
        <v>55</v>
      </c>
      <c r="B10" s="6">
        <f>B9</f>
        <v>337.49999999999949</v>
      </c>
      <c r="C10" s="6" t="s">
        <v>3</v>
      </c>
      <c r="D10" s="48">
        <f t="shared" si="0"/>
        <v>2.2499999999999964E-3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2"/>
  <sheetViews>
    <sheetView zoomScale="85" zoomScaleNormal="85" workbookViewId="0">
      <selection sqref="A1:AC27"/>
    </sheetView>
  </sheetViews>
  <sheetFormatPr defaultColWidth="11.5703125" defaultRowHeight="15" x14ac:dyDescent="0.25"/>
  <cols>
    <col min="1" max="1" width="9.7109375" style="47" customWidth="1"/>
    <col min="2" max="29" width="9.7109375" style="11" customWidth="1"/>
    <col min="30" max="16384" width="11.5703125" style="11"/>
  </cols>
  <sheetData>
    <row r="1" spans="1:29" s="10" customFormat="1" x14ac:dyDescent="0.25">
      <c r="A1" s="54"/>
      <c r="B1" s="69"/>
      <c r="C1" s="68"/>
      <c r="D1" s="68"/>
      <c r="E1" s="70"/>
      <c r="F1" s="73"/>
      <c r="G1" s="73" t="s">
        <v>206</v>
      </c>
      <c r="H1" s="73"/>
      <c r="I1" s="73"/>
      <c r="J1" s="73"/>
      <c r="K1" s="75"/>
      <c r="L1" s="132" t="s">
        <v>26</v>
      </c>
      <c r="M1" s="133"/>
      <c r="N1" s="133"/>
      <c r="O1" s="133"/>
      <c r="P1" s="133"/>
      <c r="Q1" s="134"/>
      <c r="R1" s="135" t="s">
        <v>218</v>
      </c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</row>
    <row r="2" spans="1:29" ht="30.75" customHeight="1" thickBot="1" x14ac:dyDescent="0.3">
      <c r="A2" s="66" t="s">
        <v>4</v>
      </c>
      <c r="B2" s="67" t="s">
        <v>44</v>
      </c>
      <c r="C2" s="67" t="s">
        <v>43</v>
      </c>
      <c r="D2" s="67" t="s">
        <v>107</v>
      </c>
      <c r="E2" s="67" t="s">
        <v>105</v>
      </c>
      <c r="F2" s="74" t="s">
        <v>198</v>
      </c>
      <c r="G2" s="74" t="s">
        <v>180</v>
      </c>
      <c r="H2" s="74" t="s">
        <v>199</v>
      </c>
      <c r="I2" s="74" t="s">
        <v>197</v>
      </c>
      <c r="J2" s="74" t="s">
        <v>204</v>
      </c>
      <c r="K2" s="74" t="s">
        <v>205</v>
      </c>
      <c r="L2" s="72" t="s">
        <v>202</v>
      </c>
      <c r="M2" s="71" t="s">
        <v>207</v>
      </c>
      <c r="N2" s="72" t="s">
        <v>201</v>
      </c>
      <c r="O2" s="71" t="s">
        <v>208</v>
      </c>
      <c r="P2" s="71" t="s">
        <v>203</v>
      </c>
      <c r="Q2" s="81" t="s">
        <v>200</v>
      </c>
      <c r="R2" s="82" t="s">
        <v>212</v>
      </c>
      <c r="S2" s="82" t="s">
        <v>213</v>
      </c>
      <c r="T2" s="83" t="s">
        <v>214</v>
      </c>
      <c r="U2" s="82" t="s">
        <v>210</v>
      </c>
      <c r="V2" s="82" t="s">
        <v>209</v>
      </c>
      <c r="W2" s="83" t="s">
        <v>211</v>
      </c>
      <c r="X2" s="82" t="s">
        <v>212</v>
      </c>
      <c r="Y2" s="82" t="s">
        <v>213</v>
      </c>
      <c r="Z2" s="83" t="s">
        <v>214</v>
      </c>
      <c r="AA2" s="82" t="s">
        <v>210</v>
      </c>
      <c r="AB2" s="82" t="s">
        <v>209</v>
      </c>
      <c r="AC2" s="83" t="s">
        <v>211</v>
      </c>
    </row>
    <row r="3" spans="1:29" x14ac:dyDescent="0.25">
      <c r="A3" s="56">
        <v>1</v>
      </c>
      <c r="B3" s="76">
        <v>350</v>
      </c>
      <c r="C3" s="76">
        <v>750</v>
      </c>
      <c r="D3" s="62">
        <v>150000</v>
      </c>
      <c r="E3" s="11">
        <v>6000</v>
      </c>
      <c r="F3" s="78">
        <v>550</v>
      </c>
      <c r="G3" s="78">
        <v>350</v>
      </c>
      <c r="H3" s="78">
        <v>900</v>
      </c>
      <c r="I3" s="78">
        <v>350</v>
      </c>
      <c r="J3" s="36">
        <f t="shared" ref="J3:J27" si="0">+F3*G3</f>
        <v>192500</v>
      </c>
      <c r="K3" s="36">
        <f t="shared" ref="K3:K27" si="1">+H3*I3</f>
        <v>315000</v>
      </c>
      <c r="L3" s="77">
        <f t="shared" ref="L3:L27" si="2">IF(B3&gt;F3, F3, B3)</f>
        <v>350</v>
      </c>
      <c r="M3" s="77">
        <f>IF(C3&gt;H3, H3, C3)</f>
        <v>750</v>
      </c>
      <c r="N3" s="79">
        <f>MIN(D3,K3,J3-E3)</f>
        <v>150000</v>
      </c>
      <c r="O3" s="63">
        <f>MIN(I3,+N3/M3)</f>
        <v>200</v>
      </c>
      <c r="P3" s="63">
        <f>MIN(N3+E3,J3)</f>
        <v>156000</v>
      </c>
      <c r="Q3" s="63">
        <f>MIN(P3/L3,G3)</f>
        <v>350</v>
      </c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</row>
    <row r="4" spans="1:29" x14ac:dyDescent="0.25">
      <c r="A4" s="56">
        <v>2</v>
      </c>
      <c r="B4" s="76">
        <v>400</v>
      </c>
      <c r="C4" s="77">
        <v>800</v>
      </c>
      <c r="D4" s="62">
        <v>150000</v>
      </c>
      <c r="E4" s="11">
        <v>6000</v>
      </c>
      <c r="F4" s="78">
        <v>550</v>
      </c>
      <c r="G4" s="78">
        <v>350</v>
      </c>
      <c r="H4" s="78">
        <v>900</v>
      </c>
      <c r="I4" s="78">
        <v>350</v>
      </c>
      <c r="J4" s="36">
        <f t="shared" si="0"/>
        <v>192500</v>
      </c>
      <c r="K4" s="36">
        <f t="shared" si="1"/>
        <v>315000</v>
      </c>
      <c r="L4" s="77">
        <f t="shared" si="2"/>
        <v>400</v>
      </c>
      <c r="M4" s="77">
        <f t="shared" ref="M4:M23" si="3">IF(C4&gt;H4, H4, C4)</f>
        <v>800</v>
      </c>
      <c r="N4" s="79">
        <f t="shared" ref="N4:N23" si="4">IF(D4&gt;K4, K4, D4)</f>
        <v>150000</v>
      </c>
      <c r="O4" s="63">
        <f t="shared" ref="O4:O23" si="5">MIN(I4,+N4/M4)</f>
        <v>187.5</v>
      </c>
      <c r="P4" s="63">
        <f t="shared" ref="P4:P23" si="6">MIN(N4+E4,J4)</f>
        <v>156000</v>
      </c>
      <c r="Q4" s="63">
        <f t="shared" ref="Q4:Q23" si="7">MIN(P4/L4,G4)</f>
        <v>350</v>
      </c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</row>
    <row r="5" spans="1:29" x14ac:dyDescent="0.25">
      <c r="A5" s="56">
        <v>3</v>
      </c>
      <c r="B5" s="76">
        <v>350</v>
      </c>
      <c r="C5" s="77">
        <v>900</v>
      </c>
      <c r="D5" s="62">
        <v>150000</v>
      </c>
      <c r="E5" s="11">
        <v>6000</v>
      </c>
      <c r="F5" s="78">
        <v>550</v>
      </c>
      <c r="G5" s="78">
        <v>350</v>
      </c>
      <c r="H5" s="78">
        <v>900</v>
      </c>
      <c r="I5" s="78">
        <v>350</v>
      </c>
      <c r="J5" s="36">
        <f t="shared" si="0"/>
        <v>192500</v>
      </c>
      <c r="K5" s="36">
        <f t="shared" si="1"/>
        <v>315000</v>
      </c>
      <c r="L5" s="77">
        <f t="shared" si="2"/>
        <v>350</v>
      </c>
      <c r="M5" s="77">
        <f t="shared" si="3"/>
        <v>900</v>
      </c>
      <c r="N5" s="79">
        <f t="shared" si="4"/>
        <v>150000</v>
      </c>
      <c r="O5" s="63">
        <f t="shared" si="5"/>
        <v>166.66666666666666</v>
      </c>
      <c r="P5" s="63">
        <f t="shared" si="6"/>
        <v>156000</v>
      </c>
      <c r="Q5" s="63">
        <f t="shared" si="7"/>
        <v>350</v>
      </c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</row>
    <row r="6" spans="1:29" x14ac:dyDescent="0.25">
      <c r="A6" s="56">
        <v>4</v>
      </c>
      <c r="B6" s="76">
        <v>450</v>
      </c>
      <c r="C6" s="76">
        <v>750</v>
      </c>
      <c r="D6" s="62">
        <v>150000</v>
      </c>
      <c r="E6" s="11">
        <v>6000</v>
      </c>
      <c r="F6" s="78">
        <v>550</v>
      </c>
      <c r="G6" s="78">
        <v>350</v>
      </c>
      <c r="H6" s="78">
        <v>900</v>
      </c>
      <c r="I6" s="78">
        <v>350</v>
      </c>
      <c r="J6" s="36">
        <f t="shared" si="0"/>
        <v>192500</v>
      </c>
      <c r="K6" s="36">
        <f t="shared" si="1"/>
        <v>315000</v>
      </c>
      <c r="L6" s="77">
        <f t="shared" si="2"/>
        <v>450</v>
      </c>
      <c r="M6" s="77">
        <f t="shared" si="3"/>
        <v>750</v>
      </c>
      <c r="N6" s="79">
        <f t="shared" si="4"/>
        <v>150000</v>
      </c>
      <c r="O6" s="63">
        <f t="shared" si="5"/>
        <v>200</v>
      </c>
      <c r="P6" s="63">
        <f t="shared" si="6"/>
        <v>156000</v>
      </c>
      <c r="Q6" s="63">
        <f t="shared" si="7"/>
        <v>346.66666666666669</v>
      </c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</row>
    <row r="7" spans="1:29" x14ac:dyDescent="0.25">
      <c r="A7" s="56">
        <v>5</v>
      </c>
      <c r="B7" s="76">
        <v>450</v>
      </c>
      <c r="C7" s="77">
        <v>900</v>
      </c>
      <c r="D7" s="62">
        <v>150000</v>
      </c>
      <c r="E7" s="11">
        <v>6000</v>
      </c>
      <c r="F7" s="78">
        <v>550</v>
      </c>
      <c r="G7" s="78">
        <v>350</v>
      </c>
      <c r="H7" s="78">
        <v>900</v>
      </c>
      <c r="I7" s="78">
        <v>350</v>
      </c>
      <c r="J7" s="36">
        <f t="shared" si="0"/>
        <v>192500</v>
      </c>
      <c r="K7" s="36">
        <f t="shared" si="1"/>
        <v>315000</v>
      </c>
      <c r="L7" s="77">
        <f t="shared" si="2"/>
        <v>450</v>
      </c>
      <c r="M7" s="77">
        <f t="shared" si="3"/>
        <v>900</v>
      </c>
      <c r="N7" s="79">
        <f t="shared" si="4"/>
        <v>150000</v>
      </c>
      <c r="O7" s="63">
        <f t="shared" si="5"/>
        <v>166.66666666666666</v>
      </c>
      <c r="P7" s="63">
        <f t="shared" si="6"/>
        <v>156000</v>
      </c>
      <c r="Q7" s="63">
        <f t="shared" si="7"/>
        <v>346.66666666666669</v>
      </c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</row>
    <row r="8" spans="1:29" x14ac:dyDescent="0.25">
      <c r="A8" s="56">
        <v>6</v>
      </c>
      <c r="B8" s="76">
        <v>500</v>
      </c>
      <c r="C8" s="76">
        <v>750</v>
      </c>
      <c r="D8" s="62">
        <v>150000</v>
      </c>
      <c r="E8" s="11">
        <v>6000</v>
      </c>
      <c r="F8" s="78">
        <v>550</v>
      </c>
      <c r="G8" s="78">
        <v>350</v>
      </c>
      <c r="H8" s="78">
        <v>900</v>
      </c>
      <c r="I8" s="78">
        <v>350</v>
      </c>
      <c r="J8" s="36">
        <f t="shared" si="0"/>
        <v>192500</v>
      </c>
      <c r="K8" s="36">
        <f t="shared" si="1"/>
        <v>315000</v>
      </c>
      <c r="L8" s="77">
        <f t="shared" si="2"/>
        <v>500</v>
      </c>
      <c r="M8" s="77">
        <f t="shared" si="3"/>
        <v>750</v>
      </c>
      <c r="N8" s="79">
        <f t="shared" si="4"/>
        <v>150000</v>
      </c>
      <c r="O8" s="63">
        <f t="shared" si="5"/>
        <v>200</v>
      </c>
      <c r="P8" s="63">
        <f t="shared" si="6"/>
        <v>156000</v>
      </c>
      <c r="Q8" s="63">
        <f t="shared" si="7"/>
        <v>312</v>
      </c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</row>
    <row r="9" spans="1:29" x14ac:dyDescent="0.25">
      <c r="A9" s="56">
        <v>7</v>
      </c>
      <c r="B9" s="76">
        <v>500</v>
      </c>
      <c r="C9" s="77">
        <v>900</v>
      </c>
      <c r="D9" s="62">
        <v>150000</v>
      </c>
      <c r="E9" s="11">
        <v>6000</v>
      </c>
      <c r="F9" s="78">
        <v>550</v>
      </c>
      <c r="G9" s="78">
        <v>350</v>
      </c>
      <c r="H9" s="78">
        <v>900</v>
      </c>
      <c r="I9" s="78">
        <v>350</v>
      </c>
      <c r="J9" s="36">
        <f t="shared" si="0"/>
        <v>192500</v>
      </c>
      <c r="K9" s="36">
        <f t="shared" si="1"/>
        <v>315000</v>
      </c>
      <c r="L9" s="77">
        <f t="shared" si="2"/>
        <v>500</v>
      </c>
      <c r="M9" s="77">
        <f t="shared" si="3"/>
        <v>900</v>
      </c>
      <c r="N9" s="79">
        <f t="shared" si="4"/>
        <v>150000</v>
      </c>
      <c r="O9" s="63">
        <f t="shared" si="5"/>
        <v>166.66666666666666</v>
      </c>
      <c r="P9" s="63">
        <f t="shared" si="6"/>
        <v>156000</v>
      </c>
      <c r="Q9" s="63">
        <f t="shared" si="7"/>
        <v>312</v>
      </c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</row>
    <row r="10" spans="1:29" x14ac:dyDescent="0.25">
      <c r="A10" s="57">
        <v>8</v>
      </c>
      <c r="B10" s="76">
        <v>350</v>
      </c>
      <c r="C10" s="76">
        <v>750</v>
      </c>
      <c r="D10" s="62">
        <v>150000</v>
      </c>
      <c r="E10" s="11">
        <v>6000</v>
      </c>
      <c r="F10" s="78">
        <v>550</v>
      </c>
      <c r="G10" s="78">
        <v>230</v>
      </c>
      <c r="H10" s="78">
        <v>900</v>
      </c>
      <c r="I10" s="78">
        <v>230</v>
      </c>
      <c r="J10" s="36">
        <f t="shared" si="0"/>
        <v>126500</v>
      </c>
      <c r="K10" s="36">
        <f t="shared" si="1"/>
        <v>207000</v>
      </c>
      <c r="L10" s="77">
        <f t="shared" si="2"/>
        <v>350</v>
      </c>
      <c r="M10" s="77">
        <f t="shared" si="3"/>
        <v>750</v>
      </c>
      <c r="N10" s="79">
        <f t="shared" si="4"/>
        <v>150000</v>
      </c>
      <c r="O10" s="63">
        <f t="shared" si="5"/>
        <v>200</v>
      </c>
      <c r="P10" s="63">
        <f t="shared" si="6"/>
        <v>126500</v>
      </c>
      <c r="Q10" s="63">
        <f t="shared" si="7"/>
        <v>230</v>
      </c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</row>
    <row r="11" spans="1:29" x14ac:dyDescent="0.25">
      <c r="A11" s="57">
        <v>9</v>
      </c>
      <c r="B11" s="76">
        <v>400</v>
      </c>
      <c r="C11" s="77">
        <v>800</v>
      </c>
      <c r="D11" s="62">
        <v>150000</v>
      </c>
      <c r="E11" s="11">
        <v>6000</v>
      </c>
      <c r="F11" s="78">
        <v>550</v>
      </c>
      <c r="G11" s="78">
        <v>230</v>
      </c>
      <c r="H11" s="78">
        <v>900</v>
      </c>
      <c r="I11" s="78">
        <v>230</v>
      </c>
      <c r="J11" s="36">
        <f t="shared" si="0"/>
        <v>126500</v>
      </c>
      <c r="K11" s="36">
        <f t="shared" si="1"/>
        <v>207000</v>
      </c>
      <c r="L11" s="77">
        <f t="shared" si="2"/>
        <v>400</v>
      </c>
      <c r="M11" s="77">
        <f t="shared" si="3"/>
        <v>800</v>
      </c>
      <c r="N11" s="79">
        <f t="shared" si="4"/>
        <v>150000</v>
      </c>
      <c r="O11" s="63">
        <f t="shared" si="5"/>
        <v>187.5</v>
      </c>
      <c r="P11" s="63">
        <f t="shared" si="6"/>
        <v>126500</v>
      </c>
      <c r="Q11" s="63">
        <f t="shared" si="7"/>
        <v>230</v>
      </c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</row>
    <row r="12" spans="1:29" x14ac:dyDescent="0.25">
      <c r="A12" s="57">
        <v>10</v>
      </c>
      <c r="B12" s="76">
        <v>350</v>
      </c>
      <c r="C12" s="77">
        <v>900</v>
      </c>
      <c r="D12" s="62">
        <v>150000</v>
      </c>
      <c r="E12" s="11">
        <v>6000</v>
      </c>
      <c r="F12" s="78">
        <v>550</v>
      </c>
      <c r="G12" s="78">
        <v>230</v>
      </c>
      <c r="H12" s="78">
        <v>900</v>
      </c>
      <c r="I12" s="78">
        <v>230</v>
      </c>
      <c r="J12" s="36">
        <f t="shared" si="0"/>
        <v>126500</v>
      </c>
      <c r="K12" s="36">
        <f t="shared" si="1"/>
        <v>207000</v>
      </c>
      <c r="L12" s="77">
        <f t="shared" si="2"/>
        <v>350</v>
      </c>
      <c r="M12" s="77">
        <f t="shared" si="3"/>
        <v>900</v>
      </c>
      <c r="N12" s="79">
        <f t="shared" si="4"/>
        <v>150000</v>
      </c>
      <c r="O12" s="63">
        <f t="shared" si="5"/>
        <v>166.66666666666666</v>
      </c>
      <c r="P12" s="63">
        <f t="shared" si="6"/>
        <v>126500</v>
      </c>
      <c r="Q12" s="63">
        <f t="shared" si="7"/>
        <v>230</v>
      </c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</row>
    <row r="13" spans="1:29" x14ac:dyDescent="0.25">
      <c r="A13" s="57">
        <v>11</v>
      </c>
      <c r="B13" s="76">
        <v>450</v>
      </c>
      <c r="C13" s="76">
        <v>750</v>
      </c>
      <c r="D13" s="62">
        <v>150000</v>
      </c>
      <c r="E13" s="11">
        <v>6000</v>
      </c>
      <c r="F13" s="78">
        <v>550</v>
      </c>
      <c r="G13" s="78">
        <v>230</v>
      </c>
      <c r="H13" s="78">
        <v>900</v>
      </c>
      <c r="I13" s="78">
        <v>230</v>
      </c>
      <c r="J13" s="36">
        <f t="shared" si="0"/>
        <v>126500</v>
      </c>
      <c r="K13" s="36">
        <f t="shared" si="1"/>
        <v>207000</v>
      </c>
      <c r="L13" s="77">
        <f t="shared" si="2"/>
        <v>450</v>
      </c>
      <c r="M13" s="77">
        <f t="shared" si="3"/>
        <v>750</v>
      </c>
      <c r="N13" s="79">
        <f t="shared" si="4"/>
        <v>150000</v>
      </c>
      <c r="O13" s="63">
        <f t="shared" si="5"/>
        <v>200</v>
      </c>
      <c r="P13" s="63">
        <f t="shared" si="6"/>
        <v>126500</v>
      </c>
      <c r="Q13" s="63">
        <f t="shared" si="7"/>
        <v>230</v>
      </c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</row>
    <row r="14" spans="1:29" x14ac:dyDescent="0.25">
      <c r="A14" s="57">
        <v>12</v>
      </c>
      <c r="B14" s="76">
        <v>450</v>
      </c>
      <c r="C14" s="77">
        <v>900</v>
      </c>
      <c r="D14" s="62">
        <v>150000</v>
      </c>
      <c r="E14" s="11">
        <v>6000</v>
      </c>
      <c r="F14" s="78">
        <v>550</v>
      </c>
      <c r="G14" s="78">
        <v>230</v>
      </c>
      <c r="H14" s="78">
        <v>900</v>
      </c>
      <c r="I14" s="78">
        <v>230</v>
      </c>
      <c r="J14" s="36">
        <f t="shared" si="0"/>
        <v>126500</v>
      </c>
      <c r="K14" s="36">
        <f t="shared" si="1"/>
        <v>207000</v>
      </c>
      <c r="L14" s="77">
        <f t="shared" si="2"/>
        <v>450</v>
      </c>
      <c r="M14" s="77">
        <f t="shared" si="3"/>
        <v>900</v>
      </c>
      <c r="N14" s="79">
        <f t="shared" si="4"/>
        <v>150000</v>
      </c>
      <c r="O14" s="63">
        <f t="shared" si="5"/>
        <v>166.66666666666666</v>
      </c>
      <c r="P14" s="63">
        <f t="shared" si="6"/>
        <v>126500</v>
      </c>
      <c r="Q14" s="63">
        <f t="shared" si="7"/>
        <v>230</v>
      </c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</row>
    <row r="15" spans="1:29" x14ac:dyDescent="0.25">
      <c r="A15" s="57">
        <v>13</v>
      </c>
      <c r="B15" s="76">
        <v>500</v>
      </c>
      <c r="C15" s="76">
        <v>750</v>
      </c>
      <c r="D15" s="62">
        <v>150000</v>
      </c>
      <c r="E15" s="11">
        <v>6000</v>
      </c>
      <c r="F15" s="78">
        <v>550</v>
      </c>
      <c r="G15" s="78">
        <v>230</v>
      </c>
      <c r="H15" s="78">
        <v>900</v>
      </c>
      <c r="I15" s="78">
        <v>230</v>
      </c>
      <c r="J15" s="36">
        <f t="shared" si="0"/>
        <v>126500</v>
      </c>
      <c r="K15" s="36">
        <f t="shared" si="1"/>
        <v>207000</v>
      </c>
      <c r="L15" s="77">
        <f t="shared" si="2"/>
        <v>500</v>
      </c>
      <c r="M15" s="77">
        <f t="shared" si="3"/>
        <v>750</v>
      </c>
      <c r="N15" s="79">
        <f t="shared" si="4"/>
        <v>150000</v>
      </c>
      <c r="O15" s="63">
        <f t="shared" si="5"/>
        <v>200</v>
      </c>
      <c r="P15" s="63">
        <f t="shared" si="6"/>
        <v>126500</v>
      </c>
      <c r="Q15" s="63">
        <f t="shared" si="7"/>
        <v>230</v>
      </c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</row>
    <row r="16" spans="1:29" x14ac:dyDescent="0.25">
      <c r="A16" s="57">
        <v>14</v>
      </c>
      <c r="B16" s="76">
        <v>500</v>
      </c>
      <c r="C16" s="77">
        <v>900</v>
      </c>
      <c r="D16" s="62">
        <v>150000</v>
      </c>
      <c r="E16" s="11">
        <v>6000</v>
      </c>
      <c r="F16" s="78">
        <v>550</v>
      </c>
      <c r="G16" s="78">
        <v>230</v>
      </c>
      <c r="H16" s="78">
        <v>900</v>
      </c>
      <c r="I16" s="78">
        <v>230</v>
      </c>
      <c r="J16" s="36">
        <f t="shared" si="0"/>
        <v>126500</v>
      </c>
      <c r="K16" s="36">
        <f t="shared" si="1"/>
        <v>207000</v>
      </c>
      <c r="L16" s="77">
        <f t="shared" si="2"/>
        <v>500</v>
      </c>
      <c r="M16" s="77">
        <f t="shared" si="3"/>
        <v>900</v>
      </c>
      <c r="N16" s="79">
        <f t="shared" si="4"/>
        <v>150000</v>
      </c>
      <c r="O16" s="63">
        <f t="shared" si="5"/>
        <v>166.66666666666666</v>
      </c>
      <c r="P16" s="63">
        <f t="shared" si="6"/>
        <v>126500</v>
      </c>
      <c r="Q16" s="63">
        <f t="shared" si="7"/>
        <v>230</v>
      </c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</row>
    <row r="17" spans="1:29" x14ac:dyDescent="0.25">
      <c r="A17" s="57">
        <v>15</v>
      </c>
      <c r="B17" s="76">
        <v>550</v>
      </c>
      <c r="C17" s="76">
        <v>750</v>
      </c>
      <c r="D17" s="62">
        <v>150000</v>
      </c>
      <c r="E17" s="11">
        <v>6000</v>
      </c>
      <c r="F17" s="78">
        <v>550</v>
      </c>
      <c r="G17" s="78">
        <v>230</v>
      </c>
      <c r="H17" s="78">
        <v>900</v>
      </c>
      <c r="I17" s="78">
        <v>230</v>
      </c>
      <c r="J17" s="36">
        <f t="shared" si="0"/>
        <v>126500</v>
      </c>
      <c r="K17" s="36">
        <f t="shared" si="1"/>
        <v>207000</v>
      </c>
      <c r="L17" s="77">
        <f t="shared" si="2"/>
        <v>550</v>
      </c>
      <c r="M17" s="77">
        <f t="shared" si="3"/>
        <v>750</v>
      </c>
      <c r="N17" s="79">
        <f t="shared" si="4"/>
        <v>150000</v>
      </c>
      <c r="O17" s="63">
        <f t="shared" si="5"/>
        <v>200</v>
      </c>
      <c r="P17" s="63">
        <f t="shared" si="6"/>
        <v>126500</v>
      </c>
      <c r="Q17" s="63">
        <f t="shared" si="7"/>
        <v>230</v>
      </c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</row>
    <row r="18" spans="1:29" x14ac:dyDescent="0.25">
      <c r="A18" s="57">
        <v>16</v>
      </c>
      <c r="B18" s="76">
        <v>550</v>
      </c>
      <c r="C18" s="77">
        <v>900</v>
      </c>
      <c r="D18" s="62">
        <v>150000</v>
      </c>
      <c r="E18" s="11">
        <v>6000</v>
      </c>
      <c r="F18" s="78">
        <v>550</v>
      </c>
      <c r="G18" s="78">
        <v>230</v>
      </c>
      <c r="H18" s="78">
        <v>900</v>
      </c>
      <c r="I18" s="78">
        <v>230</v>
      </c>
      <c r="J18" s="36">
        <f t="shared" si="0"/>
        <v>126500</v>
      </c>
      <c r="K18" s="36">
        <f t="shared" si="1"/>
        <v>207000</v>
      </c>
      <c r="L18" s="77">
        <f t="shared" si="2"/>
        <v>550</v>
      </c>
      <c r="M18" s="77">
        <f t="shared" si="3"/>
        <v>900</v>
      </c>
      <c r="N18" s="79">
        <f t="shared" si="4"/>
        <v>150000</v>
      </c>
      <c r="O18" s="63">
        <f t="shared" si="5"/>
        <v>166.66666666666666</v>
      </c>
      <c r="P18" s="63">
        <f t="shared" si="6"/>
        <v>126500</v>
      </c>
      <c r="Q18" s="63">
        <f t="shared" si="7"/>
        <v>230</v>
      </c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</row>
    <row r="19" spans="1:29" x14ac:dyDescent="0.25">
      <c r="A19" s="64" t="s">
        <v>175</v>
      </c>
      <c r="B19" s="58">
        <v>200</v>
      </c>
      <c r="C19" s="58">
        <v>360</v>
      </c>
      <c r="D19" s="58">
        <v>0</v>
      </c>
      <c r="E19" s="11">
        <v>6000</v>
      </c>
      <c r="F19" s="78">
        <v>470</v>
      </c>
      <c r="G19" s="78">
        <v>80</v>
      </c>
      <c r="H19" s="78">
        <v>780</v>
      </c>
      <c r="I19" s="78">
        <v>80</v>
      </c>
      <c r="J19" s="36">
        <f t="shared" si="0"/>
        <v>37600</v>
      </c>
      <c r="K19" s="36">
        <f t="shared" si="1"/>
        <v>62400</v>
      </c>
      <c r="L19" s="77">
        <f t="shared" si="2"/>
        <v>200</v>
      </c>
      <c r="M19" s="77">
        <f t="shared" si="3"/>
        <v>360</v>
      </c>
      <c r="N19" s="79">
        <f t="shared" si="4"/>
        <v>0</v>
      </c>
      <c r="O19" s="63">
        <f t="shared" si="5"/>
        <v>0</v>
      </c>
      <c r="P19" s="63">
        <f t="shared" si="6"/>
        <v>6000</v>
      </c>
      <c r="Q19" s="63">
        <f t="shared" si="7"/>
        <v>30</v>
      </c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</row>
    <row r="20" spans="1:29" x14ac:dyDescent="0.25">
      <c r="A20" s="64" t="s">
        <v>174</v>
      </c>
      <c r="B20" s="58">
        <v>430</v>
      </c>
      <c r="C20" s="58">
        <v>780</v>
      </c>
      <c r="D20" s="59">
        <v>2000</v>
      </c>
      <c r="E20" s="11">
        <v>6000</v>
      </c>
      <c r="F20" s="78">
        <v>470</v>
      </c>
      <c r="G20" s="78">
        <v>80</v>
      </c>
      <c r="H20" s="78">
        <v>780</v>
      </c>
      <c r="I20" s="78">
        <v>80</v>
      </c>
      <c r="J20" s="36">
        <f t="shared" si="0"/>
        <v>37600</v>
      </c>
      <c r="K20" s="36">
        <f t="shared" si="1"/>
        <v>62400</v>
      </c>
      <c r="L20" s="77">
        <f t="shared" si="2"/>
        <v>430</v>
      </c>
      <c r="M20" s="77">
        <f t="shared" si="3"/>
        <v>780</v>
      </c>
      <c r="N20" s="79">
        <f t="shared" si="4"/>
        <v>2000</v>
      </c>
      <c r="O20" s="63">
        <f t="shared" si="5"/>
        <v>2.5641025641025643</v>
      </c>
      <c r="P20" s="63">
        <f t="shared" si="6"/>
        <v>8000</v>
      </c>
      <c r="Q20" s="63">
        <f t="shared" si="7"/>
        <v>18.604651162790699</v>
      </c>
      <c r="R20" s="47">
        <v>430</v>
      </c>
      <c r="S20" s="47">
        <v>20</v>
      </c>
      <c r="T20" s="85">
        <v>30000</v>
      </c>
      <c r="U20" s="47">
        <v>0</v>
      </c>
      <c r="V20" s="47">
        <v>-2</v>
      </c>
      <c r="W20" s="47">
        <v>0</v>
      </c>
      <c r="X20" s="47">
        <v>10</v>
      </c>
      <c r="Y20" s="47">
        <v>0</v>
      </c>
      <c r="Z20" s="85">
        <v>2000</v>
      </c>
      <c r="AA20" s="47">
        <v>10</v>
      </c>
      <c r="AB20" s="47">
        <v>-2.5</v>
      </c>
      <c r="AC20" s="85">
        <v>-5020</v>
      </c>
    </row>
    <row r="21" spans="1:29" x14ac:dyDescent="0.25">
      <c r="A21" s="64" t="s">
        <v>176</v>
      </c>
      <c r="B21" s="60">
        <v>430</v>
      </c>
      <c r="C21" s="60">
        <v>780</v>
      </c>
      <c r="D21" s="61">
        <v>20000</v>
      </c>
      <c r="E21" s="11">
        <v>6000</v>
      </c>
      <c r="F21" s="78">
        <v>470</v>
      </c>
      <c r="G21" s="78">
        <v>80</v>
      </c>
      <c r="H21" s="78">
        <v>780</v>
      </c>
      <c r="I21" s="78">
        <v>80</v>
      </c>
      <c r="J21" s="36">
        <f t="shared" si="0"/>
        <v>37600</v>
      </c>
      <c r="K21" s="36">
        <f t="shared" si="1"/>
        <v>62400</v>
      </c>
      <c r="L21" s="77">
        <f t="shared" si="2"/>
        <v>430</v>
      </c>
      <c r="M21" s="77">
        <f t="shared" si="3"/>
        <v>780</v>
      </c>
      <c r="N21" s="79">
        <f t="shared" si="4"/>
        <v>20000</v>
      </c>
      <c r="O21" s="63">
        <f t="shared" si="5"/>
        <v>25.641025641025642</v>
      </c>
      <c r="P21" s="63">
        <f t="shared" si="6"/>
        <v>26000</v>
      </c>
      <c r="Q21" s="63">
        <f t="shared" si="7"/>
        <v>60.465116279069768</v>
      </c>
      <c r="R21" s="84"/>
      <c r="S21" s="84"/>
      <c r="T21" s="86"/>
      <c r="U21" s="84"/>
      <c r="V21" s="84"/>
      <c r="W21" s="84"/>
      <c r="X21" s="84"/>
      <c r="Y21" s="84"/>
      <c r="Z21" s="86"/>
      <c r="AA21" s="84"/>
      <c r="AB21" s="84"/>
      <c r="AC21" s="86"/>
    </row>
    <row r="22" spans="1:29" x14ac:dyDescent="0.25">
      <c r="A22" s="64" t="s">
        <v>177</v>
      </c>
      <c r="B22" s="58">
        <v>346</v>
      </c>
      <c r="C22" s="58">
        <v>613</v>
      </c>
      <c r="D22" s="59">
        <v>20000</v>
      </c>
      <c r="E22" s="11">
        <v>6000</v>
      </c>
      <c r="F22" s="78">
        <v>470</v>
      </c>
      <c r="G22" s="78">
        <v>80</v>
      </c>
      <c r="H22" s="78">
        <v>780</v>
      </c>
      <c r="I22" s="78">
        <v>80</v>
      </c>
      <c r="J22" s="36">
        <f t="shared" si="0"/>
        <v>37600</v>
      </c>
      <c r="K22" s="36">
        <f t="shared" si="1"/>
        <v>62400</v>
      </c>
      <c r="L22" s="77">
        <f t="shared" si="2"/>
        <v>346</v>
      </c>
      <c r="M22" s="77">
        <f t="shared" si="3"/>
        <v>613</v>
      </c>
      <c r="N22" s="79">
        <f t="shared" si="4"/>
        <v>20000</v>
      </c>
      <c r="O22" s="63">
        <f t="shared" si="5"/>
        <v>32.626427406199021</v>
      </c>
      <c r="P22" s="63">
        <f t="shared" si="6"/>
        <v>26000</v>
      </c>
      <c r="Q22" s="63">
        <f t="shared" si="7"/>
        <v>75.144508670520224</v>
      </c>
      <c r="R22" s="47">
        <v>346</v>
      </c>
      <c r="S22" s="47">
        <v>80</v>
      </c>
      <c r="T22" s="85">
        <v>30000</v>
      </c>
      <c r="U22" s="47">
        <v>0</v>
      </c>
      <c r="V22" s="47">
        <v>-2</v>
      </c>
      <c r="W22" s="47">
        <v>0</v>
      </c>
      <c r="X22" s="47">
        <v>10</v>
      </c>
      <c r="Y22" s="47">
        <v>10</v>
      </c>
      <c r="Z22" s="85">
        <v>1000</v>
      </c>
      <c r="AA22" s="47">
        <v>0</v>
      </c>
      <c r="AB22" s="47">
        <v>-33.020000000000003</v>
      </c>
      <c r="AC22" s="85">
        <v>-30000</v>
      </c>
    </row>
    <row r="23" spans="1:29" x14ac:dyDescent="0.25">
      <c r="A23" s="64" t="s">
        <v>178</v>
      </c>
      <c r="B23" s="58">
        <v>346</v>
      </c>
      <c r="C23" s="58">
        <v>630</v>
      </c>
      <c r="D23" s="59">
        <v>2000</v>
      </c>
      <c r="E23" s="11">
        <v>6000</v>
      </c>
      <c r="F23" s="78">
        <v>470</v>
      </c>
      <c r="G23" s="78">
        <v>80</v>
      </c>
      <c r="H23" s="78">
        <v>780</v>
      </c>
      <c r="I23" s="78">
        <v>80</v>
      </c>
      <c r="J23" s="36">
        <f t="shared" si="0"/>
        <v>37600</v>
      </c>
      <c r="K23" s="36">
        <f t="shared" si="1"/>
        <v>62400</v>
      </c>
      <c r="L23" s="77">
        <f t="shared" si="2"/>
        <v>346</v>
      </c>
      <c r="M23" s="77">
        <f t="shared" si="3"/>
        <v>630</v>
      </c>
      <c r="N23" s="79">
        <f t="shared" si="4"/>
        <v>2000</v>
      </c>
      <c r="O23" s="63">
        <f t="shared" si="5"/>
        <v>3.1746031746031744</v>
      </c>
      <c r="P23" s="63">
        <f t="shared" si="6"/>
        <v>8000</v>
      </c>
      <c r="Q23" s="63">
        <f t="shared" si="7"/>
        <v>23.121387283236995</v>
      </c>
      <c r="R23" s="47">
        <v>350</v>
      </c>
      <c r="S23" s="47">
        <v>20</v>
      </c>
      <c r="T23" s="85">
        <v>30000</v>
      </c>
      <c r="U23" s="47">
        <v>0</v>
      </c>
      <c r="V23" s="47">
        <v>-2</v>
      </c>
      <c r="W23" s="47">
        <v>0</v>
      </c>
      <c r="X23" s="47">
        <v>10</v>
      </c>
      <c r="Y23" s="47">
        <v>0</v>
      </c>
      <c r="Z23" s="85">
        <v>2000</v>
      </c>
      <c r="AA23" s="47">
        <v>10</v>
      </c>
      <c r="AB23" s="47">
        <v>-3.2</v>
      </c>
      <c r="AC23" s="85">
        <v>-5020</v>
      </c>
    </row>
    <row r="24" spans="1:29" x14ac:dyDescent="0.25">
      <c r="A24" s="64" t="s">
        <v>179</v>
      </c>
      <c r="B24" s="58">
        <v>430</v>
      </c>
      <c r="C24" s="58">
        <v>780</v>
      </c>
      <c r="D24" s="59">
        <v>2000</v>
      </c>
      <c r="E24" s="11">
        <v>6000</v>
      </c>
      <c r="F24" s="78">
        <v>470</v>
      </c>
      <c r="G24" s="78">
        <v>80</v>
      </c>
      <c r="H24" s="78">
        <v>780</v>
      </c>
      <c r="I24" s="78">
        <v>80</v>
      </c>
      <c r="J24" s="36">
        <f t="shared" si="0"/>
        <v>37600</v>
      </c>
      <c r="K24" s="36">
        <f t="shared" si="1"/>
        <v>62400</v>
      </c>
      <c r="L24" s="77">
        <f t="shared" si="2"/>
        <v>430</v>
      </c>
      <c r="M24" s="77">
        <f t="shared" ref="M24:M27" si="8">IF(C24&gt;H24, H24, C24)</f>
        <v>780</v>
      </c>
      <c r="N24" s="79">
        <f t="shared" ref="N24:N27" si="9">IF(D24&gt;K24, K24, D24)</f>
        <v>2000</v>
      </c>
      <c r="O24" s="63">
        <f t="shared" ref="O24:O27" si="10">MIN(I24,+N24/M24)</f>
        <v>2.5641025641025643</v>
      </c>
      <c r="P24" s="63">
        <f t="shared" ref="P24:P27" si="11">MIN(N24+E24,J24)</f>
        <v>8000</v>
      </c>
      <c r="Q24" s="63">
        <f t="shared" ref="Q24:Q27" si="12">MIN(P24/L24,G24)</f>
        <v>18.604651162790699</v>
      </c>
      <c r="R24" s="47">
        <v>430</v>
      </c>
      <c r="S24" s="47">
        <v>20</v>
      </c>
      <c r="T24" s="85">
        <v>30000</v>
      </c>
      <c r="U24" s="47">
        <v>0</v>
      </c>
      <c r="V24" s="47">
        <v>-2</v>
      </c>
      <c r="W24" s="47">
        <v>0</v>
      </c>
      <c r="X24" s="47">
        <v>10</v>
      </c>
      <c r="Y24" s="47">
        <v>0</v>
      </c>
      <c r="Z24" s="85">
        <v>2000</v>
      </c>
      <c r="AA24" s="47">
        <v>10</v>
      </c>
      <c r="AB24" s="47">
        <v>-2.6</v>
      </c>
      <c r="AC24" s="85">
        <v>-5020</v>
      </c>
    </row>
    <row r="25" spans="1:29" x14ac:dyDescent="0.25">
      <c r="A25" s="64" t="s">
        <v>215</v>
      </c>
      <c r="B25" s="60">
        <v>430</v>
      </c>
      <c r="C25" s="60">
        <v>780</v>
      </c>
      <c r="D25" s="61">
        <v>20000</v>
      </c>
      <c r="E25" s="11">
        <v>6000</v>
      </c>
      <c r="F25" s="78">
        <v>470</v>
      </c>
      <c r="G25" s="78">
        <v>80</v>
      </c>
      <c r="H25" s="78">
        <v>780</v>
      </c>
      <c r="I25" s="78">
        <v>80</v>
      </c>
      <c r="J25" s="36">
        <f t="shared" si="0"/>
        <v>37600</v>
      </c>
      <c r="K25" s="36">
        <f t="shared" si="1"/>
        <v>62400</v>
      </c>
      <c r="L25" s="77">
        <f t="shared" si="2"/>
        <v>430</v>
      </c>
      <c r="M25" s="77">
        <f t="shared" si="8"/>
        <v>780</v>
      </c>
      <c r="N25" s="79">
        <f t="shared" si="9"/>
        <v>20000</v>
      </c>
      <c r="O25" s="63">
        <f t="shared" si="10"/>
        <v>25.641025641025642</v>
      </c>
      <c r="P25" s="63">
        <f t="shared" si="11"/>
        <v>26000</v>
      </c>
      <c r="Q25" s="63">
        <f t="shared" si="12"/>
        <v>60.465116279069768</v>
      </c>
      <c r="R25" s="84"/>
      <c r="S25" s="84"/>
      <c r="T25" s="86"/>
      <c r="U25" s="84"/>
      <c r="V25" s="84"/>
      <c r="W25" s="84"/>
      <c r="X25" s="84"/>
      <c r="Y25" s="84"/>
      <c r="Z25" s="86"/>
      <c r="AA25" s="84"/>
      <c r="AB25" s="84"/>
      <c r="AC25" s="86"/>
    </row>
    <row r="26" spans="1:29" x14ac:dyDescent="0.25">
      <c r="A26" s="64" t="s">
        <v>216</v>
      </c>
      <c r="B26" s="58">
        <v>346</v>
      </c>
      <c r="C26" s="58">
        <v>613</v>
      </c>
      <c r="D26" s="59">
        <v>20000</v>
      </c>
      <c r="E26" s="11">
        <v>6000</v>
      </c>
      <c r="F26" s="78">
        <v>470</v>
      </c>
      <c r="G26" s="78">
        <v>80</v>
      </c>
      <c r="H26" s="78">
        <v>780</v>
      </c>
      <c r="I26" s="78">
        <v>80</v>
      </c>
      <c r="J26" s="36">
        <f t="shared" si="0"/>
        <v>37600</v>
      </c>
      <c r="K26" s="36">
        <f t="shared" si="1"/>
        <v>62400</v>
      </c>
      <c r="L26" s="77">
        <f t="shared" si="2"/>
        <v>346</v>
      </c>
      <c r="M26" s="77">
        <f t="shared" si="8"/>
        <v>613</v>
      </c>
      <c r="N26" s="79">
        <f t="shared" si="9"/>
        <v>20000</v>
      </c>
      <c r="O26" s="63">
        <f t="shared" si="10"/>
        <v>32.626427406199021</v>
      </c>
      <c r="P26" s="63">
        <f t="shared" si="11"/>
        <v>26000</v>
      </c>
      <c r="Q26" s="63">
        <f t="shared" si="12"/>
        <v>75.144508670520224</v>
      </c>
      <c r="R26" s="47">
        <v>346</v>
      </c>
      <c r="S26" s="47">
        <v>80</v>
      </c>
      <c r="T26" s="85">
        <v>30000</v>
      </c>
      <c r="U26" s="47">
        <v>0</v>
      </c>
      <c r="V26" s="47">
        <v>-2</v>
      </c>
      <c r="W26" s="47">
        <v>0</v>
      </c>
      <c r="X26" s="47">
        <v>10</v>
      </c>
      <c r="Y26" s="47">
        <v>10</v>
      </c>
      <c r="Z26" s="85">
        <v>2000</v>
      </c>
      <c r="AA26" s="47">
        <v>0</v>
      </c>
      <c r="AB26" s="47">
        <v>-33.020000000000003</v>
      </c>
      <c r="AC26" s="85">
        <v>-30000</v>
      </c>
    </row>
    <row r="27" spans="1:29" x14ac:dyDescent="0.25">
      <c r="A27" s="64" t="s">
        <v>217</v>
      </c>
      <c r="B27" s="58">
        <v>346</v>
      </c>
      <c r="C27" s="58">
        <v>630</v>
      </c>
      <c r="D27" s="59">
        <v>2000</v>
      </c>
      <c r="E27" s="11">
        <v>6000</v>
      </c>
      <c r="F27" s="78">
        <v>470</v>
      </c>
      <c r="G27" s="78">
        <v>80</v>
      </c>
      <c r="H27" s="78">
        <v>780</v>
      </c>
      <c r="I27" s="78">
        <v>80</v>
      </c>
      <c r="J27" s="36">
        <f t="shared" si="0"/>
        <v>37600</v>
      </c>
      <c r="K27" s="36">
        <f t="shared" si="1"/>
        <v>62400</v>
      </c>
      <c r="L27" s="77">
        <f t="shared" si="2"/>
        <v>346</v>
      </c>
      <c r="M27" s="77">
        <f t="shared" si="8"/>
        <v>630</v>
      </c>
      <c r="N27" s="79">
        <f t="shared" si="9"/>
        <v>2000</v>
      </c>
      <c r="O27" s="63">
        <f t="shared" si="10"/>
        <v>3.1746031746031744</v>
      </c>
      <c r="P27" s="63">
        <f t="shared" si="11"/>
        <v>8000</v>
      </c>
      <c r="Q27" s="63">
        <f t="shared" si="12"/>
        <v>23.121387283236995</v>
      </c>
      <c r="R27" s="47">
        <v>350</v>
      </c>
      <c r="S27" s="47">
        <v>20</v>
      </c>
      <c r="T27" s="85">
        <v>30000</v>
      </c>
      <c r="U27" s="47">
        <v>0</v>
      </c>
      <c r="V27" s="47">
        <v>-2</v>
      </c>
      <c r="W27" s="47">
        <v>0</v>
      </c>
      <c r="X27" s="47">
        <v>10</v>
      </c>
      <c r="Y27" s="47">
        <v>0</v>
      </c>
      <c r="Z27" s="85">
        <v>2000</v>
      </c>
      <c r="AA27" s="47">
        <v>10</v>
      </c>
      <c r="AB27" s="47">
        <v>-3.2</v>
      </c>
      <c r="AC27" s="85">
        <v>-5020</v>
      </c>
    </row>
    <row r="28" spans="1:29" x14ac:dyDescent="0.25">
      <c r="B28" s="53"/>
      <c r="C28" s="53"/>
      <c r="D28" s="53"/>
      <c r="E28" s="53"/>
      <c r="F28" s="53"/>
      <c r="G28" s="50"/>
      <c r="H28" s="53"/>
      <c r="I28" s="53"/>
      <c r="J28" s="53"/>
      <c r="K28" s="53"/>
      <c r="L28" s="53"/>
      <c r="M28" s="51"/>
      <c r="N28" s="51"/>
      <c r="O28" s="51"/>
    </row>
    <row r="29" spans="1:29" x14ac:dyDescent="0.25">
      <c r="A29" s="49"/>
      <c r="B29" s="50"/>
      <c r="C29" s="50"/>
      <c r="D29" s="52"/>
      <c r="E29" s="52"/>
      <c r="F29" s="52"/>
      <c r="G29" s="50"/>
      <c r="H29" s="52"/>
      <c r="I29" s="52"/>
      <c r="J29" s="52"/>
      <c r="K29" s="52"/>
      <c r="L29" s="52"/>
      <c r="M29" s="51"/>
      <c r="N29" s="51"/>
      <c r="O29" s="51"/>
    </row>
    <row r="30" spans="1:29" x14ac:dyDescent="0.25">
      <c r="A30" s="49"/>
      <c r="B30" s="50"/>
      <c r="C30" s="50"/>
      <c r="D30" s="52"/>
      <c r="E30" s="52"/>
      <c r="F30" s="52"/>
      <c r="G30" s="50"/>
      <c r="H30" s="52"/>
      <c r="I30" s="52"/>
      <c r="J30" s="52"/>
      <c r="K30" s="52"/>
      <c r="L30" s="52"/>
      <c r="M30" s="51"/>
      <c r="N30" s="51"/>
      <c r="O30" s="51"/>
    </row>
    <row r="31" spans="1:29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1"/>
      <c r="O31" s="51"/>
    </row>
    <row r="32" spans="1:29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1"/>
      <c r="O32" s="51"/>
    </row>
  </sheetData>
  <mergeCells count="2">
    <mergeCell ref="L1:Q1"/>
    <mergeCell ref="R1:AC1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="85" zoomScaleNormal="85" workbookViewId="0">
      <selection activeCell="K27" sqref="K27"/>
    </sheetView>
  </sheetViews>
  <sheetFormatPr defaultColWidth="11.5703125" defaultRowHeight="15" x14ac:dyDescent="0.25"/>
  <cols>
    <col min="1" max="1" width="7.5703125" style="46" bestFit="1" customWidth="1"/>
    <col min="2" max="2" width="37.42578125" style="4" bestFit="1" customWidth="1"/>
    <col min="3" max="3" width="26.140625" style="4" bestFit="1" customWidth="1"/>
    <col min="4" max="5" width="10.42578125" style="4" bestFit="1" customWidth="1"/>
    <col min="6" max="6" width="9.42578125" style="4" bestFit="1" customWidth="1"/>
    <col min="7" max="7" width="12.28515625" style="4" customWidth="1"/>
    <col min="8" max="8" width="9" style="4" bestFit="1" customWidth="1"/>
    <col min="9" max="9" width="11.7109375" style="4" bestFit="1" customWidth="1"/>
    <col min="10" max="10" width="16.5703125" style="4" bestFit="1" customWidth="1"/>
    <col min="11" max="11" width="40.28515625" style="4" bestFit="1" customWidth="1"/>
    <col min="12" max="16384" width="11.5703125" style="4"/>
  </cols>
  <sheetData>
    <row r="1" spans="1:10" ht="15.75" thickBot="1" x14ac:dyDescent="0.3">
      <c r="A1" s="44" t="s">
        <v>109</v>
      </c>
      <c r="B1" s="1" t="s">
        <v>7</v>
      </c>
      <c r="C1" s="1" t="s">
        <v>5</v>
      </c>
      <c r="D1" s="1" t="s">
        <v>106</v>
      </c>
      <c r="E1" s="1" t="s">
        <v>112</v>
      </c>
      <c r="F1" s="1" t="s">
        <v>113</v>
      </c>
      <c r="G1" s="2" t="s">
        <v>184</v>
      </c>
      <c r="H1" s="2" t="s">
        <v>185</v>
      </c>
      <c r="I1" s="3" t="s">
        <v>186</v>
      </c>
      <c r="J1" s="3" t="s">
        <v>183</v>
      </c>
    </row>
    <row r="2" spans="1:10" x14ac:dyDescent="0.25">
      <c r="A2" s="45">
        <v>1</v>
      </c>
      <c r="B2" s="4" t="s">
        <v>111</v>
      </c>
      <c r="C2" s="4" t="s">
        <v>169</v>
      </c>
      <c r="D2" s="4">
        <v>10000</v>
      </c>
      <c r="E2" s="4">
        <v>1.2E-4</v>
      </c>
      <c r="F2" s="4">
        <v>1.2E-4</v>
      </c>
      <c r="G2" s="4">
        <v>1.3100000000000001E-4</v>
      </c>
      <c r="H2" s="4">
        <v>-0.37</v>
      </c>
      <c r="I2" s="4">
        <v>1E-3</v>
      </c>
    </row>
    <row r="3" spans="1:10" x14ac:dyDescent="0.25">
      <c r="A3" s="46">
        <v>2</v>
      </c>
      <c r="B3" s="4" t="s">
        <v>144</v>
      </c>
      <c r="C3" s="4" t="s">
        <v>169</v>
      </c>
      <c r="D3" s="4">
        <v>20000</v>
      </c>
      <c r="E3" s="4">
        <v>1.2E-4</v>
      </c>
      <c r="F3" s="4">
        <v>1.2E-4</v>
      </c>
      <c r="G3" s="4">
        <v>1.3100000000000001E-4</v>
      </c>
      <c r="H3" s="4">
        <v>-0.37</v>
      </c>
      <c r="I3" s="4">
        <v>1E-3</v>
      </c>
    </row>
    <row r="4" spans="1:10" x14ac:dyDescent="0.25">
      <c r="A4" s="45">
        <v>3</v>
      </c>
      <c r="B4" s="4" t="s">
        <v>145</v>
      </c>
      <c r="C4" s="4" t="s">
        <v>169</v>
      </c>
      <c r="D4" s="4">
        <v>30000</v>
      </c>
      <c r="E4" s="4">
        <v>1.2E-4</v>
      </c>
      <c r="F4" s="4">
        <v>1.2E-4</v>
      </c>
      <c r="G4" s="4">
        <v>1.3100000000000001E-4</v>
      </c>
      <c r="H4" s="4">
        <v>-0.37</v>
      </c>
      <c r="I4" s="4">
        <v>1E-3</v>
      </c>
    </row>
    <row r="5" spans="1:10" x14ac:dyDescent="0.25">
      <c r="A5" s="46">
        <v>4</v>
      </c>
      <c r="B5" s="4" t="s">
        <v>146</v>
      </c>
      <c r="C5" s="4" t="s">
        <v>169</v>
      </c>
      <c r="D5" s="4">
        <v>40000</v>
      </c>
      <c r="E5" s="4">
        <v>1.2E-4</v>
      </c>
      <c r="F5" s="4">
        <v>1.2E-4</v>
      </c>
      <c r="G5" s="4">
        <v>1.3100000000000001E-4</v>
      </c>
      <c r="H5" s="4">
        <v>-0.37</v>
      </c>
      <c r="I5" s="4">
        <v>1E-3</v>
      </c>
    </row>
    <row r="6" spans="1:10" x14ac:dyDescent="0.25">
      <c r="A6" s="45">
        <v>5</v>
      </c>
      <c r="B6" s="4" t="s">
        <v>147</v>
      </c>
      <c r="C6" s="4" t="s">
        <v>169</v>
      </c>
      <c r="D6" s="4">
        <v>50000</v>
      </c>
      <c r="E6" s="4">
        <v>1.2E-4</v>
      </c>
      <c r="F6" s="4">
        <v>1.2E-4</v>
      </c>
      <c r="G6" s="4">
        <v>1.3100000000000001E-4</v>
      </c>
      <c r="H6" s="4">
        <v>-0.37</v>
      </c>
      <c r="I6" s="4">
        <v>1E-3</v>
      </c>
    </row>
    <row r="7" spans="1:10" x14ac:dyDescent="0.25">
      <c r="A7" s="45"/>
    </row>
    <row r="8" spans="1:10" x14ac:dyDescent="0.25">
      <c r="A8" s="46">
        <v>6</v>
      </c>
      <c r="B8" s="4" t="s">
        <v>148</v>
      </c>
      <c r="C8" s="4" t="s">
        <v>170</v>
      </c>
      <c r="D8" s="4">
        <v>10000</v>
      </c>
      <c r="E8" s="4">
        <v>1.2E-4</v>
      </c>
      <c r="F8" s="4">
        <v>1.2E-4</v>
      </c>
      <c r="G8" s="4">
        <v>1.3100000000000001E-4</v>
      </c>
      <c r="H8" s="4">
        <v>-0.37</v>
      </c>
      <c r="I8" s="4">
        <v>1E-3</v>
      </c>
    </row>
    <row r="9" spans="1:10" x14ac:dyDescent="0.25">
      <c r="A9" s="45">
        <v>7</v>
      </c>
      <c r="B9" s="4" t="s">
        <v>149</v>
      </c>
      <c r="C9" s="4" t="s">
        <v>170</v>
      </c>
      <c r="D9" s="4">
        <v>20000</v>
      </c>
      <c r="E9" s="4">
        <v>1.2E-4</v>
      </c>
      <c r="F9" s="4">
        <v>1.2E-4</v>
      </c>
      <c r="G9" s="4">
        <v>1.3100000000000001E-4</v>
      </c>
      <c r="H9" s="4">
        <v>-0.37</v>
      </c>
      <c r="I9" s="4">
        <v>1E-3</v>
      </c>
    </row>
    <row r="10" spans="1:10" x14ac:dyDescent="0.25">
      <c r="A10" s="46">
        <v>8</v>
      </c>
      <c r="B10" s="4" t="s">
        <v>150</v>
      </c>
      <c r="C10" s="4" t="s">
        <v>170</v>
      </c>
      <c r="D10" s="4">
        <v>30000</v>
      </c>
      <c r="E10" s="4">
        <v>1.2E-4</v>
      </c>
      <c r="F10" s="4">
        <v>1.2E-4</v>
      </c>
      <c r="G10" s="4">
        <v>1.3100000000000001E-4</v>
      </c>
      <c r="H10" s="4">
        <v>-0.37</v>
      </c>
      <c r="I10" s="4">
        <v>1E-3</v>
      </c>
    </row>
    <row r="11" spans="1:10" x14ac:dyDescent="0.25">
      <c r="A11" s="45">
        <v>9</v>
      </c>
      <c r="B11" s="4" t="s">
        <v>151</v>
      </c>
      <c r="C11" s="4" t="s">
        <v>170</v>
      </c>
      <c r="D11" s="4">
        <v>40000</v>
      </c>
      <c r="E11" s="4">
        <v>1.2E-4</v>
      </c>
      <c r="F11" s="4">
        <v>1.2E-4</v>
      </c>
      <c r="G11" s="4">
        <v>1.3100000000000001E-4</v>
      </c>
      <c r="H11" s="4">
        <v>-0.37</v>
      </c>
      <c r="I11" s="4">
        <v>1E-3</v>
      </c>
    </row>
    <row r="12" spans="1:10" x14ac:dyDescent="0.25">
      <c r="A12" s="46">
        <v>10</v>
      </c>
      <c r="B12" s="4" t="s">
        <v>152</v>
      </c>
      <c r="C12" s="4" t="s">
        <v>170</v>
      </c>
      <c r="D12" s="4">
        <v>50000</v>
      </c>
      <c r="E12" s="4">
        <v>1.2E-4</v>
      </c>
      <c r="F12" s="4">
        <v>1.2E-4</v>
      </c>
      <c r="G12" s="4">
        <v>1.3100000000000001E-4</v>
      </c>
      <c r="H12" s="4">
        <v>-0.37</v>
      </c>
      <c r="I12" s="4">
        <v>1E-3</v>
      </c>
    </row>
    <row r="14" spans="1:10" x14ac:dyDescent="0.25">
      <c r="A14" s="45">
        <v>11</v>
      </c>
      <c r="B14" s="4" t="s">
        <v>153</v>
      </c>
      <c r="C14" s="4" t="s">
        <v>171</v>
      </c>
      <c r="D14" s="4">
        <v>10000</v>
      </c>
      <c r="E14" s="4">
        <v>1.2E-4</v>
      </c>
      <c r="F14" s="4">
        <v>1.2E-4</v>
      </c>
      <c r="G14" s="4">
        <v>1.3100000000000001E-4</v>
      </c>
      <c r="H14" s="4">
        <v>-0.37</v>
      </c>
      <c r="I14" s="4">
        <v>1E-3</v>
      </c>
    </row>
    <row r="15" spans="1:10" x14ac:dyDescent="0.25">
      <c r="A15" s="46">
        <v>12</v>
      </c>
      <c r="B15" s="4" t="s">
        <v>154</v>
      </c>
      <c r="C15" s="4" t="s">
        <v>171</v>
      </c>
      <c r="D15" s="4">
        <v>20000</v>
      </c>
      <c r="E15" s="4">
        <v>1.2E-4</v>
      </c>
      <c r="F15" s="4">
        <v>1.2E-4</v>
      </c>
      <c r="G15" s="4">
        <v>1.3100000000000001E-4</v>
      </c>
      <c r="H15" s="4">
        <v>-0.37</v>
      </c>
      <c r="I15" s="4">
        <v>1E-3</v>
      </c>
    </row>
    <row r="16" spans="1:10" x14ac:dyDescent="0.25">
      <c r="A16" s="45">
        <v>13</v>
      </c>
      <c r="B16" s="4" t="s">
        <v>155</v>
      </c>
      <c r="C16" s="4" t="s">
        <v>171</v>
      </c>
      <c r="D16" s="4">
        <v>30000</v>
      </c>
      <c r="E16" s="4">
        <v>1.2E-4</v>
      </c>
      <c r="F16" s="4">
        <v>1.2E-4</v>
      </c>
      <c r="G16" s="4">
        <v>1.3100000000000001E-4</v>
      </c>
      <c r="H16" s="4">
        <v>-0.37</v>
      </c>
      <c r="I16" s="4">
        <v>1E-3</v>
      </c>
    </row>
    <row r="17" spans="1:10" x14ac:dyDescent="0.25">
      <c r="A17" s="46">
        <v>14</v>
      </c>
      <c r="B17" s="4" t="s">
        <v>156</v>
      </c>
      <c r="C17" s="4" t="s">
        <v>171</v>
      </c>
      <c r="D17" s="4">
        <v>40000</v>
      </c>
      <c r="E17" s="4">
        <v>1.2E-4</v>
      </c>
      <c r="F17" s="4">
        <v>1.2E-4</v>
      </c>
      <c r="G17" s="4">
        <v>1.3100000000000001E-4</v>
      </c>
      <c r="H17" s="4">
        <v>-0.37</v>
      </c>
      <c r="I17" s="4">
        <v>1E-3</v>
      </c>
    </row>
    <row r="18" spans="1:10" x14ac:dyDescent="0.25">
      <c r="A18" s="45">
        <v>15</v>
      </c>
      <c r="B18" s="4" t="s">
        <v>157</v>
      </c>
      <c r="C18" s="4" t="s">
        <v>171</v>
      </c>
      <c r="D18" s="4">
        <v>50000</v>
      </c>
      <c r="E18" s="4">
        <v>1.2E-4</v>
      </c>
      <c r="F18" s="4">
        <v>1.2E-4</v>
      </c>
      <c r="G18" s="4">
        <v>1.3100000000000001E-4</v>
      </c>
      <c r="H18" s="4">
        <v>-0.37</v>
      </c>
      <c r="I18" s="4">
        <v>1E-3</v>
      </c>
    </row>
    <row r="19" spans="1:10" x14ac:dyDescent="0.25">
      <c r="A19" s="45"/>
    </row>
    <row r="20" spans="1:10" x14ac:dyDescent="0.25">
      <c r="A20" s="46">
        <v>16</v>
      </c>
      <c r="B20" s="4" t="s">
        <v>158</v>
      </c>
      <c r="C20" s="4" t="s">
        <v>172</v>
      </c>
      <c r="D20" s="4">
        <v>10000</v>
      </c>
      <c r="E20" s="4">
        <v>1.2E-4</v>
      </c>
      <c r="F20" s="4">
        <v>1.2E-4</v>
      </c>
      <c r="G20" s="4">
        <v>1.3100000000000001E-4</v>
      </c>
      <c r="H20" s="4">
        <v>-0.37</v>
      </c>
      <c r="I20" s="4">
        <v>1E-3</v>
      </c>
    </row>
    <row r="21" spans="1:10" x14ac:dyDescent="0.25">
      <c r="A21" s="45">
        <v>17</v>
      </c>
      <c r="B21" s="4" t="s">
        <v>159</v>
      </c>
      <c r="C21" s="4" t="s">
        <v>172</v>
      </c>
      <c r="D21" s="4">
        <v>20000</v>
      </c>
      <c r="E21" s="4">
        <v>1.2E-4</v>
      </c>
      <c r="F21" s="4">
        <v>1.2E-4</v>
      </c>
      <c r="G21" s="4">
        <v>1.3100000000000001E-4</v>
      </c>
      <c r="H21" s="4">
        <v>-0.37</v>
      </c>
      <c r="I21" s="4">
        <v>1E-3</v>
      </c>
    </row>
    <row r="22" spans="1:10" x14ac:dyDescent="0.25">
      <c r="A22" s="46">
        <v>18</v>
      </c>
      <c r="B22" s="4" t="s">
        <v>160</v>
      </c>
      <c r="C22" s="4" t="s">
        <v>172</v>
      </c>
      <c r="D22" s="4">
        <v>30000</v>
      </c>
      <c r="E22" s="4">
        <v>1.2E-4</v>
      </c>
      <c r="F22" s="4">
        <v>1.2E-4</v>
      </c>
      <c r="G22" s="4">
        <v>1.3100000000000001E-4</v>
      </c>
      <c r="H22" s="4">
        <v>-0.37</v>
      </c>
      <c r="I22" s="4">
        <v>1E-3</v>
      </c>
    </row>
    <row r="23" spans="1:10" x14ac:dyDescent="0.25">
      <c r="A23" s="45">
        <v>19</v>
      </c>
      <c r="B23" s="4" t="s">
        <v>161</v>
      </c>
      <c r="C23" s="4" t="s">
        <v>172</v>
      </c>
      <c r="D23" s="4">
        <v>40000</v>
      </c>
      <c r="E23" s="4">
        <v>1.2E-4</v>
      </c>
      <c r="F23" s="4">
        <v>1.2E-4</v>
      </c>
      <c r="G23" s="4">
        <v>1.3100000000000001E-4</v>
      </c>
      <c r="H23" s="4">
        <v>-0.37</v>
      </c>
      <c r="I23" s="4">
        <v>1E-3</v>
      </c>
    </row>
    <row r="24" spans="1:10" x14ac:dyDescent="0.25">
      <c r="A24" s="46">
        <v>20</v>
      </c>
      <c r="B24" s="4" t="s">
        <v>162</v>
      </c>
      <c r="C24" s="4" t="s">
        <v>172</v>
      </c>
      <c r="D24" s="4">
        <v>50000</v>
      </c>
      <c r="E24" s="4">
        <v>1.2E-4</v>
      </c>
      <c r="F24" s="4">
        <v>1.2E-4</v>
      </c>
      <c r="G24" s="4">
        <v>1.3100000000000001E-4</v>
      </c>
      <c r="H24" s="4">
        <v>-0.37</v>
      </c>
      <c r="I24" s="4">
        <v>1E-3</v>
      </c>
    </row>
    <row r="26" spans="1:10" x14ac:dyDescent="0.25">
      <c r="A26" s="45">
        <v>21</v>
      </c>
      <c r="B26" s="4" t="s">
        <v>163</v>
      </c>
      <c r="C26" s="4" t="s">
        <v>173</v>
      </c>
      <c r="D26" s="4">
        <v>10000</v>
      </c>
      <c r="E26" s="4">
        <v>1.2E-4</v>
      </c>
      <c r="F26" s="4">
        <v>1.2E-4</v>
      </c>
      <c r="G26" s="4">
        <v>1.3100000000000001E-4</v>
      </c>
      <c r="H26" s="4">
        <v>-0.37</v>
      </c>
      <c r="I26" s="4">
        <v>1E-3</v>
      </c>
    </row>
    <row r="27" spans="1:10" x14ac:dyDescent="0.25">
      <c r="A27" s="46">
        <v>22</v>
      </c>
      <c r="B27" s="4" t="s">
        <v>164</v>
      </c>
      <c r="C27" s="4" t="s">
        <v>173</v>
      </c>
      <c r="D27" s="4">
        <v>20000</v>
      </c>
      <c r="E27" s="4">
        <v>1.2E-4</v>
      </c>
      <c r="F27" s="4">
        <v>1.2E-4</v>
      </c>
      <c r="G27" s="4">
        <v>1.3100000000000001E-4</v>
      </c>
      <c r="H27" s="4">
        <v>-0.37</v>
      </c>
      <c r="I27" s="4">
        <v>1E-3</v>
      </c>
    </row>
    <row r="28" spans="1:10" x14ac:dyDescent="0.25">
      <c r="A28" s="45">
        <v>23</v>
      </c>
      <c r="B28" s="4" t="s">
        <v>165</v>
      </c>
      <c r="C28" s="4" t="s">
        <v>173</v>
      </c>
      <c r="D28" s="4">
        <v>30000</v>
      </c>
      <c r="E28" s="4">
        <v>1.2E-4</v>
      </c>
      <c r="F28" s="4">
        <v>1.2E-4</v>
      </c>
      <c r="G28" s="4">
        <v>1.3100000000000001E-4</v>
      </c>
      <c r="H28" s="4">
        <v>-0.37</v>
      </c>
      <c r="I28" s="4">
        <v>1E-3</v>
      </c>
    </row>
    <row r="29" spans="1:10" x14ac:dyDescent="0.25">
      <c r="A29" s="46">
        <v>24</v>
      </c>
      <c r="B29" s="4" t="s">
        <v>166</v>
      </c>
      <c r="C29" s="4" t="s">
        <v>173</v>
      </c>
      <c r="D29" s="4">
        <v>40000</v>
      </c>
      <c r="E29" s="4">
        <v>1.2E-4</v>
      </c>
      <c r="F29" s="4">
        <v>1.2E-4</v>
      </c>
      <c r="G29" s="4">
        <v>1.3100000000000001E-4</v>
      </c>
      <c r="H29" s="4">
        <v>-0.37</v>
      </c>
      <c r="I29" s="4">
        <v>1E-3</v>
      </c>
    </row>
    <row r="30" spans="1:10" x14ac:dyDescent="0.25">
      <c r="A30" s="45">
        <v>25</v>
      </c>
      <c r="B30" s="4" t="s">
        <v>167</v>
      </c>
      <c r="C30" s="4" t="s">
        <v>173</v>
      </c>
      <c r="D30" s="4">
        <v>50000</v>
      </c>
      <c r="E30" s="4">
        <v>1.2E-4</v>
      </c>
      <c r="F30" s="4">
        <v>1.2E-4</v>
      </c>
      <c r="G30" s="4">
        <v>1.3100000000000001E-4</v>
      </c>
      <c r="H30" s="4">
        <v>-0.37</v>
      </c>
      <c r="I30" s="4">
        <v>1E-3</v>
      </c>
    </row>
    <row r="32" spans="1:10" x14ac:dyDescent="0.25">
      <c r="A32" s="46">
        <v>26</v>
      </c>
      <c r="B32" s="4" t="s">
        <v>187</v>
      </c>
      <c r="C32" s="4" t="s">
        <v>181</v>
      </c>
      <c r="D32" s="4">
        <v>16000</v>
      </c>
      <c r="E32" s="4" t="e">
        <v>#N/A</v>
      </c>
      <c r="F32" s="4" t="e">
        <v>#N/A</v>
      </c>
      <c r="G32" s="4" t="s">
        <v>195</v>
      </c>
      <c r="H32" s="4" t="s">
        <v>196</v>
      </c>
      <c r="I32" s="4" t="e">
        <v>#N/A</v>
      </c>
      <c r="J32" s="46">
        <v>0.55000000000000004</v>
      </c>
    </row>
    <row r="33" spans="1:10" x14ac:dyDescent="0.25">
      <c r="A33" s="45">
        <v>27</v>
      </c>
      <c r="B33" s="4" t="s">
        <v>188</v>
      </c>
      <c r="C33" s="4" t="s">
        <v>182</v>
      </c>
      <c r="D33" s="4">
        <v>16000</v>
      </c>
      <c r="E33" s="4" t="e">
        <v>#N/A</v>
      </c>
      <c r="F33" s="4" t="e">
        <v>#N/A</v>
      </c>
      <c r="G33" s="4" t="s">
        <v>195</v>
      </c>
      <c r="H33" s="4" t="s">
        <v>196</v>
      </c>
      <c r="I33" s="4" t="e">
        <v>#N/A</v>
      </c>
      <c r="J33" s="46">
        <v>0.55000000000000004</v>
      </c>
    </row>
    <row r="34" spans="1:10" x14ac:dyDescent="0.25">
      <c r="A34" s="46">
        <v>28</v>
      </c>
      <c r="B34" s="4" t="s">
        <v>193</v>
      </c>
      <c r="C34" s="4" t="s">
        <v>181</v>
      </c>
      <c r="D34" s="4">
        <v>25000</v>
      </c>
      <c r="E34" s="4" t="e">
        <v>#N/A</v>
      </c>
      <c r="F34" s="4" t="e">
        <v>#N/A</v>
      </c>
      <c r="G34" s="4" t="s">
        <v>195</v>
      </c>
      <c r="H34" s="4" t="s">
        <v>196</v>
      </c>
      <c r="I34" s="4" t="e">
        <v>#N/A</v>
      </c>
      <c r="J34" s="46">
        <v>0.55000000000000004</v>
      </c>
    </row>
    <row r="35" spans="1:10" x14ac:dyDescent="0.25">
      <c r="A35" s="45">
        <v>29</v>
      </c>
      <c r="B35" s="4" t="s">
        <v>194</v>
      </c>
      <c r="C35" s="4" t="s">
        <v>182</v>
      </c>
      <c r="D35" s="4">
        <v>25000</v>
      </c>
      <c r="E35" s="4" t="e">
        <v>#N/A</v>
      </c>
      <c r="F35" s="4" t="e">
        <v>#N/A</v>
      </c>
      <c r="G35" s="4" t="s">
        <v>195</v>
      </c>
      <c r="H35" s="4" t="s">
        <v>196</v>
      </c>
      <c r="I35" s="4" t="e">
        <v>#N/A</v>
      </c>
      <c r="J35" s="46">
        <v>0.55000000000000004</v>
      </c>
    </row>
    <row r="36" spans="1:10" x14ac:dyDescent="0.25">
      <c r="A36" s="46">
        <v>30</v>
      </c>
      <c r="B36" s="4" t="s">
        <v>189</v>
      </c>
      <c r="C36" s="4" t="s">
        <v>191</v>
      </c>
      <c r="D36" s="4">
        <v>16000</v>
      </c>
      <c r="E36" s="4" t="e">
        <v>#N/A</v>
      </c>
      <c r="F36" s="4" t="e">
        <v>#N/A</v>
      </c>
      <c r="G36" s="4" t="s">
        <v>195</v>
      </c>
      <c r="H36" s="4" t="s">
        <v>196</v>
      </c>
      <c r="I36" s="4" t="e">
        <v>#N/A</v>
      </c>
      <c r="J36" s="46">
        <v>0.55000000000000004</v>
      </c>
    </row>
    <row r="37" spans="1:10" x14ac:dyDescent="0.25">
      <c r="A37" s="45">
        <v>31</v>
      </c>
      <c r="B37" s="4" t="s">
        <v>190</v>
      </c>
      <c r="C37" s="4" t="s">
        <v>192</v>
      </c>
      <c r="D37" s="4">
        <v>16000</v>
      </c>
      <c r="E37" s="4" t="e">
        <v>#N/A</v>
      </c>
      <c r="F37" s="4" t="e">
        <v>#N/A</v>
      </c>
      <c r="G37" s="4" t="s">
        <v>195</v>
      </c>
      <c r="H37" s="4" t="s">
        <v>196</v>
      </c>
      <c r="I37" s="4" t="e">
        <v>#N/A</v>
      </c>
      <c r="J37" s="46">
        <v>0.55000000000000004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"/>
  <sheetViews>
    <sheetView zoomScale="85" zoomScaleNormal="85" workbookViewId="0">
      <selection activeCell="D17" sqref="D17"/>
    </sheetView>
  </sheetViews>
  <sheetFormatPr defaultColWidth="11.5703125" defaultRowHeight="15" x14ac:dyDescent="0.25"/>
  <cols>
    <col min="1" max="1" width="5.140625" style="49" bestFit="1" customWidth="1"/>
    <col min="2" max="2" width="4.5703125" style="49" bestFit="1" customWidth="1"/>
    <col min="3" max="3" width="28.85546875" style="49" bestFit="1" customWidth="1"/>
    <col min="4" max="4" width="23.7109375" style="49" bestFit="1" customWidth="1"/>
    <col min="5" max="5" width="6.5703125" style="49" bestFit="1" customWidth="1"/>
    <col min="6" max="6" width="7.7109375" style="49" bestFit="1" customWidth="1"/>
    <col min="7" max="7" width="7.42578125" style="49" bestFit="1" customWidth="1"/>
    <col min="8" max="8" width="6.7109375" style="49" bestFit="1" customWidth="1"/>
    <col min="9" max="9" width="7.140625" style="49" customWidth="1"/>
    <col min="10" max="10" width="6.7109375" style="49" bestFit="1" customWidth="1"/>
    <col min="11" max="11" width="6.85546875" style="49" bestFit="1" customWidth="1"/>
    <col min="12" max="12" width="6.42578125" style="49" bestFit="1" customWidth="1"/>
    <col min="13" max="13" width="7" style="49" bestFit="1" customWidth="1"/>
    <col min="14" max="14" width="7.140625" style="49" customWidth="1"/>
    <col min="15" max="15" width="6.85546875" style="49" bestFit="1" customWidth="1"/>
    <col min="16" max="16" width="6.7109375" style="49" bestFit="1" customWidth="1"/>
    <col min="17" max="17" width="6.85546875" style="49" bestFit="1" customWidth="1"/>
    <col min="18" max="19" width="6.7109375" style="49" bestFit="1" customWidth="1"/>
    <col min="20" max="20" width="7" style="49" bestFit="1" customWidth="1"/>
    <col min="21" max="21" width="7.140625" style="49" customWidth="1"/>
    <col min="22" max="22" width="6.85546875" style="49" bestFit="1" customWidth="1"/>
    <col min="23" max="25" width="7.140625" style="49" customWidth="1"/>
    <col min="26" max="26" width="6.85546875" style="49" bestFit="1" customWidth="1"/>
    <col min="27" max="28" width="7.140625" style="49" customWidth="1"/>
    <col min="29" max="30" width="6.42578125" style="49" bestFit="1" customWidth="1"/>
    <col min="31" max="32" width="6.7109375" style="49" bestFit="1" customWidth="1"/>
    <col min="33" max="35" width="7" style="49" bestFit="1" customWidth="1"/>
    <col min="36" max="37" width="7.140625" style="49" customWidth="1"/>
    <col min="38" max="38" width="10.85546875" style="49" bestFit="1" customWidth="1"/>
    <col min="39" max="39" width="19" style="49" bestFit="1" customWidth="1"/>
    <col min="40" max="42" width="11.5703125" style="49"/>
    <col min="43" max="16384" width="11.5703125" style="38"/>
  </cols>
  <sheetData>
    <row r="1" spans="1:39" x14ac:dyDescent="0.25">
      <c r="A1" s="12"/>
      <c r="B1" s="12"/>
      <c r="C1" s="12"/>
      <c r="D1" s="12"/>
      <c r="E1" s="12"/>
      <c r="F1" s="12"/>
      <c r="G1" s="12"/>
      <c r="H1" s="12"/>
    </row>
    <row r="2" spans="1:39" ht="15.75" thickBot="1" x14ac:dyDescent="0.3">
      <c r="A2" s="16" t="s">
        <v>4</v>
      </c>
      <c r="B2" s="16" t="s">
        <v>109</v>
      </c>
      <c r="C2" s="16" t="s">
        <v>7</v>
      </c>
      <c r="D2" s="16" t="s">
        <v>5</v>
      </c>
      <c r="E2" s="16" t="s">
        <v>106</v>
      </c>
      <c r="F2" s="16" t="s">
        <v>112</v>
      </c>
      <c r="G2" s="16" t="s">
        <v>113</v>
      </c>
      <c r="H2" s="16" t="s">
        <v>110</v>
      </c>
      <c r="I2" s="49" t="s">
        <v>114</v>
      </c>
      <c r="J2" s="49" t="s">
        <v>115</v>
      </c>
      <c r="K2" s="49" t="s">
        <v>116</v>
      </c>
      <c r="L2" s="49" t="s">
        <v>117</v>
      </c>
      <c r="M2" s="49" t="s">
        <v>118</v>
      </c>
      <c r="N2" s="49" t="s">
        <v>119</v>
      </c>
      <c r="O2" s="49" t="s">
        <v>120</v>
      </c>
      <c r="P2" s="49" t="s">
        <v>121</v>
      </c>
      <c r="Q2" s="49" t="s">
        <v>122</v>
      </c>
      <c r="R2" s="49" t="s">
        <v>123</v>
      </c>
      <c r="S2" s="49" t="s">
        <v>124</v>
      </c>
      <c r="T2" s="49" t="s">
        <v>125</v>
      </c>
      <c r="U2" s="49" t="s">
        <v>126</v>
      </c>
      <c r="V2" s="49" t="s">
        <v>127</v>
      </c>
      <c r="W2" s="49" t="s">
        <v>128</v>
      </c>
      <c r="X2" s="49" t="s">
        <v>129</v>
      </c>
      <c r="Y2" s="49" t="s">
        <v>130</v>
      </c>
      <c r="Z2" s="49" t="s">
        <v>131</v>
      </c>
      <c r="AA2" s="49" t="s">
        <v>132</v>
      </c>
      <c r="AB2" s="49" t="s">
        <v>133</v>
      </c>
      <c r="AC2" s="49" t="s">
        <v>134</v>
      </c>
      <c r="AD2" s="49" t="s">
        <v>135</v>
      </c>
      <c r="AE2" s="49" t="s">
        <v>136</v>
      </c>
      <c r="AF2" s="49" t="s">
        <v>137</v>
      </c>
      <c r="AG2" s="49" t="s">
        <v>138</v>
      </c>
      <c r="AH2" s="49" t="s">
        <v>139</v>
      </c>
      <c r="AI2" s="49" t="s">
        <v>140</v>
      </c>
      <c r="AJ2" s="49" t="s">
        <v>141</v>
      </c>
      <c r="AK2" s="49" t="s">
        <v>142</v>
      </c>
      <c r="AL2" s="49" t="s">
        <v>143</v>
      </c>
      <c r="AM2" s="49" t="s">
        <v>42</v>
      </c>
    </row>
    <row r="3" spans="1:39" x14ac:dyDescent="0.25">
      <c r="A3" s="49" t="s">
        <v>175</v>
      </c>
      <c r="B3" s="49">
        <v>27</v>
      </c>
      <c r="C3" s="49" t="str">
        <f>VLOOKUP($B3,'CircuitConfigs.'!$A$2:$F$50,2)</f>
        <v>meas_EZW1_W2UV_16kHz_D55%</v>
      </c>
      <c r="D3" s="49" t="str">
        <f>VLOOKUP($B3,'CircuitConfigs.'!$A$2:$F$50,3)</f>
        <v>inverterSiC_EZW1_W2UV</v>
      </c>
      <c r="E3" s="49">
        <f>VLOOKUP($B3,'CircuitConfigs.'!$A$2:$F$50,4)</f>
        <v>16000</v>
      </c>
      <c r="F3" s="49" t="e">
        <f>VLOOKUP($B3,'CircuitConfigs.'!$A$2:$F$50,5)</f>
        <v>#N/A</v>
      </c>
      <c r="G3" s="49" t="e">
        <f>VLOOKUP($B3,'CircuitConfigs.'!$A$2:$F$50,6)</f>
        <v>#N/A</v>
      </c>
      <c r="H3" s="49">
        <f>VLOOKUP(A3,OperatingPoints!$A$3:$G$51,6)</f>
        <v>470</v>
      </c>
      <c r="AM3" s="49" t="str">
        <f>C3&amp;": OP#"&amp;A3</f>
        <v>meas_EZW1_W2UV_16kHz_D55%: OP#TC_ref</v>
      </c>
    </row>
    <row r="4" spans="1:39" x14ac:dyDescent="0.25">
      <c r="A4" s="49" t="s">
        <v>174</v>
      </c>
      <c r="B4" s="49">
        <v>26</v>
      </c>
      <c r="C4" s="49" t="str">
        <f>VLOOKUP($B4,'CircuitConfigs.'!$A$2:$F$50,2)</f>
        <v>meas_EZW1_Y2UV_16kHz_D55%</v>
      </c>
      <c r="D4" s="49" t="str">
        <f>VLOOKUP($B4,'CircuitConfigs.'!$A$2:$F$50,3)</f>
        <v>inverterSiC_EZW1_Y2UV</v>
      </c>
      <c r="E4" s="49">
        <f>VLOOKUP($B4,'CircuitConfigs.'!$A$2:$F$50,4)</f>
        <v>16000</v>
      </c>
      <c r="F4" s="49" t="e">
        <f>VLOOKUP($B4,'CircuitConfigs.'!$A$2:$F$50,5)</f>
        <v>#N/A</v>
      </c>
      <c r="G4" s="49" t="e">
        <f>VLOOKUP($B4,'CircuitConfigs.'!$A$2:$F$50,6)</f>
        <v>#N/A</v>
      </c>
      <c r="H4" s="49">
        <f>VLOOKUP(A4,OperatingPoints!$A$3:$G$51,6)</f>
        <v>470</v>
      </c>
      <c r="AM4" s="49" t="str">
        <f>C4&amp;": OP#"&amp;A4</f>
        <v>meas_EZW1_Y2UV_16kHz_D55%: OP#TC1</v>
      </c>
    </row>
    <row r="5" spans="1:39" x14ac:dyDescent="0.25">
      <c r="A5" s="49" t="s">
        <v>176</v>
      </c>
      <c r="B5" s="49">
        <v>26</v>
      </c>
      <c r="C5" s="49" t="str">
        <f>VLOOKUP($B5,'CircuitConfigs.'!$A$2:$F$50,2)</f>
        <v>meas_EZW1_Y2UV_16kHz_D55%</v>
      </c>
      <c r="D5" s="49" t="str">
        <f>VLOOKUP($B5,'CircuitConfigs.'!$A$2:$F$50,3)</f>
        <v>inverterSiC_EZW1_Y2UV</v>
      </c>
      <c r="E5" s="49">
        <f>VLOOKUP($B5,'CircuitConfigs.'!$A$2:$F$50,4)</f>
        <v>16000</v>
      </c>
      <c r="F5" s="49" t="e">
        <f>VLOOKUP($B5,'CircuitConfigs.'!$A$2:$F$50,5)</f>
        <v>#N/A</v>
      </c>
      <c r="G5" s="49" t="e">
        <f>VLOOKUP($B5,'CircuitConfigs.'!$A$2:$F$50,6)</f>
        <v>#N/A</v>
      </c>
      <c r="H5" s="49">
        <f>VLOOKUP(A5,OperatingPoints!$A$3:$G$51,6)</f>
        <v>470</v>
      </c>
      <c r="AM5" s="49" t="str">
        <f>C5&amp;": OP#"&amp;A5</f>
        <v>meas_EZW1_Y2UV_16kHz_D55%: OP#TC2</v>
      </c>
    </row>
    <row r="6" spans="1:39" x14ac:dyDescent="0.25">
      <c r="A6" s="49" t="s">
        <v>177</v>
      </c>
      <c r="B6" s="49">
        <v>26</v>
      </c>
      <c r="C6" s="49" t="str">
        <f>VLOOKUP($B6,'CircuitConfigs.'!$A$2:$F$50,2)</f>
        <v>meas_EZW1_Y2UV_16kHz_D55%</v>
      </c>
      <c r="D6" s="49" t="str">
        <f>VLOOKUP($B6,'CircuitConfigs.'!$A$2:$F$50,3)</f>
        <v>inverterSiC_EZW1_Y2UV</v>
      </c>
      <c r="E6" s="49">
        <f>VLOOKUP($B6,'CircuitConfigs.'!$A$2:$F$50,4)</f>
        <v>16000</v>
      </c>
      <c r="F6" s="49" t="e">
        <f>VLOOKUP($B6,'CircuitConfigs.'!$A$2:$F$50,5)</f>
        <v>#N/A</v>
      </c>
      <c r="G6" s="49" t="e">
        <f>VLOOKUP($B6,'CircuitConfigs.'!$A$2:$F$50,6)</f>
        <v>#N/A</v>
      </c>
      <c r="H6" s="49">
        <f>VLOOKUP(A6,OperatingPoints!$A$3:$G$51,6)</f>
        <v>470</v>
      </c>
      <c r="AM6" s="49" t="str">
        <f>C6&amp;": OP#"&amp;A6</f>
        <v>meas_EZW1_Y2UV_16kHz_D55%: OP#TC3</v>
      </c>
    </row>
    <row r="7" spans="1:39" x14ac:dyDescent="0.25">
      <c r="A7" s="49" t="s">
        <v>178</v>
      </c>
      <c r="B7" s="49">
        <v>26</v>
      </c>
      <c r="C7" s="49" t="str">
        <f>VLOOKUP($B7,'CircuitConfigs.'!$A$2:$F$50,2)</f>
        <v>meas_EZW1_Y2UV_16kHz_D55%</v>
      </c>
      <c r="D7" s="49" t="str">
        <f>VLOOKUP($B7,'CircuitConfigs.'!$A$2:$F$50,3)</f>
        <v>inverterSiC_EZW1_Y2UV</v>
      </c>
      <c r="E7" s="49">
        <f>VLOOKUP($B7,'CircuitConfigs.'!$A$2:$F$50,4)</f>
        <v>16000</v>
      </c>
      <c r="F7" s="49" t="e">
        <f>VLOOKUP($B7,'CircuitConfigs.'!$A$2:$F$50,5)</f>
        <v>#N/A</v>
      </c>
      <c r="G7" s="49" t="e">
        <f>VLOOKUP($B7,'CircuitConfigs.'!$A$2:$F$50,6)</f>
        <v>#N/A</v>
      </c>
      <c r="H7" s="49">
        <f>VLOOKUP(A7,OperatingPoints!$A$3:$G$51,6)</f>
        <v>470</v>
      </c>
    </row>
    <row r="8" spans="1:39" x14ac:dyDescent="0.25">
      <c r="A8" s="49" t="s">
        <v>179</v>
      </c>
      <c r="B8" s="49">
        <v>26</v>
      </c>
      <c r="C8" s="49" t="str">
        <f>VLOOKUP($B8,'CircuitConfigs.'!$A$2:$F$50,2)</f>
        <v>meas_EZW1_Y2UV_16kHz_D55%</v>
      </c>
      <c r="D8" s="49" t="str">
        <f>VLOOKUP($B8,'CircuitConfigs.'!$A$2:$F$50,3)</f>
        <v>inverterSiC_EZW1_Y2UV</v>
      </c>
      <c r="E8" s="49">
        <f>VLOOKUP($B8,'CircuitConfigs.'!$A$2:$F$50,4)</f>
        <v>16000</v>
      </c>
      <c r="F8" s="49" t="e">
        <f>VLOOKUP($B8,'CircuitConfigs.'!$A$2:$F$50,5)</f>
        <v>#N/A</v>
      </c>
      <c r="G8" s="49" t="e">
        <f>VLOOKUP($B8,'CircuitConfigs.'!$A$2:$F$50,6)</f>
        <v>#N/A</v>
      </c>
      <c r="H8" s="49">
        <f>VLOOKUP(A8,OperatingPoints!$A$3:$G$51,6)</f>
        <v>470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zoomScale="85" zoomScaleNormal="85" workbookViewId="0">
      <selection activeCell="AF1" sqref="AF1:AK1"/>
    </sheetView>
  </sheetViews>
  <sheetFormatPr defaultColWidth="11.5703125" defaultRowHeight="15" x14ac:dyDescent="0.25"/>
  <cols>
    <col min="1" max="1" width="23.7109375" style="6" customWidth="1"/>
    <col min="2" max="2" width="5" style="6" bestFit="1" customWidth="1"/>
    <col min="3" max="18" width="7.140625" style="6" customWidth="1"/>
    <col min="19" max="19" width="7" style="6" customWidth="1"/>
    <col min="20" max="20" width="6.7109375" style="6" customWidth="1"/>
    <col min="21" max="21" width="5.7109375" style="6" customWidth="1"/>
    <col min="22" max="22" width="6.28515625" style="6" bestFit="1" customWidth="1"/>
    <col min="23" max="24" width="9.7109375" style="6" bestFit="1" customWidth="1"/>
    <col min="25" max="25" width="10.85546875" style="6" bestFit="1" customWidth="1"/>
    <col min="26" max="26" width="10.42578125" style="6" bestFit="1" customWidth="1"/>
    <col min="27" max="27" width="6.85546875" style="6" customWidth="1"/>
    <col min="28" max="28" width="6.7109375" style="6" customWidth="1"/>
    <col min="29" max="29" width="6.42578125" style="6" customWidth="1"/>
    <col min="30" max="30" width="6.140625" style="6" customWidth="1"/>
    <col min="31" max="31" width="11.85546875" style="6" bestFit="1" customWidth="1"/>
    <col min="32" max="32" width="8.7109375" style="6" customWidth="1"/>
    <col min="33" max="39" width="11.5703125" style="6"/>
    <col min="40" max="40" width="17.28515625" style="6" customWidth="1"/>
    <col min="41" max="16384" width="11.5703125" style="6"/>
  </cols>
  <sheetData>
    <row r="1" spans="1:40" x14ac:dyDescent="0.25">
      <c r="A1" s="12"/>
      <c r="B1" s="13"/>
      <c r="C1" s="137" t="s">
        <v>9</v>
      </c>
      <c r="D1" s="137"/>
      <c r="E1" s="137"/>
      <c r="F1" s="137"/>
      <c r="G1" s="137"/>
      <c r="H1" s="137"/>
      <c r="I1" s="137"/>
      <c r="J1" s="137"/>
      <c r="K1" s="138" t="s">
        <v>10</v>
      </c>
      <c r="L1" s="138"/>
      <c r="M1" s="138"/>
      <c r="N1" s="138"/>
      <c r="O1" s="138"/>
      <c r="P1" s="138"/>
      <c r="Q1" s="138"/>
      <c r="R1" s="139"/>
      <c r="S1" s="140" t="s">
        <v>11</v>
      </c>
      <c r="T1" s="141"/>
      <c r="U1" s="141"/>
      <c r="V1" s="141"/>
      <c r="W1" s="141"/>
      <c r="X1" s="141"/>
      <c r="Y1" s="141"/>
      <c r="Z1" s="141"/>
      <c r="AA1" s="142" t="s">
        <v>25</v>
      </c>
      <c r="AB1" s="143"/>
      <c r="AC1" s="143"/>
      <c r="AD1" s="144"/>
      <c r="AE1" s="14"/>
      <c r="AF1" s="132" t="s">
        <v>26</v>
      </c>
      <c r="AG1" s="145"/>
      <c r="AH1" s="145"/>
      <c r="AI1" s="145"/>
      <c r="AJ1" s="145"/>
      <c r="AK1" s="134"/>
      <c r="AL1" s="15"/>
    </row>
    <row r="2" spans="1:40" ht="60.75" thickBot="1" x14ac:dyDescent="0.3">
      <c r="A2" s="16" t="s">
        <v>7</v>
      </c>
      <c r="B2" s="17" t="s">
        <v>4</v>
      </c>
      <c r="C2" s="18" t="s">
        <v>12</v>
      </c>
      <c r="D2" s="18" t="s">
        <v>13</v>
      </c>
      <c r="E2" s="18" t="s">
        <v>14</v>
      </c>
      <c r="F2" s="18" t="s">
        <v>15</v>
      </c>
      <c r="G2" s="18" t="s">
        <v>16</v>
      </c>
      <c r="H2" s="18" t="s">
        <v>17</v>
      </c>
      <c r="I2" s="18" t="s">
        <v>18</v>
      </c>
      <c r="J2" s="18" t="s">
        <v>19</v>
      </c>
      <c r="K2" s="19" t="s">
        <v>12</v>
      </c>
      <c r="L2" s="19" t="s">
        <v>13</v>
      </c>
      <c r="M2" s="19" t="s">
        <v>14</v>
      </c>
      <c r="N2" s="19" t="s">
        <v>15</v>
      </c>
      <c r="O2" s="19" t="s">
        <v>16</v>
      </c>
      <c r="P2" s="19" t="s">
        <v>17</v>
      </c>
      <c r="Q2" s="19" t="s">
        <v>18</v>
      </c>
      <c r="R2" s="20" t="s">
        <v>19</v>
      </c>
      <c r="S2" s="21" t="s">
        <v>20</v>
      </c>
      <c r="T2" s="21" t="s">
        <v>21</v>
      </c>
      <c r="U2" s="21" t="s">
        <v>22</v>
      </c>
      <c r="V2" s="21" t="s">
        <v>23</v>
      </c>
      <c r="W2" s="21" t="s">
        <v>24</v>
      </c>
      <c r="X2" s="21" t="s">
        <v>27</v>
      </c>
      <c r="Y2" s="21" t="s">
        <v>28</v>
      </c>
      <c r="Z2" s="21" t="s">
        <v>29</v>
      </c>
      <c r="AA2" s="22" t="s">
        <v>30</v>
      </c>
      <c r="AB2" s="23" t="s">
        <v>31</v>
      </c>
      <c r="AC2" s="23" t="s">
        <v>32</v>
      </c>
      <c r="AD2" s="24" t="s">
        <v>33</v>
      </c>
      <c r="AE2" s="23" t="s">
        <v>34</v>
      </c>
      <c r="AF2" s="25" t="s">
        <v>35</v>
      </c>
      <c r="AG2" s="26" t="s">
        <v>6</v>
      </c>
      <c r="AH2" s="26" t="s">
        <v>36</v>
      </c>
      <c r="AI2" s="26" t="s">
        <v>37</v>
      </c>
      <c r="AJ2" s="26" t="s">
        <v>38</v>
      </c>
      <c r="AK2" s="27" t="s">
        <v>39</v>
      </c>
      <c r="AL2" s="28" t="s">
        <v>40</v>
      </c>
      <c r="AM2" s="28" t="s">
        <v>41</v>
      </c>
      <c r="AN2" s="29" t="s">
        <v>42</v>
      </c>
    </row>
    <row r="3" spans="1:40" x14ac:dyDescent="0.25">
      <c r="AA3" s="6" t="e">
        <f>VLOOKUP($A3,#REF!,20,FALSE)*S3^2</f>
        <v>#REF!</v>
      </c>
      <c r="AB3" s="6" t="e">
        <f>VLOOKUP($A3,#REF!,21,FALSE)*T3^2</f>
        <v>#REF!</v>
      </c>
      <c r="AC3" s="6" t="e">
        <f>VLOOKUP($A3,#REF!,22,FALSE)*U3^2</f>
        <v>#REF!</v>
      </c>
      <c r="AD3" s="6" t="e">
        <f>VLOOKUP($A3,#REF!,23,FALSE)*V3^2</f>
        <v>#REF!</v>
      </c>
      <c r="AE3" s="6" t="e">
        <f>90*AF3/11000</f>
        <v>#N/A</v>
      </c>
      <c r="AF3" s="6" t="e">
        <f>VLOOKUP(B3,OperatingPoints!$A$3:$B$16,2)</f>
        <v>#N/A</v>
      </c>
      <c r="AG3" s="6" t="e">
        <f>(AF3-SUM(C3:R3,AA3:AE3))/AF3</f>
        <v>#N/A</v>
      </c>
      <c r="AH3" s="6" t="e">
        <f>SUM(C3:F3)/AF3</f>
        <v>#N/A</v>
      </c>
      <c r="AI3" s="6" t="e">
        <f>SUM(K3:N3)/AF3</f>
        <v>#N/A</v>
      </c>
      <c r="AJ3" s="6" t="e">
        <f>SUM(G3:J3)/AF3</f>
        <v>#N/A</v>
      </c>
      <c r="AK3" s="6" t="e">
        <f>SUM(O3:R3)/AF3</f>
        <v>#N/A</v>
      </c>
      <c r="AL3" s="6" t="e">
        <f>SUM(AA3:AD3)/AF$3</f>
        <v>#REF!</v>
      </c>
      <c r="AM3" s="6" t="e">
        <f>AE3/AF3</f>
        <v>#N/A</v>
      </c>
      <c r="AN3" s="6" t="str">
        <f>A3&amp;": OP#"&amp;B3</f>
        <v>: OP#</v>
      </c>
    </row>
    <row r="4" spans="1:40" x14ac:dyDescent="0.25">
      <c r="AA4" s="6" t="e">
        <f>VLOOKUP($A4,#REF!,20,FALSE)*S4^2</f>
        <v>#REF!</v>
      </c>
      <c r="AB4" s="6" t="e">
        <f>VLOOKUP($A4,#REF!,21,FALSE)*T4^2</f>
        <v>#REF!</v>
      </c>
      <c r="AC4" s="6" t="e">
        <f>VLOOKUP($A4,#REF!,22,FALSE)*U4^2</f>
        <v>#REF!</v>
      </c>
      <c r="AD4" s="6" t="e">
        <f>VLOOKUP($A4,#REF!,23,FALSE)*V4^2</f>
        <v>#REF!</v>
      </c>
      <c r="AE4" s="6" t="e">
        <f>90*AF4/11000</f>
        <v>#N/A</v>
      </c>
      <c r="AF4" s="6" t="e">
        <f>VLOOKUP(B4,OperatingPoints!$A$3:$B$16,2)</f>
        <v>#N/A</v>
      </c>
      <c r="AG4" s="6" t="e">
        <f>(AF4-SUM(C4:R4,AA4:AE4))/AF4</f>
        <v>#N/A</v>
      </c>
      <c r="AH4" s="6" t="e">
        <f>SUM(C4:F4)/AF4</f>
        <v>#N/A</v>
      </c>
      <c r="AI4" s="6" t="e">
        <f>SUM(K4:N4)/AF4</f>
        <v>#N/A</v>
      </c>
      <c r="AJ4" s="6" t="e">
        <f>SUM(G4:J4)/AF4</f>
        <v>#N/A</v>
      </c>
      <c r="AK4" s="6" t="e">
        <f>SUM(O4:R4)/AF4</f>
        <v>#N/A</v>
      </c>
      <c r="AL4" s="6" t="e">
        <f>SUM(AA4:AD4)/AF$3</f>
        <v>#REF!</v>
      </c>
      <c r="AM4" s="6" t="e">
        <f>AE4/AF4</f>
        <v>#N/A</v>
      </c>
      <c r="AN4" s="6" t="str">
        <f>A4&amp;": OP#"&amp;B4</f>
        <v>: OP#</v>
      </c>
    </row>
    <row r="5" spans="1:40" x14ac:dyDescent="0.25">
      <c r="AA5" s="6" t="e">
        <f>VLOOKUP($A5,#REF!,20,FALSE)*S5^2</f>
        <v>#REF!</v>
      </c>
      <c r="AB5" s="6" t="e">
        <f>VLOOKUP($A5,#REF!,21,FALSE)*T5^2</f>
        <v>#REF!</v>
      </c>
      <c r="AC5" s="6" t="e">
        <f>VLOOKUP($A5,#REF!,22,FALSE)*U5^2</f>
        <v>#REF!</v>
      </c>
      <c r="AD5" s="6" t="e">
        <f>VLOOKUP($A5,#REF!,23,FALSE)*V5^2</f>
        <v>#REF!</v>
      </c>
      <c r="AE5" s="6" t="e">
        <f>90*AF5/11000</f>
        <v>#N/A</v>
      </c>
      <c r="AF5" s="6" t="e">
        <f>VLOOKUP(B5,OperatingPoints!$A$3:$B$16,2)</f>
        <v>#N/A</v>
      </c>
      <c r="AG5" s="6" t="e">
        <f>(AF5-SUM(C5:R5,AA5:AE5))/AF5</f>
        <v>#N/A</v>
      </c>
      <c r="AH5" s="6" t="e">
        <f>SUM(C5:F5)/AF5</f>
        <v>#N/A</v>
      </c>
      <c r="AI5" s="6" t="e">
        <f>SUM(K5:N5)/AF5</f>
        <v>#N/A</v>
      </c>
      <c r="AJ5" s="6" t="e">
        <f>SUM(G5:J5)/AF5</f>
        <v>#N/A</v>
      </c>
      <c r="AK5" s="6" t="e">
        <f>SUM(O5:R5)/AF5</f>
        <v>#N/A</v>
      </c>
      <c r="AL5" s="6" t="e">
        <f>SUM(AA5:AD5)/AF$3</f>
        <v>#REF!</v>
      </c>
      <c r="AM5" s="6" t="e">
        <f>AE5/AF5</f>
        <v>#N/A</v>
      </c>
      <c r="AN5" s="6" t="str">
        <f>A5&amp;": OP#"&amp;B5</f>
        <v>: OP#</v>
      </c>
    </row>
    <row r="6" spans="1:40" x14ac:dyDescent="0.25">
      <c r="AA6" s="6" t="e">
        <f>VLOOKUP($A6,#REF!,20,FALSE)*S6^2</f>
        <v>#REF!</v>
      </c>
      <c r="AB6" s="6" t="e">
        <f>VLOOKUP($A6,#REF!,21,FALSE)*T6^2</f>
        <v>#REF!</v>
      </c>
      <c r="AC6" s="6" t="e">
        <f>VLOOKUP($A6,#REF!,22,FALSE)*U6^2</f>
        <v>#REF!</v>
      </c>
      <c r="AD6" s="6" t="e">
        <f>VLOOKUP($A6,#REF!,23,FALSE)*V6^2</f>
        <v>#REF!</v>
      </c>
      <c r="AE6" s="6" t="e">
        <f>90*AF6/11000</f>
        <v>#N/A</v>
      </c>
      <c r="AF6" s="6" t="e">
        <f>VLOOKUP(B6,OperatingPoints!$A$3:$B$16,2)</f>
        <v>#N/A</v>
      </c>
      <c r="AG6" s="6" t="e">
        <f>(AF6-SUM(C6:R6,AA6:AE6))/AF6</f>
        <v>#N/A</v>
      </c>
      <c r="AH6" s="6" t="e">
        <f>SUM(C6:F6)/AF6</f>
        <v>#N/A</v>
      </c>
      <c r="AI6" s="6" t="e">
        <f>SUM(K6:N6)/AF6</f>
        <v>#N/A</v>
      </c>
      <c r="AJ6" s="6" t="e">
        <f>SUM(G6:J6)/AF6</f>
        <v>#N/A</v>
      </c>
      <c r="AK6" s="6" t="e">
        <f>SUM(O6:R6)/AF6</f>
        <v>#N/A</v>
      </c>
      <c r="AL6" s="6" t="e">
        <f>SUM(AA6:AD6)/AF$3</f>
        <v>#REF!</v>
      </c>
      <c r="AM6" s="6" t="e">
        <f>AE6/AF6</f>
        <v>#N/A</v>
      </c>
      <c r="AN6" s="6" t="str">
        <f>A6&amp;": OP#"&amp;B6</f>
        <v>: OP#</v>
      </c>
    </row>
    <row r="8" spans="1:40" x14ac:dyDescent="0.25">
      <c r="AA8" s="6" t="e">
        <f>VLOOKUP($A8,#REF!,20,FALSE)*S8^2</f>
        <v>#REF!</v>
      </c>
      <c r="AB8" s="6" t="e">
        <f>VLOOKUP($A8,#REF!,21,FALSE)*T8^2</f>
        <v>#REF!</v>
      </c>
      <c r="AC8" s="6" t="e">
        <f>VLOOKUP($A8,#REF!,22,FALSE)*U8^2</f>
        <v>#REF!</v>
      </c>
      <c r="AD8" s="6" t="e">
        <f>VLOOKUP($A8,#REF!,23,FALSE)*V8^2</f>
        <v>#REF!</v>
      </c>
      <c r="AE8" s="6" t="e">
        <f>90*AF8/11000</f>
        <v>#N/A</v>
      </c>
      <c r="AF8" s="6" t="e">
        <f>VLOOKUP(B8,OperatingPoints!$A$3:$B$16,2)</f>
        <v>#N/A</v>
      </c>
      <c r="AG8" s="6" t="e">
        <f>(AF8-SUM(C8:R8,AA8:AE8))/AF8</f>
        <v>#N/A</v>
      </c>
      <c r="AH8" s="6" t="e">
        <f>SUM(C8:F8)/AF8</f>
        <v>#N/A</v>
      </c>
      <c r="AI8" s="6" t="e">
        <f>SUM(K8:N8)/AF8</f>
        <v>#N/A</v>
      </c>
      <c r="AJ8" s="6" t="e">
        <f>SUM(G8:J8)/AF8</f>
        <v>#N/A</v>
      </c>
      <c r="AK8" s="6" t="e">
        <f>SUM(O8:R8)/AF8</f>
        <v>#N/A</v>
      </c>
      <c r="AL8" s="6" t="e">
        <f>SUM(AA8:AD8)/AF$3</f>
        <v>#REF!</v>
      </c>
      <c r="AM8" s="6" t="e">
        <f>AE8/AF8</f>
        <v>#N/A</v>
      </c>
      <c r="AN8" s="6" t="str">
        <f t="shared" ref="AN8:AN21" si="0">A8&amp;": OP#"&amp;B8</f>
        <v>: OP#</v>
      </c>
    </row>
    <row r="9" spans="1:40" x14ac:dyDescent="0.25">
      <c r="AA9" s="6" t="e">
        <f>VLOOKUP($A9,#REF!,20,FALSE)*S9^2</f>
        <v>#REF!</v>
      </c>
      <c r="AB9" s="6" t="e">
        <f>VLOOKUP($A9,#REF!,21,FALSE)*T9^2</f>
        <v>#REF!</v>
      </c>
      <c r="AC9" s="6" t="e">
        <f>VLOOKUP($A9,#REF!,22,FALSE)*U9^2</f>
        <v>#REF!</v>
      </c>
      <c r="AD9" s="6" t="e">
        <f>VLOOKUP($A9,#REF!,23,FALSE)*V9^2</f>
        <v>#REF!</v>
      </c>
      <c r="AE9" s="6" t="e">
        <f>90*AF9/11000</f>
        <v>#N/A</v>
      </c>
      <c r="AF9" s="6" t="e">
        <f>VLOOKUP(B9,OperatingPoints!$A$3:$B$16,2)</f>
        <v>#N/A</v>
      </c>
      <c r="AG9" s="6" t="e">
        <f>(AF9-SUM(C9:R9,AA9:AE9))/AF9</f>
        <v>#N/A</v>
      </c>
      <c r="AH9" s="6" t="e">
        <f>SUM(C9:F9)/AF9</f>
        <v>#N/A</v>
      </c>
      <c r="AI9" s="6" t="e">
        <f>SUM(K9:N9)/AF9</f>
        <v>#N/A</v>
      </c>
      <c r="AJ9" s="6" t="e">
        <f>SUM(G9:J9)/AF9</f>
        <v>#N/A</v>
      </c>
      <c r="AK9" s="6" t="e">
        <f>SUM(O9:R9)/AF9</f>
        <v>#N/A</v>
      </c>
      <c r="AL9" s="6" t="e">
        <f>SUM(AA9:AD9)/AF$3</f>
        <v>#REF!</v>
      </c>
      <c r="AM9" s="6" t="e">
        <f>AE9/AF9</f>
        <v>#N/A</v>
      </c>
      <c r="AN9" s="6" t="str">
        <f t="shared" si="0"/>
        <v>: OP#</v>
      </c>
    </row>
    <row r="10" spans="1:40" x14ac:dyDescent="0.25">
      <c r="AA10" s="6" t="e">
        <f>VLOOKUP($A10,#REF!,20,FALSE)*S10^2</f>
        <v>#REF!</v>
      </c>
      <c r="AB10" s="6" t="e">
        <f>VLOOKUP($A10,#REF!,21,FALSE)*T10^2</f>
        <v>#REF!</v>
      </c>
      <c r="AC10" s="6" t="e">
        <f>VLOOKUP($A10,#REF!,22,FALSE)*U10^2</f>
        <v>#REF!</v>
      </c>
      <c r="AD10" s="6" t="e">
        <f>VLOOKUP($A10,#REF!,23,FALSE)*V10^2</f>
        <v>#REF!</v>
      </c>
      <c r="AE10" s="6" t="e">
        <f>90*AF10/11000</f>
        <v>#N/A</v>
      </c>
      <c r="AF10" s="6" t="e">
        <f>VLOOKUP(B10,OperatingPoints!$A$3:$B$16,2)</f>
        <v>#N/A</v>
      </c>
      <c r="AG10" s="6" t="e">
        <f>(AF10-SUM(C10:R10,AA10:AE10))/AF10</f>
        <v>#N/A</v>
      </c>
      <c r="AH10" s="6" t="e">
        <f>SUM(C10:F10)/AF10</f>
        <v>#N/A</v>
      </c>
      <c r="AI10" s="6" t="e">
        <f>SUM(K10:N10)/AF10</f>
        <v>#N/A</v>
      </c>
      <c r="AJ10" s="6" t="e">
        <f>SUM(G10:J10)/AF10</f>
        <v>#N/A</v>
      </c>
      <c r="AK10" s="6" t="e">
        <f>SUM(O10:R10)/AF10</f>
        <v>#N/A</v>
      </c>
      <c r="AL10" s="6" t="e">
        <f>SUM(AA10:AD10)/AF$3</f>
        <v>#REF!</v>
      </c>
      <c r="AM10" s="6" t="e">
        <f>AE10/AF10</f>
        <v>#N/A</v>
      </c>
      <c r="AN10" s="6" t="str">
        <f t="shared" si="0"/>
        <v>: OP#</v>
      </c>
    </row>
    <row r="11" spans="1:40" x14ac:dyDescent="0.25">
      <c r="AA11" s="6" t="e">
        <f>VLOOKUP($A11,#REF!,20,FALSE)*S11^2</f>
        <v>#REF!</v>
      </c>
      <c r="AB11" s="6" t="e">
        <f>VLOOKUP($A11,#REF!,21,FALSE)*T11^2</f>
        <v>#REF!</v>
      </c>
      <c r="AC11" s="6" t="e">
        <f>VLOOKUP($A11,#REF!,22,FALSE)*U11^2</f>
        <v>#REF!</v>
      </c>
      <c r="AD11" s="6" t="e">
        <f>VLOOKUP($A11,#REF!,23,FALSE)*V11^2</f>
        <v>#REF!</v>
      </c>
      <c r="AE11" s="6" t="e">
        <f>90*AF11/11000</f>
        <v>#N/A</v>
      </c>
      <c r="AF11" s="6" t="e">
        <f>VLOOKUP(B11,OperatingPoints!$A$3:$B$16,2)</f>
        <v>#N/A</v>
      </c>
      <c r="AG11" s="6" t="e">
        <f>(AF11-SUM(C11:R11,AA11:AE11))/AF11</f>
        <v>#N/A</v>
      </c>
      <c r="AH11" s="6" t="e">
        <f>SUM(C11:F11)/AF11</f>
        <v>#N/A</v>
      </c>
      <c r="AI11" s="6" t="e">
        <f>SUM(K11:N11)/AF11</f>
        <v>#N/A</v>
      </c>
      <c r="AJ11" s="6" t="e">
        <f>SUM(G11:J11)/AF11</f>
        <v>#N/A</v>
      </c>
      <c r="AK11" s="6" t="e">
        <f>SUM(O11:R11)/AF11</f>
        <v>#N/A</v>
      </c>
      <c r="AL11" s="6" t="e">
        <f>SUM(AA11:AD11)/AF$3</f>
        <v>#REF!</v>
      </c>
      <c r="AM11" s="6" t="e">
        <f>AE11/AF11</f>
        <v>#N/A</v>
      </c>
      <c r="AN11" s="6" t="str">
        <f t="shared" si="0"/>
        <v>: OP#</v>
      </c>
    </row>
    <row r="12" spans="1:40" x14ac:dyDescent="0.25">
      <c r="K12" s="30"/>
      <c r="L12" s="30"/>
      <c r="M12" s="30"/>
      <c r="N12" s="30"/>
      <c r="O12" s="30"/>
      <c r="P12" s="30"/>
      <c r="Q12" s="30"/>
      <c r="R12" s="30"/>
    </row>
    <row r="13" spans="1:40" x14ac:dyDescent="0.25">
      <c r="AA13" s="6" t="e">
        <f>VLOOKUP($A13,#REF!,20,FALSE)*S13^2</f>
        <v>#REF!</v>
      </c>
      <c r="AB13" s="6" t="e">
        <f>VLOOKUP($A13,#REF!,21,FALSE)*T13^2</f>
        <v>#REF!</v>
      </c>
      <c r="AC13" s="6" t="e">
        <f>VLOOKUP($A13,#REF!,22,FALSE)*U13^2</f>
        <v>#REF!</v>
      </c>
      <c r="AD13" s="6" t="e">
        <f>VLOOKUP($A13,#REF!,23,FALSE)*V13^2</f>
        <v>#REF!</v>
      </c>
      <c r="AE13" s="6" t="e">
        <f>90*AF13/11000</f>
        <v>#N/A</v>
      </c>
      <c r="AF13" s="6" t="e">
        <f>VLOOKUP(B13,OperatingPoints!$A$3:$B$16,2)</f>
        <v>#N/A</v>
      </c>
      <c r="AG13" s="6" t="e">
        <f>(AF13-SUM(C13:R13,AA13:AE13))/AF13</f>
        <v>#N/A</v>
      </c>
      <c r="AH13" s="6" t="e">
        <f>SUM(C13:F13)/AF13</f>
        <v>#N/A</v>
      </c>
      <c r="AI13" s="6" t="e">
        <f>SUM(K13:N13)/AF13</f>
        <v>#N/A</v>
      </c>
      <c r="AJ13" s="6" t="e">
        <f>SUM(G13:J13)/AF13</f>
        <v>#N/A</v>
      </c>
      <c r="AK13" s="6" t="e">
        <f>SUM(O13:R13)/AF13</f>
        <v>#N/A</v>
      </c>
      <c r="AL13" s="6" t="e">
        <f>SUM(AA13:AD13)/AF$3</f>
        <v>#REF!</v>
      </c>
      <c r="AM13" s="6" t="e">
        <f>AE13/AF13</f>
        <v>#N/A</v>
      </c>
      <c r="AN13" s="6" t="str">
        <f t="shared" si="0"/>
        <v>: OP#</v>
      </c>
    </row>
    <row r="14" spans="1:40" x14ac:dyDescent="0.25">
      <c r="AA14" s="6" t="e">
        <f>VLOOKUP($A14,#REF!,20,FALSE)*S14^2</f>
        <v>#REF!</v>
      </c>
      <c r="AB14" s="6" t="e">
        <f>VLOOKUP($A14,#REF!,21,FALSE)*T14^2</f>
        <v>#REF!</v>
      </c>
      <c r="AC14" s="6" t="e">
        <f>VLOOKUP($A14,#REF!,22,FALSE)*U14^2</f>
        <v>#REF!</v>
      </c>
      <c r="AD14" s="6" t="e">
        <f>VLOOKUP($A14,#REF!,23,FALSE)*V14^2</f>
        <v>#REF!</v>
      </c>
      <c r="AE14" s="6" t="e">
        <f>90*AF14/11000</f>
        <v>#N/A</v>
      </c>
      <c r="AF14" s="6" t="e">
        <f>VLOOKUP(B14,OperatingPoints!$A$3:$B$16,2)</f>
        <v>#N/A</v>
      </c>
      <c r="AG14" s="6" t="e">
        <f>(AF14-SUM(C14:R14,AA14:AE14))/AF14</f>
        <v>#N/A</v>
      </c>
      <c r="AH14" s="6" t="e">
        <f>SUM(C14:F14)/AF14</f>
        <v>#N/A</v>
      </c>
      <c r="AI14" s="6" t="e">
        <f>SUM(K14:N14)/AF14</f>
        <v>#N/A</v>
      </c>
      <c r="AJ14" s="6" t="e">
        <f>SUM(G14:J14)/AF14</f>
        <v>#N/A</v>
      </c>
      <c r="AK14" s="6" t="e">
        <f>SUM(O14:R14)/AF14</f>
        <v>#N/A</v>
      </c>
      <c r="AL14" s="6" t="e">
        <f>SUM(AA14:AD14)/AF$3</f>
        <v>#REF!</v>
      </c>
      <c r="AM14" s="6" t="e">
        <f>AE14/AF14</f>
        <v>#N/A</v>
      </c>
      <c r="AN14" s="6" t="str">
        <f t="shared" si="0"/>
        <v>: OP#</v>
      </c>
    </row>
    <row r="15" spans="1:40" x14ac:dyDescent="0.25">
      <c r="AA15" s="6" t="e">
        <f>VLOOKUP($A15,#REF!,20,FALSE)*S15^2</f>
        <v>#REF!</v>
      </c>
      <c r="AB15" s="6" t="e">
        <f>VLOOKUP($A15,#REF!,21,FALSE)*T15^2</f>
        <v>#REF!</v>
      </c>
      <c r="AC15" s="6" t="e">
        <f>VLOOKUP($A15,#REF!,22,FALSE)*U15^2</f>
        <v>#REF!</v>
      </c>
      <c r="AD15" s="6" t="e">
        <f>VLOOKUP($A15,#REF!,23,FALSE)*V15^2</f>
        <v>#REF!</v>
      </c>
      <c r="AE15" s="6" t="e">
        <f>90*AF15/11000</f>
        <v>#N/A</v>
      </c>
      <c r="AF15" s="6" t="e">
        <f>VLOOKUP(B15,OperatingPoints!$A$3:$B$16,2)</f>
        <v>#N/A</v>
      </c>
      <c r="AG15" s="6" t="e">
        <f>(AF15-SUM(C15:R15,AA15:AE15))/AF15</f>
        <v>#N/A</v>
      </c>
      <c r="AH15" s="6" t="e">
        <f>SUM(C15:F15)/AF15</f>
        <v>#N/A</v>
      </c>
      <c r="AI15" s="6" t="e">
        <f>SUM(K15:N15)/AF15</f>
        <v>#N/A</v>
      </c>
      <c r="AJ15" s="6" t="e">
        <f>SUM(G15:J15)/AF15</f>
        <v>#N/A</v>
      </c>
      <c r="AK15" s="6" t="e">
        <f>SUM(O15:R15)/AF15</f>
        <v>#N/A</v>
      </c>
      <c r="AL15" s="6" t="e">
        <f>SUM(AA15:AD15)/AF$3</f>
        <v>#REF!</v>
      </c>
      <c r="AM15" s="6" t="e">
        <f>AE15/AF15</f>
        <v>#N/A</v>
      </c>
      <c r="AN15" s="6" t="str">
        <f t="shared" si="0"/>
        <v>: OP#</v>
      </c>
    </row>
    <row r="16" spans="1:40" x14ac:dyDescent="0.25">
      <c r="AA16" s="6" t="e">
        <f>VLOOKUP($A16,#REF!,20,FALSE)*S16^2</f>
        <v>#REF!</v>
      </c>
      <c r="AB16" s="6" t="e">
        <f>VLOOKUP($A16,#REF!,21,FALSE)*T16^2</f>
        <v>#REF!</v>
      </c>
      <c r="AC16" s="6" t="e">
        <f>VLOOKUP($A16,#REF!,22,FALSE)*U16^2</f>
        <v>#REF!</v>
      </c>
      <c r="AD16" s="6" t="e">
        <f>VLOOKUP($A16,#REF!,23,FALSE)*V16^2</f>
        <v>#REF!</v>
      </c>
      <c r="AE16" s="6" t="e">
        <f>90*AF16/11000</f>
        <v>#N/A</v>
      </c>
      <c r="AF16" s="6" t="e">
        <f>VLOOKUP(B16,OperatingPoints!$A$3:$B$16,2)</f>
        <v>#N/A</v>
      </c>
      <c r="AG16" s="6" t="e">
        <f>(AF16-SUM(C16:R16,AA16:AE16))/AF16</f>
        <v>#N/A</v>
      </c>
      <c r="AH16" s="6" t="e">
        <f>SUM(C16:F16)/AF16</f>
        <v>#N/A</v>
      </c>
      <c r="AI16" s="6" t="e">
        <f>SUM(K16:N16)/AF16</f>
        <v>#N/A</v>
      </c>
      <c r="AJ16" s="6" t="e">
        <f>SUM(G16:J16)/AF16</f>
        <v>#N/A</v>
      </c>
      <c r="AK16" s="6" t="e">
        <f>SUM(O16:R16)/AF16</f>
        <v>#N/A</v>
      </c>
      <c r="AL16" s="6" t="e">
        <f>SUM(AA16:AD16)/AF$3</f>
        <v>#REF!</v>
      </c>
      <c r="AM16" s="6" t="e">
        <f>AE16/AF16</f>
        <v>#N/A</v>
      </c>
      <c r="AN16" s="6" t="str">
        <f t="shared" si="0"/>
        <v>: OP#</v>
      </c>
    </row>
    <row r="18" spans="11:40" x14ac:dyDescent="0.25">
      <c r="K18" s="30"/>
      <c r="L18" s="30"/>
      <c r="M18" s="30"/>
      <c r="N18" s="30"/>
      <c r="O18" s="30"/>
      <c r="P18" s="30"/>
      <c r="Q18" s="30"/>
      <c r="R18" s="30"/>
      <c r="AA18" s="6" t="e">
        <f>VLOOKUP($A18,#REF!,20,FALSE)*S18^2</f>
        <v>#REF!</v>
      </c>
      <c r="AB18" s="6" t="e">
        <f>VLOOKUP($A18,#REF!,21,FALSE)*T18^2</f>
        <v>#REF!</v>
      </c>
      <c r="AC18" s="6" t="e">
        <f>VLOOKUP($A18,#REF!,22,FALSE)*U18^2</f>
        <v>#REF!</v>
      </c>
      <c r="AD18" s="6" t="e">
        <f>VLOOKUP($A18,#REF!,23,FALSE)*V18^2</f>
        <v>#REF!</v>
      </c>
      <c r="AE18" s="6" t="e">
        <f>90*AF18/11000</f>
        <v>#N/A</v>
      </c>
      <c r="AF18" s="6" t="e">
        <f>VLOOKUP(B18,OperatingPoints!$A$3:$B$16,2)</f>
        <v>#N/A</v>
      </c>
      <c r="AG18" s="6" t="e">
        <f>(AF18-SUM(C18:R18,AA18:AE18))/AF18</f>
        <v>#N/A</v>
      </c>
      <c r="AH18" s="6" t="e">
        <f>SUM(C18:F18)/AF18</f>
        <v>#N/A</v>
      </c>
      <c r="AI18" s="6" t="e">
        <f>SUM(K18:N18)/AF18</f>
        <v>#N/A</v>
      </c>
      <c r="AJ18" s="6" t="e">
        <f>SUM(G18:J18)/AF18</f>
        <v>#N/A</v>
      </c>
      <c r="AK18" s="6" t="e">
        <f>SUM(O18:R18)/AF18</f>
        <v>#N/A</v>
      </c>
      <c r="AL18" s="6" t="e">
        <f>SUM(AA18:AD18)/AF$3</f>
        <v>#REF!</v>
      </c>
      <c r="AM18" s="6" t="e">
        <f>AE18/AF18</f>
        <v>#N/A</v>
      </c>
      <c r="AN18" s="6" t="str">
        <f t="shared" si="0"/>
        <v>: OP#</v>
      </c>
    </row>
    <row r="19" spans="11:40" x14ac:dyDescent="0.25">
      <c r="K19" s="30"/>
      <c r="L19" s="30"/>
      <c r="M19" s="30"/>
      <c r="N19" s="30"/>
      <c r="O19" s="30"/>
      <c r="P19" s="30"/>
      <c r="Q19" s="30"/>
      <c r="R19" s="30"/>
      <c r="AA19" s="6" t="e">
        <f>VLOOKUP($A19,#REF!,20,FALSE)*S19^2</f>
        <v>#REF!</v>
      </c>
      <c r="AB19" s="6" t="e">
        <f>VLOOKUP($A19,#REF!,21,FALSE)*T19^2</f>
        <v>#REF!</v>
      </c>
      <c r="AC19" s="6" t="e">
        <f>VLOOKUP($A19,#REF!,22,FALSE)*U19^2</f>
        <v>#REF!</v>
      </c>
      <c r="AD19" s="6" t="e">
        <f>VLOOKUP($A19,#REF!,23,FALSE)*V19^2</f>
        <v>#REF!</v>
      </c>
      <c r="AE19" s="6" t="e">
        <f>90*AF19/11000</f>
        <v>#N/A</v>
      </c>
      <c r="AF19" s="6" t="e">
        <f>VLOOKUP(B19,OperatingPoints!$A$3:$B$16,2)</f>
        <v>#N/A</v>
      </c>
      <c r="AG19" s="6" t="e">
        <f>(AF19-SUM(C19:R19,AA19:AE19))/AF19</f>
        <v>#N/A</v>
      </c>
      <c r="AH19" s="6" t="e">
        <f>SUM(C19:F19)/AF19</f>
        <v>#N/A</v>
      </c>
      <c r="AI19" s="6" t="e">
        <f>SUM(K19:N19)/AF19</f>
        <v>#N/A</v>
      </c>
      <c r="AJ19" s="6" t="e">
        <f>SUM(G19:J19)/AF19</f>
        <v>#N/A</v>
      </c>
      <c r="AK19" s="6" t="e">
        <f>SUM(O19:R19)/AF19</f>
        <v>#N/A</v>
      </c>
      <c r="AL19" s="6" t="e">
        <f>SUM(AA19:AD19)/AF$3</f>
        <v>#REF!</v>
      </c>
      <c r="AM19" s="6" t="e">
        <f>AE19/AF19</f>
        <v>#N/A</v>
      </c>
      <c r="AN19" s="6" t="str">
        <f t="shared" si="0"/>
        <v>: OP#</v>
      </c>
    </row>
    <row r="20" spans="11:40" x14ac:dyDescent="0.25">
      <c r="K20" s="30"/>
      <c r="L20" s="30"/>
      <c r="M20" s="30"/>
      <c r="N20" s="30"/>
      <c r="O20" s="30"/>
      <c r="P20" s="30"/>
      <c r="Q20" s="30"/>
      <c r="R20" s="30"/>
      <c r="AA20" s="6" t="e">
        <f>VLOOKUP($A20,#REF!,20,FALSE)*S20^2</f>
        <v>#REF!</v>
      </c>
      <c r="AB20" s="6" t="e">
        <f>VLOOKUP($A20,#REF!,21,FALSE)*T20^2</f>
        <v>#REF!</v>
      </c>
      <c r="AC20" s="6" t="e">
        <f>VLOOKUP($A20,#REF!,22,FALSE)*U20^2</f>
        <v>#REF!</v>
      </c>
      <c r="AD20" s="6" t="e">
        <f>VLOOKUP($A20,#REF!,23,FALSE)*V20^2</f>
        <v>#REF!</v>
      </c>
      <c r="AE20" s="6" t="e">
        <f>90*AF20/11000</f>
        <v>#N/A</v>
      </c>
      <c r="AF20" s="6" t="e">
        <f>VLOOKUP(B20,OperatingPoints!$A$3:$B$16,2)</f>
        <v>#N/A</v>
      </c>
      <c r="AG20" s="6" t="e">
        <f>(AF20-SUM(C20:R20,AA20:AE20))/AF20</f>
        <v>#N/A</v>
      </c>
      <c r="AH20" s="6" t="e">
        <f>SUM(C20:F20)/AF20</f>
        <v>#N/A</v>
      </c>
      <c r="AI20" s="6" t="e">
        <f>SUM(K20:N20)/AF20</f>
        <v>#N/A</v>
      </c>
      <c r="AJ20" s="6" t="e">
        <f>SUM(G20:J20)/AF20</f>
        <v>#N/A</v>
      </c>
      <c r="AK20" s="6" t="e">
        <f>SUM(O20:R20)/AF20</f>
        <v>#N/A</v>
      </c>
      <c r="AL20" s="6" t="e">
        <f>SUM(AA20:AD20)/AF$3</f>
        <v>#REF!</v>
      </c>
      <c r="AM20" s="6" t="e">
        <f>AE20/AF20</f>
        <v>#N/A</v>
      </c>
      <c r="AN20" s="6" t="str">
        <f t="shared" si="0"/>
        <v>: OP#</v>
      </c>
    </row>
    <row r="21" spans="11:40" x14ac:dyDescent="0.25">
      <c r="K21" s="30"/>
      <c r="L21" s="30"/>
      <c r="M21" s="30"/>
      <c r="N21" s="30"/>
      <c r="O21" s="30"/>
      <c r="P21" s="30"/>
      <c r="Q21" s="30"/>
      <c r="R21" s="30"/>
      <c r="AA21" s="6" t="e">
        <f>VLOOKUP($A21,#REF!,20,FALSE)*S21^2</f>
        <v>#REF!</v>
      </c>
      <c r="AB21" s="6" t="e">
        <f>VLOOKUP($A21,#REF!,21,FALSE)*T21^2</f>
        <v>#REF!</v>
      </c>
      <c r="AC21" s="6" t="e">
        <f>VLOOKUP($A21,#REF!,22,FALSE)*U21^2</f>
        <v>#REF!</v>
      </c>
      <c r="AD21" s="6" t="e">
        <f>VLOOKUP($A21,#REF!,23,FALSE)*V21^2</f>
        <v>#REF!</v>
      </c>
      <c r="AE21" s="6" t="e">
        <f>90*AF21/11000</f>
        <v>#N/A</v>
      </c>
      <c r="AF21" s="6" t="e">
        <f>VLOOKUP(B21,OperatingPoints!$A$3:$B$16,2)</f>
        <v>#N/A</v>
      </c>
      <c r="AG21" s="6" t="e">
        <f>(AF21-SUM(C21:R21,AA21:AE21))/AF21</f>
        <v>#N/A</v>
      </c>
      <c r="AH21" s="6" t="e">
        <f>SUM(C21:F21)/AF21</f>
        <v>#N/A</v>
      </c>
      <c r="AI21" s="6" t="e">
        <f>SUM(K21:N21)/AF21</f>
        <v>#N/A</v>
      </c>
      <c r="AJ21" s="6" t="e">
        <f>SUM(G21:J21)/AF21</f>
        <v>#N/A</v>
      </c>
      <c r="AK21" s="6" t="e">
        <f>SUM(O21:R21)/AF21</f>
        <v>#N/A</v>
      </c>
      <c r="AL21" s="6" t="e">
        <f>SUM(AA21:AD21)/AF$3</f>
        <v>#REF!</v>
      </c>
      <c r="AM21" s="6" t="e">
        <f>AE21/AF21</f>
        <v>#N/A</v>
      </c>
      <c r="AN21" s="6" t="str">
        <f t="shared" si="0"/>
        <v>: OP#</v>
      </c>
    </row>
    <row r="23" spans="11:40" x14ac:dyDescent="0.25">
      <c r="AA23" s="6" t="e">
        <f>VLOOKUP($A23,#REF!,20,FALSE)*S23^2</f>
        <v>#REF!</v>
      </c>
      <c r="AB23" s="6" t="e">
        <f>VLOOKUP($A23,#REF!,21,FALSE)*T23^2</f>
        <v>#REF!</v>
      </c>
      <c r="AC23" s="6" t="e">
        <f>VLOOKUP($A23,#REF!,22,FALSE)*U23^2</f>
        <v>#REF!</v>
      </c>
      <c r="AD23" s="6" t="e">
        <f>VLOOKUP($A23,#REF!,23,FALSE)*V23^2</f>
        <v>#REF!</v>
      </c>
      <c r="AE23" s="6" t="e">
        <f>90*AF23/11000</f>
        <v>#N/A</v>
      </c>
      <c r="AF23" s="6" t="e">
        <f>VLOOKUP(B23,OperatingPoints!$A$3:$B$16,2)</f>
        <v>#N/A</v>
      </c>
      <c r="AG23" s="6" t="e">
        <f>(AF23-SUM(C23:R23,AA23:AE23))/AF23</f>
        <v>#N/A</v>
      </c>
      <c r="AH23" s="6" t="e">
        <f>SUM(C23:F23)/AF23</f>
        <v>#N/A</v>
      </c>
      <c r="AI23" s="6" t="e">
        <f>SUM(K23:N23)/AF23</f>
        <v>#N/A</v>
      </c>
      <c r="AJ23" s="6" t="e">
        <f>SUM(G23:J23)/AF23</f>
        <v>#N/A</v>
      </c>
      <c r="AK23" s="6" t="e">
        <f>SUM(O23:R23)/AF23</f>
        <v>#N/A</v>
      </c>
      <c r="AL23" s="6" t="e">
        <f>SUM(AA23:AD23)/AF$3</f>
        <v>#REF!</v>
      </c>
      <c r="AM23" s="6" t="e">
        <f>AE23/AF23</f>
        <v>#N/A</v>
      </c>
    </row>
    <row r="24" spans="11:40" x14ac:dyDescent="0.25">
      <c r="AA24" s="6" t="e">
        <f>VLOOKUP($A24,#REF!,20,FALSE)*S24^2</f>
        <v>#REF!</v>
      </c>
      <c r="AB24" s="6" t="e">
        <f>VLOOKUP($A24,#REF!,21,FALSE)*T24^2</f>
        <v>#REF!</v>
      </c>
      <c r="AC24" s="6" t="e">
        <f>VLOOKUP($A24,#REF!,22,FALSE)*U24^2</f>
        <v>#REF!</v>
      </c>
      <c r="AD24" s="6" t="e">
        <f>VLOOKUP($A24,#REF!,23,FALSE)*V24^2</f>
        <v>#REF!</v>
      </c>
      <c r="AE24" s="6" t="e">
        <f>90*AF24/11000</f>
        <v>#N/A</v>
      </c>
      <c r="AF24" s="6" t="e">
        <f>VLOOKUP(B24,OperatingPoints!$A$3:$B$16,2)</f>
        <v>#N/A</v>
      </c>
      <c r="AG24" s="6" t="e">
        <f>(AF24-SUM(C24:R24,AA24:AE24))/AF24</f>
        <v>#N/A</v>
      </c>
      <c r="AH24" s="6" t="e">
        <f>SUM(C24:F24)/AF24</f>
        <v>#N/A</v>
      </c>
      <c r="AI24" s="6" t="e">
        <f>SUM(K24:N24)/AF24</f>
        <v>#N/A</v>
      </c>
      <c r="AJ24" s="6" t="e">
        <f>SUM(G24:J24)/AF24</f>
        <v>#N/A</v>
      </c>
      <c r="AK24" s="6" t="e">
        <f>SUM(O24:R24)/AF24</f>
        <v>#N/A</v>
      </c>
      <c r="AL24" s="6" t="e">
        <f>SUM(AA24:AD24)/AF$3</f>
        <v>#REF!</v>
      </c>
      <c r="AM24" s="6" t="e">
        <f>AE24/AF24</f>
        <v>#N/A</v>
      </c>
    </row>
    <row r="25" spans="11:40" x14ac:dyDescent="0.25">
      <c r="AA25" s="6" t="e">
        <f>VLOOKUP($A25,#REF!,20,FALSE)*S25^2</f>
        <v>#REF!</v>
      </c>
      <c r="AB25" s="6" t="e">
        <f>VLOOKUP($A25,#REF!,21,FALSE)*T25^2</f>
        <v>#REF!</v>
      </c>
      <c r="AC25" s="6" t="e">
        <f>VLOOKUP($A25,#REF!,22,FALSE)*U25^2</f>
        <v>#REF!</v>
      </c>
      <c r="AD25" s="6" t="e">
        <f>VLOOKUP($A25,#REF!,23,FALSE)*V25^2</f>
        <v>#REF!</v>
      </c>
      <c r="AE25" s="6" t="e">
        <f>90*AF25/11000</f>
        <v>#N/A</v>
      </c>
      <c r="AF25" s="6" t="e">
        <f>VLOOKUP(B25,OperatingPoints!$A$3:$B$16,2)</f>
        <v>#N/A</v>
      </c>
      <c r="AG25" s="6" t="e">
        <f>(AF25-SUM(C25:R25,AA25:AE25))/AF25</f>
        <v>#N/A</v>
      </c>
      <c r="AH25" s="6" t="e">
        <f>SUM(C25:F25)/AF25</f>
        <v>#N/A</v>
      </c>
      <c r="AI25" s="6" t="e">
        <f>SUM(K25:N25)/AF25</f>
        <v>#N/A</v>
      </c>
      <c r="AJ25" s="6" t="e">
        <f>SUM(G25:J25)/AF25</f>
        <v>#N/A</v>
      </c>
      <c r="AK25" s="6" t="e">
        <f>SUM(O25:R25)/AF25</f>
        <v>#N/A</v>
      </c>
      <c r="AL25" s="6" t="e">
        <f>SUM(AA25:AD25)/AF$3</f>
        <v>#REF!</v>
      </c>
      <c r="AM25" s="6" t="e">
        <f>AE25/AF25</f>
        <v>#N/A</v>
      </c>
    </row>
    <row r="26" spans="11:40" x14ac:dyDescent="0.25">
      <c r="AA26" s="6" t="e">
        <f>VLOOKUP($A26,#REF!,20,FALSE)*S26^2</f>
        <v>#REF!</v>
      </c>
      <c r="AB26" s="6" t="e">
        <f>VLOOKUP($A26,#REF!,21,FALSE)*T26^2</f>
        <v>#REF!</v>
      </c>
      <c r="AC26" s="6" t="e">
        <f>VLOOKUP($A26,#REF!,22,FALSE)*U26^2</f>
        <v>#REF!</v>
      </c>
      <c r="AD26" s="6" t="e">
        <f>VLOOKUP($A26,#REF!,23,FALSE)*V26^2</f>
        <v>#REF!</v>
      </c>
      <c r="AE26" s="6" t="e">
        <f>90*AF26/11000</f>
        <v>#N/A</v>
      </c>
      <c r="AF26" s="6" t="e">
        <f>VLOOKUP(B26,OperatingPoints!$A$3:$B$16,2)</f>
        <v>#N/A</v>
      </c>
      <c r="AG26" s="6" t="e">
        <f>(AF26-SUM(C26:R26,AA26:AE26))/AF26</f>
        <v>#N/A</v>
      </c>
      <c r="AH26" s="6" t="e">
        <f>SUM(C26:F26)/AF26</f>
        <v>#N/A</v>
      </c>
      <c r="AI26" s="6" t="e">
        <f>SUM(K26:N26)/AF26</f>
        <v>#N/A</v>
      </c>
      <c r="AJ26" s="6" t="e">
        <f>SUM(G26:J26)/AF26</f>
        <v>#N/A</v>
      </c>
      <c r="AK26" s="6" t="e">
        <f>SUM(O26:R26)/AF26</f>
        <v>#N/A</v>
      </c>
      <c r="AL26" s="6" t="e">
        <f>SUM(AA26:AD26)/AF$3</f>
        <v>#REF!</v>
      </c>
      <c r="AM26" s="6" t="e">
        <f>AE26/AF26</f>
        <v>#N/A</v>
      </c>
    </row>
  </sheetData>
  <mergeCells count="5">
    <mergeCell ref="C1:J1"/>
    <mergeCell ref="K1:R1"/>
    <mergeCell ref="S1:Z1"/>
    <mergeCell ref="AA1:AD1"/>
    <mergeCell ref="AF1:AK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85" zoomScaleNormal="85" workbookViewId="0">
      <selection activeCell="G39" sqref="G39"/>
    </sheetView>
  </sheetViews>
  <sheetFormatPr defaultColWidth="11.42578125" defaultRowHeight="15" x14ac:dyDescent="0.25"/>
  <cols>
    <col min="1" max="1" width="25.7109375" style="36" bestFit="1" customWidth="1"/>
    <col min="2" max="7" width="11.42578125" style="37"/>
    <col min="8" max="16384" width="11.42578125" style="6"/>
  </cols>
  <sheetData>
    <row r="1" spans="1:9" x14ac:dyDescent="0.25">
      <c r="A1" s="31" t="s">
        <v>64</v>
      </c>
      <c r="B1" s="31" t="s">
        <v>68</v>
      </c>
      <c r="C1" s="31" t="s">
        <v>69</v>
      </c>
      <c r="D1" s="31" t="s">
        <v>70</v>
      </c>
      <c r="E1" s="31" t="s">
        <v>71</v>
      </c>
      <c r="F1" s="31" t="s">
        <v>72</v>
      </c>
      <c r="G1" s="31" t="s">
        <v>73</v>
      </c>
      <c r="H1" s="32" t="s">
        <v>74</v>
      </c>
      <c r="I1" s="32" t="s">
        <v>75</v>
      </c>
    </row>
    <row r="2" spans="1:9" x14ac:dyDescent="0.25">
      <c r="A2" s="33" t="s">
        <v>65</v>
      </c>
      <c r="B2" s="34">
        <v>1.6E-2</v>
      </c>
      <c r="C2" s="34">
        <v>2.5000000000000001E-5</v>
      </c>
      <c r="D2" s="34">
        <v>2.5200000000000001E-3</v>
      </c>
      <c r="E2" s="34">
        <v>6.8999999999999999E-3</v>
      </c>
      <c r="F2" s="34">
        <v>1.9000000000000001E-4</v>
      </c>
      <c r="G2" s="34">
        <v>20</v>
      </c>
      <c r="H2" s="6">
        <f t="shared" ref="H2:I4" si="0">D2/2/PI()/E2</f>
        <v>5.8126153129213959E-2</v>
      </c>
      <c r="I2" s="6">
        <f t="shared" si="0"/>
        <v>5.7798374070214615</v>
      </c>
    </row>
    <row r="3" spans="1:9" x14ac:dyDescent="0.25">
      <c r="A3" s="33" t="s">
        <v>66</v>
      </c>
      <c r="B3" s="34">
        <v>1.6E-2</v>
      </c>
      <c r="C3" s="34">
        <v>2.5000000000000001E-5</v>
      </c>
      <c r="D3" s="34">
        <v>7.7899999999999996E-4</v>
      </c>
      <c r="E3" s="34">
        <v>6.8999999999999999E-3</v>
      </c>
      <c r="F3" s="34">
        <v>1.55E-4</v>
      </c>
      <c r="G3" s="34">
        <v>120</v>
      </c>
      <c r="H3" s="6">
        <f t="shared" si="0"/>
        <v>1.7968362415737169E-2</v>
      </c>
      <c r="I3" s="6">
        <f t="shared" si="0"/>
        <v>7.0849619828005022</v>
      </c>
    </row>
    <row r="4" spans="1:9" x14ac:dyDescent="0.25">
      <c r="A4" s="33" t="s">
        <v>67</v>
      </c>
      <c r="B4" s="35">
        <f>B2*(1+0.00393*$G4)</f>
        <v>2.2288000000000002E-2</v>
      </c>
      <c r="C4" s="34">
        <v>2.5000000000000001E-5</v>
      </c>
      <c r="D4" s="34">
        <v>7.7899999999999996E-4</v>
      </c>
      <c r="E4" s="35">
        <f>E2*(1+0.00393*$G4)</f>
        <v>9.6117000000000008E-3</v>
      </c>
      <c r="F4" s="34">
        <v>1.55E-4</v>
      </c>
      <c r="G4" s="34">
        <f>G3-G2</f>
        <v>100</v>
      </c>
      <c r="H4" s="6">
        <f t="shared" si="0"/>
        <v>1.2899039781577292E-2</v>
      </c>
      <c r="I4" s="6">
        <f t="shared" si="0"/>
        <v>9.8693520420411005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40"/>
  <sheetViews>
    <sheetView tabSelected="1"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11.42578125" defaultRowHeight="15" x14ac:dyDescent="0.25"/>
  <cols>
    <col min="1" max="1" width="22.140625" style="96" bestFit="1" customWidth="1"/>
    <col min="2" max="2" width="9" style="96" bestFit="1" customWidth="1"/>
    <col min="3" max="3" width="9.7109375" style="96" bestFit="1" customWidth="1"/>
    <col min="4" max="5" width="9" style="96" bestFit="1" customWidth="1"/>
    <col min="6" max="7" width="11.5703125" style="96" bestFit="1" customWidth="1"/>
    <col min="8" max="29" width="11.42578125" style="96"/>
    <col min="30" max="16384" width="11.42578125" style="11"/>
  </cols>
  <sheetData>
    <row r="1" spans="1:63" x14ac:dyDescent="0.25">
      <c r="A1" s="100"/>
      <c r="B1" s="91"/>
      <c r="C1" s="92"/>
      <c r="D1" s="92"/>
      <c r="E1" s="93"/>
      <c r="F1" s="94"/>
      <c r="G1" s="94" t="s">
        <v>206</v>
      </c>
      <c r="H1" s="94"/>
      <c r="I1" s="94"/>
      <c r="J1" s="94"/>
      <c r="K1" s="95"/>
      <c r="L1" s="148" t="s">
        <v>26</v>
      </c>
      <c r="M1" s="149"/>
      <c r="N1" s="149"/>
      <c r="O1" s="149"/>
      <c r="P1" s="149"/>
      <c r="Q1" s="150"/>
      <c r="R1" s="151" t="s">
        <v>261</v>
      </c>
      <c r="S1" s="152"/>
      <c r="T1" s="152"/>
      <c r="U1" s="152"/>
      <c r="V1" s="152"/>
      <c r="W1" s="152"/>
      <c r="X1" s="153" t="s">
        <v>262</v>
      </c>
      <c r="Y1" s="154"/>
      <c r="Z1" s="154"/>
      <c r="AA1" s="154"/>
      <c r="AB1" s="154"/>
      <c r="AC1" s="154"/>
      <c r="AF1" s="155" t="s">
        <v>309</v>
      </c>
      <c r="AG1" s="156" t="s">
        <v>221</v>
      </c>
      <c r="AH1" s="156" t="s">
        <v>222</v>
      </c>
      <c r="AI1" s="155" t="s">
        <v>310</v>
      </c>
      <c r="AJ1" s="156" t="s">
        <v>221</v>
      </c>
      <c r="AK1" s="156" t="s">
        <v>222</v>
      </c>
      <c r="AL1" s="155" t="s">
        <v>311</v>
      </c>
      <c r="AM1" s="156"/>
      <c r="AN1" s="156"/>
      <c r="AO1" s="156"/>
      <c r="AP1" s="156"/>
      <c r="AQ1" s="156"/>
      <c r="AR1" s="156"/>
      <c r="AS1" s="156"/>
      <c r="AT1" s="156"/>
      <c r="AU1" s="156"/>
      <c r="AV1" s="145" t="s">
        <v>26</v>
      </c>
      <c r="AW1" s="145"/>
      <c r="AX1" s="145"/>
      <c r="AY1" s="134"/>
      <c r="AZ1" s="146" t="s">
        <v>325</v>
      </c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</row>
    <row r="2" spans="1:63" ht="30" customHeight="1" thickBot="1" x14ac:dyDescent="0.3">
      <c r="A2" s="102" t="s">
        <v>330</v>
      </c>
      <c r="B2" s="103" t="s">
        <v>44</v>
      </c>
      <c r="C2" s="103" t="s">
        <v>43</v>
      </c>
      <c r="D2" s="103" t="s">
        <v>107</v>
      </c>
      <c r="E2" s="103" t="s">
        <v>105</v>
      </c>
      <c r="F2" s="104" t="s">
        <v>198</v>
      </c>
      <c r="G2" s="104" t="s">
        <v>180</v>
      </c>
      <c r="H2" s="104" t="s">
        <v>199</v>
      </c>
      <c r="I2" s="104" t="s">
        <v>197</v>
      </c>
      <c r="J2" s="104" t="s">
        <v>204</v>
      </c>
      <c r="K2" s="104" t="s">
        <v>205</v>
      </c>
      <c r="L2" s="105" t="s">
        <v>202</v>
      </c>
      <c r="M2" s="106" t="s">
        <v>207</v>
      </c>
      <c r="N2" s="105" t="s">
        <v>201</v>
      </c>
      <c r="O2" s="106" t="s">
        <v>208</v>
      </c>
      <c r="P2" s="106" t="s">
        <v>203</v>
      </c>
      <c r="Q2" s="107" t="s">
        <v>200</v>
      </c>
      <c r="R2" s="108" t="s">
        <v>212</v>
      </c>
      <c r="S2" s="108" t="s">
        <v>213</v>
      </c>
      <c r="T2" s="109" t="s">
        <v>214</v>
      </c>
      <c r="U2" s="108" t="s">
        <v>210</v>
      </c>
      <c r="V2" s="108" t="s">
        <v>209</v>
      </c>
      <c r="W2" s="109" t="s">
        <v>211</v>
      </c>
      <c r="X2" s="110" t="s">
        <v>255</v>
      </c>
      <c r="Y2" s="110" t="s">
        <v>256</v>
      </c>
      <c r="Z2" s="111" t="s">
        <v>257</v>
      </c>
      <c r="AA2" s="110" t="s">
        <v>258</v>
      </c>
      <c r="AB2" s="110" t="s">
        <v>259</v>
      </c>
      <c r="AC2" s="111" t="s">
        <v>260</v>
      </c>
      <c r="AD2" s="101" t="s">
        <v>219</v>
      </c>
      <c r="AE2" s="101" t="s">
        <v>220</v>
      </c>
      <c r="AF2" s="103" t="s">
        <v>44</v>
      </c>
      <c r="AG2" s="103" t="s">
        <v>108</v>
      </c>
      <c r="AH2" s="103" t="s">
        <v>297</v>
      </c>
      <c r="AI2" s="103" t="s">
        <v>43</v>
      </c>
      <c r="AJ2" s="103" t="s">
        <v>298</v>
      </c>
      <c r="AK2" s="103" t="s">
        <v>299</v>
      </c>
      <c r="AL2" s="103" t="s">
        <v>300</v>
      </c>
      <c r="AM2" s="103" t="s">
        <v>301</v>
      </c>
      <c r="AN2" s="103" t="s">
        <v>302</v>
      </c>
      <c r="AO2" s="103" t="s">
        <v>303</v>
      </c>
      <c r="AP2" s="103" t="s">
        <v>304</v>
      </c>
      <c r="AQ2" s="103" t="s">
        <v>305</v>
      </c>
      <c r="AR2" s="103" t="s">
        <v>307</v>
      </c>
      <c r="AS2" s="103" t="s">
        <v>308</v>
      </c>
      <c r="AT2" s="103" t="s">
        <v>306</v>
      </c>
      <c r="AU2" s="103" t="s">
        <v>312</v>
      </c>
      <c r="AV2" s="103" t="s">
        <v>326</v>
      </c>
      <c r="AW2" s="103" t="s">
        <v>327</v>
      </c>
      <c r="AX2" s="103" t="s">
        <v>328</v>
      </c>
      <c r="AY2" s="103" t="s">
        <v>329</v>
      </c>
      <c r="AZ2" s="103" t="s">
        <v>313</v>
      </c>
      <c r="BA2" s="103" t="s">
        <v>314</v>
      </c>
      <c r="BB2" s="103" t="s">
        <v>315</v>
      </c>
      <c r="BC2" s="103" t="s">
        <v>316</v>
      </c>
      <c r="BD2" s="103" t="s">
        <v>317</v>
      </c>
      <c r="BE2" s="103" t="s">
        <v>318</v>
      </c>
      <c r="BF2" s="103" t="s">
        <v>319</v>
      </c>
      <c r="BG2" s="103" t="s">
        <v>320</v>
      </c>
      <c r="BH2" s="103" t="s">
        <v>321</v>
      </c>
      <c r="BI2" s="103" t="s">
        <v>322</v>
      </c>
      <c r="BJ2" s="103" t="s">
        <v>323</v>
      </c>
      <c r="BK2" s="103" t="s">
        <v>324</v>
      </c>
    </row>
    <row r="3" spans="1:63" x14ac:dyDescent="0.25">
      <c r="A3" s="97" t="s">
        <v>264</v>
      </c>
      <c r="B3" s="112">
        <v>10</v>
      </c>
      <c r="C3" s="112">
        <f>+B3/0.55</f>
        <v>18.18181818181818</v>
      </c>
      <c r="D3" s="112">
        <v>10</v>
      </c>
      <c r="E3" s="96">
        <v>6000</v>
      </c>
      <c r="F3" s="96">
        <v>470</v>
      </c>
      <c r="G3" s="96">
        <v>80</v>
      </c>
      <c r="H3" s="96">
        <v>780</v>
      </c>
      <c r="I3" s="96">
        <v>80</v>
      </c>
      <c r="J3" s="96">
        <f>+F3*G3</f>
        <v>37600</v>
      </c>
      <c r="K3" s="96">
        <f>+H3*I3</f>
        <v>62400</v>
      </c>
      <c r="L3" s="99">
        <f>IF(B3&gt;F3, F3, B3)</f>
        <v>10</v>
      </c>
      <c r="M3" s="99">
        <f t="shared" ref="M3:M18" si="0">IF(C3&gt;H3, H3, C3)</f>
        <v>18.18181818181818</v>
      </c>
      <c r="N3" s="99">
        <f t="shared" ref="N3:N18" si="1">IF(D3&gt;K3, K3, D3)</f>
        <v>10</v>
      </c>
      <c r="O3" s="99">
        <f t="shared" ref="O3:O18" si="2">MIN(I3,+N3/M3)</f>
        <v>0.55000000000000004</v>
      </c>
      <c r="P3" s="99">
        <f t="shared" ref="P3:P18" si="3">MIN(N3+E3,J3)</f>
        <v>6010</v>
      </c>
      <c r="Q3" s="99">
        <f t="shared" ref="Q3:Q18" si="4">MIN(P3/L3,G3)</f>
        <v>80</v>
      </c>
      <c r="R3" s="96">
        <f>L3</f>
        <v>10</v>
      </c>
      <c r="S3" s="96">
        <f>Q3</f>
        <v>80</v>
      </c>
      <c r="T3" s="96">
        <f>P3</f>
        <v>6010</v>
      </c>
      <c r="U3" s="96">
        <v>0</v>
      </c>
      <c r="V3" s="96">
        <v>0</v>
      </c>
      <c r="W3" s="96">
        <v>0</v>
      </c>
      <c r="X3" s="96">
        <v>10</v>
      </c>
      <c r="Y3" s="96">
        <v>0</v>
      </c>
      <c r="Z3" s="96">
        <v>0</v>
      </c>
      <c r="AA3" s="96">
        <v>10</v>
      </c>
      <c r="AB3" s="96">
        <f>-O3</f>
        <v>-0.55000000000000004</v>
      </c>
      <c r="AC3" s="96">
        <f>-N3</f>
        <v>-10</v>
      </c>
      <c r="AD3" s="85"/>
      <c r="AE3" s="55"/>
      <c r="AF3" s="55"/>
      <c r="AG3" s="55"/>
      <c r="AH3" s="55"/>
      <c r="AI3" s="55"/>
      <c r="AJ3" s="85"/>
      <c r="AK3" s="55"/>
      <c r="AL3" s="55"/>
      <c r="AZ3" s="11" t="str">
        <f>CONCATENATE(AZ1, " ",AZ2)</f>
        <v>Temperature motor TS1 (°C)</v>
      </c>
      <c r="BA3" s="11" t="str">
        <f t="shared" ref="BA3:BK3" si="5">CONCATENATE(BA1, " ",BA2)</f>
        <v xml:space="preserve"> TS2 (°C)</v>
      </c>
      <c r="BB3" s="11" t="str">
        <f t="shared" si="5"/>
        <v xml:space="preserve"> TC1.1 (°C)</v>
      </c>
      <c r="BC3" s="11" t="str">
        <f t="shared" si="5"/>
        <v xml:space="preserve"> TC1.2 (°C)</v>
      </c>
      <c r="BD3" s="11" t="str">
        <f t="shared" si="5"/>
        <v xml:space="preserve"> TC2.1 (°C)</v>
      </c>
      <c r="BE3" s="11" t="str">
        <f t="shared" si="5"/>
        <v xml:space="preserve"> TC2.2 (°C)</v>
      </c>
      <c r="BF3" s="11" t="str">
        <f t="shared" si="5"/>
        <v xml:space="preserve"> TSCR1.1 (°C)</v>
      </c>
      <c r="BG3" s="11" t="str">
        <f t="shared" si="5"/>
        <v xml:space="preserve"> TSCR1.2 (°C)</v>
      </c>
      <c r="BH3" s="11" t="str">
        <f t="shared" si="5"/>
        <v xml:space="preserve"> TSCR2.1 (°C)</v>
      </c>
      <c r="BI3" s="11" t="str">
        <f t="shared" si="5"/>
        <v xml:space="preserve"> TSCR2.2 (°C)</v>
      </c>
      <c r="BJ3" s="11" t="str">
        <f t="shared" si="5"/>
        <v xml:space="preserve"> TSCR2.3 (°C)</v>
      </c>
      <c r="BK3" s="11" t="str">
        <f t="shared" si="5"/>
        <v xml:space="preserve"> TSCR2.4 (°C)</v>
      </c>
    </row>
    <row r="4" spans="1:63" x14ac:dyDescent="0.25">
      <c r="A4" s="97" t="s">
        <v>265</v>
      </c>
      <c r="B4" s="96">
        <v>50</v>
      </c>
      <c r="C4" s="112">
        <f t="shared" ref="C4:C23" si="6">+B4/0.55</f>
        <v>90.909090909090907</v>
      </c>
      <c r="D4" s="112">
        <v>10</v>
      </c>
      <c r="E4" s="96">
        <v>6000</v>
      </c>
      <c r="F4" s="96">
        <v>470</v>
      </c>
      <c r="G4" s="96">
        <v>80</v>
      </c>
      <c r="H4" s="96">
        <v>780</v>
      </c>
      <c r="I4" s="96">
        <v>80</v>
      </c>
      <c r="J4" s="96">
        <f t="shared" ref="J4:J17" si="7">+F4*G4</f>
        <v>37600</v>
      </c>
      <c r="K4" s="96">
        <f t="shared" ref="K4:K17" si="8">+H4*I4</f>
        <v>62400</v>
      </c>
      <c r="L4" s="99">
        <f t="shared" ref="L4:L17" si="9">IF(B4&gt;F4, F4, B4)</f>
        <v>50</v>
      </c>
      <c r="M4" s="99">
        <f t="shared" si="0"/>
        <v>90.909090909090907</v>
      </c>
      <c r="N4" s="99">
        <f t="shared" si="1"/>
        <v>10</v>
      </c>
      <c r="O4" s="99">
        <f t="shared" si="2"/>
        <v>0.11</v>
      </c>
      <c r="P4" s="99">
        <f t="shared" si="3"/>
        <v>6010</v>
      </c>
      <c r="Q4" s="99">
        <f t="shared" si="4"/>
        <v>80</v>
      </c>
      <c r="R4" s="96">
        <f t="shared" ref="R4:R8" si="10">L4</f>
        <v>50</v>
      </c>
      <c r="S4" s="96">
        <f t="shared" ref="S4:S8" si="11">Q4</f>
        <v>80</v>
      </c>
      <c r="T4" s="96">
        <f t="shared" ref="T4:T8" si="12">P4</f>
        <v>6010</v>
      </c>
      <c r="U4" s="96">
        <v>0</v>
      </c>
      <c r="V4" s="96">
        <v>0</v>
      </c>
      <c r="W4" s="96">
        <v>0</v>
      </c>
      <c r="X4" s="96">
        <v>10</v>
      </c>
      <c r="Y4" s="96">
        <v>0</v>
      </c>
      <c r="Z4" s="96">
        <v>0</v>
      </c>
      <c r="AA4" s="96">
        <v>10</v>
      </c>
      <c r="AB4" s="96">
        <f t="shared" ref="AB4:AB8" si="13">-O4</f>
        <v>-0.11</v>
      </c>
      <c r="AC4" s="96">
        <f t="shared" ref="AC4:AC8" si="14">-N4</f>
        <v>-10</v>
      </c>
    </row>
    <row r="5" spans="1:63" x14ac:dyDescent="0.25">
      <c r="A5" s="97" t="s">
        <v>266</v>
      </c>
      <c r="B5" s="96">
        <v>80</v>
      </c>
      <c r="C5" s="112">
        <f t="shared" si="6"/>
        <v>145.45454545454544</v>
      </c>
      <c r="D5" s="112">
        <v>10</v>
      </c>
      <c r="E5" s="96">
        <v>6000</v>
      </c>
      <c r="F5" s="96">
        <v>470</v>
      </c>
      <c r="G5" s="96">
        <v>80</v>
      </c>
      <c r="H5" s="96">
        <v>780</v>
      </c>
      <c r="I5" s="96">
        <v>80</v>
      </c>
      <c r="J5" s="96">
        <f t="shared" si="7"/>
        <v>37600</v>
      </c>
      <c r="K5" s="96">
        <f t="shared" si="8"/>
        <v>62400</v>
      </c>
      <c r="L5" s="99">
        <f t="shared" si="9"/>
        <v>80</v>
      </c>
      <c r="M5" s="99">
        <f t="shared" si="0"/>
        <v>145.45454545454544</v>
      </c>
      <c r="N5" s="99">
        <f t="shared" si="1"/>
        <v>10</v>
      </c>
      <c r="O5" s="99">
        <f t="shared" si="2"/>
        <v>6.8750000000000006E-2</v>
      </c>
      <c r="P5" s="99">
        <f t="shared" si="3"/>
        <v>6010</v>
      </c>
      <c r="Q5" s="99">
        <f t="shared" si="4"/>
        <v>75.125</v>
      </c>
      <c r="R5" s="96">
        <f t="shared" si="10"/>
        <v>80</v>
      </c>
      <c r="S5" s="96">
        <f t="shared" si="11"/>
        <v>75.125</v>
      </c>
      <c r="T5" s="96">
        <f t="shared" si="12"/>
        <v>6010</v>
      </c>
      <c r="U5" s="96">
        <v>0</v>
      </c>
      <c r="V5" s="96">
        <v>0</v>
      </c>
      <c r="W5" s="96">
        <v>0</v>
      </c>
      <c r="X5" s="96">
        <v>10</v>
      </c>
      <c r="Y5" s="96">
        <v>0</v>
      </c>
      <c r="Z5" s="96">
        <v>0</v>
      </c>
      <c r="AA5" s="96">
        <v>10</v>
      </c>
      <c r="AB5" s="96">
        <f t="shared" si="13"/>
        <v>-6.8750000000000006E-2</v>
      </c>
      <c r="AC5" s="96">
        <f t="shared" si="14"/>
        <v>-10</v>
      </c>
    </row>
    <row r="6" spans="1:63" x14ac:dyDescent="0.25">
      <c r="A6" s="97" t="s">
        <v>267</v>
      </c>
      <c r="B6" s="112">
        <v>110</v>
      </c>
      <c r="C6" s="112">
        <f t="shared" si="6"/>
        <v>199.99999999999997</v>
      </c>
      <c r="D6" s="112">
        <v>10</v>
      </c>
      <c r="E6" s="96">
        <v>6000</v>
      </c>
      <c r="F6" s="96">
        <v>470</v>
      </c>
      <c r="G6" s="96">
        <v>80</v>
      </c>
      <c r="H6" s="96">
        <v>780</v>
      </c>
      <c r="I6" s="96">
        <v>80</v>
      </c>
      <c r="J6" s="96">
        <f t="shared" si="7"/>
        <v>37600</v>
      </c>
      <c r="K6" s="96">
        <f t="shared" si="8"/>
        <v>62400</v>
      </c>
      <c r="L6" s="99">
        <f t="shared" si="9"/>
        <v>110</v>
      </c>
      <c r="M6" s="99">
        <f t="shared" si="0"/>
        <v>199.99999999999997</v>
      </c>
      <c r="N6" s="99">
        <f t="shared" si="1"/>
        <v>10</v>
      </c>
      <c r="O6" s="99">
        <f t="shared" si="2"/>
        <v>5.000000000000001E-2</v>
      </c>
      <c r="P6" s="99">
        <f t="shared" si="3"/>
        <v>6010</v>
      </c>
      <c r="Q6" s="99">
        <f t="shared" si="4"/>
        <v>54.636363636363633</v>
      </c>
      <c r="R6" s="96">
        <f t="shared" si="10"/>
        <v>110</v>
      </c>
      <c r="S6" s="96">
        <f t="shared" si="11"/>
        <v>54.636363636363633</v>
      </c>
      <c r="T6" s="96">
        <f t="shared" si="12"/>
        <v>6010</v>
      </c>
      <c r="U6" s="96">
        <v>0</v>
      </c>
      <c r="V6" s="96">
        <v>0</v>
      </c>
      <c r="W6" s="96">
        <v>0</v>
      </c>
      <c r="X6" s="96">
        <v>10</v>
      </c>
      <c r="Y6" s="96">
        <v>0</v>
      </c>
      <c r="Z6" s="96">
        <v>0</v>
      </c>
      <c r="AA6" s="96">
        <v>10</v>
      </c>
      <c r="AB6" s="96">
        <f t="shared" si="13"/>
        <v>-5.000000000000001E-2</v>
      </c>
      <c r="AC6" s="96">
        <f t="shared" si="14"/>
        <v>-10</v>
      </c>
    </row>
    <row r="7" spans="1:63" x14ac:dyDescent="0.25">
      <c r="A7" s="97" t="s">
        <v>268</v>
      </c>
      <c r="B7" s="96">
        <v>140</v>
      </c>
      <c r="C7" s="112">
        <f t="shared" si="6"/>
        <v>254.54545454545453</v>
      </c>
      <c r="D7" s="112">
        <v>10</v>
      </c>
      <c r="E7" s="96">
        <v>6000</v>
      </c>
      <c r="F7" s="96">
        <v>470</v>
      </c>
      <c r="G7" s="96">
        <v>80</v>
      </c>
      <c r="H7" s="96">
        <v>780</v>
      </c>
      <c r="I7" s="96">
        <v>80</v>
      </c>
      <c r="J7" s="96">
        <f t="shared" si="7"/>
        <v>37600</v>
      </c>
      <c r="K7" s="96">
        <f t="shared" si="8"/>
        <v>62400</v>
      </c>
      <c r="L7" s="99">
        <f t="shared" si="9"/>
        <v>140</v>
      </c>
      <c r="M7" s="99">
        <f t="shared" si="0"/>
        <v>254.54545454545453</v>
      </c>
      <c r="N7" s="99">
        <f t="shared" si="1"/>
        <v>10</v>
      </c>
      <c r="O7" s="99">
        <f t="shared" si="2"/>
        <v>3.9285714285714285E-2</v>
      </c>
      <c r="P7" s="99">
        <f t="shared" si="3"/>
        <v>6010</v>
      </c>
      <c r="Q7" s="99">
        <f t="shared" si="4"/>
        <v>42.928571428571431</v>
      </c>
      <c r="R7" s="96">
        <f t="shared" si="10"/>
        <v>140</v>
      </c>
      <c r="S7" s="96">
        <f t="shared" si="11"/>
        <v>42.928571428571431</v>
      </c>
      <c r="T7" s="96">
        <f t="shared" si="12"/>
        <v>6010</v>
      </c>
      <c r="U7" s="96">
        <v>0</v>
      </c>
      <c r="V7" s="96">
        <v>0</v>
      </c>
      <c r="W7" s="96">
        <v>0</v>
      </c>
      <c r="X7" s="96">
        <v>10</v>
      </c>
      <c r="Y7" s="96">
        <v>0</v>
      </c>
      <c r="Z7" s="96">
        <v>0</v>
      </c>
      <c r="AA7" s="96">
        <v>10</v>
      </c>
      <c r="AB7" s="96">
        <f t="shared" si="13"/>
        <v>-3.9285714285714285E-2</v>
      </c>
      <c r="AC7" s="96">
        <f t="shared" si="14"/>
        <v>-10</v>
      </c>
    </row>
    <row r="8" spans="1:63" x14ac:dyDescent="0.25">
      <c r="A8" s="97" t="s">
        <v>269</v>
      </c>
      <c r="B8" s="96">
        <v>170</v>
      </c>
      <c r="C8" s="112">
        <f t="shared" si="6"/>
        <v>309.09090909090907</v>
      </c>
      <c r="D8" s="112">
        <v>10</v>
      </c>
      <c r="E8" s="96">
        <v>6000</v>
      </c>
      <c r="F8" s="96">
        <v>470</v>
      </c>
      <c r="G8" s="96">
        <v>80</v>
      </c>
      <c r="H8" s="96">
        <v>780</v>
      </c>
      <c r="I8" s="96">
        <v>80</v>
      </c>
      <c r="J8" s="96">
        <f t="shared" si="7"/>
        <v>37600</v>
      </c>
      <c r="K8" s="96">
        <f t="shared" si="8"/>
        <v>62400</v>
      </c>
      <c r="L8" s="99">
        <f t="shared" si="9"/>
        <v>170</v>
      </c>
      <c r="M8" s="99">
        <f t="shared" si="0"/>
        <v>309.09090909090907</v>
      </c>
      <c r="N8" s="99">
        <f t="shared" si="1"/>
        <v>10</v>
      </c>
      <c r="O8" s="99">
        <f t="shared" si="2"/>
        <v>3.2352941176470591E-2</v>
      </c>
      <c r="P8" s="99">
        <f t="shared" si="3"/>
        <v>6010</v>
      </c>
      <c r="Q8" s="99">
        <f t="shared" si="4"/>
        <v>35.352941176470587</v>
      </c>
      <c r="R8" s="96">
        <f t="shared" si="10"/>
        <v>170</v>
      </c>
      <c r="S8" s="96">
        <f t="shared" si="11"/>
        <v>35.352941176470587</v>
      </c>
      <c r="T8" s="96">
        <f t="shared" si="12"/>
        <v>6010</v>
      </c>
      <c r="U8" s="96">
        <v>0</v>
      </c>
      <c r="V8" s="96">
        <v>0</v>
      </c>
      <c r="W8" s="96">
        <v>0</v>
      </c>
      <c r="X8" s="96">
        <v>10</v>
      </c>
      <c r="Y8" s="96">
        <v>0</v>
      </c>
      <c r="Z8" s="96">
        <v>0</v>
      </c>
      <c r="AA8" s="96">
        <v>10</v>
      </c>
      <c r="AB8" s="96">
        <f t="shared" si="13"/>
        <v>-3.2352941176470591E-2</v>
      </c>
      <c r="AC8" s="96">
        <f t="shared" si="14"/>
        <v>-10</v>
      </c>
    </row>
    <row r="9" spans="1:63" s="65" customFormat="1" x14ac:dyDescent="0.25">
      <c r="A9" s="98" t="s">
        <v>175</v>
      </c>
      <c r="B9" s="113">
        <v>200</v>
      </c>
      <c r="C9" s="113">
        <f t="shared" si="6"/>
        <v>363.63636363636363</v>
      </c>
      <c r="D9" s="113">
        <v>10</v>
      </c>
      <c r="E9" s="98">
        <v>6000</v>
      </c>
      <c r="F9" s="98">
        <v>470</v>
      </c>
      <c r="G9" s="98">
        <v>80</v>
      </c>
      <c r="H9" s="98">
        <v>780</v>
      </c>
      <c r="I9" s="98">
        <v>80</v>
      </c>
      <c r="J9" s="98">
        <f t="shared" si="7"/>
        <v>37600</v>
      </c>
      <c r="K9" s="98">
        <f t="shared" si="8"/>
        <v>62400</v>
      </c>
      <c r="L9" s="98">
        <f t="shared" si="9"/>
        <v>200</v>
      </c>
      <c r="M9" s="98">
        <f t="shared" si="0"/>
        <v>363.63636363636363</v>
      </c>
      <c r="N9" s="98">
        <f t="shared" si="1"/>
        <v>10</v>
      </c>
      <c r="O9" s="98">
        <f t="shared" si="2"/>
        <v>2.75E-2</v>
      </c>
      <c r="P9" s="98">
        <f t="shared" si="3"/>
        <v>6010</v>
      </c>
      <c r="Q9" s="98">
        <f t="shared" si="4"/>
        <v>30.05</v>
      </c>
      <c r="R9" s="98">
        <f>L9</f>
        <v>200</v>
      </c>
      <c r="S9" s="98">
        <f>Q9</f>
        <v>30.05</v>
      </c>
      <c r="T9" s="98">
        <f>P9</f>
        <v>6010</v>
      </c>
      <c r="U9" s="98">
        <v>0</v>
      </c>
      <c r="V9" s="98">
        <v>0</v>
      </c>
      <c r="W9" s="98">
        <v>0</v>
      </c>
      <c r="X9" s="98">
        <v>10</v>
      </c>
      <c r="Y9" s="98">
        <v>0</v>
      </c>
      <c r="Z9" s="98">
        <v>0</v>
      </c>
      <c r="AA9" s="98">
        <v>10</v>
      </c>
      <c r="AB9" s="98">
        <f>O9</f>
        <v>2.75E-2</v>
      </c>
      <c r="AC9" s="98">
        <f>N9</f>
        <v>10</v>
      </c>
      <c r="AD9" s="114"/>
      <c r="AE9" s="115"/>
      <c r="AF9" s="124">
        <v>200</v>
      </c>
      <c r="AG9" s="124">
        <v>4.12</v>
      </c>
      <c r="AH9" s="125">
        <v>830</v>
      </c>
      <c r="AI9" s="124">
        <v>359.5</v>
      </c>
      <c r="AJ9" s="124">
        <v>0.08</v>
      </c>
      <c r="AK9" s="124">
        <v>0.05</v>
      </c>
      <c r="AZ9" s="119">
        <v>29.653386999999999</v>
      </c>
      <c r="BA9" s="119">
        <v>30.648067000000001</v>
      </c>
      <c r="BB9" s="119">
        <v>16.664283000000001</v>
      </c>
      <c r="BC9" s="119">
        <v>15.111188</v>
      </c>
      <c r="BD9" s="119">
        <v>14.982703000000001</v>
      </c>
      <c r="BE9" s="119">
        <v>15.767324</v>
      </c>
      <c r="BF9" s="119">
        <v>117.61224199999999</v>
      </c>
      <c r="BG9" s="119">
        <v>120.380807</v>
      </c>
      <c r="BH9" s="119">
        <v>121.48318500000001</v>
      </c>
      <c r="BI9" s="119">
        <v>122.544072</v>
      </c>
      <c r="BJ9" s="119">
        <v>140.542</v>
      </c>
      <c r="BK9" s="119">
        <v>136.398</v>
      </c>
    </row>
    <row r="10" spans="1:63" x14ac:dyDescent="0.25">
      <c r="A10" s="97" t="s">
        <v>270</v>
      </c>
      <c r="B10" s="96">
        <v>230</v>
      </c>
      <c r="C10" s="112">
        <f t="shared" si="6"/>
        <v>418.18181818181813</v>
      </c>
      <c r="D10" s="112">
        <v>10</v>
      </c>
      <c r="E10" s="96">
        <v>6000</v>
      </c>
      <c r="F10" s="96">
        <v>470</v>
      </c>
      <c r="G10" s="96">
        <v>80</v>
      </c>
      <c r="H10" s="96">
        <v>780</v>
      </c>
      <c r="I10" s="96">
        <v>80</v>
      </c>
      <c r="J10" s="96">
        <f t="shared" si="7"/>
        <v>37600</v>
      </c>
      <c r="K10" s="96">
        <f t="shared" si="8"/>
        <v>62400</v>
      </c>
      <c r="L10" s="99">
        <f t="shared" si="9"/>
        <v>230</v>
      </c>
      <c r="M10" s="99">
        <f t="shared" si="0"/>
        <v>418.18181818181813</v>
      </c>
      <c r="N10" s="99">
        <f t="shared" si="1"/>
        <v>10</v>
      </c>
      <c r="O10" s="99">
        <f t="shared" si="2"/>
        <v>2.3913043478260874E-2</v>
      </c>
      <c r="P10" s="99">
        <f t="shared" si="3"/>
        <v>6010</v>
      </c>
      <c r="Q10" s="99">
        <f t="shared" si="4"/>
        <v>26.130434782608695</v>
      </c>
      <c r="R10" s="96">
        <f t="shared" ref="R10:R17" si="15">L10</f>
        <v>230</v>
      </c>
      <c r="S10" s="96">
        <f t="shared" ref="S10:S17" si="16">Q10</f>
        <v>26.130434782608695</v>
      </c>
      <c r="T10" s="96">
        <f t="shared" ref="T10:T17" si="17">P10</f>
        <v>6010</v>
      </c>
      <c r="U10" s="96">
        <v>0</v>
      </c>
      <c r="V10" s="96">
        <v>0</v>
      </c>
      <c r="W10" s="96">
        <v>0</v>
      </c>
      <c r="X10" s="96">
        <v>10</v>
      </c>
      <c r="Y10" s="96">
        <v>0</v>
      </c>
      <c r="Z10" s="96">
        <v>0</v>
      </c>
      <c r="AA10" s="96">
        <v>10</v>
      </c>
      <c r="AB10" s="96">
        <f t="shared" ref="AB10:AB17" si="18">-O10</f>
        <v>-2.3913043478260874E-2</v>
      </c>
      <c r="AC10" s="96">
        <f t="shared" ref="AC10:AC17" si="19">-N10</f>
        <v>-10</v>
      </c>
    </row>
    <row r="11" spans="1:63" x14ac:dyDescent="0.25">
      <c r="A11" s="97" t="s">
        <v>271</v>
      </c>
      <c r="B11" s="112">
        <v>260</v>
      </c>
      <c r="C11" s="112">
        <f t="shared" si="6"/>
        <v>472.72727272727269</v>
      </c>
      <c r="D11" s="112">
        <v>10</v>
      </c>
      <c r="E11" s="96">
        <v>6000</v>
      </c>
      <c r="F11" s="96">
        <v>470</v>
      </c>
      <c r="G11" s="96">
        <v>80</v>
      </c>
      <c r="H11" s="96">
        <v>780</v>
      </c>
      <c r="I11" s="96">
        <v>80</v>
      </c>
      <c r="J11" s="96">
        <f t="shared" si="7"/>
        <v>37600</v>
      </c>
      <c r="K11" s="96">
        <f t="shared" si="8"/>
        <v>62400</v>
      </c>
      <c r="L11" s="99">
        <f t="shared" si="9"/>
        <v>260</v>
      </c>
      <c r="M11" s="99">
        <f t="shared" si="0"/>
        <v>472.72727272727269</v>
      </c>
      <c r="N11" s="99">
        <f t="shared" si="1"/>
        <v>10</v>
      </c>
      <c r="O11" s="99">
        <f t="shared" si="2"/>
        <v>2.1153846153846155E-2</v>
      </c>
      <c r="P11" s="99">
        <f t="shared" si="3"/>
        <v>6010</v>
      </c>
      <c r="Q11" s="99">
        <f t="shared" si="4"/>
        <v>23.115384615384617</v>
      </c>
      <c r="R11" s="96">
        <f t="shared" si="15"/>
        <v>260</v>
      </c>
      <c r="S11" s="96">
        <f t="shared" si="16"/>
        <v>23.115384615384617</v>
      </c>
      <c r="T11" s="96">
        <f t="shared" si="17"/>
        <v>6010</v>
      </c>
      <c r="U11" s="96">
        <v>0</v>
      </c>
      <c r="V11" s="96">
        <v>0</v>
      </c>
      <c r="W11" s="96">
        <v>0</v>
      </c>
      <c r="X11" s="96">
        <v>10</v>
      </c>
      <c r="Y11" s="96">
        <v>0</v>
      </c>
      <c r="Z11" s="96">
        <v>0</v>
      </c>
      <c r="AA11" s="96">
        <v>10</v>
      </c>
      <c r="AB11" s="96">
        <f t="shared" si="18"/>
        <v>-2.1153846153846155E-2</v>
      </c>
      <c r="AC11" s="96">
        <f t="shared" si="19"/>
        <v>-10</v>
      </c>
    </row>
    <row r="12" spans="1:63" x14ac:dyDescent="0.25">
      <c r="A12" s="97" t="s">
        <v>272</v>
      </c>
      <c r="B12" s="96">
        <v>290</v>
      </c>
      <c r="C12" s="112">
        <f t="shared" si="6"/>
        <v>527.27272727272725</v>
      </c>
      <c r="D12" s="112">
        <v>10</v>
      </c>
      <c r="E12" s="96">
        <v>6000</v>
      </c>
      <c r="F12" s="96">
        <v>470</v>
      </c>
      <c r="G12" s="96">
        <v>80</v>
      </c>
      <c r="H12" s="96">
        <v>780</v>
      </c>
      <c r="I12" s="96">
        <v>80</v>
      </c>
      <c r="J12" s="96">
        <f t="shared" si="7"/>
        <v>37600</v>
      </c>
      <c r="K12" s="96">
        <f t="shared" si="8"/>
        <v>62400</v>
      </c>
      <c r="L12" s="99">
        <f t="shared" si="9"/>
        <v>290</v>
      </c>
      <c r="M12" s="99">
        <f t="shared" si="0"/>
        <v>527.27272727272725</v>
      </c>
      <c r="N12" s="99">
        <f t="shared" si="1"/>
        <v>10</v>
      </c>
      <c r="O12" s="99">
        <f t="shared" si="2"/>
        <v>1.896551724137931E-2</v>
      </c>
      <c r="P12" s="99">
        <f t="shared" si="3"/>
        <v>6010</v>
      </c>
      <c r="Q12" s="99">
        <f t="shared" si="4"/>
        <v>20.724137931034484</v>
      </c>
      <c r="R12" s="96">
        <f t="shared" si="15"/>
        <v>290</v>
      </c>
      <c r="S12" s="96">
        <f t="shared" si="16"/>
        <v>20.724137931034484</v>
      </c>
      <c r="T12" s="96">
        <f t="shared" si="17"/>
        <v>6010</v>
      </c>
      <c r="U12" s="96">
        <v>0</v>
      </c>
      <c r="V12" s="96">
        <v>0</v>
      </c>
      <c r="W12" s="96">
        <v>0</v>
      </c>
      <c r="X12" s="96">
        <v>10</v>
      </c>
      <c r="Y12" s="96">
        <v>0</v>
      </c>
      <c r="Z12" s="96">
        <v>0</v>
      </c>
      <c r="AA12" s="96">
        <v>10</v>
      </c>
      <c r="AB12" s="96">
        <f t="shared" si="18"/>
        <v>-1.896551724137931E-2</v>
      </c>
      <c r="AC12" s="96">
        <f t="shared" si="19"/>
        <v>-10</v>
      </c>
    </row>
    <row r="13" spans="1:63" x14ac:dyDescent="0.25">
      <c r="A13" s="97" t="s">
        <v>273</v>
      </c>
      <c r="B13" s="112">
        <v>320</v>
      </c>
      <c r="C13" s="112">
        <f t="shared" si="6"/>
        <v>581.81818181818176</v>
      </c>
      <c r="D13" s="112">
        <v>10</v>
      </c>
      <c r="E13" s="96">
        <v>6000</v>
      </c>
      <c r="F13" s="96">
        <v>470</v>
      </c>
      <c r="G13" s="96">
        <v>80</v>
      </c>
      <c r="H13" s="96">
        <v>780</v>
      </c>
      <c r="I13" s="96">
        <v>80</v>
      </c>
      <c r="J13" s="96">
        <f t="shared" si="7"/>
        <v>37600</v>
      </c>
      <c r="K13" s="96">
        <f t="shared" si="8"/>
        <v>62400</v>
      </c>
      <c r="L13" s="99">
        <f t="shared" si="9"/>
        <v>320</v>
      </c>
      <c r="M13" s="99">
        <f t="shared" si="0"/>
        <v>581.81818181818176</v>
      </c>
      <c r="N13" s="99">
        <f t="shared" si="1"/>
        <v>10</v>
      </c>
      <c r="O13" s="99">
        <f t="shared" si="2"/>
        <v>1.7187500000000001E-2</v>
      </c>
      <c r="P13" s="99">
        <f t="shared" si="3"/>
        <v>6010</v>
      </c>
      <c r="Q13" s="99">
        <f t="shared" si="4"/>
        <v>18.78125</v>
      </c>
      <c r="R13" s="96">
        <f t="shared" si="15"/>
        <v>320</v>
      </c>
      <c r="S13" s="96">
        <f t="shared" si="16"/>
        <v>18.78125</v>
      </c>
      <c r="T13" s="96">
        <f t="shared" si="17"/>
        <v>6010</v>
      </c>
      <c r="U13" s="96">
        <v>0</v>
      </c>
      <c r="V13" s="96">
        <v>0</v>
      </c>
      <c r="W13" s="96">
        <v>0</v>
      </c>
      <c r="X13" s="96">
        <v>10</v>
      </c>
      <c r="Y13" s="96">
        <v>0</v>
      </c>
      <c r="Z13" s="96">
        <v>0</v>
      </c>
      <c r="AA13" s="96">
        <v>10</v>
      </c>
      <c r="AB13" s="96">
        <f t="shared" si="18"/>
        <v>-1.7187500000000001E-2</v>
      </c>
      <c r="AC13" s="96">
        <f t="shared" si="19"/>
        <v>-10</v>
      </c>
    </row>
    <row r="14" spans="1:63" s="118" customFormat="1" x14ac:dyDescent="0.25">
      <c r="A14" s="116" t="s">
        <v>263</v>
      </c>
      <c r="B14" s="117">
        <v>346</v>
      </c>
      <c r="C14" s="117">
        <f t="shared" si="6"/>
        <v>629.09090909090901</v>
      </c>
      <c r="D14" s="117">
        <v>10</v>
      </c>
      <c r="E14" s="116">
        <v>6000</v>
      </c>
      <c r="F14" s="116">
        <v>470</v>
      </c>
      <c r="G14" s="116">
        <v>80</v>
      </c>
      <c r="H14" s="116">
        <v>780</v>
      </c>
      <c r="I14" s="116">
        <v>80</v>
      </c>
      <c r="J14" s="116">
        <f t="shared" si="7"/>
        <v>37600</v>
      </c>
      <c r="K14" s="116">
        <f t="shared" si="8"/>
        <v>62400</v>
      </c>
      <c r="L14" s="116">
        <f t="shared" si="9"/>
        <v>346</v>
      </c>
      <c r="M14" s="116">
        <f t="shared" si="0"/>
        <v>629.09090909090901</v>
      </c>
      <c r="N14" s="116">
        <f t="shared" si="1"/>
        <v>10</v>
      </c>
      <c r="O14" s="116">
        <f t="shared" si="2"/>
        <v>1.5895953757225436E-2</v>
      </c>
      <c r="P14" s="116">
        <f t="shared" si="3"/>
        <v>6010</v>
      </c>
      <c r="Q14" s="116">
        <f t="shared" si="4"/>
        <v>17.369942196531792</v>
      </c>
      <c r="R14" s="116">
        <f t="shared" si="15"/>
        <v>346</v>
      </c>
      <c r="S14" s="116">
        <f t="shared" si="16"/>
        <v>17.369942196531792</v>
      </c>
      <c r="T14" s="116">
        <f t="shared" si="17"/>
        <v>6010</v>
      </c>
      <c r="U14" s="116">
        <v>0</v>
      </c>
      <c r="V14" s="116">
        <v>0</v>
      </c>
      <c r="W14" s="116">
        <v>0</v>
      </c>
      <c r="X14" s="116">
        <v>10</v>
      </c>
      <c r="Y14" s="116">
        <v>0</v>
      </c>
      <c r="Z14" s="116">
        <v>0</v>
      </c>
      <c r="AA14" s="116">
        <v>10</v>
      </c>
      <c r="AB14" s="116">
        <f t="shared" si="18"/>
        <v>-1.5895953757225436E-2</v>
      </c>
      <c r="AC14" s="116">
        <f t="shared" si="19"/>
        <v>-10</v>
      </c>
    </row>
    <row r="15" spans="1:63" x14ac:dyDescent="0.25">
      <c r="A15" s="97" t="s">
        <v>274</v>
      </c>
      <c r="B15" s="112">
        <v>346</v>
      </c>
      <c r="C15" s="112">
        <f t="shared" si="6"/>
        <v>629.09090909090901</v>
      </c>
      <c r="D15" s="96">
        <v>500</v>
      </c>
      <c r="E15" s="96">
        <v>6000</v>
      </c>
      <c r="F15" s="96">
        <v>470</v>
      </c>
      <c r="G15" s="96">
        <v>80</v>
      </c>
      <c r="H15" s="96">
        <v>780</v>
      </c>
      <c r="I15" s="96">
        <v>80</v>
      </c>
      <c r="J15" s="96">
        <f t="shared" si="7"/>
        <v>37600</v>
      </c>
      <c r="K15" s="96">
        <f t="shared" si="8"/>
        <v>62400</v>
      </c>
      <c r="L15" s="99">
        <f t="shared" si="9"/>
        <v>346</v>
      </c>
      <c r="M15" s="99">
        <f t="shared" si="0"/>
        <v>629.09090909090901</v>
      </c>
      <c r="N15" s="99">
        <f t="shared" si="1"/>
        <v>500</v>
      </c>
      <c r="O15" s="99">
        <f t="shared" si="2"/>
        <v>0.79479768786127181</v>
      </c>
      <c r="P15" s="99">
        <f t="shared" si="3"/>
        <v>6500</v>
      </c>
      <c r="Q15" s="99">
        <f t="shared" si="4"/>
        <v>18.786127167630056</v>
      </c>
      <c r="R15" s="96">
        <f t="shared" si="15"/>
        <v>346</v>
      </c>
      <c r="S15" s="96">
        <f t="shared" si="16"/>
        <v>18.786127167630056</v>
      </c>
      <c r="T15" s="96">
        <f t="shared" si="17"/>
        <v>6500</v>
      </c>
      <c r="U15" s="96">
        <v>0</v>
      </c>
      <c r="V15" s="96">
        <v>0</v>
      </c>
      <c r="W15" s="96">
        <v>0</v>
      </c>
      <c r="X15" s="96">
        <v>10</v>
      </c>
      <c r="Y15" s="96">
        <v>0</v>
      </c>
      <c r="Z15" s="96">
        <v>0</v>
      </c>
      <c r="AA15" s="96">
        <v>10</v>
      </c>
      <c r="AB15" s="96">
        <f t="shared" si="18"/>
        <v>-0.79479768786127181</v>
      </c>
      <c r="AC15" s="96">
        <f t="shared" si="19"/>
        <v>-500</v>
      </c>
    </row>
    <row r="16" spans="1:63" x14ac:dyDescent="0.25">
      <c r="A16" s="97" t="s">
        <v>275</v>
      </c>
      <c r="B16" s="112">
        <v>346</v>
      </c>
      <c r="C16" s="112">
        <f t="shared" si="6"/>
        <v>629.09090909090901</v>
      </c>
      <c r="D16" s="96">
        <v>1000</v>
      </c>
      <c r="E16" s="96">
        <v>6000</v>
      </c>
      <c r="F16" s="96">
        <v>470</v>
      </c>
      <c r="G16" s="96">
        <v>80</v>
      </c>
      <c r="H16" s="96">
        <v>780</v>
      </c>
      <c r="I16" s="96">
        <v>80</v>
      </c>
      <c r="J16" s="96">
        <f t="shared" si="7"/>
        <v>37600</v>
      </c>
      <c r="K16" s="96">
        <f t="shared" si="8"/>
        <v>62400</v>
      </c>
      <c r="L16" s="99">
        <f t="shared" si="9"/>
        <v>346</v>
      </c>
      <c r="M16" s="99">
        <f t="shared" si="0"/>
        <v>629.09090909090901</v>
      </c>
      <c r="N16" s="99">
        <f t="shared" si="1"/>
        <v>1000</v>
      </c>
      <c r="O16" s="99">
        <f t="shared" si="2"/>
        <v>1.5895953757225436</v>
      </c>
      <c r="P16" s="99">
        <f t="shared" si="3"/>
        <v>7000</v>
      </c>
      <c r="Q16" s="99">
        <f t="shared" si="4"/>
        <v>20.23121387283237</v>
      </c>
      <c r="R16" s="96">
        <f t="shared" si="15"/>
        <v>346</v>
      </c>
      <c r="S16" s="96">
        <f t="shared" si="16"/>
        <v>20.23121387283237</v>
      </c>
      <c r="T16" s="96">
        <f t="shared" si="17"/>
        <v>7000</v>
      </c>
      <c r="U16" s="96">
        <v>0</v>
      </c>
      <c r="V16" s="96">
        <v>0</v>
      </c>
      <c r="W16" s="96">
        <v>0</v>
      </c>
      <c r="X16" s="96">
        <v>10</v>
      </c>
      <c r="Y16" s="96">
        <v>0</v>
      </c>
      <c r="Z16" s="96">
        <v>0</v>
      </c>
      <c r="AA16" s="96">
        <v>10</v>
      </c>
      <c r="AB16" s="96">
        <f t="shared" si="18"/>
        <v>-1.5895953757225436</v>
      </c>
      <c r="AC16" s="96">
        <f t="shared" si="19"/>
        <v>-1000</v>
      </c>
    </row>
    <row r="17" spans="1:63" x14ac:dyDescent="0.25">
      <c r="A17" s="97" t="s">
        <v>276</v>
      </c>
      <c r="B17" s="112">
        <v>346</v>
      </c>
      <c r="C17" s="112">
        <f t="shared" si="6"/>
        <v>629.09090909090901</v>
      </c>
      <c r="D17" s="96">
        <v>1500</v>
      </c>
      <c r="E17" s="96">
        <v>6000</v>
      </c>
      <c r="F17" s="96">
        <v>470</v>
      </c>
      <c r="G17" s="96">
        <v>80</v>
      </c>
      <c r="H17" s="96">
        <v>780</v>
      </c>
      <c r="I17" s="96">
        <v>80</v>
      </c>
      <c r="J17" s="96">
        <f t="shared" si="7"/>
        <v>37600</v>
      </c>
      <c r="K17" s="96">
        <f t="shared" si="8"/>
        <v>62400</v>
      </c>
      <c r="L17" s="99">
        <f t="shared" si="9"/>
        <v>346</v>
      </c>
      <c r="M17" s="99">
        <f t="shared" si="0"/>
        <v>629.09090909090901</v>
      </c>
      <c r="N17" s="99">
        <f t="shared" si="1"/>
        <v>1500</v>
      </c>
      <c r="O17" s="99">
        <f t="shared" si="2"/>
        <v>2.3843930635838153</v>
      </c>
      <c r="P17" s="99">
        <f t="shared" si="3"/>
        <v>7500</v>
      </c>
      <c r="Q17" s="99">
        <f t="shared" si="4"/>
        <v>21.676300578034681</v>
      </c>
      <c r="R17" s="96">
        <f t="shared" si="15"/>
        <v>346</v>
      </c>
      <c r="S17" s="96">
        <f t="shared" si="16"/>
        <v>21.676300578034681</v>
      </c>
      <c r="T17" s="96">
        <f t="shared" si="17"/>
        <v>7500</v>
      </c>
      <c r="U17" s="96">
        <v>0</v>
      </c>
      <c r="V17" s="96">
        <v>0</v>
      </c>
      <c r="W17" s="96">
        <v>0</v>
      </c>
      <c r="X17" s="96">
        <v>10</v>
      </c>
      <c r="Y17" s="96">
        <v>0</v>
      </c>
      <c r="Z17" s="96">
        <v>0</v>
      </c>
      <c r="AA17" s="96">
        <v>10</v>
      </c>
      <c r="AB17" s="96">
        <f t="shared" si="18"/>
        <v>-2.3843930635838153</v>
      </c>
      <c r="AC17" s="96">
        <f t="shared" si="19"/>
        <v>-1500</v>
      </c>
    </row>
    <row r="18" spans="1:63" s="65" customFormat="1" x14ac:dyDescent="0.25">
      <c r="A18" s="98" t="s">
        <v>178</v>
      </c>
      <c r="B18" s="113">
        <v>346</v>
      </c>
      <c r="C18" s="113">
        <v>630</v>
      </c>
      <c r="D18" s="113">
        <v>2000</v>
      </c>
      <c r="E18" s="98">
        <v>6000</v>
      </c>
      <c r="F18" s="98">
        <v>470</v>
      </c>
      <c r="G18" s="98">
        <v>80</v>
      </c>
      <c r="H18" s="98">
        <v>780</v>
      </c>
      <c r="I18" s="98">
        <v>80</v>
      </c>
      <c r="J18" s="98">
        <f>+F18*G18</f>
        <v>37600</v>
      </c>
      <c r="K18" s="98">
        <f>+H18*I18</f>
        <v>62400</v>
      </c>
      <c r="L18" s="98">
        <f>IF(B18&gt;F18, F18, B18)</f>
        <v>346</v>
      </c>
      <c r="M18" s="98">
        <f t="shared" si="0"/>
        <v>630</v>
      </c>
      <c r="N18" s="98">
        <f t="shared" si="1"/>
        <v>2000</v>
      </c>
      <c r="O18" s="98">
        <f t="shared" si="2"/>
        <v>3.1746031746031744</v>
      </c>
      <c r="P18" s="98">
        <f t="shared" si="3"/>
        <v>8000</v>
      </c>
      <c r="Q18" s="98">
        <f t="shared" si="4"/>
        <v>23.121387283236995</v>
      </c>
      <c r="R18" s="98">
        <v>350</v>
      </c>
      <c r="S18" s="98">
        <v>20</v>
      </c>
      <c r="T18" s="98">
        <v>30000</v>
      </c>
      <c r="U18" s="98">
        <v>0</v>
      </c>
      <c r="V18" s="98">
        <v>-2</v>
      </c>
      <c r="W18" s="98">
        <v>0</v>
      </c>
      <c r="X18" s="98">
        <v>10</v>
      </c>
      <c r="Y18" s="98">
        <v>0</v>
      </c>
      <c r="Z18" s="98">
        <v>2000</v>
      </c>
      <c r="AA18" s="98">
        <v>10</v>
      </c>
      <c r="AB18" s="98">
        <v>-3.2</v>
      </c>
      <c r="AC18" s="98">
        <v>-5020</v>
      </c>
      <c r="AD18" s="115"/>
      <c r="AE18" s="115"/>
      <c r="AF18" s="129">
        <v>350</v>
      </c>
      <c r="AG18" s="129">
        <v>13.28</v>
      </c>
      <c r="AH18" s="130">
        <v>4540</v>
      </c>
      <c r="AI18" s="129">
        <v>633.25</v>
      </c>
      <c r="AJ18" s="129">
        <v>3.22</v>
      </c>
      <c r="AK18" s="130">
        <v>2020</v>
      </c>
      <c r="AL18" s="129">
        <v>14.77</v>
      </c>
      <c r="AM18" s="129">
        <v>14.9</v>
      </c>
      <c r="AN18" s="129">
        <v>13.99</v>
      </c>
      <c r="AO18" s="129">
        <v>350.8</v>
      </c>
      <c r="AP18" s="129">
        <v>469.9</v>
      </c>
      <c r="AQ18" s="129">
        <v>470.4</v>
      </c>
      <c r="AR18" s="130">
        <v>4620</v>
      </c>
      <c r="AS18" s="130">
        <v>1290</v>
      </c>
      <c r="AT18" s="130">
        <v>870</v>
      </c>
      <c r="AU18" s="130">
        <v>0.46826000000000001</v>
      </c>
      <c r="AV18" s="131">
        <v>140</v>
      </c>
      <c r="AW18" s="131">
        <v>2460</v>
      </c>
      <c r="AX18" s="129"/>
      <c r="AY18" s="129"/>
      <c r="AZ18" s="129">
        <v>59.056386000000003</v>
      </c>
      <c r="BA18" s="129">
        <v>58.648691999999997</v>
      </c>
      <c r="BB18" s="129">
        <v>26.707844999999999</v>
      </c>
      <c r="BC18" s="129">
        <v>22.507338000000001</v>
      </c>
      <c r="BD18" s="129">
        <v>24.130296999999999</v>
      </c>
      <c r="BE18" s="129">
        <v>26.090657</v>
      </c>
      <c r="BF18" s="129">
        <v>223.00274899999999</v>
      </c>
      <c r="BG18" s="129">
        <v>231.184371</v>
      </c>
      <c r="BH18" s="129">
        <v>230.315101</v>
      </c>
      <c r="BI18" s="129">
        <v>230.51443399999999</v>
      </c>
      <c r="BJ18" s="129">
        <v>254.86199999999999</v>
      </c>
      <c r="BK18" s="129">
        <v>246.05799999999999</v>
      </c>
    </row>
    <row r="19" spans="1:63" x14ac:dyDescent="0.25">
      <c r="A19" s="97" t="s">
        <v>295</v>
      </c>
      <c r="B19" s="112">
        <v>380</v>
      </c>
      <c r="C19" s="112">
        <f>+B19/0.55</f>
        <v>690.90909090909088</v>
      </c>
      <c r="D19" s="112">
        <v>2000</v>
      </c>
      <c r="E19" s="96">
        <v>6000</v>
      </c>
      <c r="F19" s="96">
        <v>470</v>
      </c>
      <c r="G19" s="96">
        <v>80</v>
      </c>
      <c r="H19" s="96">
        <v>780</v>
      </c>
      <c r="I19" s="96">
        <v>80</v>
      </c>
      <c r="J19" s="96">
        <f>+F19*G19</f>
        <v>37600</v>
      </c>
      <c r="K19" s="96">
        <f>+H19*I19</f>
        <v>62400</v>
      </c>
      <c r="L19" s="99">
        <f>IF(B19&gt;F19, F19, B19)</f>
        <v>380</v>
      </c>
      <c r="M19" s="99">
        <f>IF(C19&gt;H19, H19, C19)</f>
        <v>690.90909090909088</v>
      </c>
      <c r="N19" s="99">
        <f>IF(D19&gt;K19, K19, D19)</f>
        <v>2000</v>
      </c>
      <c r="O19" s="99">
        <f>MIN(I19,+N19/M19)</f>
        <v>2.8947368421052633</v>
      </c>
      <c r="P19" s="99">
        <f>MIN(N19+E19,J19)</f>
        <v>8000</v>
      </c>
      <c r="Q19" s="99">
        <f>MIN(P19/L19,G19)</f>
        <v>21.05263157894737</v>
      </c>
      <c r="R19" s="96">
        <f>L19</f>
        <v>380</v>
      </c>
      <c r="S19" s="96">
        <f>Q19</f>
        <v>21.05263157894737</v>
      </c>
      <c r="T19" s="96">
        <f t="shared" ref="T19:T21" si="20">P19</f>
        <v>8000</v>
      </c>
      <c r="U19" s="96">
        <v>0</v>
      </c>
      <c r="V19" s="96">
        <v>0</v>
      </c>
      <c r="W19" s="96">
        <v>0</v>
      </c>
      <c r="X19" s="96">
        <v>10</v>
      </c>
      <c r="Y19" s="96">
        <v>0</v>
      </c>
      <c r="Z19" s="96">
        <v>0</v>
      </c>
      <c r="AA19" s="96">
        <v>10</v>
      </c>
      <c r="AB19" s="96">
        <f>-O19</f>
        <v>-2.8947368421052633</v>
      </c>
      <c r="AC19" s="96">
        <f>-N19</f>
        <v>-2000</v>
      </c>
    </row>
    <row r="20" spans="1:63" x14ac:dyDescent="0.25">
      <c r="A20" s="97" t="s">
        <v>296</v>
      </c>
      <c r="B20" s="112">
        <v>410</v>
      </c>
      <c r="C20" s="112">
        <f t="shared" si="6"/>
        <v>745.45454545454538</v>
      </c>
      <c r="D20" s="112">
        <v>2000</v>
      </c>
      <c r="E20" s="96">
        <v>6000</v>
      </c>
      <c r="F20" s="96">
        <v>470</v>
      </c>
      <c r="G20" s="96">
        <v>80</v>
      </c>
      <c r="H20" s="96">
        <v>780</v>
      </c>
      <c r="I20" s="96">
        <v>80</v>
      </c>
      <c r="J20" s="96">
        <f t="shared" ref="J20:J21" si="21">+F20*G20</f>
        <v>37600</v>
      </c>
      <c r="K20" s="96">
        <f t="shared" ref="K20:K21" si="22">+H20*I20</f>
        <v>62400</v>
      </c>
      <c r="L20" s="99">
        <f t="shared" ref="L20:L21" si="23">IF(B20&gt;F20, F20, B20)</f>
        <v>410</v>
      </c>
      <c r="M20" s="99">
        <f t="shared" ref="M20:M21" si="24">IF(C20&gt;H20, H20, C20)</f>
        <v>745.45454545454538</v>
      </c>
      <c r="N20" s="99">
        <f t="shared" ref="N20:N21" si="25">IF(D20&gt;K20, K20, D20)</f>
        <v>2000</v>
      </c>
      <c r="O20" s="99">
        <f t="shared" ref="O20:O21" si="26">MIN(I20,+N20/M20)</f>
        <v>2.6829268292682928</v>
      </c>
      <c r="P20" s="99">
        <f t="shared" ref="P20:P21" si="27">MIN(N20+E20,J20)</f>
        <v>8000</v>
      </c>
      <c r="Q20" s="99">
        <f t="shared" ref="Q20:Q21" si="28">MIN(P20/L20,G20)</f>
        <v>19.512195121951219</v>
      </c>
      <c r="R20" s="96">
        <f t="shared" ref="R20:R21" si="29">L20</f>
        <v>410</v>
      </c>
      <c r="S20" s="96">
        <f t="shared" ref="S20:S21" si="30">Q20</f>
        <v>19.512195121951219</v>
      </c>
      <c r="T20" s="96">
        <f t="shared" si="20"/>
        <v>8000</v>
      </c>
      <c r="U20" s="96">
        <v>0</v>
      </c>
      <c r="V20" s="96">
        <v>0</v>
      </c>
      <c r="W20" s="96">
        <v>0</v>
      </c>
      <c r="X20" s="96">
        <v>10</v>
      </c>
      <c r="Y20" s="96">
        <v>0</v>
      </c>
      <c r="Z20" s="96">
        <v>0</v>
      </c>
      <c r="AA20" s="96">
        <v>10</v>
      </c>
      <c r="AB20" s="96">
        <f t="shared" ref="AB20:AB21" si="31">-O20</f>
        <v>-2.6829268292682928</v>
      </c>
      <c r="AC20" s="96">
        <f t="shared" ref="AC20:AC21" si="32">-N20</f>
        <v>-2000</v>
      </c>
    </row>
    <row r="21" spans="1:63" x14ac:dyDescent="0.25">
      <c r="A21" s="97" t="s">
        <v>294</v>
      </c>
      <c r="B21" s="112">
        <v>430</v>
      </c>
      <c r="C21" s="112">
        <f t="shared" si="6"/>
        <v>781.81818181818176</v>
      </c>
      <c r="D21" s="112">
        <v>2000</v>
      </c>
      <c r="E21" s="96">
        <v>6000</v>
      </c>
      <c r="F21" s="96">
        <v>470</v>
      </c>
      <c r="G21" s="96">
        <v>80</v>
      </c>
      <c r="H21" s="96">
        <v>780</v>
      </c>
      <c r="I21" s="96">
        <v>80</v>
      </c>
      <c r="J21" s="96">
        <f t="shared" si="21"/>
        <v>37600</v>
      </c>
      <c r="K21" s="96">
        <f t="shared" si="22"/>
        <v>62400</v>
      </c>
      <c r="L21" s="99">
        <f t="shared" si="23"/>
        <v>430</v>
      </c>
      <c r="M21" s="99">
        <f t="shared" si="24"/>
        <v>780</v>
      </c>
      <c r="N21" s="99">
        <f t="shared" si="25"/>
        <v>2000</v>
      </c>
      <c r="O21" s="99">
        <f t="shared" si="26"/>
        <v>2.5641025641025643</v>
      </c>
      <c r="P21" s="99">
        <f t="shared" si="27"/>
        <v>8000</v>
      </c>
      <c r="Q21" s="99">
        <f t="shared" si="28"/>
        <v>18.604651162790699</v>
      </c>
      <c r="R21" s="96">
        <f t="shared" si="29"/>
        <v>430</v>
      </c>
      <c r="S21" s="96">
        <f t="shared" si="30"/>
        <v>18.604651162790699</v>
      </c>
      <c r="T21" s="96">
        <f t="shared" si="20"/>
        <v>8000</v>
      </c>
      <c r="U21" s="96">
        <v>0</v>
      </c>
      <c r="V21" s="96">
        <v>0</v>
      </c>
      <c r="W21" s="96">
        <v>0</v>
      </c>
      <c r="X21" s="96">
        <v>10</v>
      </c>
      <c r="Y21" s="96">
        <v>0</v>
      </c>
      <c r="Z21" s="96">
        <v>0</v>
      </c>
      <c r="AA21" s="96">
        <v>10</v>
      </c>
      <c r="AB21" s="96">
        <f t="shared" si="31"/>
        <v>-2.5641025641025643</v>
      </c>
      <c r="AC21" s="96">
        <f t="shared" si="32"/>
        <v>-2000</v>
      </c>
    </row>
    <row r="22" spans="1:63" s="65" customFormat="1" x14ac:dyDescent="0.25">
      <c r="A22" s="98" t="s">
        <v>174</v>
      </c>
      <c r="B22" s="113">
        <v>430</v>
      </c>
      <c r="C22" s="113">
        <v>780</v>
      </c>
      <c r="D22" s="113">
        <v>2000</v>
      </c>
      <c r="E22" s="98">
        <v>6000</v>
      </c>
      <c r="F22" s="98">
        <v>470</v>
      </c>
      <c r="G22" s="98">
        <v>80</v>
      </c>
      <c r="H22" s="98">
        <v>780</v>
      </c>
      <c r="I22" s="98">
        <v>80</v>
      </c>
      <c r="J22" s="98">
        <f>+F22*G22</f>
        <v>37600</v>
      </c>
      <c r="K22" s="98">
        <f>+H22*I22</f>
        <v>62400</v>
      </c>
      <c r="L22" s="98">
        <f>IF(B22&gt;F22, F22, B22)</f>
        <v>430</v>
      </c>
      <c r="M22" s="98">
        <f>IF(C22&gt;H22, H22, C22)</f>
        <v>780</v>
      </c>
      <c r="N22" s="98">
        <f>IF(D22&gt;K22, K22, D22)</f>
        <v>2000</v>
      </c>
      <c r="O22" s="98">
        <f>MIN(I22,+N22/M22)</f>
        <v>2.5641025641025643</v>
      </c>
      <c r="P22" s="98">
        <f>MIN(N22+E22,J22)</f>
        <v>8000</v>
      </c>
      <c r="Q22" s="98">
        <f>MIN(P22/L22,G22)</f>
        <v>18.604651162790699</v>
      </c>
      <c r="R22" s="98">
        <v>430</v>
      </c>
      <c r="S22" s="98">
        <v>20</v>
      </c>
      <c r="T22" s="98">
        <v>30000</v>
      </c>
      <c r="U22" s="98">
        <v>0</v>
      </c>
      <c r="V22" s="98">
        <v>-2</v>
      </c>
      <c r="W22" s="98">
        <v>0</v>
      </c>
      <c r="X22" s="98">
        <v>10</v>
      </c>
      <c r="Y22" s="98">
        <v>0</v>
      </c>
      <c r="Z22" s="98">
        <v>2000</v>
      </c>
      <c r="AA22" s="98">
        <v>10</v>
      </c>
      <c r="AB22" s="98">
        <v>-2.5</v>
      </c>
      <c r="AC22" s="98">
        <v>-5020</v>
      </c>
      <c r="AD22" s="115"/>
      <c r="AE22" s="115"/>
      <c r="AF22" s="121">
        <v>430</v>
      </c>
      <c r="AG22" s="121">
        <v>12.44</v>
      </c>
      <c r="AH22" s="122">
        <v>5460</v>
      </c>
      <c r="AI22" s="121">
        <v>779</v>
      </c>
      <c r="AJ22" s="121">
        <v>2.48</v>
      </c>
      <c r="AK22" s="122">
        <v>1950</v>
      </c>
      <c r="AL22" s="121">
        <v>16.38</v>
      </c>
      <c r="AM22" s="121">
        <v>21.54</v>
      </c>
      <c r="AN22" s="121">
        <v>10.33</v>
      </c>
      <c r="AO22" s="121">
        <v>431</v>
      </c>
      <c r="AP22" s="121">
        <v>577.54</v>
      </c>
      <c r="AQ22" s="121">
        <v>578.4</v>
      </c>
      <c r="AR22" s="122">
        <v>5470</v>
      </c>
      <c r="AS22" s="122">
        <v>1530</v>
      </c>
      <c r="AT22" s="122">
        <v>620</v>
      </c>
      <c r="AU22" s="122">
        <v>0.39335999999999999</v>
      </c>
      <c r="AV22" s="123">
        <v>200</v>
      </c>
      <c r="AW22" s="123">
        <v>3320</v>
      </c>
      <c r="AZ22" s="120">
        <v>82.525531999999998</v>
      </c>
      <c r="BA22" s="120">
        <v>79.741660999999993</v>
      </c>
      <c r="BB22" s="120">
        <v>33.092782999999997</v>
      </c>
      <c r="BC22" s="120">
        <v>27.66564</v>
      </c>
      <c r="BD22" s="120">
        <v>30.147673000000001</v>
      </c>
      <c r="BE22" s="120">
        <v>32.899984000000003</v>
      </c>
      <c r="BF22" s="120">
        <v>284.67014699999999</v>
      </c>
      <c r="BG22" s="120">
        <v>290.102532</v>
      </c>
      <c r="BH22" s="120">
        <v>292.07557000000003</v>
      </c>
      <c r="BI22" s="120">
        <v>288.78731599999998</v>
      </c>
      <c r="BJ22" s="120">
        <v>298.209</v>
      </c>
      <c r="BK22" s="120">
        <v>285.84699999999998</v>
      </c>
    </row>
    <row r="23" spans="1:63" x14ac:dyDescent="0.25">
      <c r="A23" s="97" t="s">
        <v>296</v>
      </c>
      <c r="B23" s="112">
        <v>410</v>
      </c>
      <c r="C23" s="112">
        <f t="shared" si="6"/>
        <v>745.45454545454538</v>
      </c>
      <c r="D23" s="112">
        <v>2000</v>
      </c>
      <c r="E23" s="96">
        <v>6000</v>
      </c>
      <c r="F23" s="96">
        <v>470</v>
      </c>
      <c r="G23" s="96">
        <v>80</v>
      </c>
      <c r="H23" s="96">
        <v>780</v>
      </c>
      <c r="I23" s="96">
        <v>80</v>
      </c>
      <c r="J23" s="96">
        <f t="shared" ref="J23" si="33">+F23*G23</f>
        <v>37600</v>
      </c>
      <c r="K23" s="96">
        <f t="shared" ref="K23" si="34">+H23*I23</f>
        <v>62400</v>
      </c>
      <c r="L23" s="99">
        <f t="shared" ref="L23" si="35">IF(B23&gt;F23, F23, B23)</f>
        <v>410</v>
      </c>
      <c r="M23" s="99">
        <f t="shared" ref="M23" si="36">IF(C23&gt;H23, H23, C23)</f>
        <v>745.45454545454538</v>
      </c>
      <c r="N23" s="99">
        <f t="shared" ref="N23" si="37">IF(D23&gt;K23, K23, D23)</f>
        <v>2000</v>
      </c>
      <c r="O23" s="99">
        <f t="shared" ref="O23" si="38">MIN(I23,+N23/M23)</f>
        <v>2.6829268292682928</v>
      </c>
      <c r="P23" s="99">
        <f t="shared" ref="P23" si="39">MIN(N23+E23,J23)</f>
        <v>8000</v>
      </c>
      <c r="Q23" s="99">
        <f t="shared" ref="Q23" si="40">MIN(P23/L23,G23)</f>
        <v>19.512195121951219</v>
      </c>
      <c r="R23" s="96">
        <f t="shared" ref="R23" si="41">L23</f>
        <v>410</v>
      </c>
      <c r="S23" s="96">
        <f t="shared" ref="S23" si="42">Q23</f>
        <v>19.512195121951219</v>
      </c>
      <c r="T23" s="96">
        <f t="shared" ref="T23:T24" si="43">P23</f>
        <v>8000</v>
      </c>
      <c r="U23" s="96">
        <v>0</v>
      </c>
      <c r="V23" s="96">
        <v>0</v>
      </c>
      <c r="W23" s="96">
        <v>0</v>
      </c>
      <c r="X23" s="96">
        <v>10</v>
      </c>
      <c r="Y23" s="96">
        <v>0</v>
      </c>
      <c r="Z23" s="96">
        <v>0</v>
      </c>
      <c r="AA23" s="96">
        <v>10</v>
      </c>
      <c r="AB23" s="96">
        <f t="shared" ref="AB23" si="44">-O23</f>
        <v>-2.6829268292682928</v>
      </c>
      <c r="AC23" s="96">
        <f t="shared" ref="AC23" si="45">-N23</f>
        <v>-2000</v>
      </c>
    </row>
    <row r="24" spans="1:63" x14ac:dyDescent="0.25">
      <c r="A24" s="97" t="s">
        <v>295</v>
      </c>
      <c r="B24" s="112">
        <v>380</v>
      </c>
      <c r="C24" s="112">
        <f>+B24/0.55</f>
        <v>690.90909090909088</v>
      </c>
      <c r="D24" s="112">
        <v>2000</v>
      </c>
      <c r="E24" s="96">
        <v>6000</v>
      </c>
      <c r="F24" s="96">
        <v>470</v>
      </c>
      <c r="G24" s="96">
        <v>80</v>
      </c>
      <c r="H24" s="96">
        <v>780</v>
      </c>
      <c r="I24" s="96">
        <v>80</v>
      </c>
      <c r="J24" s="96">
        <f>+F24*G24</f>
        <v>37600</v>
      </c>
      <c r="K24" s="96">
        <f>+H24*I24</f>
        <v>62400</v>
      </c>
      <c r="L24" s="99">
        <f>IF(B24&gt;F24, F24, B24)</f>
        <v>380</v>
      </c>
      <c r="M24" s="99">
        <f>IF(C24&gt;H24, H24, C24)</f>
        <v>690.90909090909088</v>
      </c>
      <c r="N24" s="99">
        <f>IF(D24&gt;K24, K24, D24)</f>
        <v>2000</v>
      </c>
      <c r="O24" s="99">
        <f>MIN(I24,+N24/M24)</f>
        <v>2.8947368421052633</v>
      </c>
      <c r="P24" s="99">
        <f>MIN(N24+E24,J24)</f>
        <v>8000</v>
      </c>
      <c r="Q24" s="99">
        <f>MIN(P24/L24,G24)</f>
        <v>21.05263157894737</v>
      </c>
      <c r="R24" s="96">
        <f>L24</f>
        <v>380</v>
      </c>
      <c r="S24" s="96">
        <f>Q24</f>
        <v>21.05263157894737</v>
      </c>
      <c r="T24" s="96">
        <f t="shared" si="43"/>
        <v>8000</v>
      </c>
      <c r="U24" s="96">
        <v>0</v>
      </c>
      <c r="V24" s="96">
        <v>0</v>
      </c>
      <c r="W24" s="96">
        <v>0</v>
      </c>
      <c r="X24" s="96">
        <v>10</v>
      </c>
      <c r="Y24" s="96">
        <v>0</v>
      </c>
      <c r="Z24" s="96">
        <v>0</v>
      </c>
      <c r="AA24" s="96">
        <v>10</v>
      </c>
      <c r="AB24" s="96">
        <f>-O24</f>
        <v>-2.8947368421052633</v>
      </c>
      <c r="AC24" s="96">
        <f>-N24</f>
        <v>-2000</v>
      </c>
    </row>
    <row r="25" spans="1:63" s="65" customFormat="1" x14ac:dyDescent="0.25">
      <c r="A25" s="98" t="s">
        <v>178</v>
      </c>
      <c r="B25" s="113">
        <v>346</v>
      </c>
      <c r="C25" s="113">
        <v>630</v>
      </c>
      <c r="D25" s="113">
        <v>2000</v>
      </c>
      <c r="E25" s="98">
        <v>6000</v>
      </c>
      <c r="F25" s="98">
        <v>470</v>
      </c>
      <c r="G25" s="98">
        <v>80</v>
      </c>
      <c r="H25" s="98">
        <v>780</v>
      </c>
      <c r="I25" s="98">
        <v>80</v>
      </c>
      <c r="J25" s="98">
        <f>+F25*G25</f>
        <v>37600</v>
      </c>
      <c r="K25" s="98">
        <f>+H25*I25</f>
        <v>62400</v>
      </c>
      <c r="L25" s="98">
        <f>IF(B25&gt;F25, F25, B25)</f>
        <v>346</v>
      </c>
      <c r="M25" s="98">
        <f t="shared" ref="M25:M39" si="46">IF(C25&gt;H25, H25, C25)</f>
        <v>630</v>
      </c>
      <c r="N25" s="98">
        <f t="shared" ref="N25:N39" si="47">IF(D25&gt;K25, K25, D25)</f>
        <v>2000</v>
      </c>
      <c r="O25" s="98">
        <f t="shared" ref="O25:O39" si="48">MIN(I25,+N25/M25)</f>
        <v>3.1746031746031744</v>
      </c>
      <c r="P25" s="98">
        <f t="shared" ref="P25:P39" si="49">MIN(N25+E25,J25)</f>
        <v>8000</v>
      </c>
      <c r="Q25" s="98">
        <f t="shared" ref="Q25:Q39" si="50">MIN(P25/L25,G25)</f>
        <v>23.121387283236995</v>
      </c>
      <c r="R25" s="98">
        <v>350</v>
      </c>
      <c r="S25" s="98">
        <v>20</v>
      </c>
      <c r="T25" s="98">
        <v>30000</v>
      </c>
      <c r="U25" s="98">
        <v>0</v>
      </c>
      <c r="V25" s="98">
        <v>-2</v>
      </c>
      <c r="W25" s="98">
        <v>0</v>
      </c>
      <c r="X25" s="98">
        <v>10</v>
      </c>
      <c r="Y25" s="98">
        <v>0</v>
      </c>
      <c r="Z25" s="98">
        <v>2000</v>
      </c>
      <c r="AA25" s="98">
        <v>10</v>
      </c>
      <c r="AB25" s="98">
        <v>-3.2</v>
      </c>
      <c r="AC25" s="98">
        <v>-5020</v>
      </c>
      <c r="AD25" s="115"/>
      <c r="AE25" s="115"/>
      <c r="AF25" s="129">
        <v>350</v>
      </c>
      <c r="AG25" s="129">
        <v>13.28</v>
      </c>
      <c r="AH25" s="130">
        <v>4540</v>
      </c>
      <c r="AI25" s="129">
        <v>633.25</v>
      </c>
      <c r="AJ25" s="129">
        <v>3.22</v>
      </c>
      <c r="AK25" s="130">
        <v>2020</v>
      </c>
      <c r="AL25" s="129">
        <v>14.77</v>
      </c>
      <c r="AM25" s="129">
        <v>14.9</v>
      </c>
      <c r="AN25" s="129">
        <v>13.99</v>
      </c>
      <c r="AO25" s="129">
        <v>350.8</v>
      </c>
      <c r="AP25" s="129">
        <v>469.9</v>
      </c>
      <c r="AQ25" s="129">
        <v>470.4</v>
      </c>
      <c r="AR25" s="130">
        <v>4620</v>
      </c>
      <c r="AS25" s="130">
        <v>1290</v>
      </c>
      <c r="AT25" s="130">
        <v>870</v>
      </c>
      <c r="AU25" s="130">
        <v>0.46826000000000001</v>
      </c>
      <c r="AV25" s="131">
        <v>140</v>
      </c>
      <c r="AW25" s="131">
        <v>2460</v>
      </c>
      <c r="AX25" s="129"/>
      <c r="AY25" s="129"/>
      <c r="AZ25" s="129">
        <v>59.056386000000003</v>
      </c>
      <c r="BA25" s="129">
        <v>58.648691999999997</v>
      </c>
      <c r="BB25" s="129">
        <v>26.707844999999999</v>
      </c>
      <c r="BC25" s="129">
        <v>22.507338000000001</v>
      </c>
      <c r="BD25" s="129">
        <v>24.130296999999999</v>
      </c>
      <c r="BE25" s="129">
        <v>26.090657</v>
      </c>
      <c r="BF25" s="129">
        <v>223.00274899999999</v>
      </c>
      <c r="BG25" s="129">
        <v>231.184371</v>
      </c>
      <c r="BH25" s="129">
        <v>230.315101</v>
      </c>
      <c r="BI25" s="129">
        <v>230.51443399999999</v>
      </c>
      <c r="BJ25" s="129">
        <v>254.86199999999999</v>
      </c>
      <c r="BK25" s="129">
        <v>246.05799999999999</v>
      </c>
    </row>
    <row r="26" spans="1:63" x14ac:dyDescent="0.25">
      <c r="A26" s="97" t="s">
        <v>277</v>
      </c>
      <c r="B26" s="112">
        <v>346</v>
      </c>
      <c r="C26" s="112">
        <v>630</v>
      </c>
      <c r="D26" s="96">
        <v>2520</v>
      </c>
      <c r="E26" s="96">
        <v>6000</v>
      </c>
      <c r="F26" s="96">
        <v>470</v>
      </c>
      <c r="G26" s="96">
        <v>80</v>
      </c>
      <c r="H26" s="96">
        <v>780</v>
      </c>
      <c r="I26" s="96">
        <v>80</v>
      </c>
      <c r="J26" s="96">
        <f t="shared" ref="J26:J39" si="51">+F26*G26</f>
        <v>37600</v>
      </c>
      <c r="K26" s="96">
        <f t="shared" ref="K26:K39" si="52">+H26*I26</f>
        <v>62400</v>
      </c>
      <c r="L26" s="99">
        <f t="shared" ref="L26:L39" si="53">IF(B26&gt;F26, F26, B26)</f>
        <v>346</v>
      </c>
      <c r="M26" s="99">
        <f t="shared" si="46"/>
        <v>630</v>
      </c>
      <c r="N26" s="99">
        <f t="shared" si="47"/>
        <v>2520</v>
      </c>
      <c r="O26" s="99">
        <f t="shared" si="48"/>
        <v>4</v>
      </c>
      <c r="P26" s="99">
        <f t="shared" si="49"/>
        <v>8520</v>
      </c>
      <c r="Q26" s="99">
        <f t="shared" si="50"/>
        <v>24.624277456647398</v>
      </c>
      <c r="R26" s="96">
        <f t="shared" ref="R26:R39" si="54">L26</f>
        <v>346</v>
      </c>
      <c r="S26" s="96">
        <f t="shared" ref="S26:S39" si="55">Q26</f>
        <v>24.624277456647398</v>
      </c>
      <c r="T26" s="96">
        <f t="shared" ref="T26:T39" si="56">P26</f>
        <v>8520</v>
      </c>
      <c r="U26" s="96">
        <v>0</v>
      </c>
      <c r="V26" s="96">
        <v>0</v>
      </c>
      <c r="W26" s="96">
        <v>0</v>
      </c>
      <c r="X26" s="96">
        <v>10</v>
      </c>
      <c r="Y26" s="96">
        <v>0</v>
      </c>
      <c r="Z26" s="96">
        <v>0</v>
      </c>
      <c r="AA26" s="96">
        <v>10</v>
      </c>
      <c r="AB26" s="96">
        <f t="shared" ref="AB26:AB39" si="57">-O26</f>
        <v>-4</v>
      </c>
      <c r="AC26" s="96">
        <f t="shared" ref="AC26:AC39" si="58">-N26</f>
        <v>-2520</v>
      </c>
    </row>
    <row r="27" spans="1:63" x14ac:dyDescent="0.25">
      <c r="A27" s="97" t="s">
        <v>278</v>
      </c>
      <c r="B27" s="112">
        <v>346</v>
      </c>
      <c r="C27" s="112">
        <v>630</v>
      </c>
      <c r="D27" s="96">
        <f>2520+1260</f>
        <v>3780</v>
      </c>
      <c r="E27" s="96">
        <v>6000</v>
      </c>
      <c r="F27" s="96">
        <v>470</v>
      </c>
      <c r="G27" s="96">
        <v>80</v>
      </c>
      <c r="H27" s="96">
        <v>780</v>
      </c>
      <c r="I27" s="96">
        <v>80</v>
      </c>
      <c r="J27" s="96">
        <f t="shared" si="51"/>
        <v>37600</v>
      </c>
      <c r="K27" s="96">
        <f t="shared" si="52"/>
        <v>62400</v>
      </c>
      <c r="L27" s="99">
        <f t="shared" si="53"/>
        <v>346</v>
      </c>
      <c r="M27" s="99">
        <f t="shared" si="46"/>
        <v>630</v>
      </c>
      <c r="N27" s="99">
        <f t="shared" si="47"/>
        <v>3780</v>
      </c>
      <c r="O27" s="99">
        <f t="shared" si="48"/>
        <v>6</v>
      </c>
      <c r="P27" s="99">
        <f t="shared" si="49"/>
        <v>9780</v>
      </c>
      <c r="Q27" s="99">
        <f t="shared" si="50"/>
        <v>28.265895953757227</v>
      </c>
      <c r="R27" s="96">
        <f t="shared" si="54"/>
        <v>346</v>
      </c>
      <c r="S27" s="96">
        <f t="shared" si="55"/>
        <v>28.265895953757227</v>
      </c>
      <c r="T27" s="96">
        <f t="shared" si="56"/>
        <v>9780</v>
      </c>
      <c r="U27" s="96">
        <v>0</v>
      </c>
      <c r="V27" s="96">
        <v>0</v>
      </c>
      <c r="W27" s="96">
        <v>0</v>
      </c>
      <c r="X27" s="96">
        <v>10</v>
      </c>
      <c r="Y27" s="96">
        <v>0</v>
      </c>
      <c r="Z27" s="96">
        <v>0</v>
      </c>
      <c r="AA27" s="96">
        <v>10</v>
      </c>
      <c r="AB27" s="96">
        <f t="shared" si="57"/>
        <v>-6</v>
      </c>
      <c r="AC27" s="96">
        <f t="shared" si="58"/>
        <v>-3780</v>
      </c>
    </row>
    <row r="28" spans="1:63" x14ac:dyDescent="0.25">
      <c r="A28" s="97" t="s">
        <v>279</v>
      </c>
      <c r="B28" s="112">
        <v>346</v>
      </c>
      <c r="C28" s="112">
        <v>630</v>
      </c>
      <c r="D28" s="96">
        <v>5040</v>
      </c>
      <c r="E28" s="96">
        <v>6000</v>
      </c>
      <c r="F28" s="96">
        <v>470</v>
      </c>
      <c r="G28" s="96">
        <v>80</v>
      </c>
      <c r="H28" s="96">
        <v>780</v>
      </c>
      <c r="I28" s="96">
        <v>80</v>
      </c>
      <c r="J28" s="96">
        <f t="shared" si="51"/>
        <v>37600</v>
      </c>
      <c r="K28" s="96">
        <f t="shared" si="52"/>
        <v>62400</v>
      </c>
      <c r="L28" s="99">
        <f t="shared" si="53"/>
        <v>346</v>
      </c>
      <c r="M28" s="99">
        <f t="shared" si="46"/>
        <v>630</v>
      </c>
      <c r="N28" s="99">
        <f t="shared" si="47"/>
        <v>5040</v>
      </c>
      <c r="O28" s="99">
        <f t="shared" si="48"/>
        <v>8</v>
      </c>
      <c r="P28" s="99">
        <f t="shared" si="49"/>
        <v>11040</v>
      </c>
      <c r="Q28" s="99">
        <f t="shared" si="50"/>
        <v>31.907514450867051</v>
      </c>
      <c r="R28" s="96">
        <f t="shared" si="54"/>
        <v>346</v>
      </c>
      <c r="S28" s="96">
        <f t="shared" si="55"/>
        <v>31.907514450867051</v>
      </c>
      <c r="T28" s="96">
        <f t="shared" si="56"/>
        <v>11040</v>
      </c>
      <c r="U28" s="96">
        <v>0</v>
      </c>
      <c r="V28" s="96">
        <v>0</v>
      </c>
      <c r="W28" s="96">
        <v>0</v>
      </c>
      <c r="X28" s="96">
        <v>10</v>
      </c>
      <c r="Y28" s="96">
        <v>0</v>
      </c>
      <c r="Z28" s="96">
        <v>0</v>
      </c>
      <c r="AA28" s="96">
        <v>10</v>
      </c>
      <c r="AB28" s="96">
        <f t="shared" si="57"/>
        <v>-8</v>
      </c>
      <c r="AC28" s="96">
        <f t="shared" si="58"/>
        <v>-5040</v>
      </c>
    </row>
    <row r="29" spans="1:63" x14ac:dyDescent="0.25">
      <c r="A29" s="97" t="s">
        <v>280</v>
      </c>
      <c r="B29" s="112">
        <v>346</v>
      </c>
      <c r="C29" s="112">
        <v>630</v>
      </c>
      <c r="D29" s="96">
        <v>6300</v>
      </c>
      <c r="E29" s="96">
        <v>6000</v>
      </c>
      <c r="F29" s="96">
        <v>470</v>
      </c>
      <c r="G29" s="96">
        <v>80</v>
      </c>
      <c r="H29" s="96">
        <v>780</v>
      </c>
      <c r="I29" s="96">
        <v>80</v>
      </c>
      <c r="J29" s="96">
        <f t="shared" si="51"/>
        <v>37600</v>
      </c>
      <c r="K29" s="96">
        <f t="shared" si="52"/>
        <v>62400</v>
      </c>
      <c r="L29" s="99">
        <f t="shared" si="53"/>
        <v>346</v>
      </c>
      <c r="M29" s="99">
        <f t="shared" si="46"/>
        <v>630</v>
      </c>
      <c r="N29" s="99">
        <f t="shared" si="47"/>
        <v>6300</v>
      </c>
      <c r="O29" s="99">
        <f t="shared" si="48"/>
        <v>10</v>
      </c>
      <c r="P29" s="99">
        <f t="shared" si="49"/>
        <v>12300</v>
      </c>
      <c r="Q29" s="99">
        <f t="shared" si="50"/>
        <v>35.549132947976879</v>
      </c>
      <c r="R29" s="96">
        <f t="shared" si="54"/>
        <v>346</v>
      </c>
      <c r="S29" s="96">
        <f t="shared" si="55"/>
        <v>35.549132947976879</v>
      </c>
      <c r="T29" s="96">
        <f t="shared" si="56"/>
        <v>12300</v>
      </c>
      <c r="U29" s="96">
        <v>0</v>
      </c>
      <c r="V29" s="96">
        <v>0</v>
      </c>
      <c r="W29" s="96">
        <v>0</v>
      </c>
      <c r="X29" s="96">
        <v>10</v>
      </c>
      <c r="Y29" s="96">
        <v>0</v>
      </c>
      <c r="Z29" s="96">
        <v>0</v>
      </c>
      <c r="AA29" s="96">
        <v>10</v>
      </c>
      <c r="AB29" s="96">
        <f t="shared" si="57"/>
        <v>-10</v>
      </c>
      <c r="AC29" s="96">
        <f t="shared" si="58"/>
        <v>-6300</v>
      </c>
    </row>
    <row r="30" spans="1:63" x14ac:dyDescent="0.25">
      <c r="A30" s="97" t="s">
        <v>281</v>
      </c>
      <c r="B30" s="112">
        <v>346</v>
      </c>
      <c r="C30" s="112">
        <v>630</v>
      </c>
      <c r="D30" s="96">
        <v>7560</v>
      </c>
      <c r="E30" s="96">
        <v>6000</v>
      </c>
      <c r="F30" s="96">
        <v>470</v>
      </c>
      <c r="G30" s="96">
        <v>80</v>
      </c>
      <c r="H30" s="96">
        <v>780</v>
      </c>
      <c r="I30" s="96">
        <v>80</v>
      </c>
      <c r="J30" s="96">
        <f t="shared" si="51"/>
        <v>37600</v>
      </c>
      <c r="K30" s="96">
        <f t="shared" si="52"/>
        <v>62400</v>
      </c>
      <c r="L30" s="99">
        <f t="shared" si="53"/>
        <v>346</v>
      </c>
      <c r="M30" s="99">
        <f t="shared" si="46"/>
        <v>630</v>
      </c>
      <c r="N30" s="99">
        <f t="shared" si="47"/>
        <v>7560</v>
      </c>
      <c r="O30" s="99">
        <f t="shared" si="48"/>
        <v>12</v>
      </c>
      <c r="P30" s="99">
        <f t="shared" si="49"/>
        <v>13560</v>
      </c>
      <c r="Q30" s="99">
        <f t="shared" si="50"/>
        <v>39.190751445086704</v>
      </c>
      <c r="R30" s="96">
        <f t="shared" si="54"/>
        <v>346</v>
      </c>
      <c r="S30" s="96">
        <f t="shared" si="55"/>
        <v>39.190751445086704</v>
      </c>
      <c r="T30" s="96">
        <f t="shared" si="56"/>
        <v>13560</v>
      </c>
      <c r="U30" s="96">
        <v>0</v>
      </c>
      <c r="V30" s="96">
        <v>0</v>
      </c>
      <c r="W30" s="96">
        <v>0</v>
      </c>
      <c r="X30" s="96">
        <v>10</v>
      </c>
      <c r="Y30" s="96">
        <v>0</v>
      </c>
      <c r="Z30" s="96">
        <v>0</v>
      </c>
      <c r="AA30" s="96">
        <v>10</v>
      </c>
      <c r="AB30" s="96">
        <f t="shared" si="57"/>
        <v>-12</v>
      </c>
      <c r="AC30" s="96">
        <f t="shared" si="58"/>
        <v>-7560</v>
      </c>
    </row>
    <row r="31" spans="1:63" x14ac:dyDescent="0.25">
      <c r="A31" s="97" t="s">
        <v>282</v>
      </c>
      <c r="B31" s="112">
        <v>346</v>
      </c>
      <c r="C31" s="112">
        <v>630</v>
      </c>
      <c r="D31" s="96">
        <v>8820</v>
      </c>
      <c r="E31" s="96">
        <v>6000</v>
      </c>
      <c r="F31" s="96">
        <v>470</v>
      </c>
      <c r="G31" s="96">
        <v>80</v>
      </c>
      <c r="H31" s="96">
        <v>780</v>
      </c>
      <c r="I31" s="96">
        <v>80</v>
      </c>
      <c r="J31" s="96">
        <f t="shared" si="51"/>
        <v>37600</v>
      </c>
      <c r="K31" s="96">
        <f t="shared" si="52"/>
        <v>62400</v>
      </c>
      <c r="L31" s="99">
        <f t="shared" si="53"/>
        <v>346</v>
      </c>
      <c r="M31" s="99">
        <f t="shared" si="46"/>
        <v>630</v>
      </c>
      <c r="N31" s="99">
        <f t="shared" si="47"/>
        <v>8820</v>
      </c>
      <c r="O31" s="99">
        <f t="shared" si="48"/>
        <v>14</v>
      </c>
      <c r="P31" s="99">
        <f t="shared" si="49"/>
        <v>14820</v>
      </c>
      <c r="Q31" s="99">
        <f t="shared" si="50"/>
        <v>42.832369942196529</v>
      </c>
      <c r="R31" s="96">
        <f t="shared" si="54"/>
        <v>346</v>
      </c>
      <c r="S31" s="96">
        <f t="shared" si="55"/>
        <v>42.832369942196529</v>
      </c>
      <c r="T31" s="96">
        <f t="shared" si="56"/>
        <v>14820</v>
      </c>
      <c r="U31" s="96">
        <v>0</v>
      </c>
      <c r="V31" s="96">
        <v>0</v>
      </c>
      <c r="W31" s="96">
        <v>0</v>
      </c>
      <c r="X31" s="96">
        <v>10</v>
      </c>
      <c r="Y31" s="96">
        <v>0</v>
      </c>
      <c r="Z31" s="96">
        <v>0</v>
      </c>
      <c r="AA31" s="96">
        <v>10</v>
      </c>
      <c r="AB31" s="96">
        <f t="shared" si="57"/>
        <v>-14</v>
      </c>
      <c r="AC31" s="96">
        <f t="shared" si="58"/>
        <v>-8820</v>
      </c>
    </row>
    <row r="32" spans="1:63" x14ac:dyDescent="0.25">
      <c r="A32" s="97" t="s">
        <v>283</v>
      </c>
      <c r="B32" s="112">
        <v>346</v>
      </c>
      <c r="C32" s="112">
        <v>630</v>
      </c>
      <c r="D32" s="96">
        <v>10080</v>
      </c>
      <c r="E32" s="96">
        <v>6000</v>
      </c>
      <c r="F32" s="96">
        <v>470</v>
      </c>
      <c r="G32" s="96">
        <v>80</v>
      </c>
      <c r="H32" s="96">
        <v>780</v>
      </c>
      <c r="I32" s="96">
        <v>80</v>
      </c>
      <c r="J32" s="96">
        <f t="shared" si="51"/>
        <v>37600</v>
      </c>
      <c r="K32" s="96">
        <f t="shared" si="52"/>
        <v>62400</v>
      </c>
      <c r="L32" s="99">
        <f t="shared" si="53"/>
        <v>346</v>
      </c>
      <c r="M32" s="99">
        <f t="shared" si="46"/>
        <v>630</v>
      </c>
      <c r="N32" s="99">
        <f t="shared" si="47"/>
        <v>10080</v>
      </c>
      <c r="O32" s="99">
        <f t="shared" si="48"/>
        <v>16</v>
      </c>
      <c r="P32" s="99">
        <f t="shared" si="49"/>
        <v>16080</v>
      </c>
      <c r="Q32" s="99">
        <f t="shared" si="50"/>
        <v>46.47398843930636</v>
      </c>
      <c r="R32" s="96">
        <f t="shared" si="54"/>
        <v>346</v>
      </c>
      <c r="S32" s="96">
        <f t="shared" si="55"/>
        <v>46.47398843930636</v>
      </c>
      <c r="T32" s="96">
        <f t="shared" si="56"/>
        <v>16080</v>
      </c>
      <c r="U32" s="96">
        <v>0</v>
      </c>
      <c r="V32" s="96">
        <v>0</v>
      </c>
      <c r="W32" s="96">
        <v>0</v>
      </c>
      <c r="X32" s="96">
        <v>10</v>
      </c>
      <c r="Y32" s="96">
        <v>0</v>
      </c>
      <c r="Z32" s="96">
        <v>0</v>
      </c>
      <c r="AA32" s="96">
        <v>10</v>
      </c>
      <c r="AB32" s="96">
        <f t="shared" si="57"/>
        <v>-16</v>
      </c>
      <c r="AC32" s="96">
        <f t="shared" si="58"/>
        <v>-10080</v>
      </c>
    </row>
    <row r="33" spans="1:63" x14ac:dyDescent="0.25">
      <c r="A33" s="97" t="s">
        <v>284</v>
      </c>
      <c r="B33" s="112">
        <v>346</v>
      </c>
      <c r="C33" s="112">
        <v>630</v>
      </c>
      <c r="D33" s="96">
        <v>11340</v>
      </c>
      <c r="E33" s="96">
        <v>6000</v>
      </c>
      <c r="F33" s="96">
        <v>470</v>
      </c>
      <c r="G33" s="96">
        <v>80</v>
      </c>
      <c r="H33" s="96">
        <v>780</v>
      </c>
      <c r="I33" s="96">
        <v>80</v>
      </c>
      <c r="J33" s="96">
        <f t="shared" si="51"/>
        <v>37600</v>
      </c>
      <c r="K33" s="96">
        <f t="shared" si="52"/>
        <v>62400</v>
      </c>
      <c r="L33" s="99">
        <f t="shared" si="53"/>
        <v>346</v>
      </c>
      <c r="M33" s="99">
        <f t="shared" si="46"/>
        <v>630</v>
      </c>
      <c r="N33" s="99">
        <f t="shared" si="47"/>
        <v>11340</v>
      </c>
      <c r="O33" s="99">
        <f t="shared" si="48"/>
        <v>18</v>
      </c>
      <c r="P33" s="99">
        <f t="shared" si="49"/>
        <v>17340</v>
      </c>
      <c r="Q33" s="99">
        <f t="shared" si="50"/>
        <v>50.115606936416185</v>
      </c>
      <c r="R33" s="96">
        <f t="shared" si="54"/>
        <v>346</v>
      </c>
      <c r="S33" s="96">
        <f t="shared" si="55"/>
        <v>50.115606936416185</v>
      </c>
      <c r="T33" s="96">
        <f t="shared" si="56"/>
        <v>17340</v>
      </c>
      <c r="U33" s="96">
        <v>0</v>
      </c>
      <c r="V33" s="96">
        <v>0</v>
      </c>
      <c r="W33" s="96">
        <v>0</v>
      </c>
      <c r="X33" s="96">
        <v>10</v>
      </c>
      <c r="Y33" s="96">
        <v>0</v>
      </c>
      <c r="Z33" s="96">
        <v>0</v>
      </c>
      <c r="AA33" s="96">
        <v>10</v>
      </c>
      <c r="AB33" s="96">
        <f t="shared" si="57"/>
        <v>-18</v>
      </c>
      <c r="AC33" s="96">
        <f t="shared" si="58"/>
        <v>-11340</v>
      </c>
    </row>
    <row r="34" spans="1:63" x14ac:dyDescent="0.25">
      <c r="A34" s="97" t="s">
        <v>285</v>
      </c>
      <c r="B34" s="112">
        <v>346</v>
      </c>
      <c r="C34" s="112">
        <v>630</v>
      </c>
      <c r="D34" s="96">
        <v>12600</v>
      </c>
      <c r="E34" s="96">
        <v>6000</v>
      </c>
      <c r="F34" s="96">
        <v>470</v>
      </c>
      <c r="G34" s="96">
        <v>80</v>
      </c>
      <c r="H34" s="96">
        <v>780</v>
      </c>
      <c r="I34" s="96">
        <v>80</v>
      </c>
      <c r="J34" s="96">
        <f t="shared" si="51"/>
        <v>37600</v>
      </c>
      <c r="K34" s="96">
        <f t="shared" si="52"/>
        <v>62400</v>
      </c>
      <c r="L34" s="99">
        <f t="shared" si="53"/>
        <v>346</v>
      </c>
      <c r="M34" s="99">
        <f t="shared" si="46"/>
        <v>630</v>
      </c>
      <c r="N34" s="99">
        <f t="shared" si="47"/>
        <v>12600</v>
      </c>
      <c r="O34" s="99">
        <f t="shared" si="48"/>
        <v>20</v>
      </c>
      <c r="P34" s="99">
        <f t="shared" si="49"/>
        <v>18600</v>
      </c>
      <c r="Q34" s="99">
        <f t="shared" si="50"/>
        <v>53.75722543352601</v>
      </c>
      <c r="R34" s="96">
        <f t="shared" si="54"/>
        <v>346</v>
      </c>
      <c r="S34" s="96">
        <f t="shared" si="55"/>
        <v>53.75722543352601</v>
      </c>
      <c r="T34" s="96">
        <f t="shared" si="56"/>
        <v>18600</v>
      </c>
      <c r="U34" s="96">
        <v>0</v>
      </c>
      <c r="V34" s="96">
        <v>0</v>
      </c>
      <c r="W34" s="96">
        <v>0</v>
      </c>
      <c r="X34" s="96">
        <v>10</v>
      </c>
      <c r="Y34" s="96">
        <v>0</v>
      </c>
      <c r="Z34" s="96">
        <v>0</v>
      </c>
      <c r="AA34" s="96">
        <v>10</v>
      </c>
      <c r="AB34" s="96">
        <f t="shared" si="57"/>
        <v>-20</v>
      </c>
      <c r="AC34" s="96">
        <f t="shared" si="58"/>
        <v>-12600</v>
      </c>
    </row>
    <row r="35" spans="1:63" x14ac:dyDescent="0.25">
      <c r="A35" s="97" t="s">
        <v>286</v>
      </c>
      <c r="B35" s="112">
        <v>346</v>
      </c>
      <c r="C35" s="112">
        <v>630</v>
      </c>
      <c r="D35" s="96">
        <v>13860</v>
      </c>
      <c r="E35" s="96">
        <v>6000</v>
      </c>
      <c r="F35" s="96">
        <v>470</v>
      </c>
      <c r="G35" s="96">
        <v>80</v>
      </c>
      <c r="H35" s="96">
        <v>780</v>
      </c>
      <c r="I35" s="96">
        <v>80</v>
      </c>
      <c r="J35" s="96">
        <f t="shared" si="51"/>
        <v>37600</v>
      </c>
      <c r="K35" s="96">
        <f t="shared" si="52"/>
        <v>62400</v>
      </c>
      <c r="L35" s="99">
        <f t="shared" si="53"/>
        <v>346</v>
      </c>
      <c r="M35" s="99">
        <f t="shared" si="46"/>
        <v>630</v>
      </c>
      <c r="N35" s="99">
        <f t="shared" si="47"/>
        <v>13860</v>
      </c>
      <c r="O35" s="99">
        <f t="shared" si="48"/>
        <v>22</v>
      </c>
      <c r="P35" s="99">
        <f t="shared" si="49"/>
        <v>19860</v>
      </c>
      <c r="Q35" s="99">
        <f t="shared" si="50"/>
        <v>57.398843930635842</v>
      </c>
      <c r="R35" s="96">
        <f t="shared" si="54"/>
        <v>346</v>
      </c>
      <c r="S35" s="96">
        <f t="shared" si="55"/>
        <v>57.398843930635842</v>
      </c>
      <c r="T35" s="96">
        <f t="shared" si="56"/>
        <v>19860</v>
      </c>
      <c r="U35" s="96">
        <v>0</v>
      </c>
      <c r="V35" s="96">
        <v>0</v>
      </c>
      <c r="W35" s="96">
        <v>0</v>
      </c>
      <c r="X35" s="96">
        <v>10</v>
      </c>
      <c r="Y35" s="96">
        <v>0</v>
      </c>
      <c r="Z35" s="96">
        <v>0</v>
      </c>
      <c r="AA35" s="96">
        <v>10</v>
      </c>
      <c r="AB35" s="96">
        <f t="shared" si="57"/>
        <v>-22</v>
      </c>
      <c r="AC35" s="96">
        <f t="shared" si="58"/>
        <v>-13860</v>
      </c>
    </row>
    <row r="36" spans="1:63" x14ac:dyDescent="0.25">
      <c r="A36" s="97" t="s">
        <v>287</v>
      </c>
      <c r="B36" s="112">
        <v>346</v>
      </c>
      <c r="C36" s="112">
        <v>630</v>
      </c>
      <c r="D36" s="96">
        <v>15120</v>
      </c>
      <c r="E36" s="96">
        <v>6000</v>
      </c>
      <c r="F36" s="96">
        <v>470</v>
      </c>
      <c r="G36" s="96">
        <v>80</v>
      </c>
      <c r="H36" s="96">
        <v>780</v>
      </c>
      <c r="I36" s="96">
        <v>80</v>
      </c>
      <c r="J36" s="96">
        <f t="shared" si="51"/>
        <v>37600</v>
      </c>
      <c r="K36" s="96">
        <f t="shared" si="52"/>
        <v>62400</v>
      </c>
      <c r="L36" s="99">
        <f t="shared" si="53"/>
        <v>346</v>
      </c>
      <c r="M36" s="99">
        <f t="shared" si="46"/>
        <v>630</v>
      </c>
      <c r="N36" s="99">
        <f t="shared" si="47"/>
        <v>15120</v>
      </c>
      <c r="O36" s="99">
        <f t="shared" si="48"/>
        <v>24</v>
      </c>
      <c r="P36" s="99">
        <f t="shared" si="49"/>
        <v>21120</v>
      </c>
      <c r="Q36" s="99">
        <f t="shared" si="50"/>
        <v>61.040462427745666</v>
      </c>
      <c r="R36" s="96">
        <f t="shared" si="54"/>
        <v>346</v>
      </c>
      <c r="S36" s="96">
        <f t="shared" si="55"/>
        <v>61.040462427745666</v>
      </c>
      <c r="T36" s="96">
        <f t="shared" si="56"/>
        <v>21120</v>
      </c>
      <c r="U36" s="96">
        <v>0</v>
      </c>
      <c r="V36" s="96">
        <v>0</v>
      </c>
      <c r="W36" s="96">
        <v>0</v>
      </c>
      <c r="X36" s="96">
        <v>10</v>
      </c>
      <c r="Y36" s="96">
        <v>0</v>
      </c>
      <c r="Z36" s="96">
        <v>0</v>
      </c>
      <c r="AA36" s="96">
        <v>10</v>
      </c>
      <c r="AB36" s="96">
        <f t="shared" si="57"/>
        <v>-24</v>
      </c>
      <c r="AC36" s="96">
        <f t="shared" si="58"/>
        <v>-15120</v>
      </c>
    </row>
    <row r="37" spans="1:63" x14ac:dyDescent="0.25">
      <c r="A37" s="97" t="s">
        <v>288</v>
      </c>
      <c r="B37" s="112">
        <v>346</v>
      </c>
      <c r="C37" s="112">
        <v>630</v>
      </c>
      <c r="D37" s="96">
        <v>16380</v>
      </c>
      <c r="E37" s="96">
        <v>6000</v>
      </c>
      <c r="F37" s="96">
        <v>470</v>
      </c>
      <c r="G37" s="96">
        <v>80</v>
      </c>
      <c r="H37" s="96">
        <v>780</v>
      </c>
      <c r="I37" s="96">
        <v>80</v>
      </c>
      <c r="J37" s="96">
        <f t="shared" si="51"/>
        <v>37600</v>
      </c>
      <c r="K37" s="96">
        <f t="shared" si="52"/>
        <v>62400</v>
      </c>
      <c r="L37" s="99">
        <f t="shared" si="53"/>
        <v>346</v>
      </c>
      <c r="M37" s="99">
        <f t="shared" si="46"/>
        <v>630</v>
      </c>
      <c r="N37" s="99">
        <f t="shared" si="47"/>
        <v>16380</v>
      </c>
      <c r="O37" s="99">
        <f t="shared" si="48"/>
        <v>26</v>
      </c>
      <c r="P37" s="99">
        <f t="shared" si="49"/>
        <v>22380</v>
      </c>
      <c r="Q37" s="99">
        <f t="shared" si="50"/>
        <v>64.682080924855498</v>
      </c>
      <c r="R37" s="96">
        <f t="shared" si="54"/>
        <v>346</v>
      </c>
      <c r="S37" s="96">
        <f t="shared" si="55"/>
        <v>64.682080924855498</v>
      </c>
      <c r="T37" s="96">
        <f t="shared" si="56"/>
        <v>22380</v>
      </c>
      <c r="U37" s="96">
        <v>0</v>
      </c>
      <c r="V37" s="96">
        <v>0</v>
      </c>
      <c r="W37" s="96">
        <v>0</v>
      </c>
      <c r="X37" s="96">
        <v>10</v>
      </c>
      <c r="Y37" s="96">
        <v>0</v>
      </c>
      <c r="Z37" s="96">
        <v>0</v>
      </c>
      <c r="AA37" s="96">
        <v>10</v>
      </c>
      <c r="AB37" s="96">
        <f t="shared" si="57"/>
        <v>-26</v>
      </c>
      <c r="AC37" s="96">
        <f t="shared" si="58"/>
        <v>-16380</v>
      </c>
    </row>
    <row r="38" spans="1:63" x14ac:dyDescent="0.25">
      <c r="A38" s="97" t="s">
        <v>289</v>
      </c>
      <c r="B38" s="112">
        <v>346</v>
      </c>
      <c r="C38" s="112">
        <v>630</v>
      </c>
      <c r="D38" s="96">
        <v>17640</v>
      </c>
      <c r="E38" s="96">
        <v>6000</v>
      </c>
      <c r="F38" s="96">
        <v>470</v>
      </c>
      <c r="G38" s="96">
        <v>80</v>
      </c>
      <c r="H38" s="96">
        <v>780</v>
      </c>
      <c r="I38" s="96">
        <v>80</v>
      </c>
      <c r="J38" s="96">
        <f t="shared" si="51"/>
        <v>37600</v>
      </c>
      <c r="K38" s="96">
        <f t="shared" si="52"/>
        <v>62400</v>
      </c>
      <c r="L38" s="99">
        <f t="shared" si="53"/>
        <v>346</v>
      </c>
      <c r="M38" s="99">
        <f t="shared" si="46"/>
        <v>630</v>
      </c>
      <c r="N38" s="99">
        <f t="shared" si="47"/>
        <v>17640</v>
      </c>
      <c r="O38" s="99">
        <f t="shared" si="48"/>
        <v>28</v>
      </c>
      <c r="P38" s="99">
        <f t="shared" si="49"/>
        <v>23640</v>
      </c>
      <c r="Q38" s="99">
        <f t="shared" si="50"/>
        <v>68.323699421965316</v>
      </c>
      <c r="R38" s="96">
        <f t="shared" si="54"/>
        <v>346</v>
      </c>
      <c r="S38" s="96">
        <f t="shared" si="55"/>
        <v>68.323699421965316</v>
      </c>
      <c r="T38" s="96">
        <f t="shared" si="56"/>
        <v>23640</v>
      </c>
      <c r="U38" s="96">
        <v>0</v>
      </c>
      <c r="V38" s="96">
        <v>0</v>
      </c>
      <c r="W38" s="96">
        <v>0</v>
      </c>
      <c r="X38" s="96">
        <v>10</v>
      </c>
      <c r="Y38" s="96">
        <v>0</v>
      </c>
      <c r="Z38" s="96">
        <v>0</v>
      </c>
      <c r="AA38" s="96">
        <v>10</v>
      </c>
      <c r="AB38" s="96">
        <f t="shared" si="57"/>
        <v>-28</v>
      </c>
      <c r="AC38" s="96">
        <f t="shared" si="58"/>
        <v>-17640</v>
      </c>
    </row>
    <row r="39" spans="1:63" x14ac:dyDescent="0.25">
      <c r="A39" s="97" t="s">
        <v>290</v>
      </c>
      <c r="B39" s="112">
        <v>346</v>
      </c>
      <c r="C39" s="112">
        <v>630</v>
      </c>
      <c r="D39" s="96">
        <v>18900</v>
      </c>
      <c r="E39" s="96">
        <v>6000</v>
      </c>
      <c r="F39" s="96">
        <v>470</v>
      </c>
      <c r="G39" s="96">
        <v>80</v>
      </c>
      <c r="H39" s="96">
        <v>780</v>
      </c>
      <c r="I39" s="96">
        <v>80</v>
      </c>
      <c r="J39" s="96">
        <f t="shared" si="51"/>
        <v>37600</v>
      </c>
      <c r="K39" s="96">
        <f t="shared" si="52"/>
        <v>62400</v>
      </c>
      <c r="L39" s="99">
        <f t="shared" si="53"/>
        <v>346</v>
      </c>
      <c r="M39" s="99">
        <f t="shared" si="46"/>
        <v>630</v>
      </c>
      <c r="N39" s="99">
        <f t="shared" si="47"/>
        <v>18900</v>
      </c>
      <c r="O39" s="99">
        <f t="shared" si="48"/>
        <v>30</v>
      </c>
      <c r="P39" s="99">
        <f t="shared" si="49"/>
        <v>24900</v>
      </c>
      <c r="Q39" s="99">
        <f t="shared" si="50"/>
        <v>71.965317919075147</v>
      </c>
      <c r="R39" s="96">
        <f t="shared" si="54"/>
        <v>346</v>
      </c>
      <c r="S39" s="96">
        <f t="shared" si="55"/>
        <v>71.965317919075147</v>
      </c>
      <c r="T39" s="96">
        <f t="shared" si="56"/>
        <v>24900</v>
      </c>
      <c r="U39" s="96">
        <v>0</v>
      </c>
      <c r="V39" s="96">
        <v>0</v>
      </c>
      <c r="W39" s="96">
        <v>0</v>
      </c>
      <c r="X39" s="96">
        <v>10</v>
      </c>
      <c r="Y39" s="96">
        <v>0</v>
      </c>
      <c r="Z39" s="96">
        <v>0</v>
      </c>
      <c r="AA39" s="96">
        <v>10</v>
      </c>
      <c r="AB39" s="96">
        <f t="shared" si="57"/>
        <v>-30</v>
      </c>
      <c r="AC39" s="96">
        <f t="shared" si="58"/>
        <v>-18900</v>
      </c>
    </row>
    <row r="40" spans="1:63" s="65" customFormat="1" x14ac:dyDescent="0.25">
      <c r="A40" s="98" t="s">
        <v>177</v>
      </c>
      <c r="B40" s="113">
        <v>346</v>
      </c>
      <c r="C40" s="113">
        <v>613</v>
      </c>
      <c r="D40" s="113">
        <v>20000</v>
      </c>
      <c r="E40" s="98">
        <v>6000</v>
      </c>
      <c r="F40" s="98">
        <v>470</v>
      </c>
      <c r="G40" s="98">
        <v>80</v>
      </c>
      <c r="H40" s="98">
        <v>780</v>
      </c>
      <c r="I40" s="98">
        <v>80</v>
      </c>
      <c r="J40" s="98">
        <f>+F40*G40</f>
        <v>37600</v>
      </c>
      <c r="K40" s="98">
        <f>+H40*I40</f>
        <v>62400</v>
      </c>
      <c r="L40" s="98">
        <f>IF(B40&gt;F40, F40, B40)</f>
        <v>346</v>
      </c>
      <c r="M40" s="98">
        <f>IF(C40&gt;H40, H40, C40)</f>
        <v>613</v>
      </c>
      <c r="N40" s="98">
        <f>IF(D40&gt;K40, K40, D40)</f>
        <v>20000</v>
      </c>
      <c r="O40" s="98">
        <f>MIN(I40,+N40/M40)</f>
        <v>32.626427406199021</v>
      </c>
      <c r="P40" s="98">
        <f>MIN(N40+E40,J40)</f>
        <v>26000</v>
      </c>
      <c r="Q40" s="98">
        <f>MIN(P40/L40,G40)</f>
        <v>75.144508670520224</v>
      </c>
      <c r="R40" s="98">
        <v>346</v>
      </c>
      <c r="S40" s="98">
        <v>80</v>
      </c>
      <c r="T40" s="98">
        <v>30000</v>
      </c>
      <c r="U40" s="98">
        <v>0</v>
      </c>
      <c r="V40" s="98">
        <v>-2</v>
      </c>
      <c r="W40" s="98">
        <v>0</v>
      </c>
      <c r="X40" s="98">
        <v>10</v>
      </c>
      <c r="Y40" s="98">
        <v>10</v>
      </c>
      <c r="Z40" s="98">
        <v>1000</v>
      </c>
      <c r="AA40" s="98">
        <v>0</v>
      </c>
      <c r="AB40" s="98">
        <v>-33.020000000000003</v>
      </c>
      <c r="AC40" s="98">
        <v>-30000</v>
      </c>
      <c r="AD40" s="115"/>
      <c r="AE40" s="115"/>
      <c r="AF40" s="126">
        <v>346</v>
      </c>
      <c r="AG40" s="126">
        <v>65.48</v>
      </c>
      <c r="AH40" s="127">
        <v>22640</v>
      </c>
      <c r="AI40" s="126">
        <v>609.75</v>
      </c>
      <c r="AJ40" s="126">
        <v>33.04</v>
      </c>
      <c r="AK40" s="127">
        <v>20080</v>
      </c>
      <c r="AL40" s="115"/>
      <c r="AZ40" s="128">
        <v>65.321043000000003</v>
      </c>
      <c r="BA40" s="128">
        <v>61.590434999999999</v>
      </c>
      <c r="BB40" s="128">
        <v>26.972224000000001</v>
      </c>
      <c r="BC40" s="128">
        <v>23.389393999999999</v>
      </c>
      <c r="BD40" s="128">
        <v>24.844968999999999</v>
      </c>
      <c r="BE40" s="128">
        <v>26.671931000000001</v>
      </c>
      <c r="BF40" s="128">
        <v>213.261762</v>
      </c>
      <c r="BG40" s="128">
        <v>220.69912099999999</v>
      </c>
      <c r="BH40" s="128">
        <v>218.22173699999999</v>
      </c>
      <c r="BI40" s="128">
        <v>219.25178099999999</v>
      </c>
      <c r="BJ40" s="128">
        <v>242.351</v>
      </c>
      <c r="BK40" s="128">
        <v>233.08799999999999</v>
      </c>
    </row>
  </sheetData>
  <mergeCells count="8">
    <mergeCell ref="AZ1:BK1"/>
    <mergeCell ref="AV1:AY1"/>
    <mergeCell ref="L1:Q1"/>
    <mergeCell ref="R1:W1"/>
    <mergeCell ref="X1:AC1"/>
    <mergeCell ref="AF1:AH1"/>
    <mergeCell ref="AI1:AK1"/>
    <mergeCell ref="AL1:AU1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47"/>
  <sheetViews>
    <sheetView zoomScale="55" zoomScaleNormal="55" workbookViewId="0">
      <selection activeCell="A32" sqref="A32:XFD38"/>
    </sheetView>
  </sheetViews>
  <sheetFormatPr defaultColWidth="11.42578125" defaultRowHeight="15" x14ac:dyDescent="0.25"/>
  <cols>
    <col min="1" max="1" width="22.140625" style="96" bestFit="1" customWidth="1"/>
    <col min="2" max="2" width="9" style="96" bestFit="1" customWidth="1"/>
    <col min="3" max="3" width="9.7109375" style="96" bestFit="1" customWidth="1"/>
    <col min="4" max="5" width="9" style="96" bestFit="1" customWidth="1"/>
    <col min="6" max="7" width="11.5703125" style="96" bestFit="1" customWidth="1"/>
    <col min="8" max="29" width="11.42578125" style="96"/>
    <col min="30" max="16384" width="11.42578125" style="11"/>
  </cols>
  <sheetData>
    <row r="1" spans="1:57" x14ac:dyDescent="0.25">
      <c r="A1" s="100"/>
      <c r="B1" s="91"/>
      <c r="C1" s="92"/>
      <c r="D1" s="92"/>
      <c r="E1" s="93"/>
      <c r="F1" s="94"/>
      <c r="G1" s="94" t="s">
        <v>206</v>
      </c>
      <c r="H1" s="94"/>
      <c r="I1" s="94"/>
      <c r="J1" s="94"/>
      <c r="K1" s="95"/>
      <c r="L1" s="148" t="s">
        <v>26</v>
      </c>
      <c r="M1" s="149"/>
      <c r="N1" s="149"/>
      <c r="O1" s="149"/>
      <c r="P1" s="149"/>
      <c r="Q1" s="150"/>
      <c r="R1" s="151" t="s">
        <v>261</v>
      </c>
      <c r="S1" s="152"/>
      <c r="T1" s="152"/>
      <c r="U1" s="152"/>
      <c r="V1" s="152"/>
      <c r="W1" s="152"/>
      <c r="X1" s="153" t="s">
        <v>262</v>
      </c>
      <c r="Y1" s="154"/>
      <c r="Z1" s="154"/>
      <c r="AA1" s="154"/>
      <c r="AB1" s="154"/>
      <c r="AC1" s="154"/>
      <c r="AD1" s="101"/>
      <c r="AE1" s="101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</row>
    <row r="2" spans="1:57" ht="30" customHeight="1" thickBot="1" x14ac:dyDescent="0.3">
      <c r="A2" s="102" t="s">
        <v>4</v>
      </c>
      <c r="B2" s="103" t="s">
        <v>44</v>
      </c>
      <c r="C2" s="103" t="s">
        <v>43</v>
      </c>
      <c r="D2" s="103" t="s">
        <v>107</v>
      </c>
      <c r="E2" s="103" t="s">
        <v>105</v>
      </c>
      <c r="F2" s="104" t="s">
        <v>198</v>
      </c>
      <c r="G2" s="104" t="s">
        <v>180</v>
      </c>
      <c r="H2" s="104" t="s">
        <v>199</v>
      </c>
      <c r="I2" s="104" t="s">
        <v>197</v>
      </c>
      <c r="J2" s="104" t="s">
        <v>204</v>
      </c>
      <c r="K2" s="104" t="s">
        <v>205</v>
      </c>
      <c r="L2" s="105" t="s">
        <v>202</v>
      </c>
      <c r="M2" s="106" t="s">
        <v>207</v>
      </c>
      <c r="N2" s="105" t="s">
        <v>201</v>
      </c>
      <c r="O2" s="106" t="s">
        <v>208</v>
      </c>
      <c r="P2" s="106" t="s">
        <v>203</v>
      </c>
      <c r="Q2" s="107" t="s">
        <v>200</v>
      </c>
      <c r="R2" s="108" t="s">
        <v>212</v>
      </c>
      <c r="S2" s="108" t="s">
        <v>213</v>
      </c>
      <c r="T2" s="109" t="s">
        <v>214</v>
      </c>
      <c r="U2" s="108" t="s">
        <v>210</v>
      </c>
      <c r="V2" s="108" t="s">
        <v>209</v>
      </c>
      <c r="W2" s="109" t="s">
        <v>211</v>
      </c>
      <c r="X2" s="110" t="s">
        <v>255</v>
      </c>
      <c r="Y2" s="110" t="s">
        <v>256</v>
      </c>
      <c r="Z2" s="111" t="s">
        <v>257</v>
      </c>
      <c r="AA2" s="110" t="s">
        <v>258</v>
      </c>
      <c r="AB2" s="110" t="s">
        <v>259</v>
      </c>
      <c r="AC2" s="111" t="s">
        <v>260</v>
      </c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</row>
    <row r="3" spans="1:57" x14ac:dyDescent="0.25">
      <c r="A3" s="97" t="s">
        <v>264</v>
      </c>
      <c r="B3" s="112">
        <v>10</v>
      </c>
      <c r="C3" s="112">
        <f>+B3/0.55</f>
        <v>18.18181818181818</v>
      </c>
      <c r="D3" s="112">
        <v>10</v>
      </c>
      <c r="E3" s="96">
        <v>6000</v>
      </c>
      <c r="F3" s="96">
        <v>470</v>
      </c>
      <c r="G3" s="96">
        <v>80</v>
      </c>
      <c r="H3" s="96">
        <v>780</v>
      </c>
      <c r="I3" s="96">
        <v>80</v>
      </c>
      <c r="J3" s="96">
        <f>+F3*G3</f>
        <v>37600</v>
      </c>
      <c r="K3" s="96">
        <f>+H3*I3</f>
        <v>62400</v>
      </c>
      <c r="L3" s="99">
        <f>IF(B3&gt;F3, F3, B3)</f>
        <v>10</v>
      </c>
      <c r="M3" s="99">
        <f t="shared" ref="M3" si="0">IF(C3&gt;H3, H3, C3)</f>
        <v>18.18181818181818</v>
      </c>
      <c r="N3" s="99">
        <f t="shared" ref="N3" si="1">IF(D3&gt;K3, K3, D3)</f>
        <v>10</v>
      </c>
      <c r="O3" s="99">
        <f t="shared" ref="O3" si="2">MIN(I3,+N3/M3)</f>
        <v>0.55000000000000004</v>
      </c>
      <c r="P3" s="99">
        <f t="shared" ref="P3" si="3">MIN(N3+E3,J3)</f>
        <v>6010</v>
      </c>
      <c r="Q3" s="99">
        <f t="shared" ref="Q3" si="4">MIN(P3/L3,G3)</f>
        <v>80</v>
      </c>
      <c r="R3" s="96">
        <f>L3</f>
        <v>10</v>
      </c>
      <c r="S3" s="96">
        <f>Q3</f>
        <v>80</v>
      </c>
      <c r="T3" s="96">
        <f>P3</f>
        <v>6010</v>
      </c>
      <c r="U3" s="96">
        <v>0</v>
      </c>
      <c r="V3" s="96">
        <v>0</v>
      </c>
      <c r="W3" s="96">
        <v>0</v>
      </c>
      <c r="X3" s="96">
        <v>10</v>
      </c>
      <c r="Y3" s="96">
        <v>0</v>
      </c>
      <c r="Z3" s="96">
        <v>0</v>
      </c>
      <c r="AA3" s="96">
        <v>10</v>
      </c>
      <c r="AB3" s="96">
        <f>-O3</f>
        <v>-0.55000000000000004</v>
      </c>
      <c r="AC3" s="96">
        <f>-N3</f>
        <v>-10</v>
      </c>
      <c r="AD3" s="85"/>
      <c r="AE3" s="55"/>
      <c r="AF3" s="55"/>
      <c r="AG3" s="55"/>
      <c r="AH3" s="55"/>
      <c r="AI3" s="55"/>
      <c r="AJ3" s="85"/>
      <c r="AK3" s="55"/>
      <c r="AL3" s="55"/>
    </row>
    <row r="4" spans="1:57" x14ac:dyDescent="0.25">
      <c r="A4" s="97" t="s">
        <v>265</v>
      </c>
      <c r="B4" s="96">
        <v>50</v>
      </c>
      <c r="C4" s="112">
        <f t="shared" ref="C4:C30" si="5">+B4/0.55</f>
        <v>90.909090909090907</v>
      </c>
      <c r="D4" s="112">
        <v>10</v>
      </c>
      <c r="E4" s="96">
        <v>6000</v>
      </c>
      <c r="F4" s="96">
        <v>470</v>
      </c>
      <c r="G4" s="96">
        <v>80</v>
      </c>
      <c r="H4" s="96">
        <v>780</v>
      </c>
      <c r="I4" s="96">
        <v>80</v>
      </c>
      <c r="J4" s="96">
        <f t="shared" ref="J4:J17" si="6">+F4*G4</f>
        <v>37600</v>
      </c>
      <c r="K4" s="96">
        <f t="shared" ref="K4:K17" si="7">+H4*I4</f>
        <v>62400</v>
      </c>
      <c r="L4" s="99">
        <f t="shared" ref="L4:L17" si="8">IF(B4&gt;F4, F4, B4)</f>
        <v>50</v>
      </c>
      <c r="M4" s="99">
        <f t="shared" ref="M4:M18" si="9">IF(C4&gt;H4, H4, C4)</f>
        <v>90.909090909090907</v>
      </c>
      <c r="N4" s="99">
        <f t="shared" ref="N4:N18" si="10">IF(D4&gt;K4, K4, D4)</f>
        <v>10</v>
      </c>
      <c r="O4" s="99">
        <f t="shared" ref="O4:O18" si="11">MIN(I4,+N4/M4)</f>
        <v>0.11</v>
      </c>
      <c r="P4" s="99">
        <f t="shared" ref="P4:P18" si="12">MIN(N4+E4,J4)</f>
        <v>6010</v>
      </c>
      <c r="Q4" s="99">
        <f t="shared" ref="Q4:Q18" si="13">MIN(P4/L4,G4)</f>
        <v>80</v>
      </c>
      <c r="R4" s="96">
        <f t="shared" ref="R4:R8" si="14">L4</f>
        <v>50</v>
      </c>
      <c r="S4" s="96">
        <f t="shared" ref="S4:S8" si="15">Q4</f>
        <v>80</v>
      </c>
      <c r="T4" s="96">
        <f t="shared" ref="T4:T8" si="16">P4</f>
        <v>6010</v>
      </c>
      <c r="U4" s="96">
        <v>0</v>
      </c>
      <c r="V4" s="96">
        <v>0</v>
      </c>
      <c r="W4" s="96">
        <v>0</v>
      </c>
      <c r="X4" s="96">
        <v>10</v>
      </c>
      <c r="Y4" s="96">
        <v>0</v>
      </c>
      <c r="Z4" s="96">
        <v>0</v>
      </c>
      <c r="AA4" s="96">
        <v>10</v>
      </c>
      <c r="AB4" s="96">
        <f t="shared" ref="AB4:AB8" si="17">-O4</f>
        <v>-0.11</v>
      </c>
      <c r="AC4" s="96">
        <f t="shared" ref="AC4:AC8" si="18">-N4</f>
        <v>-10</v>
      </c>
    </row>
    <row r="5" spans="1:57" x14ac:dyDescent="0.25">
      <c r="A5" s="97" t="s">
        <v>266</v>
      </c>
      <c r="B5" s="96">
        <v>80</v>
      </c>
      <c r="C5" s="112">
        <f t="shared" si="5"/>
        <v>145.45454545454544</v>
      </c>
      <c r="D5" s="112">
        <v>10</v>
      </c>
      <c r="E5" s="96">
        <v>6000</v>
      </c>
      <c r="F5" s="96">
        <v>470</v>
      </c>
      <c r="G5" s="96">
        <v>80</v>
      </c>
      <c r="H5" s="96">
        <v>780</v>
      </c>
      <c r="I5" s="96">
        <v>80</v>
      </c>
      <c r="J5" s="96">
        <f t="shared" si="6"/>
        <v>37600</v>
      </c>
      <c r="K5" s="96">
        <f t="shared" si="7"/>
        <v>62400</v>
      </c>
      <c r="L5" s="99">
        <f t="shared" si="8"/>
        <v>80</v>
      </c>
      <c r="M5" s="99">
        <f t="shared" si="9"/>
        <v>145.45454545454544</v>
      </c>
      <c r="N5" s="99">
        <f t="shared" si="10"/>
        <v>10</v>
      </c>
      <c r="O5" s="99">
        <f t="shared" si="11"/>
        <v>6.8750000000000006E-2</v>
      </c>
      <c r="P5" s="99">
        <f t="shared" si="12"/>
        <v>6010</v>
      </c>
      <c r="Q5" s="99">
        <f t="shared" si="13"/>
        <v>75.125</v>
      </c>
      <c r="R5" s="96">
        <f t="shared" si="14"/>
        <v>80</v>
      </c>
      <c r="S5" s="96">
        <f t="shared" si="15"/>
        <v>75.125</v>
      </c>
      <c r="T5" s="96">
        <f t="shared" si="16"/>
        <v>6010</v>
      </c>
      <c r="U5" s="96">
        <v>0</v>
      </c>
      <c r="V5" s="96">
        <v>0</v>
      </c>
      <c r="W5" s="96">
        <v>0</v>
      </c>
      <c r="X5" s="96">
        <v>10</v>
      </c>
      <c r="Y5" s="96">
        <v>0</v>
      </c>
      <c r="Z5" s="96">
        <v>0</v>
      </c>
      <c r="AA5" s="96">
        <v>10</v>
      </c>
      <c r="AB5" s="96">
        <f t="shared" si="17"/>
        <v>-6.8750000000000006E-2</v>
      </c>
      <c r="AC5" s="96">
        <f t="shared" si="18"/>
        <v>-10</v>
      </c>
    </row>
    <row r="6" spans="1:57" x14ac:dyDescent="0.25">
      <c r="A6" s="97" t="s">
        <v>267</v>
      </c>
      <c r="B6" s="112">
        <v>116.666666666667</v>
      </c>
      <c r="C6" s="112">
        <f t="shared" si="5"/>
        <v>212.12121212121269</v>
      </c>
      <c r="D6" s="112">
        <v>10</v>
      </c>
      <c r="E6" s="96">
        <v>6000</v>
      </c>
      <c r="F6" s="96">
        <v>470</v>
      </c>
      <c r="G6" s="96">
        <v>80</v>
      </c>
      <c r="H6" s="96">
        <v>780</v>
      </c>
      <c r="I6" s="96">
        <v>80</v>
      </c>
      <c r="J6" s="96">
        <f t="shared" si="6"/>
        <v>37600</v>
      </c>
      <c r="K6" s="96">
        <f t="shared" si="7"/>
        <v>62400</v>
      </c>
      <c r="L6" s="99">
        <f t="shared" si="8"/>
        <v>116.666666666667</v>
      </c>
      <c r="M6" s="99">
        <f t="shared" si="9"/>
        <v>212.12121212121269</v>
      </c>
      <c r="N6" s="99">
        <f t="shared" si="10"/>
        <v>10</v>
      </c>
      <c r="O6" s="99">
        <f t="shared" si="11"/>
        <v>4.7142857142857014E-2</v>
      </c>
      <c r="P6" s="99">
        <f t="shared" si="12"/>
        <v>6010</v>
      </c>
      <c r="Q6" s="99">
        <f t="shared" si="13"/>
        <v>51.51428571428557</v>
      </c>
      <c r="R6" s="96">
        <f t="shared" si="14"/>
        <v>116.666666666667</v>
      </c>
      <c r="S6" s="96">
        <f t="shared" si="15"/>
        <v>51.51428571428557</v>
      </c>
      <c r="T6" s="96">
        <f t="shared" si="16"/>
        <v>6010</v>
      </c>
      <c r="U6" s="96">
        <v>0</v>
      </c>
      <c r="V6" s="96">
        <v>0</v>
      </c>
      <c r="W6" s="96">
        <v>0</v>
      </c>
      <c r="X6" s="96">
        <v>10</v>
      </c>
      <c r="Y6" s="96">
        <v>0</v>
      </c>
      <c r="Z6" s="96">
        <v>0</v>
      </c>
      <c r="AA6" s="96">
        <v>10</v>
      </c>
      <c r="AB6" s="96">
        <f t="shared" si="17"/>
        <v>-4.7142857142857014E-2</v>
      </c>
      <c r="AC6" s="96">
        <f t="shared" si="18"/>
        <v>-10</v>
      </c>
    </row>
    <row r="7" spans="1:57" x14ac:dyDescent="0.25">
      <c r="A7" s="97" t="s">
        <v>268</v>
      </c>
      <c r="B7" s="96">
        <v>151.666666666667</v>
      </c>
      <c r="C7" s="112">
        <f t="shared" si="5"/>
        <v>275.75757575757632</v>
      </c>
      <c r="D7" s="112">
        <v>10</v>
      </c>
      <c r="E7" s="96">
        <v>6000</v>
      </c>
      <c r="F7" s="96">
        <v>470</v>
      </c>
      <c r="G7" s="96">
        <v>80</v>
      </c>
      <c r="H7" s="96">
        <v>780</v>
      </c>
      <c r="I7" s="96">
        <v>80</v>
      </c>
      <c r="J7" s="96">
        <f t="shared" si="6"/>
        <v>37600</v>
      </c>
      <c r="K7" s="96">
        <f t="shared" si="7"/>
        <v>62400</v>
      </c>
      <c r="L7" s="99">
        <f t="shared" si="8"/>
        <v>151.666666666667</v>
      </c>
      <c r="M7" s="99">
        <f t="shared" si="9"/>
        <v>275.75757575757632</v>
      </c>
      <c r="N7" s="99">
        <f t="shared" si="10"/>
        <v>10</v>
      </c>
      <c r="O7" s="99">
        <f t="shared" si="11"/>
        <v>3.626373626373619E-2</v>
      </c>
      <c r="P7" s="99">
        <f t="shared" si="12"/>
        <v>6010</v>
      </c>
      <c r="Q7" s="99">
        <f t="shared" si="13"/>
        <v>39.626373626373542</v>
      </c>
      <c r="R7" s="96">
        <f t="shared" si="14"/>
        <v>151.666666666667</v>
      </c>
      <c r="S7" s="96">
        <f t="shared" si="15"/>
        <v>39.626373626373542</v>
      </c>
      <c r="T7" s="96">
        <f t="shared" si="16"/>
        <v>6010</v>
      </c>
      <c r="U7" s="96">
        <v>0</v>
      </c>
      <c r="V7" s="96">
        <v>0</v>
      </c>
      <c r="W7" s="96">
        <v>0</v>
      </c>
      <c r="X7" s="96">
        <v>10</v>
      </c>
      <c r="Y7" s="96">
        <v>0</v>
      </c>
      <c r="Z7" s="96">
        <v>0</v>
      </c>
      <c r="AA7" s="96">
        <v>10</v>
      </c>
      <c r="AB7" s="96">
        <f t="shared" si="17"/>
        <v>-3.626373626373619E-2</v>
      </c>
      <c r="AC7" s="96">
        <f t="shared" si="18"/>
        <v>-10</v>
      </c>
    </row>
    <row r="8" spans="1:57" x14ac:dyDescent="0.25">
      <c r="A8" s="97" t="s">
        <v>269</v>
      </c>
      <c r="B8" s="96">
        <v>186.666666666667</v>
      </c>
      <c r="C8" s="112">
        <f t="shared" si="5"/>
        <v>339.39393939393995</v>
      </c>
      <c r="D8" s="112">
        <v>10</v>
      </c>
      <c r="E8" s="96">
        <v>6000</v>
      </c>
      <c r="F8" s="96">
        <v>470</v>
      </c>
      <c r="G8" s="96">
        <v>80</v>
      </c>
      <c r="H8" s="96">
        <v>780</v>
      </c>
      <c r="I8" s="96">
        <v>80</v>
      </c>
      <c r="J8" s="96">
        <f t="shared" si="6"/>
        <v>37600</v>
      </c>
      <c r="K8" s="96">
        <f t="shared" si="7"/>
        <v>62400</v>
      </c>
      <c r="L8" s="99">
        <f t="shared" si="8"/>
        <v>186.666666666667</v>
      </c>
      <c r="M8" s="99">
        <f t="shared" si="9"/>
        <v>339.39393939393995</v>
      </c>
      <c r="N8" s="99">
        <f t="shared" si="10"/>
        <v>10</v>
      </c>
      <c r="O8" s="99">
        <f t="shared" si="11"/>
        <v>2.9464285714285665E-2</v>
      </c>
      <c r="P8" s="99">
        <f t="shared" si="12"/>
        <v>6010</v>
      </c>
      <c r="Q8" s="99">
        <f t="shared" si="13"/>
        <v>32.196428571428513</v>
      </c>
      <c r="R8" s="96">
        <f t="shared" si="14"/>
        <v>186.666666666667</v>
      </c>
      <c r="S8" s="96">
        <f t="shared" si="15"/>
        <v>32.196428571428513</v>
      </c>
      <c r="T8" s="96">
        <f t="shared" si="16"/>
        <v>6010</v>
      </c>
      <c r="U8" s="96">
        <v>0</v>
      </c>
      <c r="V8" s="96">
        <v>0</v>
      </c>
      <c r="W8" s="96">
        <v>0</v>
      </c>
      <c r="X8" s="96">
        <v>10</v>
      </c>
      <c r="Y8" s="96">
        <v>0</v>
      </c>
      <c r="Z8" s="96">
        <v>0</v>
      </c>
      <c r="AA8" s="96">
        <v>10</v>
      </c>
      <c r="AB8" s="96">
        <f t="shared" si="17"/>
        <v>-2.9464285714285665E-2</v>
      </c>
      <c r="AC8" s="96">
        <f t="shared" si="18"/>
        <v>-10</v>
      </c>
    </row>
    <row r="9" spans="1:57" s="65" customFormat="1" x14ac:dyDescent="0.25">
      <c r="A9" s="98" t="s">
        <v>175</v>
      </c>
      <c r="B9" s="113">
        <v>200</v>
      </c>
      <c r="C9" s="113">
        <f t="shared" si="5"/>
        <v>363.63636363636363</v>
      </c>
      <c r="D9" s="113">
        <v>10</v>
      </c>
      <c r="E9" s="98">
        <v>6000</v>
      </c>
      <c r="F9" s="98">
        <v>470</v>
      </c>
      <c r="G9" s="98">
        <v>80</v>
      </c>
      <c r="H9" s="98">
        <v>780</v>
      </c>
      <c r="I9" s="98">
        <v>80</v>
      </c>
      <c r="J9" s="98">
        <f t="shared" si="6"/>
        <v>37600</v>
      </c>
      <c r="K9" s="98">
        <f t="shared" si="7"/>
        <v>62400</v>
      </c>
      <c r="L9" s="98">
        <f t="shared" si="8"/>
        <v>200</v>
      </c>
      <c r="M9" s="98">
        <f t="shared" si="9"/>
        <v>363.63636363636363</v>
      </c>
      <c r="N9" s="98">
        <f t="shared" si="10"/>
        <v>10</v>
      </c>
      <c r="O9" s="98">
        <f t="shared" si="11"/>
        <v>2.75E-2</v>
      </c>
      <c r="P9" s="98">
        <f t="shared" si="12"/>
        <v>6010</v>
      </c>
      <c r="Q9" s="98">
        <f t="shared" si="13"/>
        <v>30.05</v>
      </c>
      <c r="R9" s="98">
        <f>L9</f>
        <v>200</v>
      </c>
      <c r="S9" s="98">
        <f>Q9</f>
        <v>30.05</v>
      </c>
      <c r="T9" s="98">
        <f>P9</f>
        <v>6010</v>
      </c>
      <c r="U9" s="98">
        <v>0</v>
      </c>
      <c r="V9" s="98">
        <v>0</v>
      </c>
      <c r="W9" s="98">
        <v>0</v>
      </c>
      <c r="X9" s="98">
        <v>10</v>
      </c>
      <c r="Y9" s="98">
        <v>0</v>
      </c>
      <c r="Z9" s="98">
        <v>0</v>
      </c>
      <c r="AA9" s="98">
        <v>10</v>
      </c>
      <c r="AB9" s="98">
        <f>O9</f>
        <v>2.75E-2</v>
      </c>
      <c r="AC9" s="98">
        <f>N9</f>
        <v>10</v>
      </c>
      <c r="AD9" s="114"/>
      <c r="AE9" s="115"/>
      <c r="AF9" s="115"/>
      <c r="AG9" s="115"/>
      <c r="AH9" s="115"/>
      <c r="AI9" s="115"/>
      <c r="AJ9" s="114"/>
      <c r="AK9" s="115"/>
      <c r="AL9" s="115"/>
    </row>
    <row r="10" spans="1:57" x14ac:dyDescent="0.25">
      <c r="A10" s="97" t="s">
        <v>270</v>
      </c>
      <c r="B10" s="96">
        <v>230</v>
      </c>
      <c r="C10" s="112">
        <f t="shared" si="5"/>
        <v>418.18181818181813</v>
      </c>
      <c r="D10" s="112">
        <v>10</v>
      </c>
      <c r="E10" s="96">
        <v>6000</v>
      </c>
      <c r="F10" s="96">
        <v>470</v>
      </c>
      <c r="G10" s="96">
        <v>80</v>
      </c>
      <c r="H10" s="96">
        <v>780</v>
      </c>
      <c r="I10" s="96">
        <v>80</v>
      </c>
      <c r="J10" s="96">
        <f t="shared" si="6"/>
        <v>37600</v>
      </c>
      <c r="K10" s="96">
        <f t="shared" si="7"/>
        <v>62400</v>
      </c>
      <c r="L10" s="99">
        <f t="shared" si="8"/>
        <v>230</v>
      </c>
      <c r="M10" s="99">
        <f t="shared" si="9"/>
        <v>418.18181818181813</v>
      </c>
      <c r="N10" s="99">
        <f t="shared" si="10"/>
        <v>10</v>
      </c>
      <c r="O10" s="99">
        <f t="shared" si="11"/>
        <v>2.3913043478260874E-2</v>
      </c>
      <c r="P10" s="99">
        <f t="shared" si="12"/>
        <v>6010</v>
      </c>
      <c r="Q10" s="99">
        <f t="shared" si="13"/>
        <v>26.130434782608695</v>
      </c>
      <c r="R10" s="96">
        <f t="shared" ref="R10:R17" si="19">L10</f>
        <v>230</v>
      </c>
      <c r="S10" s="96">
        <f t="shared" ref="S10:S17" si="20">Q10</f>
        <v>26.130434782608695</v>
      </c>
      <c r="T10" s="96">
        <f t="shared" ref="T10:T17" si="21">P10</f>
        <v>6010</v>
      </c>
      <c r="U10" s="96">
        <v>0</v>
      </c>
      <c r="V10" s="96">
        <v>0</v>
      </c>
      <c r="W10" s="96">
        <v>0</v>
      </c>
      <c r="X10" s="96">
        <v>10</v>
      </c>
      <c r="Y10" s="96">
        <v>0</v>
      </c>
      <c r="Z10" s="96">
        <v>0</v>
      </c>
      <c r="AA10" s="96">
        <v>10</v>
      </c>
      <c r="AB10" s="96">
        <f t="shared" ref="AB10:AB17" si="22">-O10</f>
        <v>-2.3913043478260874E-2</v>
      </c>
      <c r="AC10" s="96">
        <f t="shared" ref="AC10:AC17" si="23">-N10</f>
        <v>-10</v>
      </c>
    </row>
    <row r="11" spans="1:57" x14ac:dyDescent="0.25">
      <c r="A11" s="97" t="s">
        <v>271</v>
      </c>
      <c r="B11" s="112">
        <v>260</v>
      </c>
      <c r="C11" s="112">
        <f t="shared" si="5"/>
        <v>472.72727272727269</v>
      </c>
      <c r="D11" s="112">
        <v>10</v>
      </c>
      <c r="E11" s="96">
        <v>6000</v>
      </c>
      <c r="F11" s="96">
        <v>470</v>
      </c>
      <c r="G11" s="96">
        <v>80</v>
      </c>
      <c r="H11" s="96">
        <v>780</v>
      </c>
      <c r="I11" s="96">
        <v>80</v>
      </c>
      <c r="J11" s="96">
        <f t="shared" si="6"/>
        <v>37600</v>
      </c>
      <c r="K11" s="96">
        <f t="shared" si="7"/>
        <v>62400</v>
      </c>
      <c r="L11" s="99">
        <f t="shared" si="8"/>
        <v>260</v>
      </c>
      <c r="M11" s="99">
        <f t="shared" si="9"/>
        <v>472.72727272727269</v>
      </c>
      <c r="N11" s="99">
        <f t="shared" si="10"/>
        <v>10</v>
      </c>
      <c r="O11" s="99">
        <f t="shared" si="11"/>
        <v>2.1153846153846155E-2</v>
      </c>
      <c r="P11" s="99">
        <f t="shared" si="12"/>
        <v>6010</v>
      </c>
      <c r="Q11" s="99">
        <f t="shared" si="13"/>
        <v>23.115384615384617</v>
      </c>
      <c r="R11" s="96">
        <f t="shared" si="19"/>
        <v>260</v>
      </c>
      <c r="S11" s="96">
        <f t="shared" si="20"/>
        <v>23.115384615384617</v>
      </c>
      <c r="T11" s="96">
        <f t="shared" si="21"/>
        <v>6010</v>
      </c>
      <c r="U11" s="96">
        <v>0</v>
      </c>
      <c r="V11" s="96">
        <v>0</v>
      </c>
      <c r="W11" s="96">
        <v>0</v>
      </c>
      <c r="X11" s="96">
        <v>10</v>
      </c>
      <c r="Y11" s="96">
        <v>0</v>
      </c>
      <c r="Z11" s="96">
        <v>0</v>
      </c>
      <c r="AA11" s="96">
        <v>10</v>
      </c>
      <c r="AB11" s="96">
        <f t="shared" si="22"/>
        <v>-2.1153846153846155E-2</v>
      </c>
      <c r="AC11" s="96">
        <f t="shared" si="23"/>
        <v>-10</v>
      </c>
    </row>
    <row r="12" spans="1:57" x14ac:dyDescent="0.25">
      <c r="A12" s="97" t="s">
        <v>272</v>
      </c>
      <c r="B12" s="96">
        <v>290</v>
      </c>
      <c r="C12" s="112">
        <f t="shared" si="5"/>
        <v>527.27272727272725</v>
      </c>
      <c r="D12" s="112">
        <v>10</v>
      </c>
      <c r="E12" s="96">
        <v>6000</v>
      </c>
      <c r="F12" s="96">
        <v>470</v>
      </c>
      <c r="G12" s="96">
        <v>80</v>
      </c>
      <c r="H12" s="96">
        <v>780</v>
      </c>
      <c r="I12" s="96">
        <v>80</v>
      </c>
      <c r="J12" s="96">
        <f t="shared" si="6"/>
        <v>37600</v>
      </c>
      <c r="K12" s="96">
        <f t="shared" si="7"/>
        <v>62400</v>
      </c>
      <c r="L12" s="99">
        <f t="shared" si="8"/>
        <v>290</v>
      </c>
      <c r="M12" s="99">
        <f t="shared" si="9"/>
        <v>527.27272727272725</v>
      </c>
      <c r="N12" s="99">
        <f t="shared" si="10"/>
        <v>10</v>
      </c>
      <c r="O12" s="99">
        <f t="shared" si="11"/>
        <v>1.896551724137931E-2</v>
      </c>
      <c r="P12" s="99">
        <f t="shared" si="12"/>
        <v>6010</v>
      </c>
      <c r="Q12" s="99">
        <f t="shared" si="13"/>
        <v>20.724137931034484</v>
      </c>
      <c r="R12" s="96">
        <f t="shared" si="19"/>
        <v>290</v>
      </c>
      <c r="S12" s="96">
        <f t="shared" si="20"/>
        <v>20.724137931034484</v>
      </c>
      <c r="T12" s="96">
        <f t="shared" si="21"/>
        <v>6010</v>
      </c>
      <c r="U12" s="96">
        <v>0</v>
      </c>
      <c r="V12" s="96">
        <v>0</v>
      </c>
      <c r="W12" s="96">
        <v>0</v>
      </c>
      <c r="X12" s="96">
        <v>10</v>
      </c>
      <c r="Y12" s="96">
        <v>0</v>
      </c>
      <c r="Z12" s="96">
        <v>0</v>
      </c>
      <c r="AA12" s="96">
        <v>10</v>
      </c>
      <c r="AB12" s="96">
        <f t="shared" si="22"/>
        <v>-1.896551724137931E-2</v>
      </c>
      <c r="AC12" s="96">
        <f t="shared" si="23"/>
        <v>-10</v>
      </c>
    </row>
    <row r="13" spans="1:57" x14ac:dyDescent="0.25">
      <c r="A13" s="97" t="s">
        <v>273</v>
      </c>
      <c r="B13" s="112">
        <v>320</v>
      </c>
      <c r="C13" s="112">
        <f t="shared" si="5"/>
        <v>581.81818181818176</v>
      </c>
      <c r="D13" s="112">
        <v>10</v>
      </c>
      <c r="E13" s="96">
        <v>6000</v>
      </c>
      <c r="F13" s="96">
        <v>470</v>
      </c>
      <c r="G13" s="96">
        <v>80</v>
      </c>
      <c r="H13" s="96">
        <v>780</v>
      </c>
      <c r="I13" s="96">
        <v>80</v>
      </c>
      <c r="J13" s="96">
        <f t="shared" si="6"/>
        <v>37600</v>
      </c>
      <c r="K13" s="96">
        <f t="shared" si="7"/>
        <v>62400</v>
      </c>
      <c r="L13" s="99">
        <f t="shared" si="8"/>
        <v>320</v>
      </c>
      <c r="M13" s="99">
        <f t="shared" si="9"/>
        <v>581.81818181818176</v>
      </c>
      <c r="N13" s="99">
        <f t="shared" si="10"/>
        <v>10</v>
      </c>
      <c r="O13" s="99">
        <f t="shared" si="11"/>
        <v>1.7187500000000001E-2</v>
      </c>
      <c r="P13" s="99">
        <f t="shared" si="12"/>
        <v>6010</v>
      </c>
      <c r="Q13" s="99">
        <f t="shared" si="13"/>
        <v>18.78125</v>
      </c>
      <c r="R13" s="96">
        <f t="shared" si="19"/>
        <v>320</v>
      </c>
      <c r="S13" s="96">
        <f t="shared" si="20"/>
        <v>18.78125</v>
      </c>
      <c r="T13" s="96">
        <f t="shared" si="21"/>
        <v>6010</v>
      </c>
      <c r="U13" s="96">
        <v>0</v>
      </c>
      <c r="V13" s="96">
        <v>0</v>
      </c>
      <c r="W13" s="96">
        <v>0</v>
      </c>
      <c r="X13" s="96">
        <v>10</v>
      </c>
      <c r="Y13" s="96">
        <v>0</v>
      </c>
      <c r="Z13" s="96">
        <v>0</v>
      </c>
      <c r="AA13" s="96">
        <v>10</v>
      </c>
      <c r="AB13" s="96">
        <f t="shared" si="22"/>
        <v>-1.7187500000000001E-2</v>
      </c>
      <c r="AC13" s="96">
        <f t="shared" si="23"/>
        <v>-10</v>
      </c>
    </row>
    <row r="14" spans="1:57" s="118" customFormat="1" x14ac:dyDescent="0.25">
      <c r="A14" s="116" t="s">
        <v>263</v>
      </c>
      <c r="B14" s="117">
        <v>346</v>
      </c>
      <c r="C14" s="117">
        <f t="shared" si="5"/>
        <v>629.09090909090901</v>
      </c>
      <c r="D14" s="117">
        <v>10</v>
      </c>
      <c r="E14" s="116">
        <v>6000</v>
      </c>
      <c r="F14" s="116">
        <v>470</v>
      </c>
      <c r="G14" s="116">
        <v>80</v>
      </c>
      <c r="H14" s="116">
        <v>780</v>
      </c>
      <c r="I14" s="116">
        <v>80</v>
      </c>
      <c r="J14" s="116">
        <f t="shared" si="6"/>
        <v>37600</v>
      </c>
      <c r="K14" s="116">
        <f t="shared" si="7"/>
        <v>62400</v>
      </c>
      <c r="L14" s="116">
        <f t="shared" si="8"/>
        <v>346</v>
      </c>
      <c r="M14" s="116">
        <f t="shared" si="9"/>
        <v>629.09090909090901</v>
      </c>
      <c r="N14" s="116">
        <f t="shared" si="10"/>
        <v>10</v>
      </c>
      <c r="O14" s="116">
        <f t="shared" si="11"/>
        <v>1.5895953757225436E-2</v>
      </c>
      <c r="P14" s="116">
        <f t="shared" si="12"/>
        <v>6010</v>
      </c>
      <c r="Q14" s="116">
        <f t="shared" si="13"/>
        <v>17.369942196531792</v>
      </c>
      <c r="R14" s="116">
        <f t="shared" si="19"/>
        <v>346</v>
      </c>
      <c r="S14" s="116">
        <f t="shared" si="20"/>
        <v>17.369942196531792</v>
      </c>
      <c r="T14" s="116">
        <f t="shared" si="21"/>
        <v>6010</v>
      </c>
      <c r="U14" s="116">
        <v>0</v>
      </c>
      <c r="V14" s="116">
        <v>0</v>
      </c>
      <c r="W14" s="116">
        <v>0</v>
      </c>
      <c r="X14" s="116">
        <v>10</v>
      </c>
      <c r="Y14" s="116">
        <v>0</v>
      </c>
      <c r="Z14" s="116">
        <v>0</v>
      </c>
      <c r="AA14" s="116">
        <v>10</v>
      </c>
      <c r="AB14" s="116">
        <f t="shared" si="22"/>
        <v>-1.5895953757225436E-2</v>
      </c>
      <c r="AC14" s="116">
        <f t="shared" si="23"/>
        <v>-10</v>
      </c>
    </row>
    <row r="15" spans="1:57" x14ac:dyDescent="0.25">
      <c r="A15" s="97" t="s">
        <v>274</v>
      </c>
      <c r="B15" s="112">
        <v>346</v>
      </c>
      <c r="C15" s="112">
        <f t="shared" si="5"/>
        <v>629.09090909090901</v>
      </c>
      <c r="D15" s="96">
        <v>630</v>
      </c>
      <c r="E15" s="96">
        <v>6000</v>
      </c>
      <c r="F15" s="96">
        <v>470</v>
      </c>
      <c r="G15" s="96">
        <v>80</v>
      </c>
      <c r="H15" s="96">
        <v>780</v>
      </c>
      <c r="I15" s="96">
        <v>80</v>
      </c>
      <c r="J15" s="96">
        <f t="shared" si="6"/>
        <v>37600</v>
      </c>
      <c r="K15" s="96">
        <f t="shared" si="7"/>
        <v>62400</v>
      </c>
      <c r="L15" s="99">
        <f t="shared" si="8"/>
        <v>346</v>
      </c>
      <c r="M15" s="99">
        <f t="shared" si="9"/>
        <v>629.09090909090901</v>
      </c>
      <c r="N15" s="99">
        <f t="shared" si="10"/>
        <v>630</v>
      </c>
      <c r="O15" s="99">
        <f t="shared" si="11"/>
        <v>1.0014450867052025</v>
      </c>
      <c r="P15" s="99">
        <f t="shared" si="12"/>
        <v>6630</v>
      </c>
      <c r="Q15" s="99">
        <f t="shared" si="13"/>
        <v>19.161849710982658</v>
      </c>
      <c r="R15" s="96">
        <f t="shared" si="19"/>
        <v>346</v>
      </c>
      <c r="S15" s="96">
        <f t="shared" si="20"/>
        <v>19.161849710982658</v>
      </c>
      <c r="T15" s="96">
        <f t="shared" si="21"/>
        <v>6630</v>
      </c>
      <c r="U15" s="96">
        <v>0</v>
      </c>
      <c r="V15" s="96">
        <v>0</v>
      </c>
      <c r="W15" s="96">
        <v>0</v>
      </c>
      <c r="X15" s="96">
        <v>10</v>
      </c>
      <c r="Y15" s="96">
        <v>0</v>
      </c>
      <c r="Z15" s="96">
        <v>0</v>
      </c>
      <c r="AA15" s="96">
        <v>10</v>
      </c>
      <c r="AB15" s="96">
        <f t="shared" si="22"/>
        <v>-1.0014450867052025</v>
      </c>
      <c r="AC15" s="96">
        <f t="shared" si="23"/>
        <v>-630</v>
      </c>
    </row>
    <row r="16" spans="1:57" x14ac:dyDescent="0.25">
      <c r="A16" s="97" t="s">
        <v>275</v>
      </c>
      <c r="B16" s="112">
        <v>346</v>
      </c>
      <c r="C16" s="112">
        <f t="shared" si="5"/>
        <v>629.09090909090901</v>
      </c>
      <c r="D16" s="96">
        <v>1260</v>
      </c>
      <c r="E16" s="96">
        <v>6000</v>
      </c>
      <c r="F16" s="96">
        <v>470</v>
      </c>
      <c r="G16" s="96">
        <v>80</v>
      </c>
      <c r="H16" s="96">
        <v>780</v>
      </c>
      <c r="I16" s="96">
        <v>80</v>
      </c>
      <c r="J16" s="96">
        <f t="shared" si="6"/>
        <v>37600</v>
      </c>
      <c r="K16" s="96">
        <f t="shared" si="7"/>
        <v>62400</v>
      </c>
      <c r="L16" s="99">
        <f t="shared" si="8"/>
        <v>346</v>
      </c>
      <c r="M16" s="99">
        <f t="shared" si="9"/>
        <v>629.09090909090901</v>
      </c>
      <c r="N16" s="99">
        <f t="shared" si="10"/>
        <v>1260</v>
      </c>
      <c r="O16" s="99">
        <f t="shared" si="11"/>
        <v>2.002890173410405</v>
      </c>
      <c r="P16" s="99">
        <f t="shared" si="12"/>
        <v>7260</v>
      </c>
      <c r="Q16" s="99">
        <f t="shared" si="13"/>
        <v>20.982658959537574</v>
      </c>
      <c r="R16" s="96">
        <f t="shared" si="19"/>
        <v>346</v>
      </c>
      <c r="S16" s="96">
        <f t="shared" si="20"/>
        <v>20.982658959537574</v>
      </c>
      <c r="T16" s="96">
        <f t="shared" si="21"/>
        <v>7260</v>
      </c>
      <c r="U16" s="96">
        <v>0</v>
      </c>
      <c r="V16" s="96">
        <v>0</v>
      </c>
      <c r="W16" s="96">
        <v>0</v>
      </c>
      <c r="X16" s="96">
        <v>10</v>
      </c>
      <c r="Y16" s="96">
        <v>0</v>
      </c>
      <c r="Z16" s="96">
        <v>0</v>
      </c>
      <c r="AA16" s="96">
        <v>10</v>
      </c>
      <c r="AB16" s="96">
        <f t="shared" si="22"/>
        <v>-2.002890173410405</v>
      </c>
      <c r="AC16" s="96">
        <f t="shared" si="23"/>
        <v>-1260</v>
      </c>
    </row>
    <row r="17" spans="1:38" x14ac:dyDescent="0.25">
      <c r="A17" s="97" t="s">
        <v>276</v>
      </c>
      <c r="B17" s="112">
        <v>346</v>
      </c>
      <c r="C17" s="112">
        <f t="shared" si="5"/>
        <v>629.09090909090901</v>
      </c>
      <c r="D17" s="96">
        <v>1890</v>
      </c>
      <c r="E17" s="96">
        <v>6000</v>
      </c>
      <c r="F17" s="96">
        <v>470</v>
      </c>
      <c r="G17" s="96">
        <v>80</v>
      </c>
      <c r="H17" s="96">
        <v>780</v>
      </c>
      <c r="I17" s="96">
        <v>80</v>
      </c>
      <c r="J17" s="96">
        <f t="shared" si="6"/>
        <v>37600</v>
      </c>
      <c r="K17" s="96">
        <f t="shared" si="7"/>
        <v>62400</v>
      </c>
      <c r="L17" s="99">
        <f t="shared" si="8"/>
        <v>346</v>
      </c>
      <c r="M17" s="99">
        <f t="shared" si="9"/>
        <v>629.09090909090901</v>
      </c>
      <c r="N17" s="99">
        <f t="shared" si="10"/>
        <v>1890</v>
      </c>
      <c r="O17" s="99">
        <f t="shared" si="11"/>
        <v>3.0043352601156075</v>
      </c>
      <c r="P17" s="99">
        <f t="shared" si="12"/>
        <v>7890</v>
      </c>
      <c r="Q17" s="99">
        <f t="shared" si="13"/>
        <v>22.803468208092486</v>
      </c>
      <c r="R17" s="96">
        <f t="shared" si="19"/>
        <v>346</v>
      </c>
      <c r="S17" s="96">
        <f t="shared" si="20"/>
        <v>22.803468208092486</v>
      </c>
      <c r="T17" s="96">
        <f t="shared" si="21"/>
        <v>7890</v>
      </c>
      <c r="U17" s="96">
        <v>0</v>
      </c>
      <c r="V17" s="96">
        <v>0</v>
      </c>
      <c r="W17" s="96">
        <v>0</v>
      </c>
      <c r="X17" s="96">
        <v>10</v>
      </c>
      <c r="Y17" s="96">
        <v>0</v>
      </c>
      <c r="Z17" s="96">
        <v>0</v>
      </c>
      <c r="AA17" s="96">
        <v>10</v>
      </c>
      <c r="AB17" s="96">
        <f t="shared" si="22"/>
        <v>-3.0043352601156075</v>
      </c>
      <c r="AC17" s="96">
        <f t="shared" si="23"/>
        <v>-1890</v>
      </c>
    </row>
    <row r="18" spans="1:38" s="65" customFormat="1" x14ac:dyDescent="0.25">
      <c r="A18" s="98" t="s">
        <v>178</v>
      </c>
      <c r="B18" s="113">
        <v>346</v>
      </c>
      <c r="C18" s="113">
        <v>630</v>
      </c>
      <c r="D18" s="113">
        <v>2000</v>
      </c>
      <c r="E18" s="98">
        <v>6000</v>
      </c>
      <c r="F18" s="98">
        <v>470</v>
      </c>
      <c r="G18" s="98">
        <v>80</v>
      </c>
      <c r="H18" s="98">
        <v>780</v>
      </c>
      <c r="I18" s="98">
        <v>80</v>
      </c>
      <c r="J18" s="98">
        <f>+F18*G18</f>
        <v>37600</v>
      </c>
      <c r="K18" s="98">
        <f>+H18*I18</f>
        <v>62400</v>
      </c>
      <c r="L18" s="98">
        <f>IF(B18&gt;F18, F18, B18)</f>
        <v>346</v>
      </c>
      <c r="M18" s="98">
        <f t="shared" si="9"/>
        <v>630</v>
      </c>
      <c r="N18" s="98">
        <f t="shared" si="10"/>
        <v>2000</v>
      </c>
      <c r="O18" s="98">
        <f t="shared" si="11"/>
        <v>3.1746031746031744</v>
      </c>
      <c r="P18" s="98">
        <f t="shared" si="12"/>
        <v>8000</v>
      </c>
      <c r="Q18" s="98">
        <f t="shared" si="13"/>
        <v>23.121387283236995</v>
      </c>
      <c r="R18" s="98">
        <v>350</v>
      </c>
      <c r="S18" s="98">
        <v>20</v>
      </c>
      <c r="T18" s="98">
        <v>30000</v>
      </c>
      <c r="U18" s="98">
        <v>0</v>
      </c>
      <c r="V18" s="98">
        <v>-2</v>
      </c>
      <c r="W18" s="98">
        <v>0</v>
      </c>
      <c r="X18" s="98">
        <v>10</v>
      </c>
      <c r="Y18" s="98">
        <v>0</v>
      </c>
      <c r="Z18" s="98">
        <v>2000</v>
      </c>
      <c r="AA18" s="98">
        <v>10</v>
      </c>
      <c r="AB18" s="98">
        <v>-3.2</v>
      </c>
      <c r="AC18" s="98">
        <v>-5020</v>
      </c>
      <c r="AD18" s="115"/>
      <c r="AE18" s="115"/>
      <c r="AF18" s="115"/>
      <c r="AG18" s="115"/>
      <c r="AH18" s="115"/>
      <c r="AI18" s="115"/>
      <c r="AJ18" s="115"/>
      <c r="AK18" s="115"/>
      <c r="AL18" s="115"/>
    </row>
    <row r="19" spans="1:38" x14ac:dyDescent="0.25">
      <c r="A19" s="97" t="s">
        <v>276</v>
      </c>
      <c r="B19" s="112">
        <v>346</v>
      </c>
      <c r="C19" s="112">
        <f t="shared" si="5"/>
        <v>629.09090909090901</v>
      </c>
      <c r="D19" s="96">
        <v>1890</v>
      </c>
      <c r="E19" s="96">
        <v>6000</v>
      </c>
      <c r="F19" s="96">
        <v>470</v>
      </c>
      <c r="G19" s="96">
        <v>80</v>
      </c>
      <c r="H19" s="96">
        <v>780</v>
      </c>
      <c r="I19" s="96">
        <v>80</v>
      </c>
      <c r="J19" s="96">
        <f t="shared" ref="J19:J22" si="24">+F19*G19</f>
        <v>37600</v>
      </c>
      <c r="K19" s="96">
        <f t="shared" ref="K19:K22" si="25">+H19*I19</f>
        <v>62400</v>
      </c>
      <c r="L19" s="99">
        <f t="shared" ref="L19:L22" si="26">IF(B19&gt;F19, F19, B19)</f>
        <v>346</v>
      </c>
      <c r="M19" s="99">
        <f t="shared" ref="M19:M22" si="27">IF(C19&gt;H19, H19, C19)</f>
        <v>629.09090909090901</v>
      </c>
      <c r="N19" s="99">
        <f t="shared" ref="N19:N22" si="28">IF(D19&gt;K19, K19, D19)</f>
        <v>1890</v>
      </c>
      <c r="O19" s="99">
        <f t="shared" ref="O19:O22" si="29">MIN(I19,+N19/M19)</f>
        <v>3.0043352601156075</v>
      </c>
      <c r="P19" s="99">
        <f t="shared" ref="P19:P22" si="30">MIN(N19+E19,J19)</f>
        <v>7890</v>
      </c>
      <c r="Q19" s="99">
        <f t="shared" ref="Q19:Q22" si="31">MIN(P19/L19,G19)</f>
        <v>22.803468208092486</v>
      </c>
      <c r="R19" s="96">
        <f t="shared" ref="R19:R22" si="32">L19</f>
        <v>346</v>
      </c>
      <c r="S19" s="96">
        <f t="shared" ref="S19:S22" si="33">Q19</f>
        <v>22.803468208092486</v>
      </c>
      <c r="T19" s="96">
        <f t="shared" ref="T19:T22" si="34">P19</f>
        <v>7890</v>
      </c>
      <c r="U19" s="96">
        <v>0</v>
      </c>
      <c r="V19" s="96">
        <v>0</v>
      </c>
      <c r="W19" s="96">
        <v>0</v>
      </c>
      <c r="X19" s="96">
        <v>10</v>
      </c>
      <c r="Y19" s="96">
        <v>0</v>
      </c>
      <c r="Z19" s="96">
        <v>0</v>
      </c>
      <c r="AA19" s="96">
        <v>10</v>
      </c>
      <c r="AB19" s="96">
        <f t="shared" ref="AB19:AB22" si="35">-O19</f>
        <v>-3.0043352601156075</v>
      </c>
      <c r="AC19" s="96">
        <f t="shared" ref="AC19:AC22" si="36">-N19</f>
        <v>-1890</v>
      </c>
    </row>
    <row r="20" spans="1:38" x14ac:dyDescent="0.25">
      <c r="A20" s="97" t="s">
        <v>275</v>
      </c>
      <c r="B20" s="112">
        <v>346</v>
      </c>
      <c r="C20" s="112">
        <f t="shared" si="5"/>
        <v>629.09090909090901</v>
      </c>
      <c r="D20" s="96">
        <v>1260</v>
      </c>
      <c r="E20" s="96">
        <v>6000</v>
      </c>
      <c r="F20" s="96">
        <v>470</v>
      </c>
      <c r="G20" s="96">
        <v>80</v>
      </c>
      <c r="H20" s="96">
        <v>780</v>
      </c>
      <c r="I20" s="96">
        <v>80</v>
      </c>
      <c r="J20" s="96">
        <f t="shared" si="24"/>
        <v>37600</v>
      </c>
      <c r="K20" s="96">
        <f t="shared" si="25"/>
        <v>62400</v>
      </c>
      <c r="L20" s="99">
        <f t="shared" si="26"/>
        <v>346</v>
      </c>
      <c r="M20" s="99">
        <f t="shared" si="27"/>
        <v>629.09090909090901</v>
      </c>
      <c r="N20" s="99">
        <f t="shared" si="28"/>
        <v>1260</v>
      </c>
      <c r="O20" s="99">
        <f t="shared" si="29"/>
        <v>2.002890173410405</v>
      </c>
      <c r="P20" s="99">
        <f t="shared" si="30"/>
        <v>7260</v>
      </c>
      <c r="Q20" s="99">
        <f t="shared" si="31"/>
        <v>20.982658959537574</v>
      </c>
      <c r="R20" s="96">
        <f t="shared" si="32"/>
        <v>346</v>
      </c>
      <c r="S20" s="96">
        <f t="shared" si="33"/>
        <v>20.982658959537574</v>
      </c>
      <c r="T20" s="96">
        <f t="shared" si="34"/>
        <v>7260</v>
      </c>
      <c r="U20" s="96">
        <v>0</v>
      </c>
      <c r="V20" s="96">
        <v>0</v>
      </c>
      <c r="W20" s="96">
        <v>0</v>
      </c>
      <c r="X20" s="96">
        <v>10</v>
      </c>
      <c r="Y20" s="96">
        <v>0</v>
      </c>
      <c r="Z20" s="96">
        <v>0</v>
      </c>
      <c r="AA20" s="96">
        <v>10</v>
      </c>
      <c r="AB20" s="96">
        <f t="shared" si="35"/>
        <v>-2.002890173410405</v>
      </c>
      <c r="AC20" s="96">
        <f t="shared" si="36"/>
        <v>-1260</v>
      </c>
    </row>
    <row r="21" spans="1:38" x14ac:dyDescent="0.25">
      <c r="A21" s="97" t="s">
        <v>274</v>
      </c>
      <c r="B21" s="112">
        <v>346</v>
      </c>
      <c r="C21" s="112">
        <f t="shared" si="5"/>
        <v>629.09090909090901</v>
      </c>
      <c r="D21" s="96">
        <v>630</v>
      </c>
      <c r="E21" s="96">
        <v>6000</v>
      </c>
      <c r="F21" s="96">
        <v>470</v>
      </c>
      <c r="G21" s="96">
        <v>80</v>
      </c>
      <c r="H21" s="96">
        <v>780</v>
      </c>
      <c r="I21" s="96">
        <v>80</v>
      </c>
      <c r="J21" s="96">
        <f t="shared" si="24"/>
        <v>37600</v>
      </c>
      <c r="K21" s="96">
        <f t="shared" si="25"/>
        <v>62400</v>
      </c>
      <c r="L21" s="99">
        <f t="shared" si="26"/>
        <v>346</v>
      </c>
      <c r="M21" s="99">
        <f t="shared" si="27"/>
        <v>629.09090909090901</v>
      </c>
      <c r="N21" s="99">
        <f t="shared" si="28"/>
        <v>630</v>
      </c>
      <c r="O21" s="99">
        <f t="shared" si="29"/>
        <v>1.0014450867052025</v>
      </c>
      <c r="P21" s="99">
        <f t="shared" si="30"/>
        <v>6630</v>
      </c>
      <c r="Q21" s="99">
        <f t="shared" si="31"/>
        <v>19.161849710982658</v>
      </c>
      <c r="R21" s="96">
        <f t="shared" si="32"/>
        <v>346</v>
      </c>
      <c r="S21" s="96">
        <f t="shared" si="33"/>
        <v>19.161849710982658</v>
      </c>
      <c r="T21" s="96">
        <f t="shared" si="34"/>
        <v>6630</v>
      </c>
      <c r="U21" s="96">
        <v>0</v>
      </c>
      <c r="V21" s="96">
        <v>0</v>
      </c>
      <c r="W21" s="96">
        <v>0</v>
      </c>
      <c r="X21" s="96">
        <v>10</v>
      </c>
      <c r="Y21" s="96">
        <v>0</v>
      </c>
      <c r="Z21" s="96">
        <v>0</v>
      </c>
      <c r="AA21" s="96">
        <v>10</v>
      </c>
      <c r="AB21" s="96">
        <f t="shared" si="35"/>
        <v>-1.0014450867052025</v>
      </c>
      <c r="AC21" s="96">
        <f t="shared" si="36"/>
        <v>-630</v>
      </c>
    </row>
    <row r="22" spans="1:38" s="118" customFormat="1" x14ac:dyDescent="0.25">
      <c r="A22" s="116" t="s">
        <v>263</v>
      </c>
      <c r="B22" s="117">
        <v>346</v>
      </c>
      <c r="C22" s="117">
        <f t="shared" si="5"/>
        <v>629.09090909090901</v>
      </c>
      <c r="D22" s="117">
        <v>10</v>
      </c>
      <c r="E22" s="116">
        <v>6000</v>
      </c>
      <c r="F22" s="116">
        <v>470</v>
      </c>
      <c r="G22" s="116">
        <v>80</v>
      </c>
      <c r="H22" s="116">
        <v>780</v>
      </c>
      <c r="I22" s="116">
        <v>80</v>
      </c>
      <c r="J22" s="116">
        <f t="shared" si="24"/>
        <v>37600</v>
      </c>
      <c r="K22" s="116">
        <f t="shared" si="25"/>
        <v>62400</v>
      </c>
      <c r="L22" s="116">
        <f t="shared" si="26"/>
        <v>346</v>
      </c>
      <c r="M22" s="116">
        <f t="shared" si="27"/>
        <v>629.09090909090901</v>
      </c>
      <c r="N22" s="116">
        <f t="shared" si="28"/>
        <v>10</v>
      </c>
      <c r="O22" s="116">
        <f t="shared" si="29"/>
        <v>1.5895953757225436E-2</v>
      </c>
      <c r="P22" s="116">
        <f t="shared" si="30"/>
        <v>6010</v>
      </c>
      <c r="Q22" s="116">
        <f t="shared" si="31"/>
        <v>17.369942196531792</v>
      </c>
      <c r="R22" s="116">
        <f t="shared" si="32"/>
        <v>346</v>
      </c>
      <c r="S22" s="116">
        <f t="shared" si="33"/>
        <v>17.369942196531792</v>
      </c>
      <c r="T22" s="116">
        <f t="shared" si="34"/>
        <v>6010</v>
      </c>
      <c r="U22" s="116">
        <v>0</v>
      </c>
      <c r="V22" s="116">
        <v>0</v>
      </c>
      <c r="W22" s="116">
        <v>0</v>
      </c>
      <c r="X22" s="116">
        <v>10</v>
      </c>
      <c r="Y22" s="116">
        <v>0</v>
      </c>
      <c r="Z22" s="116">
        <v>0</v>
      </c>
      <c r="AA22" s="116">
        <v>10</v>
      </c>
      <c r="AB22" s="116">
        <f t="shared" si="35"/>
        <v>-1.5895953757225436E-2</v>
      </c>
      <c r="AC22" s="116">
        <f t="shared" si="36"/>
        <v>-10</v>
      </c>
    </row>
    <row r="23" spans="1:38" x14ac:dyDescent="0.25">
      <c r="A23" s="97" t="s">
        <v>295</v>
      </c>
      <c r="B23" s="112">
        <v>380</v>
      </c>
      <c r="C23" s="112">
        <f>+B23/0.55</f>
        <v>690.90909090909088</v>
      </c>
      <c r="D23" s="112">
        <v>10</v>
      </c>
      <c r="E23" s="96">
        <v>6000</v>
      </c>
      <c r="F23" s="96">
        <v>470</v>
      </c>
      <c r="G23" s="96">
        <v>80</v>
      </c>
      <c r="H23" s="96">
        <v>780</v>
      </c>
      <c r="I23" s="96">
        <v>80</v>
      </c>
      <c r="J23" s="96">
        <f>+F23*G23</f>
        <v>37600</v>
      </c>
      <c r="K23" s="96">
        <f>+H23*I23</f>
        <v>62400</v>
      </c>
      <c r="L23" s="99">
        <f>IF(B23&gt;F23, F23, B23)</f>
        <v>380</v>
      </c>
      <c r="M23" s="99">
        <f>IF(C23&gt;H23, H23, C23)</f>
        <v>690.90909090909088</v>
      </c>
      <c r="N23" s="99">
        <f>IF(D23&gt;K23, K23, D23)</f>
        <v>10</v>
      </c>
      <c r="O23" s="99">
        <f>MIN(I23,+N23/M23)</f>
        <v>1.4473684210526316E-2</v>
      </c>
      <c r="P23" s="99">
        <f>MIN(N23+E23,J23)</f>
        <v>6010</v>
      </c>
      <c r="Q23" s="99">
        <f>MIN(P23/L23,G23)</f>
        <v>15.815789473684211</v>
      </c>
      <c r="R23" s="96">
        <f>L23</f>
        <v>380</v>
      </c>
      <c r="S23" s="96">
        <f>Q23</f>
        <v>15.815789473684211</v>
      </c>
      <c r="T23" s="96">
        <f t="shared" ref="T23" si="37">P23</f>
        <v>6010</v>
      </c>
      <c r="U23" s="96">
        <v>0</v>
      </c>
      <c r="V23" s="96">
        <v>0</v>
      </c>
      <c r="W23" s="96">
        <v>0</v>
      </c>
      <c r="X23" s="96">
        <v>10</v>
      </c>
      <c r="Y23" s="96">
        <v>0</v>
      </c>
      <c r="Z23" s="96">
        <v>0</v>
      </c>
      <c r="AA23" s="96">
        <v>10</v>
      </c>
      <c r="AB23" s="96">
        <f>-O23</f>
        <v>-1.4473684210526316E-2</v>
      </c>
      <c r="AC23" s="96">
        <f>-N23</f>
        <v>-10</v>
      </c>
    </row>
    <row r="24" spans="1:38" x14ac:dyDescent="0.25">
      <c r="A24" s="97" t="s">
        <v>296</v>
      </c>
      <c r="B24" s="112">
        <v>410</v>
      </c>
      <c r="C24" s="112">
        <f t="shared" si="5"/>
        <v>745.45454545454538</v>
      </c>
      <c r="D24" s="112">
        <v>10</v>
      </c>
      <c r="E24" s="96">
        <v>6000</v>
      </c>
      <c r="F24" s="96">
        <v>470</v>
      </c>
      <c r="G24" s="96">
        <v>80</v>
      </c>
      <c r="H24" s="96">
        <v>780</v>
      </c>
      <c r="I24" s="96">
        <v>80</v>
      </c>
      <c r="J24" s="96">
        <f t="shared" ref="J24" si="38">+F24*G24</f>
        <v>37600</v>
      </c>
      <c r="K24" s="96">
        <f t="shared" ref="K24" si="39">+H24*I24</f>
        <v>62400</v>
      </c>
      <c r="L24" s="99">
        <f t="shared" ref="L24" si="40">IF(B24&gt;F24, F24, B24)</f>
        <v>410</v>
      </c>
      <c r="M24" s="99">
        <f t="shared" ref="M24" si="41">IF(C24&gt;H24, H24, C24)</f>
        <v>745.45454545454538</v>
      </c>
      <c r="N24" s="99">
        <f t="shared" ref="N24" si="42">IF(D24&gt;K24, K24, D24)</f>
        <v>10</v>
      </c>
      <c r="O24" s="99">
        <f t="shared" ref="O24" si="43">MIN(I24,+N24/M24)</f>
        <v>1.3414634146341465E-2</v>
      </c>
      <c r="P24" s="99">
        <f t="shared" ref="P24" si="44">MIN(N24+E24,J24)</f>
        <v>6010</v>
      </c>
      <c r="Q24" s="99">
        <f t="shared" ref="Q24" si="45">MIN(P24/L24,G24)</f>
        <v>14.658536585365853</v>
      </c>
      <c r="R24" s="96">
        <f t="shared" ref="R24" si="46">L24</f>
        <v>410</v>
      </c>
      <c r="S24" s="96">
        <f t="shared" ref="S24" si="47">Q24</f>
        <v>14.658536585365853</v>
      </c>
      <c r="T24" s="96">
        <f t="shared" ref="T24" si="48">P24</f>
        <v>6010</v>
      </c>
      <c r="U24" s="96">
        <v>0</v>
      </c>
      <c r="V24" s="96">
        <v>0</v>
      </c>
      <c r="W24" s="96">
        <v>0</v>
      </c>
      <c r="X24" s="96">
        <v>10</v>
      </c>
      <c r="Y24" s="96">
        <v>0</v>
      </c>
      <c r="Z24" s="96">
        <v>0</v>
      </c>
      <c r="AA24" s="96">
        <v>10</v>
      </c>
      <c r="AB24" s="96">
        <f t="shared" ref="AB24" si="49">-O24</f>
        <v>-1.3414634146341465E-2</v>
      </c>
      <c r="AC24" s="96">
        <f t="shared" ref="AC24" si="50">-N24</f>
        <v>-10</v>
      </c>
    </row>
    <row r="25" spans="1:38" x14ac:dyDescent="0.25">
      <c r="A25" s="97" t="s">
        <v>294</v>
      </c>
      <c r="B25" s="112">
        <v>430</v>
      </c>
      <c r="C25" s="112">
        <f t="shared" si="5"/>
        <v>781.81818181818176</v>
      </c>
      <c r="D25" s="112">
        <v>10</v>
      </c>
      <c r="E25" s="96">
        <v>6000</v>
      </c>
      <c r="F25" s="96">
        <v>470</v>
      </c>
      <c r="G25" s="96">
        <v>80</v>
      </c>
      <c r="H25" s="96">
        <v>780</v>
      </c>
      <c r="I25" s="96">
        <v>80</v>
      </c>
      <c r="J25" s="96">
        <f t="shared" ref="J25" si="51">+F25*G25</f>
        <v>37600</v>
      </c>
      <c r="K25" s="96">
        <f t="shared" ref="K25" si="52">+H25*I25</f>
        <v>62400</v>
      </c>
      <c r="L25" s="99">
        <f t="shared" ref="L25" si="53">IF(B25&gt;F25, F25, B25)</f>
        <v>430</v>
      </c>
      <c r="M25" s="99">
        <f t="shared" ref="M25" si="54">IF(C25&gt;H25, H25, C25)</f>
        <v>780</v>
      </c>
      <c r="N25" s="99">
        <f t="shared" ref="N25" si="55">IF(D25&gt;K25, K25, D25)</f>
        <v>10</v>
      </c>
      <c r="O25" s="99">
        <f t="shared" ref="O25" si="56">MIN(I25,+N25/M25)</f>
        <v>1.282051282051282E-2</v>
      </c>
      <c r="P25" s="99">
        <f t="shared" ref="P25" si="57">MIN(N25+E25,J25)</f>
        <v>6010</v>
      </c>
      <c r="Q25" s="99">
        <f t="shared" ref="Q25" si="58">MIN(P25/L25,G25)</f>
        <v>13.976744186046512</v>
      </c>
      <c r="R25" s="96">
        <f t="shared" ref="R25" si="59">L25</f>
        <v>430</v>
      </c>
      <c r="S25" s="96">
        <f t="shared" ref="S25" si="60">Q25</f>
        <v>13.976744186046512</v>
      </c>
      <c r="T25" s="96">
        <f t="shared" ref="T25" si="61">P25</f>
        <v>6010</v>
      </c>
      <c r="U25" s="96">
        <v>0</v>
      </c>
      <c r="V25" s="96">
        <v>0</v>
      </c>
      <c r="W25" s="96">
        <v>0</v>
      </c>
      <c r="X25" s="96">
        <v>10</v>
      </c>
      <c r="Y25" s="96">
        <v>0</v>
      </c>
      <c r="Z25" s="96">
        <v>0</v>
      </c>
      <c r="AA25" s="96">
        <v>10</v>
      </c>
      <c r="AB25" s="96">
        <f t="shared" ref="AB25" si="62">-O25</f>
        <v>-1.282051282051282E-2</v>
      </c>
      <c r="AC25" s="96">
        <f t="shared" ref="AC25" si="63">-N25</f>
        <v>-10</v>
      </c>
    </row>
    <row r="26" spans="1:38" x14ac:dyDescent="0.25">
      <c r="A26" s="97" t="s">
        <v>291</v>
      </c>
      <c r="B26" s="112">
        <v>430</v>
      </c>
      <c r="C26" s="112">
        <f t="shared" si="5"/>
        <v>781.81818181818176</v>
      </c>
      <c r="D26" s="96">
        <v>500</v>
      </c>
      <c r="E26" s="96">
        <v>6000</v>
      </c>
      <c r="F26" s="96">
        <v>470</v>
      </c>
      <c r="G26" s="96">
        <v>80</v>
      </c>
      <c r="H26" s="96">
        <v>780</v>
      </c>
      <c r="I26" s="96">
        <v>80</v>
      </c>
      <c r="J26" s="96">
        <f t="shared" ref="J26:J28" si="64">+F26*G26</f>
        <v>37600</v>
      </c>
      <c r="K26" s="96">
        <f t="shared" ref="K26:K28" si="65">+H26*I26</f>
        <v>62400</v>
      </c>
      <c r="L26" s="99">
        <f t="shared" ref="L26:L28" si="66">IF(B26&gt;F26, F26, B26)</f>
        <v>430</v>
      </c>
      <c r="M26" s="99">
        <f t="shared" ref="M26:M28" si="67">IF(C26&gt;H26, H26, C26)</f>
        <v>780</v>
      </c>
      <c r="N26" s="99">
        <f t="shared" ref="N26:N28" si="68">IF(D26&gt;K26, K26, D26)</f>
        <v>500</v>
      </c>
      <c r="O26" s="99">
        <f t="shared" ref="O26:O28" si="69">MIN(I26,+N26/M26)</f>
        <v>0.64102564102564108</v>
      </c>
      <c r="P26" s="99">
        <f t="shared" ref="P26:P28" si="70">MIN(N26+E26,J26)</f>
        <v>6500</v>
      </c>
      <c r="Q26" s="99">
        <f t="shared" ref="Q26:Q28" si="71">MIN(P26/L26,G26)</f>
        <v>15.116279069767442</v>
      </c>
      <c r="R26" s="96">
        <f t="shared" ref="R26:R28" si="72">L26</f>
        <v>430</v>
      </c>
      <c r="S26" s="96">
        <f t="shared" ref="S26:S28" si="73">Q26</f>
        <v>15.116279069767442</v>
      </c>
      <c r="T26" s="96">
        <f t="shared" ref="T26:T28" si="74">P26</f>
        <v>6500</v>
      </c>
      <c r="U26" s="96">
        <v>0</v>
      </c>
      <c r="V26" s="96">
        <v>0</v>
      </c>
      <c r="W26" s="96">
        <v>0</v>
      </c>
      <c r="X26" s="96">
        <v>10</v>
      </c>
      <c r="Y26" s="96">
        <v>0</v>
      </c>
      <c r="Z26" s="96">
        <v>0</v>
      </c>
      <c r="AA26" s="96">
        <v>10</v>
      </c>
      <c r="AB26" s="96">
        <f t="shared" ref="AB26:AB28" si="75">-O26</f>
        <v>-0.64102564102564108</v>
      </c>
      <c r="AC26" s="96">
        <f t="shared" ref="AC26:AC28" si="76">-N26</f>
        <v>-500</v>
      </c>
    </row>
    <row r="27" spans="1:38" x14ac:dyDescent="0.25">
      <c r="A27" s="97" t="s">
        <v>292</v>
      </c>
      <c r="B27" s="112">
        <v>430</v>
      </c>
      <c r="C27" s="112">
        <f t="shared" si="5"/>
        <v>781.81818181818176</v>
      </c>
      <c r="D27" s="96">
        <v>1000</v>
      </c>
      <c r="E27" s="96">
        <v>6000</v>
      </c>
      <c r="F27" s="96">
        <v>470</v>
      </c>
      <c r="G27" s="96">
        <v>80</v>
      </c>
      <c r="H27" s="96">
        <v>780</v>
      </c>
      <c r="I27" s="96">
        <v>80</v>
      </c>
      <c r="J27" s="96">
        <f t="shared" si="64"/>
        <v>37600</v>
      </c>
      <c r="K27" s="96">
        <f t="shared" si="65"/>
        <v>62400</v>
      </c>
      <c r="L27" s="99">
        <f t="shared" si="66"/>
        <v>430</v>
      </c>
      <c r="M27" s="99">
        <f t="shared" si="67"/>
        <v>780</v>
      </c>
      <c r="N27" s="99">
        <f t="shared" si="68"/>
        <v>1000</v>
      </c>
      <c r="O27" s="99">
        <f t="shared" si="69"/>
        <v>1.2820512820512822</v>
      </c>
      <c r="P27" s="99">
        <f t="shared" si="70"/>
        <v>7000</v>
      </c>
      <c r="Q27" s="99">
        <f t="shared" si="71"/>
        <v>16.279069767441861</v>
      </c>
      <c r="R27" s="96">
        <f t="shared" si="72"/>
        <v>430</v>
      </c>
      <c r="S27" s="96">
        <f t="shared" si="73"/>
        <v>16.279069767441861</v>
      </c>
      <c r="T27" s="96">
        <f t="shared" si="74"/>
        <v>7000</v>
      </c>
      <c r="U27" s="96">
        <v>0</v>
      </c>
      <c r="V27" s="96">
        <v>0</v>
      </c>
      <c r="W27" s="96">
        <v>0</v>
      </c>
      <c r="X27" s="96">
        <v>10</v>
      </c>
      <c r="Y27" s="96">
        <v>0</v>
      </c>
      <c r="Z27" s="96">
        <v>0</v>
      </c>
      <c r="AA27" s="96">
        <v>10</v>
      </c>
      <c r="AB27" s="96">
        <f t="shared" si="75"/>
        <v>-1.2820512820512822</v>
      </c>
      <c r="AC27" s="96">
        <f t="shared" si="76"/>
        <v>-1000</v>
      </c>
    </row>
    <row r="28" spans="1:38" x14ac:dyDescent="0.25">
      <c r="A28" s="97" t="s">
        <v>293</v>
      </c>
      <c r="B28" s="112">
        <v>430</v>
      </c>
      <c r="C28" s="112">
        <f t="shared" si="5"/>
        <v>781.81818181818176</v>
      </c>
      <c r="D28" s="96">
        <v>1500</v>
      </c>
      <c r="E28" s="96">
        <v>6000</v>
      </c>
      <c r="F28" s="96">
        <v>470</v>
      </c>
      <c r="G28" s="96">
        <v>80</v>
      </c>
      <c r="H28" s="96">
        <v>780</v>
      </c>
      <c r="I28" s="96">
        <v>80</v>
      </c>
      <c r="J28" s="96">
        <f t="shared" si="64"/>
        <v>37600</v>
      </c>
      <c r="K28" s="96">
        <f t="shared" si="65"/>
        <v>62400</v>
      </c>
      <c r="L28" s="99">
        <f t="shared" si="66"/>
        <v>430</v>
      </c>
      <c r="M28" s="99">
        <f t="shared" si="67"/>
        <v>780</v>
      </c>
      <c r="N28" s="99">
        <f t="shared" si="68"/>
        <v>1500</v>
      </c>
      <c r="O28" s="99">
        <f t="shared" si="69"/>
        <v>1.9230769230769231</v>
      </c>
      <c r="P28" s="99">
        <f t="shared" si="70"/>
        <v>7500</v>
      </c>
      <c r="Q28" s="99">
        <f t="shared" si="71"/>
        <v>17.441860465116278</v>
      </c>
      <c r="R28" s="96">
        <f t="shared" si="72"/>
        <v>430</v>
      </c>
      <c r="S28" s="96">
        <f t="shared" si="73"/>
        <v>17.441860465116278</v>
      </c>
      <c r="T28" s="96">
        <f t="shared" si="74"/>
        <v>7500</v>
      </c>
      <c r="U28" s="96">
        <v>0</v>
      </c>
      <c r="V28" s="96">
        <v>0</v>
      </c>
      <c r="W28" s="96">
        <v>0</v>
      </c>
      <c r="X28" s="96">
        <v>10</v>
      </c>
      <c r="Y28" s="96">
        <v>0</v>
      </c>
      <c r="Z28" s="96">
        <v>0</v>
      </c>
      <c r="AA28" s="96">
        <v>10</v>
      </c>
      <c r="AB28" s="96">
        <f t="shared" si="75"/>
        <v>-1.9230769230769231</v>
      </c>
      <c r="AC28" s="96">
        <f t="shared" si="76"/>
        <v>-1500</v>
      </c>
    </row>
    <row r="29" spans="1:38" s="65" customFormat="1" x14ac:dyDescent="0.25">
      <c r="A29" s="98" t="s">
        <v>174</v>
      </c>
      <c r="B29" s="113">
        <v>430</v>
      </c>
      <c r="C29" s="113">
        <v>780</v>
      </c>
      <c r="D29" s="113">
        <v>2000</v>
      </c>
      <c r="E29" s="98">
        <v>6000</v>
      </c>
      <c r="F29" s="98">
        <v>470</v>
      </c>
      <c r="G29" s="98">
        <v>80</v>
      </c>
      <c r="H29" s="98">
        <v>780</v>
      </c>
      <c r="I29" s="98">
        <v>80</v>
      </c>
      <c r="J29" s="98">
        <f>+F29*G29</f>
        <v>37600</v>
      </c>
      <c r="K29" s="98">
        <f>+H29*I29</f>
        <v>62400</v>
      </c>
      <c r="L29" s="98">
        <f>IF(B29&gt;F29, F29, B29)</f>
        <v>430</v>
      </c>
      <c r="M29" s="98">
        <f>IF(C29&gt;H29, H29, C29)</f>
        <v>780</v>
      </c>
      <c r="N29" s="98">
        <f>IF(D29&gt;K29, K29, D29)</f>
        <v>2000</v>
      </c>
      <c r="O29" s="98">
        <f>MIN(I29,+N29/M29)</f>
        <v>2.5641025641025643</v>
      </c>
      <c r="P29" s="98">
        <f>MIN(N29+E29,J29)</f>
        <v>8000</v>
      </c>
      <c r="Q29" s="98">
        <f>MIN(P29/L29,G29)</f>
        <v>18.604651162790699</v>
      </c>
      <c r="R29" s="98">
        <v>430</v>
      </c>
      <c r="S29" s="98">
        <v>20</v>
      </c>
      <c r="T29" s="98">
        <v>30000</v>
      </c>
      <c r="U29" s="98">
        <v>0</v>
      </c>
      <c r="V29" s="98">
        <v>-2</v>
      </c>
      <c r="W29" s="98">
        <v>0</v>
      </c>
      <c r="X29" s="98">
        <v>10</v>
      </c>
      <c r="Y29" s="98">
        <v>0</v>
      </c>
      <c r="Z29" s="98">
        <v>2000</v>
      </c>
      <c r="AA29" s="98">
        <v>10</v>
      </c>
      <c r="AB29" s="98">
        <v>-2.5</v>
      </c>
      <c r="AC29" s="98">
        <v>-5020</v>
      </c>
      <c r="AD29" s="115"/>
      <c r="AE29" s="115"/>
      <c r="AF29" s="115"/>
      <c r="AG29" s="115"/>
      <c r="AH29" s="115"/>
      <c r="AI29" s="115"/>
      <c r="AJ29" s="114"/>
      <c r="AK29" s="115"/>
      <c r="AL29" s="115"/>
    </row>
    <row r="30" spans="1:38" x14ac:dyDescent="0.25">
      <c r="A30" s="97" t="s">
        <v>296</v>
      </c>
      <c r="B30" s="112">
        <v>410</v>
      </c>
      <c r="C30" s="112">
        <f t="shared" si="5"/>
        <v>745.45454545454538</v>
      </c>
      <c r="D30" s="112">
        <v>10</v>
      </c>
      <c r="E30" s="96">
        <v>6000</v>
      </c>
      <c r="F30" s="96">
        <v>470</v>
      </c>
      <c r="G30" s="96">
        <v>80</v>
      </c>
      <c r="H30" s="96">
        <v>780</v>
      </c>
      <c r="I30" s="96">
        <v>80</v>
      </c>
      <c r="J30" s="96">
        <f t="shared" ref="J30" si="77">+F30*G30</f>
        <v>37600</v>
      </c>
      <c r="K30" s="96">
        <f t="shared" ref="K30" si="78">+H30*I30</f>
        <v>62400</v>
      </c>
      <c r="L30" s="99">
        <f t="shared" ref="L30" si="79">IF(B30&gt;F30, F30, B30)</f>
        <v>410</v>
      </c>
      <c r="M30" s="99">
        <f t="shared" ref="M30" si="80">IF(C30&gt;H30, H30, C30)</f>
        <v>745.45454545454538</v>
      </c>
      <c r="N30" s="99">
        <f t="shared" ref="N30" si="81">IF(D30&gt;K30, K30, D30)</f>
        <v>10</v>
      </c>
      <c r="O30" s="99">
        <f t="shared" ref="O30" si="82">MIN(I30,+N30/M30)</f>
        <v>1.3414634146341465E-2</v>
      </c>
      <c r="P30" s="99">
        <f t="shared" ref="P30" si="83">MIN(N30+E30,J30)</f>
        <v>6010</v>
      </c>
      <c r="Q30" s="99">
        <f t="shared" ref="Q30" si="84">MIN(P30/L30,G30)</f>
        <v>14.658536585365853</v>
      </c>
      <c r="R30" s="96">
        <f t="shared" ref="R30" si="85">L30</f>
        <v>410</v>
      </c>
      <c r="S30" s="96">
        <f t="shared" ref="S30" si="86">Q30</f>
        <v>14.658536585365853</v>
      </c>
      <c r="T30" s="96">
        <f t="shared" ref="T30:T31" si="87">P30</f>
        <v>6010</v>
      </c>
      <c r="U30" s="96">
        <v>0</v>
      </c>
      <c r="V30" s="96">
        <v>0</v>
      </c>
      <c r="W30" s="96">
        <v>0</v>
      </c>
      <c r="X30" s="96">
        <v>10</v>
      </c>
      <c r="Y30" s="96">
        <v>0</v>
      </c>
      <c r="Z30" s="96">
        <v>0</v>
      </c>
      <c r="AA30" s="96">
        <v>10</v>
      </c>
      <c r="AB30" s="96">
        <f t="shared" ref="AB30" si="88">-O30</f>
        <v>-1.3414634146341465E-2</v>
      </c>
      <c r="AC30" s="96">
        <f t="shared" ref="AC30" si="89">-N30</f>
        <v>-10</v>
      </c>
    </row>
    <row r="31" spans="1:38" x14ac:dyDescent="0.25">
      <c r="A31" s="97" t="s">
        <v>295</v>
      </c>
      <c r="B31" s="112">
        <v>380</v>
      </c>
      <c r="C31" s="112">
        <f>+B31/0.55</f>
        <v>690.90909090909088</v>
      </c>
      <c r="D31" s="112">
        <v>10</v>
      </c>
      <c r="E31" s="96">
        <v>6000</v>
      </c>
      <c r="F31" s="96">
        <v>470</v>
      </c>
      <c r="G31" s="96">
        <v>80</v>
      </c>
      <c r="H31" s="96">
        <v>780</v>
      </c>
      <c r="I31" s="96">
        <v>80</v>
      </c>
      <c r="J31" s="96">
        <f>+F31*G31</f>
        <v>37600</v>
      </c>
      <c r="K31" s="96">
        <f>+H31*I31</f>
        <v>62400</v>
      </c>
      <c r="L31" s="99">
        <f>IF(B31&gt;F31, F31, B31)</f>
        <v>380</v>
      </c>
      <c r="M31" s="99">
        <f>IF(C31&gt;H31, H31, C31)</f>
        <v>690.90909090909088</v>
      </c>
      <c r="N31" s="99">
        <f>IF(D31&gt;K31, K31, D31)</f>
        <v>10</v>
      </c>
      <c r="O31" s="99">
        <f>MIN(I31,+N31/M31)</f>
        <v>1.4473684210526316E-2</v>
      </c>
      <c r="P31" s="99">
        <f>MIN(N31+E31,J31)</f>
        <v>6010</v>
      </c>
      <c r="Q31" s="99">
        <f>MIN(P31/L31,G31)</f>
        <v>15.815789473684211</v>
      </c>
      <c r="R31" s="96">
        <f>L31</f>
        <v>380</v>
      </c>
      <c r="S31" s="96">
        <f>Q31</f>
        <v>15.815789473684211</v>
      </c>
      <c r="T31" s="96">
        <f t="shared" si="87"/>
        <v>6010</v>
      </c>
      <c r="U31" s="96">
        <v>0</v>
      </c>
      <c r="V31" s="96">
        <v>0</v>
      </c>
      <c r="W31" s="96">
        <v>0</v>
      </c>
      <c r="X31" s="96">
        <v>10</v>
      </c>
      <c r="Y31" s="96">
        <v>0</v>
      </c>
      <c r="Z31" s="96">
        <v>0</v>
      </c>
      <c r="AA31" s="96">
        <v>10</v>
      </c>
      <c r="AB31" s="96">
        <f>-O31</f>
        <v>-1.4473684210526316E-2</v>
      </c>
      <c r="AC31" s="96">
        <f>-N31</f>
        <v>-10</v>
      </c>
    </row>
    <row r="32" spans="1:38" s="65" customFormat="1" x14ac:dyDescent="0.25">
      <c r="A32" s="98" t="s">
        <v>178</v>
      </c>
      <c r="B32" s="113">
        <v>346</v>
      </c>
      <c r="C32" s="113">
        <v>630</v>
      </c>
      <c r="D32" s="113">
        <v>2000</v>
      </c>
      <c r="E32" s="98">
        <v>6000</v>
      </c>
      <c r="F32" s="98">
        <v>470</v>
      </c>
      <c r="G32" s="98">
        <v>80</v>
      </c>
      <c r="H32" s="98">
        <v>780</v>
      </c>
      <c r="I32" s="98">
        <v>80</v>
      </c>
      <c r="J32" s="98">
        <f>+F32*G32</f>
        <v>37600</v>
      </c>
      <c r="K32" s="98">
        <f>+H32*I32</f>
        <v>62400</v>
      </c>
      <c r="L32" s="98">
        <f>IF(B32&gt;F32, F32, B32)</f>
        <v>346</v>
      </c>
      <c r="M32" s="98">
        <f t="shared" ref="M32:M33" si="90">IF(C32&gt;H32, H32, C32)</f>
        <v>630</v>
      </c>
      <c r="N32" s="98">
        <f t="shared" ref="N32:N33" si="91">IF(D32&gt;K32, K32, D32)</f>
        <v>2000</v>
      </c>
      <c r="O32" s="98">
        <f t="shared" ref="O32:O33" si="92">MIN(I32,+N32/M32)</f>
        <v>3.1746031746031744</v>
      </c>
      <c r="P32" s="98">
        <f t="shared" ref="P32:P33" si="93">MIN(N32+E32,J32)</f>
        <v>8000</v>
      </c>
      <c r="Q32" s="98">
        <f t="shared" ref="Q32:Q33" si="94">MIN(P32/L32,G32)</f>
        <v>23.121387283236995</v>
      </c>
      <c r="R32" s="98">
        <v>350</v>
      </c>
      <c r="S32" s="98">
        <v>20</v>
      </c>
      <c r="T32" s="98">
        <v>30000</v>
      </c>
      <c r="U32" s="98">
        <v>0</v>
      </c>
      <c r="V32" s="98">
        <v>-2</v>
      </c>
      <c r="W32" s="98">
        <v>0</v>
      </c>
      <c r="X32" s="98">
        <v>10</v>
      </c>
      <c r="Y32" s="98">
        <v>0</v>
      </c>
      <c r="Z32" s="98">
        <v>2000</v>
      </c>
      <c r="AA32" s="98">
        <v>10</v>
      </c>
      <c r="AB32" s="98">
        <v>-3.2</v>
      </c>
      <c r="AC32" s="98">
        <v>-5020</v>
      </c>
      <c r="AD32" s="115"/>
      <c r="AE32" s="115"/>
      <c r="AF32" s="115"/>
      <c r="AG32" s="115"/>
      <c r="AH32" s="115"/>
      <c r="AI32" s="115"/>
      <c r="AJ32" s="115"/>
      <c r="AK32" s="115"/>
      <c r="AL32" s="115"/>
    </row>
    <row r="33" spans="1:38" x14ac:dyDescent="0.25">
      <c r="A33" s="97" t="s">
        <v>277</v>
      </c>
      <c r="B33" s="112">
        <v>346</v>
      </c>
      <c r="C33" s="112">
        <v>630</v>
      </c>
      <c r="D33" s="96">
        <v>2520</v>
      </c>
      <c r="E33" s="96">
        <v>6000</v>
      </c>
      <c r="F33" s="96">
        <v>470</v>
      </c>
      <c r="G33" s="96">
        <v>80</v>
      </c>
      <c r="H33" s="96">
        <v>780</v>
      </c>
      <c r="I33" s="96">
        <v>80</v>
      </c>
      <c r="J33" s="96">
        <f t="shared" ref="J33" si="95">+F33*G33</f>
        <v>37600</v>
      </c>
      <c r="K33" s="96">
        <f t="shared" ref="K33" si="96">+H33*I33</f>
        <v>62400</v>
      </c>
      <c r="L33" s="99">
        <f t="shared" ref="L33" si="97">IF(B33&gt;F33, F33, B33)</f>
        <v>346</v>
      </c>
      <c r="M33" s="99">
        <f t="shared" si="90"/>
        <v>630</v>
      </c>
      <c r="N33" s="99">
        <f t="shared" si="91"/>
        <v>2520</v>
      </c>
      <c r="O33" s="99">
        <f t="shared" si="92"/>
        <v>4</v>
      </c>
      <c r="P33" s="99">
        <f t="shared" si="93"/>
        <v>8520</v>
      </c>
      <c r="Q33" s="99">
        <f t="shared" si="94"/>
        <v>24.624277456647398</v>
      </c>
      <c r="R33" s="96">
        <f t="shared" ref="R33:R46" si="98">L33</f>
        <v>346</v>
      </c>
      <c r="S33" s="96">
        <f t="shared" ref="S33:S46" si="99">Q33</f>
        <v>24.624277456647398</v>
      </c>
      <c r="T33" s="96">
        <f t="shared" ref="T33:T46" si="100">P33</f>
        <v>8520</v>
      </c>
      <c r="U33" s="96">
        <v>0</v>
      </c>
      <c r="V33" s="96">
        <v>0</v>
      </c>
      <c r="W33" s="96">
        <v>0</v>
      </c>
      <c r="X33" s="96">
        <v>10</v>
      </c>
      <c r="Y33" s="96">
        <v>0</v>
      </c>
      <c r="Z33" s="96">
        <v>0</v>
      </c>
      <c r="AA33" s="96">
        <v>10</v>
      </c>
      <c r="AB33" s="96">
        <f t="shared" ref="AB33:AB46" si="101">-O33</f>
        <v>-4</v>
      </c>
      <c r="AC33" s="96">
        <f t="shared" ref="AC33:AC46" si="102">-N33</f>
        <v>-2520</v>
      </c>
    </row>
    <row r="34" spans="1:38" x14ac:dyDescent="0.25">
      <c r="A34" s="97" t="s">
        <v>278</v>
      </c>
      <c r="B34" s="112">
        <v>346</v>
      </c>
      <c r="C34" s="112">
        <v>630</v>
      </c>
      <c r="D34" s="96">
        <f>2520+1260</f>
        <v>3780</v>
      </c>
      <c r="E34" s="96">
        <v>6000</v>
      </c>
      <c r="F34" s="96">
        <v>470</v>
      </c>
      <c r="G34" s="96">
        <v>80</v>
      </c>
      <c r="H34" s="96">
        <v>780</v>
      </c>
      <c r="I34" s="96">
        <v>80</v>
      </c>
      <c r="J34" s="96">
        <f t="shared" ref="J34:J46" si="103">+F34*G34</f>
        <v>37600</v>
      </c>
      <c r="K34" s="96">
        <f t="shared" ref="K34:K46" si="104">+H34*I34</f>
        <v>62400</v>
      </c>
      <c r="L34" s="99">
        <f t="shared" ref="L34:L46" si="105">IF(B34&gt;F34, F34, B34)</f>
        <v>346</v>
      </c>
      <c r="M34" s="99">
        <f t="shared" ref="M34:M46" si="106">IF(C34&gt;H34, H34, C34)</f>
        <v>630</v>
      </c>
      <c r="N34" s="99">
        <f t="shared" ref="N34:N46" si="107">IF(D34&gt;K34, K34, D34)</f>
        <v>3780</v>
      </c>
      <c r="O34" s="99">
        <f t="shared" ref="O34:O46" si="108">MIN(I34,+N34/M34)</f>
        <v>6</v>
      </c>
      <c r="P34" s="99">
        <f t="shared" ref="P34:P46" si="109">MIN(N34+E34,J34)</f>
        <v>9780</v>
      </c>
      <c r="Q34" s="99">
        <f t="shared" ref="Q34:Q46" si="110">MIN(P34/L34,G34)</f>
        <v>28.265895953757227</v>
      </c>
      <c r="R34" s="96">
        <f t="shared" si="98"/>
        <v>346</v>
      </c>
      <c r="S34" s="96">
        <f t="shared" si="99"/>
        <v>28.265895953757227</v>
      </c>
      <c r="T34" s="96">
        <f t="shared" si="100"/>
        <v>9780</v>
      </c>
      <c r="U34" s="96">
        <v>0</v>
      </c>
      <c r="V34" s="96">
        <v>0</v>
      </c>
      <c r="W34" s="96">
        <v>0</v>
      </c>
      <c r="X34" s="96">
        <v>10</v>
      </c>
      <c r="Y34" s="96">
        <v>0</v>
      </c>
      <c r="Z34" s="96">
        <v>0</v>
      </c>
      <c r="AA34" s="96">
        <v>10</v>
      </c>
      <c r="AB34" s="96">
        <f t="shared" si="101"/>
        <v>-6</v>
      </c>
      <c r="AC34" s="96">
        <f t="shared" si="102"/>
        <v>-3780</v>
      </c>
    </row>
    <row r="35" spans="1:38" x14ac:dyDescent="0.25">
      <c r="A35" s="97" t="s">
        <v>279</v>
      </c>
      <c r="B35" s="112">
        <v>346</v>
      </c>
      <c r="C35" s="112">
        <v>630</v>
      </c>
      <c r="D35" s="96">
        <v>5040</v>
      </c>
      <c r="E35" s="96">
        <v>6000</v>
      </c>
      <c r="F35" s="96">
        <v>470</v>
      </c>
      <c r="G35" s="96">
        <v>80</v>
      </c>
      <c r="H35" s="96">
        <v>780</v>
      </c>
      <c r="I35" s="96">
        <v>80</v>
      </c>
      <c r="J35" s="96">
        <f t="shared" si="103"/>
        <v>37600</v>
      </c>
      <c r="K35" s="96">
        <f t="shared" si="104"/>
        <v>62400</v>
      </c>
      <c r="L35" s="99">
        <f t="shared" si="105"/>
        <v>346</v>
      </c>
      <c r="M35" s="99">
        <f t="shared" si="106"/>
        <v>630</v>
      </c>
      <c r="N35" s="99">
        <f t="shared" si="107"/>
        <v>5040</v>
      </c>
      <c r="O35" s="99">
        <f t="shared" si="108"/>
        <v>8</v>
      </c>
      <c r="P35" s="99">
        <f t="shared" si="109"/>
        <v>11040</v>
      </c>
      <c r="Q35" s="99">
        <f t="shared" si="110"/>
        <v>31.907514450867051</v>
      </c>
      <c r="R35" s="96">
        <f t="shared" si="98"/>
        <v>346</v>
      </c>
      <c r="S35" s="96">
        <f t="shared" si="99"/>
        <v>31.907514450867051</v>
      </c>
      <c r="T35" s="96">
        <f t="shared" si="100"/>
        <v>11040</v>
      </c>
      <c r="U35" s="96">
        <v>0</v>
      </c>
      <c r="V35" s="96">
        <v>0</v>
      </c>
      <c r="W35" s="96">
        <v>0</v>
      </c>
      <c r="X35" s="96">
        <v>10</v>
      </c>
      <c r="Y35" s="96">
        <v>0</v>
      </c>
      <c r="Z35" s="96">
        <v>0</v>
      </c>
      <c r="AA35" s="96">
        <v>10</v>
      </c>
      <c r="AB35" s="96">
        <f t="shared" si="101"/>
        <v>-8</v>
      </c>
      <c r="AC35" s="96">
        <f t="shared" si="102"/>
        <v>-5040</v>
      </c>
    </row>
    <row r="36" spans="1:38" x14ac:dyDescent="0.25">
      <c r="A36" s="97" t="s">
        <v>280</v>
      </c>
      <c r="B36" s="112">
        <v>346</v>
      </c>
      <c r="C36" s="112">
        <v>630</v>
      </c>
      <c r="D36" s="96">
        <v>6300</v>
      </c>
      <c r="E36" s="96">
        <v>6000</v>
      </c>
      <c r="F36" s="96">
        <v>470</v>
      </c>
      <c r="G36" s="96">
        <v>80</v>
      </c>
      <c r="H36" s="96">
        <v>780</v>
      </c>
      <c r="I36" s="96">
        <v>80</v>
      </c>
      <c r="J36" s="96">
        <f t="shared" si="103"/>
        <v>37600</v>
      </c>
      <c r="K36" s="96">
        <f t="shared" si="104"/>
        <v>62400</v>
      </c>
      <c r="L36" s="99">
        <f t="shared" si="105"/>
        <v>346</v>
      </c>
      <c r="M36" s="99">
        <f t="shared" si="106"/>
        <v>630</v>
      </c>
      <c r="N36" s="99">
        <f t="shared" si="107"/>
        <v>6300</v>
      </c>
      <c r="O36" s="99">
        <f t="shared" si="108"/>
        <v>10</v>
      </c>
      <c r="P36" s="99">
        <f t="shared" si="109"/>
        <v>12300</v>
      </c>
      <c r="Q36" s="99">
        <f t="shared" si="110"/>
        <v>35.549132947976879</v>
      </c>
      <c r="R36" s="96">
        <f t="shared" si="98"/>
        <v>346</v>
      </c>
      <c r="S36" s="96">
        <f t="shared" si="99"/>
        <v>35.549132947976879</v>
      </c>
      <c r="T36" s="96">
        <f t="shared" si="100"/>
        <v>12300</v>
      </c>
      <c r="U36" s="96">
        <v>0</v>
      </c>
      <c r="V36" s="96">
        <v>0</v>
      </c>
      <c r="W36" s="96">
        <v>0</v>
      </c>
      <c r="X36" s="96">
        <v>10</v>
      </c>
      <c r="Y36" s="96">
        <v>0</v>
      </c>
      <c r="Z36" s="96">
        <v>0</v>
      </c>
      <c r="AA36" s="96">
        <v>10</v>
      </c>
      <c r="AB36" s="96">
        <f t="shared" si="101"/>
        <v>-10</v>
      </c>
      <c r="AC36" s="96">
        <f t="shared" si="102"/>
        <v>-6300</v>
      </c>
    </row>
    <row r="37" spans="1:38" x14ac:dyDescent="0.25">
      <c r="A37" s="97" t="s">
        <v>281</v>
      </c>
      <c r="B37" s="112">
        <v>346</v>
      </c>
      <c r="C37" s="112">
        <v>630</v>
      </c>
      <c r="D37" s="96">
        <v>7560</v>
      </c>
      <c r="E37" s="96">
        <v>6000</v>
      </c>
      <c r="F37" s="96">
        <v>470</v>
      </c>
      <c r="G37" s="96">
        <v>80</v>
      </c>
      <c r="H37" s="96">
        <v>780</v>
      </c>
      <c r="I37" s="96">
        <v>80</v>
      </c>
      <c r="J37" s="96">
        <f t="shared" si="103"/>
        <v>37600</v>
      </c>
      <c r="K37" s="96">
        <f t="shared" si="104"/>
        <v>62400</v>
      </c>
      <c r="L37" s="99">
        <f t="shared" si="105"/>
        <v>346</v>
      </c>
      <c r="M37" s="99">
        <f t="shared" si="106"/>
        <v>630</v>
      </c>
      <c r="N37" s="99">
        <f t="shared" si="107"/>
        <v>7560</v>
      </c>
      <c r="O37" s="99">
        <f t="shared" si="108"/>
        <v>12</v>
      </c>
      <c r="P37" s="99">
        <f t="shared" si="109"/>
        <v>13560</v>
      </c>
      <c r="Q37" s="99">
        <f t="shared" si="110"/>
        <v>39.190751445086704</v>
      </c>
      <c r="R37" s="96">
        <f t="shared" si="98"/>
        <v>346</v>
      </c>
      <c r="S37" s="96">
        <f t="shared" si="99"/>
        <v>39.190751445086704</v>
      </c>
      <c r="T37" s="96">
        <f t="shared" si="100"/>
        <v>13560</v>
      </c>
      <c r="U37" s="96">
        <v>0</v>
      </c>
      <c r="V37" s="96">
        <v>0</v>
      </c>
      <c r="W37" s="96">
        <v>0</v>
      </c>
      <c r="X37" s="96">
        <v>10</v>
      </c>
      <c r="Y37" s="96">
        <v>0</v>
      </c>
      <c r="Z37" s="96">
        <v>0</v>
      </c>
      <c r="AA37" s="96">
        <v>10</v>
      </c>
      <c r="AB37" s="96">
        <f t="shared" si="101"/>
        <v>-12</v>
      </c>
      <c r="AC37" s="96">
        <f t="shared" si="102"/>
        <v>-7560</v>
      </c>
    </row>
    <row r="38" spans="1:38" x14ac:dyDescent="0.25">
      <c r="A38" s="97" t="s">
        <v>282</v>
      </c>
      <c r="B38" s="112">
        <v>346</v>
      </c>
      <c r="C38" s="112">
        <v>630</v>
      </c>
      <c r="D38" s="96">
        <v>8820</v>
      </c>
      <c r="E38" s="96">
        <v>6000</v>
      </c>
      <c r="F38" s="96">
        <v>470</v>
      </c>
      <c r="G38" s="96">
        <v>80</v>
      </c>
      <c r="H38" s="96">
        <v>780</v>
      </c>
      <c r="I38" s="96">
        <v>80</v>
      </c>
      <c r="J38" s="96">
        <f t="shared" si="103"/>
        <v>37600</v>
      </c>
      <c r="K38" s="96">
        <f t="shared" si="104"/>
        <v>62400</v>
      </c>
      <c r="L38" s="99">
        <f t="shared" si="105"/>
        <v>346</v>
      </c>
      <c r="M38" s="99">
        <f t="shared" si="106"/>
        <v>630</v>
      </c>
      <c r="N38" s="99">
        <f t="shared" si="107"/>
        <v>8820</v>
      </c>
      <c r="O38" s="99">
        <f t="shared" si="108"/>
        <v>14</v>
      </c>
      <c r="P38" s="99">
        <f t="shared" si="109"/>
        <v>14820</v>
      </c>
      <c r="Q38" s="99">
        <f t="shared" si="110"/>
        <v>42.832369942196529</v>
      </c>
      <c r="R38" s="96">
        <f t="shared" si="98"/>
        <v>346</v>
      </c>
      <c r="S38" s="96">
        <f t="shared" si="99"/>
        <v>42.832369942196529</v>
      </c>
      <c r="T38" s="96">
        <f t="shared" si="100"/>
        <v>14820</v>
      </c>
      <c r="U38" s="96">
        <v>0</v>
      </c>
      <c r="V38" s="96">
        <v>0</v>
      </c>
      <c r="W38" s="96">
        <v>0</v>
      </c>
      <c r="X38" s="96">
        <v>10</v>
      </c>
      <c r="Y38" s="96">
        <v>0</v>
      </c>
      <c r="Z38" s="96">
        <v>0</v>
      </c>
      <c r="AA38" s="96">
        <v>10</v>
      </c>
      <c r="AB38" s="96">
        <f t="shared" si="101"/>
        <v>-14</v>
      </c>
      <c r="AC38" s="96">
        <f t="shared" si="102"/>
        <v>-8820</v>
      </c>
    </row>
    <row r="39" spans="1:38" x14ac:dyDescent="0.25">
      <c r="A39" s="97" t="s">
        <v>283</v>
      </c>
      <c r="B39" s="112">
        <v>346</v>
      </c>
      <c r="C39" s="112">
        <v>630</v>
      </c>
      <c r="D39" s="96">
        <v>10080</v>
      </c>
      <c r="E39" s="96">
        <v>6000</v>
      </c>
      <c r="F39" s="96">
        <v>470</v>
      </c>
      <c r="G39" s="96">
        <v>80</v>
      </c>
      <c r="H39" s="96">
        <v>780</v>
      </c>
      <c r="I39" s="96">
        <v>80</v>
      </c>
      <c r="J39" s="96">
        <f t="shared" si="103"/>
        <v>37600</v>
      </c>
      <c r="K39" s="96">
        <f t="shared" si="104"/>
        <v>62400</v>
      </c>
      <c r="L39" s="99">
        <f t="shared" si="105"/>
        <v>346</v>
      </c>
      <c r="M39" s="99">
        <f t="shared" si="106"/>
        <v>630</v>
      </c>
      <c r="N39" s="99">
        <f t="shared" si="107"/>
        <v>10080</v>
      </c>
      <c r="O39" s="99">
        <f t="shared" si="108"/>
        <v>16</v>
      </c>
      <c r="P39" s="99">
        <f t="shared" si="109"/>
        <v>16080</v>
      </c>
      <c r="Q39" s="99">
        <f t="shared" si="110"/>
        <v>46.47398843930636</v>
      </c>
      <c r="R39" s="96">
        <f t="shared" si="98"/>
        <v>346</v>
      </c>
      <c r="S39" s="96">
        <f t="shared" si="99"/>
        <v>46.47398843930636</v>
      </c>
      <c r="T39" s="96">
        <f t="shared" si="100"/>
        <v>16080</v>
      </c>
      <c r="U39" s="96">
        <v>0</v>
      </c>
      <c r="V39" s="96">
        <v>0</v>
      </c>
      <c r="W39" s="96">
        <v>0</v>
      </c>
      <c r="X39" s="96">
        <v>10</v>
      </c>
      <c r="Y39" s="96">
        <v>0</v>
      </c>
      <c r="Z39" s="96">
        <v>0</v>
      </c>
      <c r="AA39" s="96">
        <v>10</v>
      </c>
      <c r="AB39" s="96">
        <f t="shared" si="101"/>
        <v>-16</v>
      </c>
      <c r="AC39" s="96">
        <f t="shared" si="102"/>
        <v>-10080</v>
      </c>
    </row>
    <row r="40" spans="1:38" x14ac:dyDescent="0.25">
      <c r="A40" s="97" t="s">
        <v>284</v>
      </c>
      <c r="B40" s="112">
        <v>346</v>
      </c>
      <c r="C40" s="112">
        <v>630</v>
      </c>
      <c r="D40" s="96">
        <v>11340</v>
      </c>
      <c r="E40" s="96">
        <v>6000</v>
      </c>
      <c r="F40" s="96">
        <v>470</v>
      </c>
      <c r="G40" s="96">
        <v>80</v>
      </c>
      <c r="H40" s="96">
        <v>780</v>
      </c>
      <c r="I40" s="96">
        <v>80</v>
      </c>
      <c r="J40" s="96">
        <f t="shared" si="103"/>
        <v>37600</v>
      </c>
      <c r="K40" s="96">
        <f t="shared" si="104"/>
        <v>62400</v>
      </c>
      <c r="L40" s="99">
        <f t="shared" si="105"/>
        <v>346</v>
      </c>
      <c r="M40" s="99">
        <f t="shared" si="106"/>
        <v>630</v>
      </c>
      <c r="N40" s="99">
        <f t="shared" si="107"/>
        <v>11340</v>
      </c>
      <c r="O40" s="99">
        <f t="shared" si="108"/>
        <v>18</v>
      </c>
      <c r="P40" s="99">
        <f t="shared" si="109"/>
        <v>17340</v>
      </c>
      <c r="Q40" s="99">
        <f t="shared" si="110"/>
        <v>50.115606936416185</v>
      </c>
      <c r="R40" s="96">
        <f t="shared" si="98"/>
        <v>346</v>
      </c>
      <c r="S40" s="96">
        <f t="shared" si="99"/>
        <v>50.115606936416185</v>
      </c>
      <c r="T40" s="96">
        <f t="shared" si="100"/>
        <v>17340</v>
      </c>
      <c r="U40" s="96">
        <v>0</v>
      </c>
      <c r="V40" s="96">
        <v>0</v>
      </c>
      <c r="W40" s="96">
        <v>0</v>
      </c>
      <c r="X40" s="96">
        <v>10</v>
      </c>
      <c r="Y40" s="96">
        <v>0</v>
      </c>
      <c r="Z40" s="96">
        <v>0</v>
      </c>
      <c r="AA40" s="96">
        <v>10</v>
      </c>
      <c r="AB40" s="96">
        <f t="shared" si="101"/>
        <v>-18</v>
      </c>
      <c r="AC40" s="96">
        <f t="shared" si="102"/>
        <v>-11340</v>
      </c>
    </row>
    <row r="41" spans="1:38" x14ac:dyDescent="0.25">
      <c r="A41" s="97" t="s">
        <v>285</v>
      </c>
      <c r="B41" s="112">
        <v>346</v>
      </c>
      <c r="C41" s="112">
        <v>630</v>
      </c>
      <c r="D41" s="96">
        <v>12600</v>
      </c>
      <c r="E41" s="96">
        <v>6000</v>
      </c>
      <c r="F41" s="96">
        <v>470</v>
      </c>
      <c r="G41" s="96">
        <v>80</v>
      </c>
      <c r="H41" s="96">
        <v>780</v>
      </c>
      <c r="I41" s="96">
        <v>80</v>
      </c>
      <c r="J41" s="96">
        <f t="shared" si="103"/>
        <v>37600</v>
      </c>
      <c r="K41" s="96">
        <f t="shared" si="104"/>
        <v>62400</v>
      </c>
      <c r="L41" s="99">
        <f t="shared" si="105"/>
        <v>346</v>
      </c>
      <c r="M41" s="99">
        <f t="shared" si="106"/>
        <v>630</v>
      </c>
      <c r="N41" s="99">
        <f t="shared" si="107"/>
        <v>12600</v>
      </c>
      <c r="O41" s="99">
        <f t="shared" si="108"/>
        <v>20</v>
      </c>
      <c r="P41" s="99">
        <f t="shared" si="109"/>
        <v>18600</v>
      </c>
      <c r="Q41" s="99">
        <f t="shared" si="110"/>
        <v>53.75722543352601</v>
      </c>
      <c r="R41" s="96">
        <f t="shared" si="98"/>
        <v>346</v>
      </c>
      <c r="S41" s="96">
        <f t="shared" si="99"/>
        <v>53.75722543352601</v>
      </c>
      <c r="T41" s="96">
        <f t="shared" si="100"/>
        <v>18600</v>
      </c>
      <c r="U41" s="96">
        <v>0</v>
      </c>
      <c r="V41" s="96">
        <v>0</v>
      </c>
      <c r="W41" s="96">
        <v>0</v>
      </c>
      <c r="X41" s="96">
        <v>10</v>
      </c>
      <c r="Y41" s="96">
        <v>0</v>
      </c>
      <c r="Z41" s="96">
        <v>0</v>
      </c>
      <c r="AA41" s="96">
        <v>10</v>
      </c>
      <c r="AB41" s="96">
        <f t="shared" si="101"/>
        <v>-20</v>
      </c>
      <c r="AC41" s="96">
        <f t="shared" si="102"/>
        <v>-12600</v>
      </c>
    </row>
    <row r="42" spans="1:38" x14ac:dyDescent="0.25">
      <c r="A42" s="97" t="s">
        <v>286</v>
      </c>
      <c r="B42" s="112">
        <v>346</v>
      </c>
      <c r="C42" s="112">
        <v>630</v>
      </c>
      <c r="D42" s="96">
        <v>13860</v>
      </c>
      <c r="E42" s="96">
        <v>6000</v>
      </c>
      <c r="F42" s="96">
        <v>470</v>
      </c>
      <c r="G42" s="96">
        <v>80</v>
      </c>
      <c r="H42" s="96">
        <v>780</v>
      </c>
      <c r="I42" s="96">
        <v>80</v>
      </c>
      <c r="J42" s="96">
        <f t="shared" si="103"/>
        <v>37600</v>
      </c>
      <c r="K42" s="96">
        <f t="shared" si="104"/>
        <v>62400</v>
      </c>
      <c r="L42" s="99">
        <f t="shared" si="105"/>
        <v>346</v>
      </c>
      <c r="M42" s="99">
        <f t="shared" si="106"/>
        <v>630</v>
      </c>
      <c r="N42" s="99">
        <f t="shared" si="107"/>
        <v>13860</v>
      </c>
      <c r="O42" s="99">
        <f t="shared" si="108"/>
        <v>22</v>
      </c>
      <c r="P42" s="99">
        <f t="shared" si="109"/>
        <v>19860</v>
      </c>
      <c r="Q42" s="99">
        <f t="shared" si="110"/>
        <v>57.398843930635842</v>
      </c>
      <c r="R42" s="96">
        <f t="shared" si="98"/>
        <v>346</v>
      </c>
      <c r="S42" s="96">
        <f t="shared" si="99"/>
        <v>57.398843930635842</v>
      </c>
      <c r="T42" s="96">
        <f t="shared" si="100"/>
        <v>19860</v>
      </c>
      <c r="U42" s="96">
        <v>0</v>
      </c>
      <c r="V42" s="96">
        <v>0</v>
      </c>
      <c r="W42" s="96">
        <v>0</v>
      </c>
      <c r="X42" s="96">
        <v>10</v>
      </c>
      <c r="Y42" s="96">
        <v>0</v>
      </c>
      <c r="Z42" s="96">
        <v>0</v>
      </c>
      <c r="AA42" s="96">
        <v>10</v>
      </c>
      <c r="AB42" s="96">
        <f t="shared" si="101"/>
        <v>-22</v>
      </c>
      <c r="AC42" s="96">
        <f t="shared" si="102"/>
        <v>-13860</v>
      </c>
    </row>
    <row r="43" spans="1:38" x14ac:dyDescent="0.25">
      <c r="A43" s="97" t="s">
        <v>287</v>
      </c>
      <c r="B43" s="112">
        <v>346</v>
      </c>
      <c r="C43" s="112">
        <v>630</v>
      </c>
      <c r="D43" s="96">
        <v>15120</v>
      </c>
      <c r="E43" s="96">
        <v>6000</v>
      </c>
      <c r="F43" s="96">
        <v>470</v>
      </c>
      <c r="G43" s="96">
        <v>80</v>
      </c>
      <c r="H43" s="96">
        <v>780</v>
      </c>
      <c r="I43" s="96">
        <v>80</v>
      </c>
      <c r="J43" s="96">
        <f t="shared" si="103"/>
        <v>37600</v>
      </c>
      <c r="K43" s="96">
        <f t="shared" si="104"/>
        <v>62400</v>
      </c>
      <c r="L43" s="99">
        <f t="shared" si="105"/>
        <v>346</v>
      </c>
      <c r="M43" s="99">
        <f t="shared" si="106"/>
        <v>630</v>
      </c>
      <c r="N43" s="99">
        <f t="shared" si="107"/>
        <v>15120</v>
      </c>
      <c r="O43" s="99">
        <f t="shared" si="108"/>
        <v>24</v>
      </c>
      <c r="P43" s="99">
        <f t="shared" si="109"/>
        <v>21120</v>
      </c>
      <c r="Q43" s="99">
        <f t="shared" si="110"/>
        <v>61.040462427745666</v>
      </c>
      <c r="R43" s="96">
        <f t="shared" si="98"/>
        <v>346</v>
      </c>
      <c r="S43" s="96">
        <f t="shared" si="99"/>
        <v>61.040462427745666</v>
      </c>
      <c r="T43" s="96">
        <f t="shared" si="100"/>
        <v>21120</v>
      </c>
      <c r="U43" s="96">
        <v>0</v>
      </c>
      <c r="V43" s="96">
        <v>0</v>
      </c>
      <c r="W43" s="96">
        <v>0</v>
      </c>
      <c r="X43" s="96">
        <v>10</v>
      </c>
      <c r="Y43" s="96">
        <v>0</v>
      </c>
      <c r="Z43" s="96">
        <v>0</v>
      </c>
      <c r="AA43" s="96">
        <v>10</v>
      </c>
      <c r="AB43" s="96">
        <f t="shared" si="101"/>
        <v>-24</v>
      </c>
      <c r="AC43" s="96">
        <f t="shared" si="102"/>
        <v>-15120</v>
      </c>
    </row>
    <row r="44" spans="1:38" x14ac:dyDescent="0.25">
      <c r="A44" s="97" t="s">
        <v>288</v>
      </c>
      <c r="B44" s="112">
        <v>346</v>
      </c>
      <c r="C44" s="112">
        <v>630</v>
      </c>
      <c r="D44" s="96">
        <v>16380</v>
      </c>
      <c r="E44" s="96">
        <v>6000</v>
      </c>
      <c r="F44" s="96">
        <v>470</v>
      </c>
      <c r="G44" s="96">
        <v>80</v>
      </c>
      <c r="H44" s="96">
        <v>780</v>
      </c>
      <c r="I44" s="96">
        <v>80</v>
      </c>
      <c r="J44" s="96">
        <f t="shared" si="103"/>
        <v>37600</v>
      </c>
      <c r="K44" s="96">
        <f t="shared" si="104"/>
        <v>62400</v>
      </c>
      <c r="L44" s="99">
        <f t="shared" si="105"/>
        <v>346</v>
      </c>
      <c r="M44" s="99">
        <f t="shared" si="106"/>
        <v>630</v>
      </c>
      <c r="N44" s="99">
        <f t="shared" si="107"/>
        <v>16380</v>
      </c>
      <c r="O44" s="99">
        <f t="shared" si="108"/>
        <v>26</v>
      </c>
      <c r="P44" s="99">
        <f t="shared" si="109"/>
        <v>22380</v>
      </c>
      <c r="Q44" s="99">
        <f t="shared" si="110"/>
        <v>64.682080924855498</v>
      </c>
      <c r="R44" s="96">
        <f t="shared" si="98"/>
        <v>346</v>
      </c>
      <c r="S44" s="96">
        <f t="shared" si="99"/>
        <v>64.682080924855498</v>
      </c>
      <c r="T44" s="96">
        <f t="shared" si="100"/>
        <v>22380</v>
      </c>
      <c r="U44" s="96">
        <v>0</v>
      </c>
      <c r="V44" s="96">
        <v>0</v>
      </c>
      <c r="W44" s="96">
        <v>0</v>
      </c>
      <c r="X44" s="96">
        <v>10</v>
      </c>
      <c r="Y44" s="96">
        <v>0</v>
      </c>
      <c r="Z44" s="96">
        <v>0</v>
      </c>
      <c r="AA44" s="96">
        <v>10</v>
      </c>
      <c r="AB44" s="96">
        <f t="shared" si="101"/>
        <v>-26</v>
      </c>
      <c r="AC44" s="96">
        <f t="shared" si="102"/>
        <v>-16380</v>
      </c>
    </row>
    <row r="45" spans="1:38" x14ac:dyDescent="0.25">
      <c r="A45" s="97" t="s">
        <v>289</v>
      </c>
      <c r="B45" s="112">
        <v>346</v>
      </c>
      <c r="C45" s="112">
        <v>630</v>
      </c>
      <c r="D45" s="96">
        <v>17640</v>
      </c>
      <c r="E45" s="96">
        <v>6000</v>
      </c>
      <c r="F45" s="96">
        <v>470</v>
      </c>
      <c r="G45" s="96">
        <v>80</v>
      </c>
      <c r="H45" s="96">
        <v>780</v>
      </c>
      <c r="I45" s="96">
        <v>80</v>
      </c>
      <c r="J45" s="96">
        <f t="shared" si="103"/>
        <v>37600</v>
      </c>
      <c r="K45" s="96">
        <f t="shared" si="104"/>
        <v>62400</v>
      </c>
      <c r="L45" s="99">
        <f t="shared" si="105"/>
        <v>346</v>
      </c>
      <c r="M45" s="99">
        <f t="shared" si="106"/>
        <v>630</v>
      </c>
      <c r="N45" s="99">
        <f t="shared" si="107"/>
        <v>17640</v>
      </c>
      <c r="O45" s="99">
        <f t="shared" si="108"/>
        <v>28</v>
      </c>
      <c r="P45" s="99">
        <f t="shared" si="109"/>
        <v>23640</v>
      </c>
      <c r="Q45" s="99">
        <f t="shared" si="110"/>
        <v>68.323699421965316</v>
      </c>
      <c r="R45" s="96">
        <f t="shared" si="98"/>
        <v>346</v>
      </c>
      <c r="S45" s="96">
        <f t="shared" si="99"/>
        <v>68.323699421965316</v>
      </c>
      <c r="T45" s="96">
        <f t="shared" si="100"/>
        <v>23640</v>
      </c>
      <c r="U45" s="96">
        <v>0</v>
      </c>
      <c r="V45" s="96">
        <v>0</v>
      </c>
      <c r="W45" s="96">
        <v>0</v>
      </c>
      <c r="X45" s="96">
        <v>10</v>
      </c>
      <c r="Y45" s="96">
        <v>0</v>
      </c>
      <c r="Z45" s="96">
        <v>0</v>
      </c>
      <c r="AA45" s="96">
        <v>10</v>
      </c>
      <c r="AB45" s="96">
        <f t="shared" si="101"/>
        <v>-28</v>
      </c>
      <c r="AC45" s="96">
        <f t="shared" si="102"/>
        <v>-17640</v>
      </c>
    </row>
    <row r="46" spans="1:38" x14ac:dyDescent="0.25">
      <c r="A46" s="97" t="s">
        <v>290</v>
      </c>
      <c r="B46" s="112">
        <v>346</v>
      </c>
      <c r="C46" s="112">
        <v>630</v>
      </c>
      <c r="D46" s="96">
        <v>18900</v>
      </c>
      <c r="E46" s="96">
        <v>6000</v>
      </c>
      <c r="F46" s="96">
        <v>470</v>
      </c>
      <c r="G46" s="96">
        <v>80</v>
      </c>
      <c r="H46" s="96">
        <v>780</v>
      </c>
      <c r="I46" s="96">
        <v>80</v>
      </c>
      <c r="J46" s="96">
        <f t="shared" si="103"/>
        <v>37600</v>
      </c>
      <c r="K46" s="96">
        <f t="shared" si="104"/>
        <v>62400</v>
      </c>
      <c r="L46" s="99">
        <f t="shared" si="105"/>
        <v>346</v>
      </c>
      <c r="M46" s="99">
        <f t="shared" si="106"/>
        <v>630</v>
      </c>
      <c r="N46" s="99">
        <f t="shared" si="107"/>
        <v>18900</v>
      </c>
      <c r="O46" s="99">
        <f t="shared" si="108"/>
        <v>30</v>
      </c>
      <c r="P46" s="99">
        <f t="shared" si="109"/>
        <v>24900</v>
      </c>
      <c r="Q46" s="99">
        <f t="shared" si="110"/>
        <v>71.965317919075147</v>
      </c>
      <c r="R46" s="96">
        <f t="shared" si="98"/>
        <v>346</v>
      </c>
      <c r="S46" s="96">
        <f t="shared" si="99"/>
        <v>71.965317919075147</v>
      </c>
      <c r="T46" s="96">
        <f t="shared" si="100"/>
        <v>24900</v>
      </c>
      <c r="U46" s="96">
        <v>0</v>
      </c>
      <c r="V46" s="96">
        <v>0</v>
      </c>
      <c r="W46" s="96">
        <v>0</v>
      </c>
      <c r="X46" s="96">
        <v>10</v>
      </c>
      <c r="Y46" s="96">
        <v>0</v>
      </c>
      <c r="Z46" s="96">
        <v>0</v>
      </c>
      <c r="AA46" s="96">
        <v>10</v>
      </c>
      <c r="AB46" s="96">
        <f t="shared" si="101"/>
        <v>-30</v>
      </c>
      <c r="AC46" s="96">
        <f t="shared" si="102"/>
        <v>-18900</v>
      </c>
    </row>
    <row r="47" spans="1:38" s="65" customFormat="1" x14ac:dyDescent="0.25">
      <c r="A47" s="98" t="s">
        <v>177</v>
      </c>
      <c r="B47" s="113">
        <v>346</v>
      </c>
      <c r="C47" s="113">
        <v>613</v>
      </c>
      <c r="D47" s="113">
        <v>20000</v>
      </c>
      <c r="E47" s="98">
        <v>6000</v>
      </c>
      <c r="F47" s="98">
        <v>470</v>
      </c>
      <c r="G47" s="98">
        <v>80</v>
      </c>
      <c r="H47" s="98">
        <v>780</v>
      </c>
      <c r="I47" s="98">
        <v>80</v>
      </c>
      <c r="J47" s="98">
        <f>+F47*G47</f>
        <v>37600</v>
      </c>
      <c r="K47" s="98">
        <f>+H47*I47</f>
        <v>62400</v>
      </c>
      <c r="L47" s="98">
        <f>IF(B47&gt;F47, F47, B47)</f>
        <v>346</v>
      </c>
      <c r="M47" s="98">
        <f>IF(C47&gt;H47, H47, C47)</f>
        <v>613</v>
      </c>
      <c r="N47" s="98">
        <f>IF(D47&gt;K47, K47, D47)</f>
        <v>20000</v>
      </c>
      <c r="O47" s="98">
        <f>MIN(I47,+N47/M47)</f>
        <v>32.626427406199021</v>
      </c>
      <c r="P47" s="98">
        <f>MIN(N47+E47,J47)</f>
        <v>26000</v>
      </c>
      <c r="Q47" s="98">
        <f>MIN(P47/L47,G47)</f>
        <v>75.144508670520224</v>
      </c>
      <c r="R47" s="98">
        <v>346</v>
      </c>
      <c r="S47" s="98">
        <v>80</v>
      </c>
      <c r="T47" s="98">
        <v>30000</v>
      </c>
      <c r="U47" s="98">
        <v>0</v>
      </c>
      <c r="V47" s="98">
        <v>-2</v>
      </c>
      <c r="W47" s="98">
        <v>0</v>
      </c>
      <c r="X47" s="98">
        <v>10</v>
      </c>
      <c r="Y47" s="98">
        <v>10</v>
      </c>
      <c r="Z47" s="98">
        <v>1000</v>
      </c>
      <c r="AA47" s="98">
        <v>0</v>
      </c>
      <c r="AB47" s="98">
        <v>-33.020000000000003</v>
      </c>
      <c r="AC47" s="98">
        <v>-30000</v>
      </c>
      <c r="AD47" s="115"/>
      <c r="AE47" s="115"/>
      <c r="AF47" s="115"/>
      <c r="AG47" s="115"/>
      <c r="AH47" s="115"/>
      <c r="AI47" s="115"/>
      <c r="AJ47" s="114"/>
      <c r="AK47" s="115"/>
      <c r="AL47" s="115"/>
    </row>
  </sheetData>
  <mergeCells count="3">
    <mergeCell ref="L1:Q1"/>
    <mergeCell ref="R1:W1"/>
    <mergeCell ref="X1:AC1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req</vt:lpstr>
      <vt:lpstr>PowerBudget</vt:lpstr>
      <vt:lpstr>OperatingPoints</vt:lpstr>
      <vt:lpstr>CircuitConfigs.</vt:lpstr>
      <vt:lpstr>Waveforms</vt:lpstr>
      <vt:lpstr>Semic.Loss</vt:lpstr>
      <vt:lpstr>MotorConfigs.</vt:lpstr>
      <vt:lpstr>20191115_EZW1_TC</vt:lpstr>
      <vt:lpstr>20191115_ElectroThermMeas._smal</vt:lpstr>
      <vt:lpstr>20191107_ElectroThermConfig.</vt:lpstr>
      <vt:lpstr>Efficiency_Munich</vt:lpstr>
    </vt:vector>
  </TitlesOfParts>
  <Company>NTB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Tinivella Riccardo</dc:creator>
  <cp:lastModifiedBy>Tinivella Riccardo</cp:lastModifiedBy>
  <dcterms:created xsi:type="dcterms:W3CDTF">2018-11-02T15:19:02Z</dcterms:created>
  <dcterms:modified xsi:type="dcterms:W3CDTF">2019-11-15T16:53:39Z</dcterms:modified>
</cp:coreProperties>
</file>