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ie\Documents\JACKIE\MONASH\ETC3430 ETC5343 Financial Mathematics under Uncertainty\"/>
    </mc:Choice>
  </mc:AlternateContent>
  <xr:revisionPtr revIDLastSave="0" documentId="13_ncr:1_{E738C7E6-657C-4D80-ADF9-71F7AA8B4CBF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Q1" sheetId="10" r:id="rId1"/>
    <sheet name="Q2" sheetId="11" r:id="rId2"/>
    <sheet name="Q3" sheetId="12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" r:id="rId10"/>
    <sheet name="Q11" sheetId="2" r:id="rId11"/>
    <sheet name="Q12" sheetId="3" r:id="rId12"/>
  </sheets>
  <definedNames>
    <definedName name="solver_adj" localSheetId="9" hidden="1">'Q10'!$I$2:$J$2</definedName>
    <definedName name="solver_adj" localSheetId="10" hidden="1">'Q11'!$I$2:$J$2</definedName>
    <definedName name="solver_adj" localSheetId="11" hidden="1">'Q12'!$I$2:$J$2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lhs1" localSheetId="9" hidden="1">'Q10'!$G$8</definedName>
    <definedName name="solver_lhs2" localSheetId="9" hidden="1">'Q10'!$G$8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neg" localSheetId="9" hidden="1">2</definedName>
    <definedName name="solver_neg" localSheetId="10" hidden="1">2</definedName>
    <definedName name="solver_neg" localSheetId="11" hidden="1">1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um" localSheetId="9" hidden="1">2</definedName>
    <definedName name="solver_num" localSheetId="10" hidden="1">0</definedName>
    <definedName name="solver_num" localSheetId="11" hidden="1">0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opt" localSheetId="9" hidden="1">'Q10'!$H$8</definedName>
    <definedName name="solver_opt" localSheetId="10" hidden="1">'Q11'!$H$22</definedName>
    <definedName name="solver_opt" localSheetId="11" hidden="1">'Q12'!$H$23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el1" localSheetId="9" hidden="1">1</definedName>
    <definedName name="solver_rel2" localSheetId="9" hidden="1">3</definedName>
    <definedName name="solver_rhs1" localSheetId="9" hidden="1">1</definedName>
    <definedName name="solver_rhs2" localSheetId="9" hidden="1">-1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yp" localSheetId="9" hidden="1">3</definedName>
    <definedName name="solver_typ" localSheetId="10" hidden="1">2</definedName>
    <definedName name="solver_typ" localSheetId="11" hidden="1">2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er" localSheetId="9" hidden="1">3</definedName>
    <definedName name="solver_ver" localSheetId="10" hidden="1">3</definedName>
    <definedName name="solver_ver" localSheetId="1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11" l="1"/>
  <c r="I21" i="11"/>
  <c r="L19" i="10"/>
  <c r="I19" i="10"/>
  <c r="L48" i="12"/>
  <c r="J48" i="12"/>
  <c r="H49" i="12"/>
  <c r="D47" i="12"/>
  <c r="G45" i="12"/>
  <c r="F45" i="12"/>
  <c r="E45" i="12"/>
  <c r="E47" i="12" s="1"/>
  <c r="D45" i="12"/>
  <c r="C45" i="12"/>
  <c r="B45" i="12"/>
  <c r="H39" i="12"/>
  <c r="C38" i="12"/>
  <c r="E37" i="12"/>
  <c r="E36" i="12"/>
  <c r="F36" i="12" s="1"/>
  <c r="G36" i="12" s="1"/>
  <c r="E35" i="12"/>
  <c r="F35" i="12" s="1"/>
  <c r="G35" i="12" s="1"/>
  <c r="E34" i="12"/>
  <c r="E33" i="12"/>
  <c r="E32" i="12"/>
  <c r="F32" i="12" s="1"/>
  <c r="E31" i="12"/>
  <c r="F31" i="12" s="1"/>
  <c r="G31" i="12" s="1"/>
  <c r="E30" i="12"/>
  <c r="E29" i="12"/>
  <c r="E28" i="12"/>
  <c r="F28" i="12" s="1"/>
  <c r="G28" i="12" s="1"/>
  <c r="E27" i="12"/>
  <c r="F27" i="12" s="1"/>
  <c r="G27" i="12" s="1"/>
  <c r="E26" i="12"/>
  <c r="F26" i="12" s="1"/>
  <c r="G26" i="12" s="1"/>
  <c r="E25" i="12"/>
  <c r="E24" i="12"/>
  <c r="F24" i="12" s="1"/>
  <c r="E23" i="12"/>
  <c r="F23" i="12" s="1"/>
  <c r="G23" i="12" s="1"/>
  <c r="E22" i="12"/>
  <c r="F22" i="12" s="1"/>
  <c r="G22" i="12" s="1"/>
  <c r="E21" i="12"/>
  <c r="E20" i="12"/>
  <c r="F20" i="12" s="1"/>
  <c r="G20" i="12" s="1"/>
  <c r="E19" i="12"/>
  <c r="F19" i="12" s="1"/>
  <c r="G19" i="12" s="1"/>
  <c r="E18" i="12"/>
  <c r="F18" i="12" s="1"/>
  <c r="G18" i="12" s="1"/>
  <c r="E17" i="12"/>
  <c r="E16" i="12"/>
  <c r="F16" i="12" s="1"/>
  <c r="F15" i="12"/>
  <c r="G15" i="12" s="1"/>
  <c r="E15" i="12"/>
  <c r="E14" i="12"/>
  <c r="E13" i="12"/>
  <c r="E12" i="12"/>
  <c r="F12" i="12" s="1"/>
  <c r="G12" i="12" s="1"/>
  <c r="E11" i="12"/>
  <c r="F11" i="12" s="1"/>
  <c r="G11" i="12" s="1"/>
  <c r="E10" i="12"/>
  <c r="F10" i="12" s="1"/>
  <c r="G10" i="12" s="1"/>
  <c r="E9" i="12"/>
  <c r="E8" i="12"/>
  <c r="F8" i="12" s="1"/>
  <c r="E7" i="12"/>
  <c r="F7" i="12" s="1"/>
  <c r="G7" i="12" s="1"/>
  <c r="E6" i="12"/>
  <c r="E5" i="12"/>
  <c r="E4" i="12"/>
  <c r="F4" i="12" s="1"/>
  <c r="G4" i="12" s="1"/>
  <c r="E3" i="12"/>
  <c r="F3" i="12" s="1"/>
  <c r="G3" i="12" s="1"/>
  <c r="E2" i="12"/>
  <c r="G24" i="11"/>
  <c r="E23" i="11"/>
  <c r="D23" i="11"/>
  <c r="C23" i="11"/>
  <c r="B23" i="11"/>
  <c r="G23" i="11" s="1"/>
  <c r="H21" i="11"/>
  <c r="M17" i="11"/>
  <c r="M16" i="11"/>
  <c r="M15" i="11"/>
  <c r="M14" i="11"/>
  <c r="C13" i="11"/>
  <c r="F12" i="11"/>
  <c r="G12" i="11" s="1"/>
  <c r="H12" i="11" s="1"/>
  <c r="D12" i="11"/>
  <c r="I11" i="11"/>
  <c r="J10" i="11" s="1"/>
  <c r="K9" i="11" s="1"/>
  <c r="L9" i="11" s="1"/>
  <c r="H11" i="11"/>
  <c r="M11" i="11" s="1"/>
  <c r="G11" i="11"/>
  <c r="F11" i="11"/>
  <c r="D11" i="11"/>
  <c r="I10" i="11"/>
  <c r="J9" i="11" s="1"/>
  <c r="H10" i="11"/>
  <c r="G10" i="11"/>
  <c r="F10" i="11"/>
  <c r="D10" i="11"/>
  <c r="I9" i="11"/>
  <c r="J8" i="11" s="1"/>
  <c r="K7" i="11" s="1"/>
  <c r="L7" i="11" s="1"/>
  <c r="F9" i="11"/>
  <c r="D9" i="11"/>
  <c r="M8" i="11"/>
  <c r="I8" i="11"/>
  <c r="H8" i="11"/>
  <c r="G8" i="11"/>
  <c r="F8" i="11"/>
  <c r="D8" i="11"/>
  <c r="J7" i="11"/>
  <c r="K6" i="11" s="1"/>
  <c r="L6" i="11" s="1"/>
  <c r="I7" i="11"/>
  <c r="J6" i="11" s="1"/>
  <c r="F7" i="11"/>
  <c r="D7" i="11"/>
  <c r="I6" i="11"/>
  <c r="J5" i="11" s="1"/>
  <c r="K4" i="11" s="1"/>
  <c r="L4" i="11" s="1"/>
  <c r="H6" i="11"/>
  <c r="G6" i="11"/>
  <c r="F6" i="11"/>
  <c r="D6" i="11"/>
  <c r="I5" i="11"/>
  <c r="J4" i="11" s="1"/>
  <c r="K3" i="11" s="1"/>
  <c r="L3" i="11" s="1"/>
  <c r="F5" i="11"/>
  <c r="G5" i="11" s="1"/>
  <c r="D5" i="11"/>
  <c r="M4" i="11"/>
  <c r="I4" i="11"/>
  <c r="H4" i="11"/>
  <c r="G4" i="11"/>
  <c r="F4" i="11"/>
  <c r="D4" i="11"/>
  <c r="J3" i="11"/>
  <c r="K2" i="11" s="1"/>
  <c r="L2" i="11" s="1"/>
  <c r="I3" i="11"/>
  <c r="J2" i="11" s="1"/>
  <c r="F3" i="11"/>
  <c r="D3" i="11"/>
  <c r="I2" i="11"/>
  <c r="H2" i="11"/>
  <c r="G2" i="11"/>
  <c r="F2" i="11"/>
  <c r="F13" i="11" s="1"/>
  <c r="D2" i="11"/>
  <c r="G22" i="10"/>
  <c r="E21" i="10"/>
  <c r="G21" i="10" s="1"/>
  <c r="D21" i="10"/>
  <c r="C21" i="10"/>
  <c r="B21" i="10"/>
  <c r="H19" i="10"/>
  <c r="M15" i="10"/>
  <c r="M14" i="10"/>
  <c r="M13" i="10"/>
  <c r="M12" i="10"/>
  <c r="C11" i="10"/>
  <c r="F10" i="10"/>
  <c r="D10" i="10"/>
  <c r="I9" i="10"/>
  <c r="J8" i="10" s="1"/>
  <c r="K7" i="10" s="1"/>
  <c r="L7" i="10" s="1"/>
  <c r="F9" i="10"/>
  <c r="D9" i="10"/>
  <c r="I8" i="10"/>
  <c r="F8" i="10"/>
  <c r="G8" i="10" s="1"/>
  <c r="D8" i="10"/>
  <c r="J7" i="10"/>
  <c r="I7" i="10"/>
  <c r="F7" i="10"/>
  <c r="D7" i="10"/>
  <c r="I6" i="10"/>
  <c r="J6" i="10" s="1"/>
  <c r="F6" i="10"/>
  <c r="D6" i="10"/>
  <c r="I5" i="10"/>
  <c r="J4" i="10" s="1"/>
  <c r="K3" i="10" s="1"/>
  <c r="L3" i="10" s="1"/>
  <c r="G5" i="10"/>
  <c r="H5" i="10" s="1"/>
  <c r="F5" i="10"/>
  <c r="D5" i="10"/>
  <c r="I4" i="10"/>
  <c r="F4" i="10"/>
  <c r="D4" i="10"/>
  <c r="J3" i="10"/>
  <c r="I3" i="10"/>
  <c r="F3" i="10"/>
  <c r="D3" i="10"/>
  <c r="I2" i="10"/>
  <c r="J2" i="10" s="1"/>
  <c r="K2" i="10" s="1"/>
  <c r="L2" i="10" s="1"/>
  <c r="F2" i="10"/>
  <c r="D2" i="10"/>
  <c r="C3" i="4"/>
  <c r="D3" i="4" s="1"/>
  <c r="C4" i="4"/>
  <c r="C5" i="4"/>
  <c r="D4" i="4" s="1"/>
  <c r="E3" i="4" s="1"/>
  <c r="F3" i="4" s="1"/>
  <c r="C6" i="4"/>
  <c r="D5" i="4" s="1"/>
  <c r="E4" i="4" s="1"/>
  <c r="F4" i="4" s="1"/>
  <c r="C7" i="4"/>
  <c r="C8" i="4"/>
  <c r="D7" i="4" s="1"/>
  <c r="C9" i="4"/>
  <c r="D8" i="4" s="1"/>
  <c r="E7" i="4" s="1"/>
  <c r="F7" i="4" s="1"/>
  <c r="C10" i="4"/>
  <c r="C11" i="4"/>
  <c r="D10" i="4" s="1"/>
  <c r="C2" i="4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" i="3"/>
  <c r="P23" i="3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" i="3"/>
  <c r="H3" i="3"/>
  <c r="H4" i="3"/>
  <c r="H5" i="3"/>
  <c r="H9" i="3"/>
  <c r="H11" i="3"/>
  <c r="H12" i="3"/>
  <c r="H13" i="3"/>
  <c r="H17" i="3"/>
  <c r="H19" i="3"/>
  <c r="H20" i="3"/>
  <c r="H21" i="3"/>
  <c r="E3" i="3"/>
  <c r="E4" i="3"/>
  <c r="E5" i="3"/>
  <c r="O5" i="3" s="1"/>
  <c r="E6" i="3"/>
  <c r="H6" i="3" s="1"/>
  <c r="E7" i="3"/>
  <c r="E8" i="3"/>
  <c r="E9" i="3"/>
  <c r="O9" i="3" s="1"/>
  <c r="E10" i="3"/>
  <c r="O10" i="3" s="1"/>
  <c r="E11" i="3"/>
  <c r="E12" i="3"/>
  <c r="E13" i="3"/>
  <c r="O13" i="3" s="1"/>
  <c r="E14" i="3"/>
  <c r="H14" i="3" s="1"/>
  <c r="E15" i="3"/>
  <c r="E16" i="3"/>
  <c r="E17" i="3"/>
  <c r="O17" i="3" s="1"/>
  <c r="E18" i="3"/>
  <c r="O18" i="3" s="1"/>
  <c r="E19" i="3"/>
  <c r="E20" i="3"/>
  <c r="E21" i="3"/>
  <c r="O21" i="3" s="1"/>
  <c r="E22" i="3"/>
  <c r="H22" i="3" s="1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P3" i="2"/>
  <c r="P4" i="2"/>
  <c r="P5" i="2"/>
  <c r="P22" i="2" s="1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" i="2"/>
  <c r="H4" i="2"/>
  <c r="H12" i="2"/>
  <c r="H20" i="2"/>
  <c r="D3" i="2"/>
  <c r="G3" i="2" s="1"/>
  <c r="D4" i="2"/>
  <c r="G4" i="2"/>
  <c r="D5" i="2"/>
  <c r="G5" i="2" s="1"/>
  <c r="D6" i="2"/>
  <c r="G6" i="2"/>
  <c r="D7" i="2"/>
  <c r="G7" i="2" s="1"/>
  <c r="D8" i="2"/>
  <c r="G8" i="2"/>
  <c r="D9" i="2"/>
  <c r="G9" i="2" s="1"/>
  <c r="D10" i="2"/>
  <c r="G10" i="2"/>
  <c r="H10" i="2" s="1"/>
  <c r="D11" i="2"/>
  <c r="G11" i="2" s="1"/>
  <c r="D12" i="2"/>
  <c r="G12" i="2"/>
  <c r="D13" i="2"/>
  <c r="G13" i="2" s="1"/>
  <c r="D14" i="2"/>
  <c r="G14" i="2"/>
  <c r="D15" i="2"/>
  <c r="G15" i="2" s="1"/>
  <c r="D16" i="2"/>
  <c r="G16" i="2"/>
  <c r="D17" i="2"/>
  <c r="G17" i="2" s="1"/>
  <c r="D18" i="2"/>
  <c r="G18" i="2"/>
  <c r="D19" i="2"/>
  <c r="G19" i="2" s="1"/>
  <c r="D20" i="2"/>
  <c r="G20" i="2"/>
  <c r="D21" i="2"/>
  <c r="G21" i="2" s="1"/>
  <c r="D2" i="2"/>
  <c r="G2" i="2"/>
  <c r="E3" i="1"/>
  <c r="E4" i="1"/>
  <c r="E5" i="1"/>
  <c r="E6" i="1"/>
  <c r="E7" i="1"/>
  <c r="E2" i="1"/>
  <c r="H3" i="1"/>
  <c r="H4" i="1"/>
  <c r="H5" i="1"/>
  <c r="H6" i="1"/>
  <c r="H7" i="1"/>
  <c r="H2" i="1"/>
  <c r="H8" i="1" s="1"/>
  <c r="G3" i="1"/>
  <c r="G4" i="1"/>
  <c r="G5" i="1"/>
  <c r="G6" i="1"/>
  <c r="G7" i="1"/>
  <c r="G2" i="1"/>
  <c r="G8" i="1" s="1"/>
  <c r="D3" i="1"/>
  <c r="L3" i="1" s="1"/>
  <c r="D4" i="1"/>
  <c r="L4" i="1" s="1"/>
  <c r="D5" i="1"/>
  <c r="L5" i="1" s="1"/>
  <c r="D6" i="1"/>
  <c r="L6" i="1" s="1"/>
  <c r="D7" i="1"/>
  <c r="L7" i="1" s="1"/>
  <c r="D2" i="1"/>
  <c r="L2" i="1" s="1"/>
  <c r="M2" i="1" s="1" a="1"/>
  <c r="F6" i="12" l="1"/>
  <c r="G6" i="12" s="1"/>
  <c r="H6" i="12" s="1"/>
  <c r="F30" i="12"/>
  <c r="G30" i="12" s="1"/>
  <c r="H30" i="12" s="1"/>
  <c r="G14" i="12"/>
  <c r="H14" i="12" s="1"/>
  <c r="E38" i="12"/>
  <c r="F2" i="12"/>
  <c r="F14" i="12"/>
  <c r="C47" i="12"/>
  <c r="F47" i="12"/>
  <c r="G9" i="12"/>
  <c r="H23" i="12"/>
  <c r="H35" i="12"/>
  <c r="H10" i="12"/>
  <c r="H20" i="12"/>
  <c r="H19" i="12"/>
  <c r="H11" i="12"/>
  <c r="H15" i="12"/>
  <c r="H36" i="12"/>
  <c r="H27" i="12"/>
  <c r="H31" i="12"/>
  <c r="H4" i="12"/>
  <c r="H3" i="12"/>
  <c r="H7" i="12"/>
  <c r="H26" i="12"/>
  <c r="H12" i="12"/>
  <c r="H18" i="12"/>
  <c r="H28" i="12"/>
  <c r="G8" i="12"/>
  <c r="F9" i="12"/>
  <c r="G16" i="12"/>
  <c r="F17" i="12"/>
  <c r="G17" i="12" s="1"/>
  <c r="G24" i="12"/>
  <c r="F25" i="12"/>
  <c r="G25" i="12" s="1"/>
  <c r="G32" i="12"/>
  <c r="F33" i="12"/>
  <c r="G33" i="12" s="1"/>
  <c r="H22" i="12"/>
  <c r="F34" i="12"/>
  <c r="G34" i="12" s="1"/>
  <c r="G2" i="12"/>
  <c r="F5" i="12"/>
  <c r="G5" i="12" s="1"/>
  <c r="F13" i="12"/>
  <c r="G13" i="12" s="1"/>
  <c r="F21" i="12"/>
  <c r="G21" i="12" s="1"/>
  <c r="F29" i="12"/>
  <c r="G29" i="12" s="1"/>
  <c r="F37" i="12"/>
  <c r="G37" i="12" s="1"/>
  <c r="K8" i="11"/>
  <c r="L8" i="11" s="1"/>
  <c r="M12" i="11"/>
  <c r="K5" i="11"/>
  <c r="L5" i="11" s="1"/>
  <c r="G9" i="11"/>
  <c r="H9" i="11" s="1"/>
  <c r="H5" i="11"/>
  <c r="M10" i="11"/>
  <c r="M2" i="11"/>
  <c r="G3" i="11"/>
  <c r="G13" i="11" s="1"/>
  <c r="C14" i="11" s="1"/>
  <c r="M6" i="11"/>
  <c r="G7" i="11"/>
  <c r="H7" i="11" s="1"/>
  <c r="H6" i="10"/>
  <c r="H3" i="10"/>
  <c r="K6" i="10"/>
  <c r="L6" i="10" s="1"/>
  <c r="H7" i="10"/>
  <c r="M5" i="10"/>
  <c r="G3" i="10"/>
  <c r="G7" i="10"/>
  <c r="G4" i="10"/>
  <c r="H4" i="10" s="1"/>
  <c r="J5" i="10"/>
  <c r="K4" i="10" s="1"/>
  <c r="L4" i="10" s="1"/>
  <c r="F11" i="10"/>
  <c r="G10" i="10"/>
  <c r="H10" i="10" s="1"/>
  <c r="G2" i="10"/>
  <c r="G6" i="10"/>
  <c r="G9" i="10"/>
  <c r="H9" i="10" s="1"/>
  <c r="H8" i="10"/>
  <c r="O4" i="2"/>
  <c r="H3" i="2"/>
  <c r="O3" i="2"/>
  <c r="H7" i="2"/>
  <c r="O7" i="2"/>
  <c r="M2" i="1"/>
  <c r="M3" i="1" s="1"/>
  <c r="N2" i="1"/>
  <c r="N3" i="1" s="1"/>
  <c r="O2" i="2"/>
  <c r="H17" i="2"/>
  <c r="O17" i="2"/>
  <c r="O6" i="2"/>
  <c r="H11" i="2"/>
  <c r="O11" i="2"/>
  <c r="H5" i="2"/>
  <c r="O5" i="2"/>
  <c r="O19" i="2"/>
  <c r="H19" i="2"/>
  <c r="O13" i="2"/>
  <c r="H13" i="2"/>
  <c r="O21" i="2"/>
  <c r="H21" i="2"/>
  <c r="H15" i="2"/>
  <c r="O15" i="2"/>
  <c r="O14" i="2"/>
  <c r="H9" i="2"/>
  <c r="O9" i="2"/>
  <c r="E2" i="4"/>
  <c r="F2" i="4" s="1"/>
  <c r="O16" i="2"/>
  <c r="H2" i="2"/>
  <c r="H14" i="2"/>
  <c r="H6" i="2"/>
  <c r="O20" i="2"/>
  <c r="O12" i="2"/>
  <c r="D2" i="4"/>
  <c r="O4" i="3"/>
  <c r="D9" i="4"/>
  <c r="E8" i="4" s="1"/>
  <c r="F8" i="4" s="1"/>
  <c r="O18" i="2"/>
  <c r="O8" i="3"/>
  <c r="O10" i="2"/>
  <c r="O2" i="3"/>
  <c r="H18" i="3"/>
  <c r="H10" i="3"/>
  <c r="O19" i="3"/>
  <c r="O15" i="3"/>
  <c r="O11" i="3"/>
  <c r="O7" i="3"/>
  <c r="O3" i="3"/>
  <c r="O12" i="3"/>
  <c r="D6" i="4"/>
  <c r="E5" i="4" s="1"/>
  <c r="F5" i="4" s="1"/>
  <c r="O16" i="3"/>
  <c r="H18" i="2"/>
  <c r="L2" i="2" a="1"/>
  <c r="H16" i="3"/>
  <c r="H8" i="3"/>
  <c r="O22" i="3"/>
  <c r="O14" i="3"/>
  <c r="O6" i="3"/>
  <c r="O20" i="3"/>
  <c r="H2" i="3"/>
  <c r="H23" i="3" s="1"/>
  <c r="H15" i="3"/>
  <c r="H7" i="3"/>
  <c r="O8" i="2"/>
  <c r="L2" i="3" a="1"/>
  <c r="H16" i="2"/>
  <c r="H8" i="2"/>
  <c r="F38" i="12" l="1"/>
  <c r="C39" i="12" s="1"/>
  <c r="H34" i="12"/>
  <c r="H21" i="12"/>
  <c r="H25" i="12"/>
  <c r="H37" i="12"/>
  <c r="H29" i="12"/>
  <c r="H33" i="12"/>
  <c r="H17" i="12"/>
  <c r="H5" i="12"/>
  <c r="H24" i="12"/>
  <c r="H8" i="12"/>
  <c r="H9" i="12"/>
  <c r="H32" i="12"/>
  <c r="H16" i="12"/>
  <c r="H13" i="12"/>
  <c r="H2" i="12"/>
  <c r="A44" i="12"/>
  <c r="M9" i="11"/>
  <c r="M7" i="11"/>
  <c r="M5" i="11"/>
  <c r="H3" i="11"/>
  <c r="M4" i="10"/>
  <c r="M9" i="10"/>
  <c r="M10" i="10"/>
  <c r="M3" i="10"/>
  <c r="C12" i="10"/>
  <c r="M8" i="10"/>
  <c r="K5" i="10"/>
  <c r="L5" i="10" s="1"/>
  <c r="M6" i="10"/>
  <c r="M7" i="10"/>
  <c r="G11" i="10"/>
  <c r="H2" i="10"/>
  <c r="E9" i="4"/>
  <c r="F9" i="4" s="1"/>
  <c r="O22" i="2"/>
  <c r="S2" i="2" s="1"/>
  <c r="M2" i="3"/>
  <c r="L2" i="3"/>
  <c r="L2" i="2"/>
  <c r="M2" i="2"/>
  <c r="H22" i="2"/>
  <c r="E6" i="4"/>
  <c r="F6" i="4" s="1"/>
  <c r="O23" i="3"/>
  <c r="S2" i="3" s="1"/>
  <c r="B44" i="12" l="1"/>
  <c r="H38" i="12"/>
  <c r="M3" i="11"/>
  <c r="M13" i="11" s="1"/>
  <c r="M2" i="10"/>
  <c r="M11" i="10" s="1"/>
  <c r="Q7" i="2"/>
  <c r="Q9" i="2"/>
  <c r="Q19" i="2"/>
  <c r="Q3" i="2"/>
  <c r="Q10" i="2"/>
  <c r="Q16" i="2"/>
  <c r="Q18" i="2"/>
  <c r="Q21" i="2"/>
  <c r="Q6" i="2"/>
  <c r="Q2" i="2"/>
  <c r="Q11" i="2"/>
  <c r="Q13" i="2"/>
  <c r="Q5" i="2"/>
  <c r="Q14" i="2"/>
  <c r="Q12" i="2"/>
  <c r="Q17" i="2"/>
  <c r="Q20" i="2"/>
  <c r="Q15" i="2"/>
  <c r="Q8" i="2"/>
  <c r="Q4" i="2"/>
  <c r="Q10" i="3"/>
  <c r="Q18" i="3"/>
  <c r="Q5" i="3"/>
  <c r="Q21" i="3"/>
  <c r="Q13" i="3"/>
  <c r="Q7" i="3"/>
  <c r="Q6" i="3"/>
  <c r="Q14" i="3"/>
  <c r="Q16" i="3"/>
  <c r="Q3" i="3"/>
  <c r="Q19" i="3"/>
  <c r="Q15" i="3"/>
  <c r="Q8" i="3"/>
  <c r="Q17" i="3"/>
  <c r="Q20" i="3"/>
  <c r="Q9" i="3"/>
  <c r="Q11" i="3"/>
  <c r="Q12" i="3"/>
  <c r="Q4" i="3"/>
  <c r="Q2" i="3"/>
  <c r="Q23" i="3" s="1"/>
  <c r="R2" i="3" s="1"/>
  <c r="Q22" i="3"/>
  <c r="C44" i="12" l="1"/>
  <c r="C46" i="12" s="1"/>
  <c r="C48" i="12" s="1"/>
  <c r="Q22" i="2"/>
  <c r="R2" i="2" s="1"/>
  <c r="D44" i="12" l="1"/>
  <c r="D46" i="12" l="1"/>
  <c r="D48" i="12" s="1"/>
  <c r="E44" i="12"/>
  <c r="E46" i="12" s="1"/>
  <c r="E48" i="12" s="1"/>
  <c r="F44" i="12" l="1"/>
  <c r="G44" i="12" l="1"/>
  <c r="H44" i="12" l="1"/>
  <c r="F46" i="12" s="1"/>
  <c r="F48" i="12" s="1"/>
  <c r="H48" i="12" s="1"/>
</calcChain>
</file>

<file path=xl/sharedStrings.xml><?xml version="1.0" encoding="utf-8"?>
<sst xmlns="http://schemas.openxmlformats.org/spreadsheetml/2006/main" count="158" uniqueCount="105">
  <si>
    <t>x</t>
  </si>
  <si>
    <t>Ecx</t>
  </si>
  <si>
    <t>dx</t>
  </si>
  <si>
    <t>B</t>
  </si>
  <si>
    <t>c</t>
  </si>
  <si>
    <t>Ex</t>
  </si>
  <si>
    <t>crude</t>
  </si>
  <si>
    <t>graduated</t>
  </si>
  <si>
    <t>a</t>
  </si>
  <si>
    <t>b</t>
  </si>
  <si>
    <t>qSx</t>
  </si>
  <si>
    <t>1st diff</t>
  </si>
  <si>
    <t>2nd diff</t>
  </si>
  <si>
    <t>3rd diff</t>
  </si>
  <si>
    <t>smooth?</t>
  </si>
  <si>
    <t>Undergraduation occurs when too much emphasis is given to goodness of fit.</t>
  </si>
  <si>
    <t>Undergraduated rates adhere closely to the crude rates, but the resulting rates do not show a smooth progression from age to age.</t>
  </si>
  <si>
    <t>Inappropriate premium rates</t>
  </si>
  <si>
    <t>The office may make losses or lose business if the premium rates at particular ages have been distorted by random sampling errors that were not smoothed out.</t>
  </si>
  <si>
    <t>Anomalies</t>
  </si>
  <si>
    <t>The office may lose business or incur unnecessary alteration expenses if the rates do not show a consistent progression from age to age.</t>
  </si>
  <si>
    <t>Policyholders may wait a few years because the rates become cheaper, or they may surrender and take out a new policy to take advantage of an anomaly in the rates at a particular age.</t>
  </si>
  <si>
    <t>Reserves</t>
  </si>
  <si>
    <t>Using biased mortality rates can also lead to inappropriate levels of reserves being held.</t>
  </si>
  <si>
    <t>Holding insufficient reserves can endanger the company’s solvency, whereas holding excessive reserves will reduce the company’s profitability and in particular cause a lower return on capital.</t>
  </si>
  <si>
    <t>Overgraduation occurs when too much emphasis is given to smoothness.</t>
  </si>
  <si>
    <t>Overgraduated rates show a smooth progression from age to age, but the resulting rates do not adhere closely to the crude rates.</t>
  </si>
  <si>
    <t>Inadequate premium rates</t>
  </si>
  <si>
    <t>The office may make losses through underestimating mortality for death benefits or overestimating mortality for survival benefits</t>
  </si>
  <si>
    <t>since the graduated rates do not accurately reflect the true mortality rates at all ages.</t>
  </si>
  <si>
    <t>Excessive premium rates</t>
  </si>
  <si>
    <t>The reverse occurs where the office may lose business through setting excessively high premium rates.</t>
  </si>
  <si>
    <t>Selection</t>
  </si>
  <si>
    <t>The office may be exposed to selection from other offices whose premium rates more accurately reflect the true mortality rates.</t>
  </si>
  <si>
    <t xml:space="preserve">Given those criteria, the standard table must show the correct pattern of rates by age (not necessarily the correct level of rates, though).  </t>
  </si>
  <si>
    <t>This can be confirmed by plotting the observed data against the standard table data.</t>
  </si>
  <si>
    <t>It must be available for all classes of lives (e.g. males and females).</t>
  </si>
  <si>
    <t>It must cover the age range for which rates are required.</t>
  </si>
  <si>
    <t>It should not have any special features that are unlikely to be present in the experience being graduated.</t>
  </si>
  <si>
    <t>It must relate to a similar class of lives (e.g. insurances or annuities, but not both).</t>
  </si>
  <si>
    <t>It must be a benchmark table (i.e. generally acceptable to all other actuaries).</t>
  </si>
  <si>
    <t>It should be up-to-date (i.e. from fairly recent experience).</t>
  </si>
  <si>
    <t xml:space="preserve">In choosing an appropriate standard table, certain key criteria must be satisfied. </t>
  </si>
  <si>
    <t>Calculate the crude values of μx from the number of deaths recorded at age x and the corresponding values of the central exposed to risk.</t>
  </si>
  <si>
    <t>Select an appropriate set of weights to use (e.g. wx = ECx or wx = ECx / μx).</t>
  </si>
  <si>
    <t>Use a computer program to determine the values of the parameters A, H, B, and c that lead to the smallest value of sum(wx(μx - A - Hx - Bc^x)^2).</t>
  </si>
  <si>
    <t>The most efficient way to do this will probably be to try different values of c (which is a non-linear parameter),</t>
  </si>
  <si>
    <t>The graduated values should then be tested using standard methods to determine whether the parameter values found are appropriate.</t>
  </si>
  <si>
    <t>then apply a linear optimisation routine to the 'known' values of μx, x, and c^x to find the best values of A, H, and B.</t>
  </si>
  <si>
    <t>Weighted least squares</t>
  </si>
  <si>
    <t>Maximum likelihood</t>
  </si>
  <si>
    <t>The graduated estimates are not smooth at many ages.</t>
  </si>
  <si>
    <t>Minimise the sum of weighted squares.</t>
  </si>
  <si>
    <t>= 0.03939</t>
  </si>
  <si>
    <t>x</t>
    <phoneticPr fontId="0" type="noConversion"/>
  </si>
  <si>
    <t>Ex</t>
    <phoneticPr fontId="0" type="noConversion"/>
  </si>
  <si>
    <t>dx</t>
    <phoneticPr fontId="0" type="noConversion"/>
  </si>
  <si>
    <t>crude qx</t>
    <phoneticPr fontId="0" type="noConversion"/>
  </si>
  <si>
    <t>grad qx</t>
    <phoneticPr fontId="0" type="noConversion"/>
  </si>
  <si>
    <t xml:space="preserve">Exqx </t>
    <phoneticPr fontId="0" type="noConversion"/>
  </si>
  <si>
    <t>Exqx(1-qx)</t>
    <phoneticPr fontId="0" type="noConversion"/>
  </si>
  <si>
    <t>zx</t>
    <phoneticPr fontId="0" type="noConversion"/>
  </si>
  <si>
    <t>1st diff</t>
    <phoneticPr fontId="0" type="noConversion"/>
  </si>
  <si>
    <t>2nd diff</t>
    <phoneticPr fontId="0" type="noConversion"/>
  </si>
  <si>
    <t>3rd diff</t>
    <phoneticPr fontId="0" type="noConversion"/>
  </si>
  <si>
    <t>smooth?</t>
    <phoneticPr fontId="0" type="noConversion"/>
  </si>
  <si>
    <t>zx^2</t>
    <phoneticPr fontId="0" type="noConversion"/>
  </si>
  <si>
    <t>v=9</t>
    <phoneticPr fontId="0" type="noConversion"/>
  </si>
  <si>
    <t>v=8</t>
    <phoneticPr fontId="0" type="noConversion"/>
  </si>
  <si>
    <t>v=7</t>
    <phoneticPr fontId="0" type="noConversion"/>
  </si>
  <si>
    <t>v=6</t>
    <phoneticPr fontId="0" type="noConversion"/>
  </si>
  <si>
    <t>Interval</t>
    <phoneticPr fontId="0" type="noConversion"/>
  </si>
  <si>
    <t>(-inf,-1)</t>
    <phoneticPr fontId="0" type="noConversion"/>
  </si>
  <si>
    <t>(-1,0)</t>
    <phoneticPr fontId="0" type="noConversion"/>
  </si>
  <si>
    <t>(0,1)</t>
    <phoneticPr fontId="0" type="noConversion"/>
  </si>
  <si>
    <t>(1,inf)</t>
    <phoneticPr fontId="0" type="noConversion"/>
  </si>
  <si>
    <t>A</t>
    <phoneticPr fontId="0" type="noConversion"/>
  </si>
  <si>
    <t>E</t>
    <phoneticPr fontId="0" type="noConversion"/>
  </si>
  <si>
    <t>(A-E)^2/E</t>
    <phoneticPr fontId="0" type="noConversion"/>
  </si>
  <si>
    <t>Graphical</t>
    <phoneticPr fontId="0" type="noConversion"/>
  </si>
  <si>
    <t>v=11</t>
  </si>
  <si>
    <t>v=10</t>
  </si>
  <si>
    <t>Gompertz</t>
    <phoneticPr fontId="0" type="noConversion"/>
  </si>
  <si>
    <t>ELT14Mqx</t>
  </si>
  <si>
    <t>Exqx</t>
  </si>
  <si>
    <t>Exqxpx</t>
  </si>
  <si>
    <t>zx</t>
  </si>
  <si>
    <t>zx^2</t>
  </si>
  <si>
    <t>The graduation has not fully taken into account the accident hump.</t>
  </si>
  <si>
    <t>Too many large deviations.</t>
  </si>
  <si>
    <t>(a)</t>
  </si>
  <si>
    <t>(b)</t>
  </si>
  <si>
    <t>(c)</t>
  </si>
  <si>
    <t>(d)</t>
  </si>
  <si>
    <t>(e)</t>
  </si>
  <si>
    <t>v=36</t>
  </si>
  <si>
    <t>(-inf,-3)</t>
  </si>
  <si>
    <t>(-3,-2)</t>
  </si>
  <si>
    <t>(-2,-1)</t>
  </si>
  <si>
    <t>(-1,0)</t>
  </si>
  <si>
    <t>(0,1)</t>
  </si>
  <si>
    <t>(1,2)</t>
  </si>
  <si>
    <t>(2,3)</t>
  </si>
  <si>
    <t>(3,inf)</t>
  </si>
  <si>
    <t>Set partial derivatives with respect to the parameters to zero and solve or use numerical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</si>
</sst>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#,##0_ "/>
    <numFmt numFmtId="166" formatCode="0.00000_ "/>
    <numFmt numFmtId="167" formatCode="0.00_ "/>
    <numFmt numFmtId="168" formatCode="0.000000_ "/>
  </numFmts>
  <fonts count="6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quotePrefix="1"/>
    <xf numFmtId="2" fontId="0" fillId="0" borderId="0" xfId="0" applyNumberFormat="1"/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165" fontId="0" fillId="2" borderId="0" xfId="0" applyNumberFormat="1" applyFont="1" applyFill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0" fillId="2" borderId="0" xfId="0" applyNumberFormat="1" applyFont="1" applyFill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8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2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'Q10'!$D$1</c:f>
              <c:strCache>
                <c:ptCount val="1"/>
                <c:pt idx="0">
                  <c:v>crude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'Q10'!$A$2:$A$7</c:f>
              <c:numCache>
                <c:formatCode>General</c:formatCode>
                <c:ptCount val="6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</c:numCache>
            </c:numRef>
          </c:xVal>
          <c:yVal>
            <c:numRef>
              <c:f>'Q10'!$D$2:$D$7</c:f>
              <c:numCache>
                <c:formatCode>General</c:formatCode>
                <c:ptCount val="6"/>
                <c:pt idx="0">
                  <c:v>0.08</c:v>
                </c:pt>
                <c:pt idx="1">
                  <c:v>8.9552238805970144E-2</c:v>
                </c:pt>
                <c:pt idx="2">
                  <c:v>9.405940594059406E-2</c:v>
                </c:pt>
                <c:pt idx="3">
                  <c:v>0.10416666666666667</c:v>
                </c:pt>
                <c:pt idx="4">
                  <c:v>0.1143141153081511</c:v>
                </c:pt>
                <c:pt idx="5">
                  <c:v>0.12525050100200399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AC-490A-AC18-29FBD3D8FB25}"/>
            </c:ext>
          </c:extLst>
        </c:ser>
        <c:ser>
          <c:idx val="1"/>
          <c:order val="1"/>
          <c:tx>
            <c:strRef>
              <c:f>'Q10'!$E$1</c:f>
              <c:strCache>
                <c:ptCount val="1"/>
                <c:pt idx="0">
                  <c:v>graduated</c:v>
                </c:pt>
              </c:strCache>
            </c:strRef>
          </c:tx>
          <c:marker>
            <c:symbol val="none"/>
          </c:marker>
          <c:xVal>
            <c:numRef>
              <c:f>'Q10'!$A$2:$A$7</c:f>
              <c:numCache>
                <c:formatCode>General</c:formatCode>
                <c:ptCount val="6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</c:numCache>
            </c:numRef>
          </c:xVal>
          <c:yVal>
            <c:numRef>
              <c:f>'Q10'!$E$2:$E$7</c:f>
              <c:numCache>
                <c:formatCode>General</c:formatCode>
                <c:ptCount val="6"/>
                <c:pt idx="0">
                  <c:v>8.0302191762616812E-2</c:v>
                </c:pt>
                <c:pt idx="1">
                  <c:v>8.7697048445568124E-2</c:v>
                </c:pt>
                <c:pt idx="2">
                  <c:v>9.577288162693233E-2</c:v>
                </c:pt>
                <c:pt idx="3">
                  <c:v>0.10459240097253164</c:v>
                </c:pt>
                <c:pt idx="4">
                  <c:v>0.11422409094687318</c:v>
                </c:pt>
                <c:pt idx="5">
                  <c:v>0.12474274260197962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AC-490A-AC18-29FBD3D8F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732136"/>
        <c:axId val="1"/>
      </c:scatterChart>
      <c:valAx>
        <c:axId val="432732136"/>
        <c:scaling>
          <c:orientation val="minMax"/>
          <c:max val="75"/>
          <c:min val="7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13"/>
          <c:min val="7.0000000000000007E-2"/>
        </c:scaling>
        <c:delete val="0"/>
        <c:axPos val="l"/>
        <c:numFmt formatCode="General" sourceLinked="1"/>
        <c:majorTickMark val="out"/>
        <c:minorTickMark val="none"/>
        <c:tickLblPos val="nextTo"/>
        <c:crossAx val="4327321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11129352376165"/>
          <c:y val="0.40612406777769361"/>
          <c:w val="0.18444486973236565"/>
          <c:h val="0.1693884302791385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'Q11'!$D$1</c:f>
              <c:strCache>
                <c:ptCount val="1"/>
                <c:pt idx="0">
                  <c:v>crude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'Q11'!$A$2:$A$21</c:f>
              <c:numCache>
                <c:formatCode>General</c:formatCode>
                <c:ptCount val="20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</c:numCache>
            </c:numRef>
          </c:xVal>
          <c:yVal>
            <c:numRef>
              <c:f>'Q11'!$D$2:$D$21</c:f>
              <c:numCache>
                <c:formatCode>General</c:formatCode>
                <c:ptCount val="20"/>
                <c:pt idx="0">
                  <c:v>5.5714285714285718E-4</c:v>
                </c:pt>
                <c:pt idx="1">
                  <c:v>6.4494840412766981E-4</c:v>
                </c:pt>
                <c:pt idx="2">
                  <c:v>4.9725776965265083E-4</c:v>
                </c:pt>
                <c:pt idx="3">
                  <c:v>4.738612045246102E-4</c:v>
                </c:pt>
                <c:pt idx="4">
                  <c:v>3.7229479272892082E-4</c:v>
                </c:pt>
                <c:pt idx="5">
                  <c:v>7.565326595149113E-4</c:v>
                </c:pt>
                <c:pt idx="6">
                  <c:v>7.0058674139591905E-4</c:v>
                </c:pt>
                <c:pt idx="7">
                  <c:v>6.1817136285221392E-4</c:v>
                </c:pt>
                <c:pt idx="8">
                  <c:v>7.3846153846153842E-4</c:v>
                </c:pt>
                <c:pt idx="9">
                  <c:v>7.0912355346338957E-4</c:v>
                </c:pt>
                <c:pt idx="10">
                  <c:v>9.2124814264487372E-4</c:v>
                </c:pt>
                <c:pt idx="11">
                  <c:v>9.6377432382817286E-4</c:v>
                </c:pt>
                <c:pt idx="12">
                  <c:v>1.2845804468504839E-3</c:v>
                </c:pt>
                <c:pt idx="13">
                  <c:v>1.3668801754692691E-3</c:v>
                </c:pt>
                <c:pt idx="14">
                  <c:v>1.8035078227151811E-3</c:v>
                </c:pt>
                <c:pt idx="15">
                  <c:v>1.9421527398799396E-3</c:v>
                </c:pt>
                <c:pt idx="16">
                  <c:v>1.963150695953013E-3</c:v>
                </c:pt>
                <c:pt idx="17">
                  <c:v>2.5369581558506642E-3</c:v>
                </c:pt>
                <c:pt idx="18">
                  <c:v>2.4714797780578425E-3</c:v>
                </c:pt>
                <c:pt idx="19">
                  <c:v>3.0109638357061039E-3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C0-48FA-BAC7-3A67F0AD9F08}"/>
            </c:ext>
          </c:extLst>
        </c:ser>
        <c:ser>
          <c:idx val="1"/>
          <c:order val="1"/>
          <c:tx>
            <c:strRef>
              <c:f>'Q11'!$E$1</c:f>
              <c:strCache>
                <c:ptCount val="1"/>
                <c:pt idx="0">
                  <c:v>graduated</c:v>
                </c:pt>
              </c:strCache>
            </c:strRef>
          </c:tx>
          <c:marker>
            <c:symbol val="none"/>
          </c:marker>
          <c:xVal>
            <c:numRef>
              <c:f>'Q11'!$A$2:$A$21</c:f>
              <c:numCache>
                <c:formatCode>General</c:formatCode>
                <c:ptCount val="20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</c:numCache>
            </c:numRef>
          </c:xVal>
          <c:yVal>
            <c:numRef>
              <c:f>'Q11'!$E$2:$E$21</c:f>
              <c:numCache>
                <c:formatCode>General</c:formatCode>
                <c:ptCount val="20"/>
                <c:pt idx="0">
                  <c:v>3.9148630531980077E-4</c:v>
                </c:pt>
                <c:pt idx="1">
                  <c:v>4.3236924757223506E-4</c:v>
                </c:pt>
                <c:pt idx="2">
                  <c:v>4.7751955881969102E-4</c:v>
                </c:pt>
                <c:pt idx="3">
                  <c:v>5.2738221965445019E-4</c:v>
                </c:pt>
                <c:pt idx="4">
                  <c:v>5.8244851262284094E-4</c:v>
                </c:pt>
                <c:pt idx="5">
                  <c:v>6.4326081848568905E-4</c:v>
                </c:pt>
                <c:pt idx="6">
                  <c:v>7.1041790454925697E-4</c:v>
                </c:pt>
                <c:pt idx="7">
                  <c:v>7.8458075450200146E-4</c:v>
                </c:pt>
                <c:pt idx="8">
                  <c:v>8.6647899392648935E-4</c:v>
                </c:pt>
                <c:pt idx="9">
                  <c:v>9.5691797079083005E-4</c:v>
                </c:pt>
                <c:pt idx="10">
                  <c:v>1.0567865557816936E-3</c:v>
                </c:pt>
                <c:pt idx="11">
                  <c:v>1.1670657333410592E-3</c:v>
                </c:pt>
                <c:pt idx="12">
                  <c:v>1.288838060727795E-3</c:v>
                </c:pt>
                <c:pt idx="13">
                  <c:v>1.423298079354926E-3</c:v>
                </c:pt>
                <c:pt idx="14">
                  <c:v>1.5717637700596462E-3</c:v>
                </c:pt>
                <c:pt idx="15">
                  <c:v>1.7356891518427846E-3</c:v>
                </c:pt>
                <c:pt idx="16">
                  <c:v>1.9166781319531736E-3</c:v>
                </c:pt>
                <c:pt idx="17">
                  <c:v>2.1164997239613861E-3</c:v>
                </c:pt>
                <c:pt idx="18">
                  <c:v>2.3371047596182945E-3</c:v>
                </c:pt>
                <c:pt idx="19">
                  <c:v>2.5806442297553319E-3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C0-48FA-BAC7-3A67F0AD9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661872"/>
        <c:axId val="1"/>
      </c:scatterChart>
      <c:valAx>
        <c:axId val="516661872"/>
        <c:scaling>
          <c:orientation val="minMax"/>
          <c:max val="50"/>
          <c:min val="3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3.5000000000000009E-3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crossAx val="5166618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11129352376165"/>
          <c:y val="0.40612406777769361"/>
          <c:w val="0.18444486973236565"/>
          <c:h val="0.1693884302791385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'Q12'!$E$1</c:f>
              <c:strCache>
                <c:ptCount val="1"/>
                <c:pt idx="0">
                  <c:v>crude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'Q12'!$A$2:$A$22</c:f>
              <c:numCache>
                <c:formatCode>General</c:formatCode>
                <c:ptCount val="21"/>
                <c:pt idx="0">
                  <c:v>47</c:v>
                </c:pt>
                <c:pt idx="1">
                  <c:v>48</c:v>
                </c:pt>
                <c:pt idx="2">
                  <c:v>49</c:v>
                </c:pt>
                <c:pt idx="3">
                  <c:v>50</c:v>
                </c:pt>
                <c:pt idx="4">
                  <c:v>51</c:v>
                </c:pt>
                <c:pt idx="5">
                  <c:v>52</c:v>
                </c:pt>
                <c:pt idx="6">
                  <c:v>53</c:v>
                </c:pt>
                <c:pt idx="7">
                  <c:v>54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58</c:v>
                </c:pt>
                <c:pt idx="12">
                  <c:v>59</c:v>
                </c:pt>
                <c:pt idx="13">
                  <c:v>60</c:v>
                </c:pt>
                <c:pt idx="14">
                  <c:v>61</c:v>
                </c:pt>
                <c:pt idx="15">
                  <c:v>62</c:v>
                </c:pt>
                <c:pt idx="16">
                  <c:v>63</c:v>
                </c:pt>
                <c:pt idx="17">
                  <c:v>64</c:v>
                </c:pt>
                <c:pt idx="18">
                  <c:v>65</c:v>
                </c:pt>
                <c:pt idx="19">
                  <c:v>66</c:v>
                </c:pt>
                <c:pt idx="20">
                  <c:v>67</c:v>
                </c:pt>
              </c:numCache>
            </c:numRef>
          </c:xVal>
          <c:yVal>
            <c:numRef>
              <c:f>'Q12'!$E$2:$E$22</c:f>
              <c:numCache>
                <c:formatCode>General</c:formatCode>
                <c:ptCount val="21"/>
                <c:pt idx="0">
                  <c:v>1.2048192771084338E-2</c:v>
                </c:pt>
                <c:pt idx="1">
                  <c:v>1.06951871657754E-2</c:v>
                </c:pt>
                <c:pt idx="2">
                  <c:v>1.834862385321101E-2</c:v>
                </c:pt>
                <c:pt idx="3">
                  <c:v>2.4691358024691357E-2</c:v>
                </c:pt>
                <c:pt idx="4">
                  <c:v>7.246376811594203E-3</c:v>
                </c:pt>
                <c:pt idx="5">
                  <c:v>1.3245033112582781E-2</c:v>
                </c:pt>
                <c:pt idx="6">
                  <c:v>2.0172910662824207E-2</c:v>
                </c:pt>
                <c:pt idx="7">
                  <c:v>7.6923076923076927E-3</c:v>
                </c:pt>
                <c:pt idx="8">
                  <c:v>2.0930232558139535E-2</c:v>
                </c:pt>
                <c:pt idx="9">
                  <c:v>1.8218623481781375E-2</c:v>
                </c:pt>
                <c:pt idx="10">
                  <c:v>1.4336917562724014E-2</c:v>
                </c:pt>
                <c:pt idx="11">
                  <c:v>1.751592356687898E-2</c:v>
                </c:pt>
                <c:pt idx="12">
                  <c:v>1.9971469329529243E-2</c:v>
                </c:pt>
                <c:pt idx="13">
                  <c:v>2.2140221402214021E-2</c:v>
                </c:pt>
                <c:pt idx="14">
                  <c:v>1.9629225736095966E-2</c:v>
                </c:pt>
                <c:pt idx="15">
                  <c:v>2.3076923076923078E-2</c:v>
                </c:pt>
                <c:pt idx="16">
                  <c:v>2.5380710659898477E-2</c:v>
                </c:pt>
                <c:pt idx="17">
                  <c:v>3.3102386451116246E-2</c:v>
                </c:pt>
                <c:pt idx="18">
                  <c:v>2.8631284916201118E-2</c:v>
                </c:pt>
                <c:pt idx="19">
                  <c:v>3.3834586466165412E-2</c:v>
                </c:pt>
                <c:pt idx="20">
                  <c:v>3.6529680365296802E-2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9D-481D-87AA-0243430F1760}"/>
            </c:ext>
          </c:extLst>
        </c:ser>
        <c:ser>
          <c:idx val="1"/>
          <c:order val="1"/>
          <c:tx>
            <c:strRef>
              <c:f>'Q12'!$F$1</c:f>
              <c:strCache>
                <c:ptCount val="1"/>
                <c:pt idx="0">
                  <c:v>graduated</c:v>
                </c:pt>
              </c:strCache>
            </c:strRef>
          </c:tx>
          <c:marker>
            <c:symbol val="none"/>
          </c:marker>
          <c:xVal>
            <c:numRef>
              <c:f>'Q12'!$A$2:$A$22</c:f>
              <c:numCache>
                <c:formatCode>General</c:formatCode>
                <c:ptCount val="21"/>
                <c:pt idx="0">
                  <c:v>47</c:v>
                </c:pt>
                <c:pt idx="1">
                  <c:v>48</c:v>
                </c:pt>
                <c:pt idx="2">
                  <c:v>49</c:v>
                </c:pt>
                <c:pt idx="3">
                  <c:v>50</c:v>
                </c:pt>
                <c:pt idx="4">
                  <c:v>51</c:v>
                </c:pt>
                <c:pt idx="5">
                  <c:v>52</c:v>
                </c:pt>
                <c:pt idx="6">
                  <c:v>53</c:v>
                </c:pt>
                <c:pt idx="7">
                  <c:v>54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58</c:v>
                </c:pt>
                <c:pt idx="12">
                  <c:v>59</c:v>
                </c:pt>
                <c:pt idx="13">
                  <c:v>60</c:v>
                </c:pt>
                <c:pt idx="14">
                  <c:v>61</c:v>
                </c:pt>
                <c:pt idx="15">
                  <c:v>62</c:v>
                </c:pt>
                <c:pt idx="16">
                  <c:v>63</c:v>
                </c:pt>
                <c:pt idx="17">
                  <c:v>64</c:v>
                </c:pt>
                <c:pt idx="18">
                  <c:v>65</c:v>
                </c:pt>
                <c:pt idx="19">
                  <c:v>66</c:v>
                </c:pt>
                <c:pt idx="20">
                  <c:v>67</c:v>
                </c:pt>
              </c:numCache>
            </c:numRef>
          </c:xVal>
          <c:yVal>
            <c:numRef>
              <c:f>'Q12'!$F$2:$F$22</c:f>
              <c:numCache>
                <c:formatCode>General</c:formatCode>
                <c:ptCount val="21"/>
                <c:pt idx="0">
                  <c:v>1.0630708566553782E-2</c:v>
                </c:pt>
                <c:pt idx="1">
                  <c:v>1.1048060511446758E-2</c:v>
                </c:pt>
                <c:pt idx="2">
                  <c:v>1.1523199648709535E-2</c:v>
                </c:pt>
                <c:pt idx="3">
                  <c:v>1.2062546777494305E-2</c:v>
                </c:pt>
                <c:pt idx="4">
                  <c:v>1.2691785094409873E-2</c:v>
                </c:pt>
                <c:pt idx="5">
                  <c:v>1.3359548206238636E-2</c:v>
                </c:pt>
                <c:pt idx="6">
                  <c:v>1.4136464903654795E-2</c:v>
                </c:pt>
                <c:pt idx="7">
                  <c:v>1.4990431190897349E-2</c:v>
                </c:pt>
                <c:pt idx="8">
                  <c:v>1.59342886662707E-2</c:v>
                </c:pt>
                <c:pt idx="9">
                  <c:v>1.6968037329774845E-2</c:v>
                </c:pt>
                <c:pt idx="10">
                  <c:v>1.8098097980561986E-2</c:v>
                </c:pt>
                <c:pt idx="11">
                  <c:v>1.9324470618632121E-2</c:v>
                </c:pt>
                <c:pt idx="12">
                  <c:v>2.0647155243985249E-2</c:v>
                </c:pt>
                <c:pt idx="13">
                  <c:v>2.2072572655773573E-2</c:v>
                </c:pt>
                <c:pt idx="14">
                  <c:v>2.3600722853997093E-2</c:v>
                </c:pt>
                <c:pt idx="15">
                  <c:v>2.5225185039503606E-2</c:v>
                </c:pt>
                <c:pt idx="16">
                  <c:v>2.6965221609749714E-2</c:v>
                </c:pt>
                <c:pt idx="17">
                  <c:v>2.8827253363887619E-2</c:v>
                </c:pt>
                <c:pt idx="18">
                  <c:v>3.0811280301917307E-2</c:v>
                </c:pt>
                <c:pt idx="19">
                  <c:v>3.2930144022143198E-2</c:v>
                </c:pt>
                <c:pt idx="20">
                  <c:v>3.5203106922021873E-2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9D-481D-87AA-0243430F1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662528"/>
        <c:axId val="1"/>
      </c:scatterChart>
      <c:valAx>
        <c:axId val="516662528"/>
        <c:scaling>
          <c:orientation val="minMax"/>
          <c:max val="70"/>
          <c:min val="45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4.0000000000000008E-2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crossAx val="5166625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11129352376165"/>
          <c:y val="0.40612406777769361"/>
          <c:w val="0.18444486973236565"/>
          <c:h val="0.1693884302791385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0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4</xdr:col>
      <xdr:colOff>397329</xdr:colOff>
      <xdr:row>35</xdr:row>
      <xdr:rowOff>81643</xdr:rowOff>
    </xdr:to>
    <xdr:pic>
      <xdr:nvPicPr>
        <xdr:cNvPr id="192568" name="Picture 1">
          <a:extLst>
            <a:ext uri="{FF2B5EF4-FFF2-40B4-BE49-F238E27FC236}">
              <a16:creationId xmlns:a16="http://schemas.microsoft.com/office/drawing/2014/main" id="{A5D8E066-3243-4E0B-BB5C-35D22C2AC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143"/>
          <a:ext cx="3009900" cy="285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8</xdr:col>
      <xdr:colOff>114300</xdr:colOff>
      <xdr:row>37</xdr:row>
      <xdr:rowOff>174171</xdr:rowOff>
    </xdr:to>
    <xdr:pic>
      <xdr:nvPicPr>
        <xdr:cNvPr id="192569" name="Picture 4">
          <a:extLst>
            <a:ext uri="{FF2B5EF4-FFF2-40B4-BE49-F238E27FC236}">
              <a16:creationId xmlns:a16="http://schemas.microsoft.com/office/drawing/2014/main" id="{D5F414BB-B8D3-49BF-831D-DE417EA3A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5339443" cy="544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522514</xdr:colOff>
      <xdr:row>4</xdr:row>
      <xdr:rowOff>0</xdr:rowOff>
    </xdr:to>
    <xdr:pic>
      <xdr:nvPicPr>
        <xdr:cNvPr id="192570" name="Picture 5">
          <a:extLst>
            <a:ext uri="{FF2B5EF4-FFF2-40B4-BE49-F238E27FC236}">
              <a16:creationId xmlns:a16="http://schemas.microsoft.com/office/drawing/2014/main" id="{CCFD87BD-984D-4378-A284-492F059B8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57"/>
          <a:ext cx="1175657" cy="555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2</xdr:col>
      <xdr:colOff>604157</xdr:colOff>
      <xdr:row>7</xdr:row>
      <xdr:rowOff>10886</xdr:rowOff>
    </xdr:to>
    <xdr:pic>
      <xdr:nvPicPr>
        <xdr:cNvPr id="192571" name="Picture 6">
          <a:extLst>
            <a:ext uri="{FF2B5EF4-FFF2-40B4-BE49-F238E27FC236}">
              <a16:creationId xmlns:a16="http://schemas.microsoft.com/office/drawing/2014/main" id="{00BBFA5F-A0F5-4DFD-A5B5-0EA21DA6F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229"/>
          <a:ext cx="1910443" cy="5660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195943</xdr:colOff>
      <xdr:row>9</xdr:row>
      <xdr:rowOff>168729</xdr:rowOff>
    </xdr:to>
    <xdr:pic>
      <xdr:nvPicPr>
        <xdr:cNvPr id="192572" name="Picture 7">
          <a:extLst>
            <a:ext uri="{FF2B5EF4-FFF2-40B4-BE49-F238E27FC236}">
              <a16:creationId xmlns:a16="http://schemas.microsoft.com/office/drawing/2014/main" id="{EBC809DB-92A0-4A14-B65B-B8B38528D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2155371" cy="5388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4</xdr:col>
      <xdr:colOff>234043</xdr:colOff>
      <xdr:row>13</xdr:row>
      <xdr:rowOff>103414</xdr:rowOff>
    </xdr:to>
    <xdr:pic>
      <xdr:nvPicPr>
        <xdr:cNvPr id="192573" name="Picture 9">
          <a:extLst>
            <a:ext uri="{FF2B5EF4-FFF2-40B4-BE49-F238E27FC236}">
              <a16:creationId xmlns:a16="http://schemas.microsoft.com/office/drawing/2014/main" id="{31E48BCC-D8D0-4105-A891-E4D67C2F4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571"/>
          <a:ext cx="2846614" cy="658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3</xdr:col>
      <xdr:colOff>277586</xdr:colOff>
      <xdr:row>16</xdr:row>
      <xdr:rowOff>157843</xdr:rowOff>
    </xdr:to>
    <xdr:pic>
      <xdr:nvPicPr>
        <xdr:cNvPr id="192574" name="Picture 10">
          <a:extLst>
            <a:ext uri="{FF2B5EF4-FFF2-40B4-BE49-F238E27FC236}">
              <a16:creationId xmlns:a16="http://schemas.microsoft.com/office/drawing/2014/main" id="{B8ECBEAE-AEC9-4FA2-B305-9CB442C22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2237014" cy="5279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32657</xdr:colOff>
      <xdr:row>27</xdr:row>
      <xdr:rowOff>168729</xdr:rowOff>
    </xdr:to>
    <xdr:pic>
      <xdr:nvPicPr>
        <xdr:cNvPr id="230403" name="Picture 1">
          <a:extLst>
            <a:ext uri="{FF2B5EF4-FFF2-40B4-BE49-F238E27FC236}">
              <a16:creationId xmlns:a16="http://schemas.microsoft.com/office/drawing/2014/main" id="{8A9BB219-3D0E-4897-944D-99F1A848C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57"/>
          <a:ext cx="5257800" cy="4980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8</xdr:col>
      <xdr:colOff>234043</xdr:colOff>
      <xdr:row>62</xdr:row>
      <xdr:rowOff>141514</xdr:rowOff>
    </xdr:to>
    <xdr:pic>
      <xdr:nvPicPr>
        <xdr:cNvPr id="230404" name="Picture 2">
          <a:extLst>
            <a:ext uri="{FF2B5EF4-FFF2-40B4-BE49-F238E27FC236}">
              <a16:creationId xmlns:a16="http://schemas.microsoft.com/office/drawing/2014/main" id="{C02AEFF3-088D-406E-AF7F-59948478B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5459186" cy="6433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5</xdr:col>
      <xdr:colOff>560614</xdr:colOff>
      <xdr:row>21</xdr:row>
      <xdr:rowOff>54429</xdr:rowOff>
    </xdr:to>
    <xdr:pic>
      <xdr:nvPicPr>
        <xdr:cNvPr id="1220" name="Picture 1">
          <a:extLst>
            <a:ext uri="{FF2B5EF4-FFF2-40B4-BE49-F238E27FC236}">
              <a16:creationId xmlns:a16="http://schemas.microsoft.com/office/drawing/2014/main" id="{C1EB3A76-67F0-403C-8916-40A1B9FF8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571"/>
          <a:ext cx="3826329" cy="2090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13</xdr:col>
      <xdr:colOff>326571</xdr:colOff>
      <xdr:row>24</xdr:row>
      <xdr:rowOff>76200</xdr:rowOff>
    </xdr:to>
    <xdr:graphicFrame macro="">
      <xdr:nvGraphicFramePr>
        <xdr:cNvPr id="1221" name="Chart 3">
          <a:extLst>
            <a:ext uri="{FF2B5EF4-FFF2-40B4-BE49-F238E27FC236}">
              <a16:creationId xmlns:a16="http://schemas.microsoft.com/office/drawing/2014/main" id="{8B6EEDC1-6470-4D7B-B023-FF26C23FE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7</xdr:col>
      <xdr:colOff>326571</xdr:colOff>
      <xdr:row>38</xdr:row>
      <xdr:rowOff>76200</xdr:rowOff>
    </xdr:to>
    <xdr:graphicFrame macro="">
      <xdr:nvGraphicFramePr>
        <xdr:cNvPr id="2124" name="Chart 2">
          <a:extLst>
            <a:ext uri="{FF2B5EF4-FFF2-40B4-BE49-F238E27FC236}">
              <a16:creationId xmlns:a16="http://schemas.microsoft.com/office/drawing/2014/main" id="{1A3688C5-933D-4B26-ABE2-5F4B2EA6E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7</xdr:col>
      <xdr:colOff>326571</xdr:colOff>
      <xdr:row>39</xdr:row>
      <xdr:rowOff>76200</xdr:rowOff>
    </xdr:to>
    <xdr:graphicFrame macro="">
      <xdr:nvGraphicFramePr>
        <xdr:cNvPr id="3138" name="Chart 2">
          <a:extLst>
            <a:ext uri="{FF2B5EF4-FFF2-40B4-BE49-F238E27FC236}">
              <a16:creationId xmlns:a16="http://schemas.microsoft.com/office/drawing/2014/main" id="{1A9AE15C-0D59-48F7-9334-B8D7D6813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D7DF-9FDB-4F57-A5BA-EBD24DF4B530}">
  <dimension ref="A1:T25"/>
  <sheetViews>
    <sheetView tabSelected="1" workbookViewId="0"/>
  </sheetViews>
  <sheetFormatPr defaultColWidth="11" defaultRowHeight="14.6" x14ac:dyDescent="0.4"/>
  <cols>
    <col min="1" max="16384" width="11" style="9"/>
  </cols>
  <sheetData>
    <row r="1" spans="1:20" x14ac:dyDescent="0.4">
      <c r="A1" s="9" t="s">
        <v>54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  <c r="O1" s="10"/>
      <c r="P1" s="10"/>
      <c r="Q1" s="10"/>
    </row>
    <row r="2" spans="1:20" x14ac:dyDescent="0.4">
      <c r="A2" s="9">
        <v>14</v>
      </c>
      <c r="B2" s="11">
        <v>12800</v>
      </c>
      <c r="C2" s="11">
        <v>3</v>
      </c>
      <c r="D2" s="12">
        <f>C2/B2</f>
        <v>2.3437499999999999E-4</v>
      </c>
      <c r="E2" s="13">
        <v>3.8000000000000002E-4</v>
      </c>
      <c r="F2" s="14">
        <f>B2*E2</f>
        <v>4.8639999999999999</v>
      </c>
      <c r="G2" s="14">
        <f>F2*(1-E2)</f>
        <v>4.8621516799999993</v>
      </c>
      <c r="H2" s="14">
        <f>(C2-F2)/G2^0.5</f>
        <v>-0.84534046132711094</v>
      </c>
      <c r="I2" s="15">
        <f>E3-E2</f>
        <v>4.9999999999999969E-5</v>
      </c>
      <c r="J2" s="15">
        <f>I3-I2</f>
        <v>5.4210108624275222E-20</v>
      </c>
      <c r="K2" s="15">
        <f>J3-J2</f>
        <v>-1.0842021724855044E-19</v>
      </c>
      <c r="L2" s="9" t="str">
        <f t="shared" ref="L2:L7" si="0">IF(ABS(K2)*7^3&lt;E2,"YES","OOPS")</f>
        <v>YES</v>
      </c>
      <c r="M2" s="14">
        <f>H2^2</f>
        <v>0.71460049555673277</v>
      </c>
      <c r="N2" s="14"/>
      <c r="O2" s="14"/>
      <c r="P2" s="14"/>
      <c r="Q2" s="14"/>
      <c r="R2" s="14"/>
      <c r="S2" s="14"/>
      <c r="T2" s="14"/>
    </row>
    <row r="3" spans="1:20" x14ac:dyDescent="0.4">
      <c r="A3" s="9">
        <v>15</v>
      </c>
      <c r="B3" s="11">
        <v>15300</v>
      </c>
      <c r="C3" s="11">
        <v>8</v>
      </c>
      <c r="D3" s="12">
        <f t="shared" ref="D3:D10" si="1">C3/B3</f>
        <v>5.228758169934641E-4</v>
      </c>
      <c r="E3" s="13">
        <v>4.2999999999999999E-4</v>
      </c>
      <c r="F3" s="14">
        <f t="shared" ref="F3:F10" si="2">B3*E3</f>
        <v>6.5789999999999997</v>
      </c>
      <c r="G3" s="14">
        <f t="shared" ref="G3:G10" si="3">F3*(1-E3)</f>
        <v>6.5761710299999994</v>
      </c>
      <c r="H3" s="14">
        <f t="shared" ref="H3:H10" si="4">(C3-F3)/G3^0.5</f>
        <v>0.55412472416673331</v>
      </c>
      <c r="I3" s="15">
        <f t="shared" ref="I3:I9" si="5">E4-E3</f>
        <v>5.0000000000000023E-5</v>
      </c>
      <c r="J3" s="15">
        <f t="shared" ref="J3:K8" si="6">I4-I3</f>
        <v>-5.4210108624275222E-20</v>
      </c>
      <c r="K3" s="15">
        <f t="shared" si="6"/>
        <v>1.0000000000000135E-5</v>
      </c>
      <c r="L3" s="9" t="str">
        <f t="shared" si="0"/>
        <v>OOPS</v>
      </c>
      <c r="M3" s="14">
        <f t="shared" ref="M3:M10" si="7">H3^2</f>
        <v>0.30705420993285826</v>
      </c>
      <c r="N3" s="14"/>
      <c r="O3" s="14"/>
      <c r="P3" s="14"/>
      <c r="Q3" s="14"/>
      <c r="R3" s="14"/>
      <c r="S3" s="14"/>
      <c r="T3" s="14"/>
    </row>
    <row r="4" spans="1:20" x14ac:dyDescent="0.4">
      <c r="A4" s="9">
        <v>16</v>
      </c>
      <c r="B4" s="11">
        <v>12500</v>
      </c>
      <c r="C4" s="11">
        <v>5</v>
      </c>
      <c r="D4" s="12">
        <f t="shared" si="1"/>
        <v>4.0000000000000002E-4</v>
      </c>
      <c r="E4" s="13">
        <v>4.8000000000000001E-4</v>
      </c>
      <c r="F4" s="14">
        <f t="shared" si="2"/>
        <v>6</v>
      </c>
      <c r="G4" s="14">
        <f t="shared" si="3"/>
        <v>5.9971199999999998</v>
      </c>
      <c r="H4" s="14">
        <f t="shared" si="4"/>
        <v>-0.40834630534034161</v>
      </c>
      <c r="I4" s="15">
        <f t="shared" si="5"/>
        <v>4.9999999999999969E-5</v>
      </c>
      <c r="J4" s="15">
        <f t="shared" si="6"/>
        <v>1.000000000000008E-5</v>
      </c>
      <c r="K4" s="15">
        <f t="shared" si="6"/>
        <v>-1.6263032587282567E-19</v>
      </c>
      <c r="L4" s="9" t="str">
        <f t="shared" si="0"/>
        <v>YES</v>
      </c>
      <c r="M4" s="14">
        <f t="shared" si="7"/>
        <v>0.1667467050851075</v>
      </c>
      <c r="N4" s="14"/>
      <c r="O4" s="14"/>
      <c r="P4" s="14"/>
      <c r="Q4" s="14"/>
      <c r="R4" s="14"/>
      <c r="S4" s="14"/>
      <c r="T4" s="14"/>
    </row>
    <row r="5" spans="1:20" x14ac:dyDescent="0.4">
      <c r="A5" s="9">
        <v>17</v>
      </c>
      <c r="B5" s="11">
        <v>15000</v>
      </c>
      <c r="C5" s="11">
        <v>14</v>
      </c>
      <c r="D5" s="12">
        <f t="shared" si="1"/>
        <v>9.3333333333333332E-4</v>
      </c>
      <c r="E5" s="13">
        <v>5.2999999999999998E-4</v>
      </c>
      <c r="F5" s="14">
        <f t="shared" si="2"/>
        <v>7.9499999999999993</v>
      </c>
      <c r="G5" s="14">
        <f t="shared" si="3"/>
        <v>7.9457864999999988</v>
      </c>
      <c r="H5" s="18">
        <f t="shared" si="4"/>
        <v>2.146282719250955</v>
      </c>
      <c r="I5" s="15">
        <f t="shared" si="5"/>
        <v>6.0000000000000049E-5</v>
      </c>
      <c r="J5" s="15">
        <f t="shared" si="6"/>
        <v>9.9999999999999178E-6</v>
      </c>
      <c r="K5" s="15">
        <f t="shared" si="6"/>
        <v>1.0842021724855044E-19</v>
      </c>
      <c r="L5" s="9" t="str">
        <f t="shared" si="0"/>
        <v>YES</v>
      </c>
      <c r="M5" s="14">
        <f t="shared" si="7"/>
        <v>4.6065295109552737</v>
      </c>
      <c r="N5" s="14"/>
      <c r="O5" s="14"/>
      <c r="P5" s="14"/>
      <c r="Q5" s="14"/>
      <c r="R5" s="14"/>
      <c r="S5" s="14"/>
      <c r="T5" s="14"/>
    </row>
    <row r="6" spans="1:20" x14ac:dyDescent="0.4">
      <c r="A6" s="9">
        <v>18</v>
      </c>
      <c r="B6" s="11">
        <v>16500</v>
      </c>
      <c r="C6" s="11">
        <v>17</v>
      </c>
      <c r="D6" s="12">
        <f t="shared" si="1"/>
        <v>1.0303030303030303E-3</v>
      </c>
      <c r="E6" s="13">
        <v>5.9000000000000003E-4</v>
      </c>
      <c r="F6" s="14">
        <f t="shared" si="2"/>
        <v>9.7350000000000012</v>
      </c>
      <c r="G6" s="14">
        <f t="shared" si="3"/>
        <v>9.7292563500000018</v>
      </c>
      <c r="H6" s="18">
        <f t="shared" si="4"/>
        <v>2.3291410805766692</v>
      </c>
      <c r="I6" s="15">
        <f t="shared" si="5"/>
        <v>6.9999999999999967E-5</v>
      </c>
      <c r="J6" s="15">
        <f t="shared" si="6"/>
        <v>1.0000000000000026E-5</v>
      </c>
      <c r="K6" s="15">
        <f t="shared" si="6"/>
        <v>0</v>
      </c>
      <c r="L6" s="9" t="str">
        <f t="shared" si="0"/>
        <v>YES</v>
      </c>
      <c r="M6" s="14">
        <f t="shared" si="7"/>
        <v>5.4248981732298542</v>
      </c>
      <c r="N6" s="14"/>
      <c r="O6" s="14"/>
      <c r="P6" s="14"/>
      <c r="Q6" s="14"/>
      <c r="R6" s="14"/>
      <c r="S6" s="14"/>
      <c r="T6" s="14"/>
    </row>
    <row r="7" spans="1:20" x14ac:dyDescent="0.4">
      <c r="A7" s="9">
        <v>19</v>
      </c>
      <c r="B7" s="11">
        <v>10100</v>
      </c>
      <c r="C7" s="11">
        <v>9</v>
      </c>
      <c r="D7" s="12">
        <f t="shared" si="1"/>
        <v>8.9108910891089112E-4</v>
      </c>
      <c r="E7" s="13">
        <v>6.6E-4</v>
      </c>
      <c r="F7" s="14">
        <f t="shared" si="2"/>
        <v>6.6660000000000004</v>
      </c>
      <c r="G7" s="14">
        <f t="shared" si="3"/>
        <v>6.6616004400000008</v>
      </c>
      <c r="H7" s="18">
        <f t="shared" si="4"/>
        <v>0.9042979816998139</v>
      </c>
      <c r="I7" s="15">
        <f t="shared" si="5"/>
        <v>7.9999999999999993E-5</v>
      </c>
      <c r="J7" s="15">
        <f t="shared" si="6"/>
        <v>1.0000000000000026E-5</v>
      </c>
      <c r="K7" s="15">
        <f t="shared" si="6"/>
        <v>0</v>
      </c>
      <c r="L7" s="9" t="str">
        <f t="shared" si="0"/>
        <v>YES</v>
      </c>
      <c r="M7" s="14">
        <f t="shared" si="7"/>
        <v>0.81775483970635698</v>
      </c>
      <c r="N7" s="14"/>
      <c r="O7" s="14"/>
      <c r="P7" s="14"/>
      <c r="Q7" s="14"/>
      <c r="R7" s="14"/>
      <c r="S7" s="14"/>
      <c r="T7" s="14"/>
    </row>
    <row r="8" spans="1:20" x14ac:dyDescent="0.4">
      <c r="A8" s="9">
        <v>20</v>
      </c>
      <c r="B8" s="11">
        <v>12800</v>
      </c>
      <c r="C8" s="11">
        <v>15</v>
      </c>
      <c r="D8" s="12">
        <f t="shared" si="1"/>
        <v>1.171875E-3</v>
      </c>
      <c r="E8" s="13">
        <v>7.3999999999999999E-4</v>
      </c>
      <c r="F8" s="14">
        <f t="shared" si="2"/>
        <v>9.4719999999999995</v>
      </c>
      <c r="G8" s="14">
        <f t="shared" si="3"/>
        <v>9.4649907199999994</v>
      </c>
      <c r="H8" s="18">
        <f t="shared" si="4"/>
        <v>1.7968339227544055</v>
      </c>
      <c r="I8" s="15">
        <f t="shared" si="5"/>
        <v>9.0000000000000019E-5</v>
      </c>
      <c r="J8" s="15">
        <f t="shared" si="6"/>
        <v>1.0000000000000026E-5</v>
      </c>
      <c r="K8" s="15"/>
      <c r="M8" s="14">
        <f t="shared" si="7"/>
        <v>3.2286121459609847</v>
      </c>
      <c r="N8" s="14"/>
      <c r="O8" s="14"/>
      <c r="P8" s="14"/>
      <c r="Q8" s="14"/>
      <c r="R8" s="14"/>
      <c r="S8" s="14"/>
      <c r="T8" s="14"/>
    </row>
    <row r="9" spans="1:20" x14ac:dyDescent="0.4">
      <c r="A9" s="9">
        <v>21</v>
      </c>
      <c r="B9" s="11">
        <v>13700</v>
      </c>
      <c r="C9" s="11">
        <v>10</v>
      </c>
      <c r="D9" s="12">
        <f t="shared" si="1"/>
        <v>7.2992700729927003E-4</v>
      </c>
      <c r="E9" s="13">
        <v>8.3000000000000001E-4</v>
      </c>
      <c r="F9" s="14">
        <f t="shared" si="2"/>
        <v>11.371</v>
      </c>
      <c r="G9" s="14">
        <f t="shared" si="3"/>
        <v>11.36156207</v>
      </c>
      <c r="H9" s="14">
        <f t="shared" si="4"/>
        <v>-0.40674144957938463</v>
      </c>
      <c r="I9" s="15">
        <f t="shared" si="5"/>
        <v>1.0000000000000005E-4</v>
      </c>
      <c r="J9" s="15"/>
      <c r="K9" s="15"/>
      <c r="M9" s="14">
        <f t="shared" si="7"/>
        <v>0.16543860680593908</v>
      </c>
      <c r="N9" s="14"/>
      <c r="O9" s="14"/>
      <c r="P9" s="14"/>
      <c r="Q9" s="14"/>
      <c r="R9" s="14"/>
      <c r="S9" s="14"/>
      <c r="T9" s="14"/>
    </row>
    <row r="10" spans="1:20" x14ac:dyDescent="0.4">
      <c r="A10" s="9">
        <v>22</v>
      </c>
      <c r="B10" s="11">
        <v>11900</v>
      </c>
      <c r="C10" s="11">
        <v>10</v>
      </c>
      <c r="D10" s="12">
        <f t="shared" si="1"/>
        <v>8.4033613445378156E-4</v>
      </c>
      <c r="E10" s="13">
        <v>9.3000000000000005E-4</v>
      </c>
      <c r="F10" s="14">
        <f t="shared" si="2"/>
        <v>11.067</v>
      </c>
      <c r="G10" s="14">
        <f t="shared" si="3"/>
        <v>11.05670769</v>
      </c>
      <c r="H10" s="14">
        <f t="shared" si="4"/>
        <v>-0.32088654363066255</v>
      </c>
      <c r="I10" s="15"/>
      <c r="J10" s="15"/>
      <c r="K10" s="15"/>
      <c r="M10" s="14">
        <f t="shared" si="7"/>
        <v>0.10296817388323309</v>
      </c>
      <c r="N10" s="14"/>
      <c r="O10" s="14"/>
      <c r="P10" s="14"/>
      <c r="T10" s="14"/>
    </row>
    <row r="11" spans="1:20" x14ac:dyDescent="0.4">
      <c r="B11" s="16"/>
      <c r="C11" s="16">
        <f>SUM(C2:C10)</f>
        <v>91</v>
      </c>
      <c r="D11" s="15"/>
      <c r="E11" s="15"/>
      <c r="F11" s="14">
        <f>SUM(F2:F10)</f>
        <v>73.704000000000008</v>
      </c>
      <c r="G11" s="14">
        <f>SUM(G2:G10)</f>
        <v>73.655346479999992</v>
      </c>
      <c r="H11" s="14"/>
      <c r="I11" s="15"/>
      <c r="J11" s="15"/>
      <c r="K11" s="15"/>
      <c r="L11" s="9" t="s">
        <v>90</v>
      </c>
      <c r="M11" s="19">
        <f>SUM(M2:M10)</f>
        <v>15.53460286111634</v>
      </c>
      <c r="N11" s="20"/>
      <c r="O11" s="19"/>
      <c r="Q11" s="14"/>
      <c r="R11" s="14"/>
      <c r="S11" s="14"/>
    </row>
    <row r="12" spans="1:20" x14ac:dyDescent="0.4">
      <c r="B12" s="16" t="s">
        <v>92</v>
      </c>
      <c r="C12" s="19">
        <f>(C11-F11)/G11^0.5</f>
        <v>2.0153177881862723</v>
      </c>
      <c r="D12" s="15"/>
      <c r="E12" s="15"/>
      <c r="F12" s="14"/>
      <c r="G12" s="14"/>
      <c r="H12" s="14"/>
      <c r="I12" s="15"/>
      <c r="J12" s="15"/>
      <c r="K12" s="15"/>
      <c r="L12" s="9" t="s">
        <v>67</v>
      </c>
      <c r="M12" s="14">
        <f>CHIINV(0.05,9)</f>
        <v>16.918977604620451</v>
      </c>
      <c r="N12" s="14"/>
      <c r="O12" s="14"/>
      <c r="Q12" s="19"/>
      <c r="R12" s="14"/>
    </row>
    <row r="13" spans="1:20" x14ac:dyDescent="0.4">
      <c r="C13" s="9">
        <v>1.96</v>
      </c>
      <c r="L13" s="9" t="s">
        <v>68</v>
      </c>
      <c r="M13" s="14">
        <f>CHIINV(0.05,8)</f>
        <v>15.507313055865453</v>
      </c>
      <c r="R13" s="19"/>
    </row>
    <row r="14" spans="1:20" x14ac:dyDescent="0.4">
      <c r="L14" s="9" t="s">
        <v>69</v>
      </c>
      <c r="M14" s="14">
        <f>CHIINV(0.05,7)</f>
        <v>14.067140449340167</v>
      </c>
    </row>
    <row r="15" spans="1:20" x14ac:dyDescent="0.4">
      <c r="L15" s="9" t="s">
        <v>70</v>
      </c>
      <c r="M15" s="14">
        <f>CHIINV(0.05,6)</f>
        <v>12.591587243743978</v>
      </c>
    </row>
    <row r="18" spans="1:12" x14ac:dyDescent="0.4">
      <c r="A18" s="9" t="s">
        <v>71</v>
      </c>
      <c r="B18" s="9" t="s">
        <v>72</v>
      </c>
      <c r="C18" s="9" t="s">
        <v>73</v>
      </c>
      <c r="D18" s="9" t="s">
        <v>74</v>
      </c>
      <c r="E18" s="9" t="s">
        <v>75</v>
      </c>
    </row>
    <row r="19" spans="1:12" x14ac:dyDescent="0.4">
      <c r="A19" s="9" t="s">
        <v>76</v>
      </c>
      <c r="B19" s="17">
        <v>0</v>
      </c>
      <c r="C19" s="17">
        <v>4</v>
      </c>
      <c r="D19" s="17">
        <v>2</v>
      </c>
      <c r="E19" s="17">
        <v>3</v>
      </c>
      <c r="G19" s="9" t="s">
        <v>93</v>
      </c>
      <c r="H19" s="21">
        <f>D19+E19</f>
        <v>5</v>
      </c>
      <c r="I19" s="22">
        <f>(2*5-9)/3</f>
        <v>0.33333333333333331</v>
      </c>
      <c r="J19" s="9" t="s">
        <v>94</v>
      </c>
      <c r="K19" s="21">
        <v>2</v>
      </c>
      <c r="L19" s="22">
        <f>(2-5*5/9)/SQRT(20^2/9^3)</f>
        <v>-1.0499999999999998</v>
      </c>
    </row>
    <row r="20" spans="1:12" x14ac:dyDescent="0.4">
      <c r="A20" s="9" t="s">
        <v>77</v>
      </c>
      <c r="B20" s="17">
        <v>1.44</v>
      </c>
      <c r="C20" s="17">
        <v>3.06</v>
      </c>
      <c r="D20" s="17">
        <v>3.06</v>
      </c>
      <c r="E20" s="17">
        <v>1.44</v>
      </c>
      <c r="I20" s="9">
        <v>1.96</v>
      </c>
      <c r="L20" s="9">
        <v>-1.64</v>
      </c>
    </row>
    <row r="21" spans="1:12" x14ac:dyDescent="0.4">
      <c r="A21" s="9" t="s">
        <v>78</v>
      </c>
      <c r="B21" s="14">
        <f>(B19-B20)^2/B20</f>
        <v>1.44</v>
      </c>
      <c r="C21" s="14">
        <f>(C19-C20)^2/C20</f>
        <v>0.28875816993464049</v>
      </c>
      <c r="D21" s="14">
        <f>(D19-D20)^2/D20</f>
        <v>0.36718954248366015</v>
      </c>
      <c r="E21" s="14">
        <f>(E19-E20)^2/E20</f>
        <v>1.6900000000000002</v>
      </c>
      <c r="F21" s="9" t="s">
        <v>91</v>
      </c>
      <c r="G21" s="19">
        <f>SUM(B21:E21)</f>
        <v>3.7859477124183005</v>
      </c>
    </row>
    <row r="22" spans="1:12" x14ac:dyDescent="0.4">
      <c r="G22" s="14">
        <f>CHIINV(0.05,3)</f>
        <v>7.8147279032511792</v>
      </c>
    </row>
    <row r="23" spans="1:12" x14ac:dyDescent="0.4">
      <c r="F23" s="14"/>
    </row>
    <row r="24" spans="1:12" x14ac:dyDescent="0.4">
      <c r="A24" s="23" t="s">
        <v>79</v>
      </c>
    </row>
    <row r="25" spans="1:12" x14ac:dyDescent="0.4">
      <c r="A25" s="2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FA62-D7E7-4F21-8B7C-F381F6EF5F39}">
  <dimension ref="A1:S27"/>
  <sheetViews>
    <sheetView workbookViewId="0"/>
  </sheetViews>
  <sheetFormatPr defaultColWidth="11" defaultRowHeight="14.6" x14ac:dyDescent="0.4"/>
  <cols>
    <col min="1" max="16384" width="11" style="9"/>
  </cols>
  <sheetData>
    <row r="1" spans="1:19" x14ac:dyDescent="0.4">
      <c r="A1" s="9" t="s">
        <v>54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  <c r="O1" s="10"/>
      <c r="P1" s="10"/>
      <c r="Q1" s="10"/>
    </row>
    <row r="2" spans="1:19" x14ac:dyDescent="0.4">
      <c r="A2" s="9">
        <v>60</v>
      </c>
      <c r="B2" s="11">
        <v>3023</v>
      </c>
      <c r="C2" s="11">
        <v>38</v>
      </c>
      <c r="D2" s="12">
        <f>C2/B2</f>
        <v>1.257029440952696E-2</v>
      </c>
      <c r="E2" s="13">
        <v>1.3679999999999999E-2</v>
      </c>
      <c r="F2" s="14">
        <f>B2*E2</f>
        <v>41.354639999999996</v>
      </c>
      <c r="G2" s="14">
        <f>F2*(1-E2)</f>
        <v>40.788908524799993</v>
      </c>
      <c r="H2" s="14">
        <f>(C2-F2)/G2^0.5</f>
        <v>-0.52526066483935141</v>
      </c>
      <c r="I2" s="15">
        <f>E3-E2</f>
        <v>1.2500000000000011E-3</v>
      </c>
      <c r="J2" s="15">
        <f>I3-I2</f>
        <v>9.999999999999766E-5</v>
      </c>
      <c r="K2" s="15">
        <f>J3-J2</f>
        <v>-5.9999999999994086E-5</v>
      </c>
      <c r="L2" s="9" t="str">
        <f>IF(ABS(K2)*7^3&lt;E2,"YES","OOPS")</f>
        <v>OOPS</v>
      </c>
      <c r="M2" s="14">
        <f>H2^2</f>
        <v>0.27589876602747748</v>
      </c>
      <c r="N2" s="14"/>
      <c r="O2" s="14"/>
      <c r="P2" s="14"/>
      <c r="Q2" s="14"/>
      <c r="R2" s="14"/>
      <c r="S2" s="14"/>
    </row>
    <row r="3" spans="1:19" x14ac:dyDescent="0.4">
      <c r="A3" s="9">
        <v>61</v>
      </c>
      <c r="B3" s="11">
        <v>3214</v>
      </c>
      <c r="C3" s="11">
        <v>48</v>
      </c>
      <c r="D3" s="12">
        <f t="shared" ref="D3:D12" si="0">C3/B3</f>
        <v>1.4934660858742999E-2</v>
      </c>
      <c r="E3" s="13">
        <v>1.4930000000000001E-2</v>
      </c>
      <c r="F3" s="14">
        <f t="shared" ref="F3:F12" si="1">B3*E3</f>
        <v>47.985019999999999</v>
      </c>
      <c r="G3" s="14">
        <f t="shared" ref="G3:G12" si="2">F3*(1-E3)</f>
        <v>47.268603651399999</v>
      </c>
      <c r="H3" s="14">
        <f t="shared" ref="H3:H12" si="3">(C3-F3)/G3^0.5</f>
        <v>2.1788404373807063E-3</v>
      </c>
      <c r="I3" s="15">
        <f t="shared" ref="I3:I11" si="4">E4-E3</f>
        <v>1.3499999999999988E-3</v>
      </c>
      <c r="J3" s="15">
        <f t="shared" ref="J3:K10" si="5">I4-I3</f>
        <v>4.0000000000003574E-5</v>
      </c>
      <c r="K3" s="15">
        <f t="shared" si="5"/>
        <v>9.9999999999909189E-6</v>
      </c>
      <c r="L3" s="9" t="str">
        <f t="shared" ref="L3:L9" si="6">IF(ABS(K3)*7^3&lt;E3,"YES","OOPS")</f>
        <v>YES</v>
      </c>
      <c r="M3" s="14">
        <f t="shared" ref="M3:M12" si="7">H3^2</f>
        <v>4.7473456515653479E-6</v>
      </c>
      <c r="N3" s="14"/>
      <c r="O3" s="14"/>
      <c r="P3" s="14"/>
      <c r="Q3" s="14"/>
      <c r="R3" s="14"/>
      <c r="S3" s="14"/>
    </row>
    <row r="4" spans="1:19" x14ac:dyDescent="0.4">
      <c r="A4" s="9">
        <v>62</v>
      </c>
      <c r="B4" s="11">
        <v>2845</v>
      </c>
      <c r="C4" s="11">
        <v>32</v>
      </c>
      <c r="D4" s="12">
        <f t="shared" si="0"/>
        <v>1.124780316344464E-2</v>
      </c>
      <c r="E4" s="13">
        <v>1.6279999999999999E-2</v>
      </c>
      <c r="F4" s="14">
        <f t="shared" si="1"/>
        <v>46.316600000000001</v>
      </c>
      <c r="G4" s="14">
        <f t="shared" si="2"/>
        <v>45.562565752000005</v>
      </c>
      <c r="H4" s="18">
        <f t="shared" si="3"/>
        <v>-2.1209762473703169</v>
      </c>
      <c r="I4" s="15">
        <f t="shared" si="4"/>
        <v>1.3900000000000023E-3</v>
      </c>
      <c r="J4" s="15">
        <f t="shared" si="5"/>
        <v>4.9999999999994493E-5</v>
      </c>
      <c r="K4" s="15">
        <f t="shared" si="5"/>
        <v>-9.9999999999891842E-6</v>
      </c>
      <c r="L4" s="9" t="str">
        <f t="shared" si="6"/>
        <v>YES</v>
      </c>
      <c r="M4" s="14">
        <f t="shared" si="7"/>
        <v>4.4985402419090716</v>
      </c>
      <c r="N4" s="14"/>
      <c r="O4" s="14"/>
      <c r="P4" s="14"/>
      <c r="Q4" s="14"/>
      <c r="R4" s="14"/>
      <c r="S4" s="14"/>
    </row>
    <row r="5" spans="1:19" x14ac:dyDescent="0.4">
      <c r="A5" s="9">
        <v>63</v>
      </c>
      <c r="B5" s="11">
        <v>2772</v>
      </c>
      <c r="C5" s="11">
        <v>61</v>
      </c>
      <c r="D5" s="12">
        <f t="shared" si="0"/>
        <v>2.2005772005772004E-2</v>
      </c>
      <c r="E5" s="13">
        <v>1.7670000000000002E-2</v>
      </c>
      <c r="F5" s="14">
        <f t="shared" si="1"/>
        <v>48.981240000000007</v>
      </c>
      <c r="G5" s="14">
        <f t="shared" si="2"/>
        <v>48.115741489200012</v>
      </c>
      <c r="H5" s="18">
        <f t="shared" si="3"/>
        <v>1.7326708599102505</v>
      </c>
      <c r="I5" s="15">
        <f t="shared" si="4"/>
        <v>1.4399999999999968E-3</v>
      </c>
      <c r="J5" s="15">
        <f t="shared" si="5"/>
        <v>4.0000000000005309E-5</v>
      </c>
      <c r="K5" s="15">
        <f t="shared" si="5"/>
        <v>4.9999999999991024E-5</v>
      </c>
      <c r="L5" s="9" t="str">
        <f t="shared" si="6"/>
        <v>YES</v>
      </c>
      <c r="M5" s="14">
        <f t="shared" si="7"/>
        <v>3.002148308782127</v>
      </c>
      <c r="N5" s="14"/>
      <c r="O5" s="14"/>
      <c r="P5" s="14"/>
      <c r="Q5" s="14"/>
      <c r="R5" s="14"/>
      <c r="S5" s="14"/>
    </row>
    <row r="6" spans="1:19" x14ac:dyDescent="0.4">
      <c r="A6" s="9">
        <v>64</v>
      </c>
      <c r="B6" s="11">
        <v>2476</v>
      </c>
      <c r="C6" s="11">
        <v>50</v>
      </c>
      <c r="D6" s="12">
        <f t="shared" si="0"/>
        <v>2.0193861066235864E-2</v>
      </c>
      <c r="E6" s="13">
        <v>1.9109999999999999E-2</v>
      </c>
      <c r="F6" s="14">
        <f t="shared" si="1"/>
        <v>47.316359999999996</v>
      </c>
      <c r="G6" s="14">
        <f t="shared" si="2"/>
        <v>46.412144360399999</v>
      </c>
      <c r="H6" s="14">
        <f t="shared" si="3"/>
        <v>0.39392037008281494</v>
      </c>
      <c r="I6" s="15">
        <f t="shared" si="4"/>
        <v>1.4800000000000021E-3</v>
      </c>
      <c r="J6" s="15">
        <f t="shared" si="5"/>
        <v>8.9999999999996333E-5</v>
      </c>
      <c r="K6" s="15">
        <f t="shared" si="5"/>
        <v>7.0000000000007556E-5</v>
      </c>
      <c r="L6" s="9" t="str">
        <f t="shared" si="6"/>
        <v>OOPS</v>
      </c>
      <c r="M6" s="14">
        <f t="shared" si="7"/>
        <v>0.15517325796618189</v>
      </c>
      <c r="N6" s="14"/>
      <c r="O6" s="14"/>
      <c r="P6" s="14"/>
      <c r="Q6" s="14"/>
      <c r="R6" s="14"/>
      <c r="S6" s="14"/>
    </row>
    <row r="7" spans="1:19" x14ac:dyDescent="0.4">
      <c r="A7" s="9">
        <v>65</v>
      </c>
      <c r="B7" s="11">
        <v>2697</v>
      </c>
      <c r="C7" s="11">
        <v>42</v>
      </c>
      <c r="D7" s="12">
        <f t="shared" si="0"/>
        <v>1.557285873192436E-2</v>
      </c>
      <c r="E7" s="13">
        <v>2.0590000000000001E-2</v>
      </c>
      <c r="F7" s="14">
        <f t="shared" si="1"/>
        <v>55.531230000000001</v>
      </c>
      <c r="G7" s="14">
        <f t="shared" si="2"/>
        <v>54.387841974300002</v>
      </c>
      <c r="H7" s="18">
        <f t="shared" si="3"/>
        <v>-1.8347899921449928</v>
      </c>
      <c r="I7" s="15">
        <f t="shared" si="4"/>
        <v>1.5699999999999985E-3</v>
      </c>
      <c r="J7" s="15">
        <f t="shared" si="5"/>
        <v>1.6000000000000389E-4</v>
      </c>
      <c r="K7" s="15">
        <f t="shared" si="5"/>
        <v>6.9999999999993678E-5</v>
      </c>
      <c r="L7" s="9" t="str">
        <f t="shared" si="6"/>
        <v>OOPS</v>
      </c>
      <c r="M7" s="14">
        <f t="shared" si="7"/>
        <v>3.3664543152754227</v>
      </c>
      <c r="N7" s="14"/>
      <c r="O7" s="14"/>
      <c r="P7" s="14"/>
      <c r="Q7" s="14"/>
      <c r="R7" s="14"/>
      <c r="S7" s="14"/>
    </row>
    <row r="8" spans="1:19" x14ac:dyDescent="0.4">
      <c r="A8" s="9">
        <v>66</v>
      </c>
      <c r="B8" s="11">
        <v>2477</v>
      </c>
      <c r="C8" s="11">
        <v>69</v>
      </c>
      <c r="D8" s="12">
        <f t="shared" si="0"/>
        <v>2.7856277755349212E-2</v>
      </c>
      <c r="E8" s="13">
        <v>2.2159999999999999E-2</v>
      </c>
      <c r="F8" s="14">
        <f t="shared" si="1"/>
        <v>54.890319999999996</v>
      </c>
      <c r="G8" s="14">
        <f t="shared" si="2"/>
        <v>53.673950508799997</v>
      </c>
      <c r="H8" s="18">
        <f t="shared" si="3"/>
        <v>1.9259073189574358</v>
      </c>
      <c r="I8" s="15">
        <f t="shared" si="4"/>
        <v>1.7300000000000024E-3</v>
      </c>
      <c r="J8" s="15">
        <f t="shared" si="5"/>
        <v>2.2999999999999757E-4</v>
      </c>
      <c r="K8" s="15">
        <f t="shared" si="5"/>
        <v>2.0000000000002655E-5</v>
      </c>
      <c r="L8" s="9" t="str">
        <f t="shared" si="6"/>
        <v>YES</v>
      </c>
      <c r="M8" s="14">
        <f t="shared" si="7"/>
        <v>3.7091190012138187</v>
      </c>
      <c r="N8" s="14"/>
      <c r="O8" s="14"/>
      <c r="P8" s="14"/>
      <c r="Q8" s="14"/>
      <c r="R8" s="14"/>
      <c r="S8" s="14"/>
    </row>
    <row r="9" spans="1:19" x14ac:dyDescent="0.4">
      <c r="A9" s="9">
        <v>67</v>
      </c>
      <c r="B9" s="11">
        <v>2432</v>
      </c>
      <c r="C9" s="11">
        <v>52</v>
      </c>
      <c r="D9" s="12">
        <f t="shared" si="0"/>
        <v>2.1381578947368422E-2</v>
      </c>
      <c r="E9" s="13">
        <v>2.3890000000000002E-2</v>
      </c>
      <c r="F9" s="14">
        <f t="shared" si="1"/>
        <v>58.100480000000005</v>
      </c>
      <c r="G9" s="14">
        <f t="shared" si="2"/>
        <v>56.712459532800004</v>
      </c>
      <c r="H9" s="14">
        <f t="shared" si="3"/>
        <v>-0.81007413637757009</v>
      </c>
      <c r="I9" s="15">
        <f t="shared" si="4"/>
        <v>1.9599999999999999E-3</v>
      </c>
      <c r="J9" s="15">
        <f t="shared" si="5"/>
        <v>2.5000000000000022E-4</v>
      </c>
      <c r="K9" s="15">
        <f t="shared" si="5"/>
        <v>-3.4694469519536142E-18</v>
      </c>
      <c r="L9" s="9" t="str">
        <f t="shared" si="6"/>
        <v>YES</v>
      </c>
      <c r="M9" s="14">
        <f t="shared" si="7"/>
        <v>0.65622010642786599</v>
      </c>
      <c r="N9" s="14"/>
      <c r="O9" s="14"/>
      <c r="P9" s="14"/>
      <c r="Q9" s="14"/>
      <c r="R9" s="14"/>
      <c r="S9" s="14"/>
    </row>
    <row r="10" spans="1:19" x14ac:dyDescent="0.4">
      <c r="A10" s="9">
        <v>68</v>
      </c>
      <c r="B10" s="11">
        <v>2535</v>
      </c>
      <c r="C10" s="11">
        <v>51</v>
      </c>
      <c r="D10" s="12">
        <f t="shared" si="0"/>
        <v>2.0118343195266272E-2</v>
      </c>
      <c r="E10" s="13">
        <v>2.5850000000000001E-2</v>
      </c>
      <c r="F10" s="14">
        <f t="shared" si="1"/>
        <v>65.529750000000007</v>
      </c>
      <c r="G10" s="14">
        <f t="shared" si="2"/>
        <v>63.835805962500004</v>
      </c>
      <c r="H10" s="18">
        <f t="shared" si="3"/>
        <v>-1.8185530259680487</v>
      </c>
      <c r="I10" s="15">
        <f t="shared" si="4"/>
        <v>2.2100000000000002E-3</v>
      </c>
      <c r="J10" s="15">
        <f t="shared" si="5"/>
        <v>2.4999999999999675E-4</v>
      </c>
      <c r="K10" s="15"/>
      <c r="M10" s="14">
        <f t="shared" si="7"/>
        <v>3.3071351082575462</v>
      </c>
      <c r="N10" s="14"/>
      <c r="O10" s="14"/>
      <c r="P10" s="14"/>
      <c r="Q10" s="14"/>
      <c r="R10" s="14"/>
      <c r="S10" s="14"/>
    </row>
    <row r="11" spans="1:19" x14ac:dyDescent="0.4">
      <c r="A11" s="9">
        <v>69</v>
      </c>
      <c r="B11" s="11">
        <v>2944</v>
      </c>
      <c r="C11" s="11">
        <v>83</v>
      </c>
      <c r="D11" s="12">
        <f t="shared" si="0"/>
        <v>2.8192934782608696E-2</v>
      </c>
      <c r="E11" s="13">
        <v>2.8060000000000002E-2</v>
      </c>
      <c r="F11" s="14">
        <f t="shared" si="1"/>
        <v>82.608640000000008</v>
      </c>
      <c r="G11" s="14">
        <f t="shared" si="2"/>
        <v>80.290641561600012</v>
      </c>
      <c r="H11" s="14">
        <f t="shared" si="3"/>
        <v>4.3676112028538251E-2</v>
      </c>
      <c r="I11" s="15">
        <f t="shared" si="4"/>
        <v>2.4599999999999969E-3</v>
      </c>
      <c r="J11" s="15"/>
      <c r="K11" s="15"/>
      <c r="M11" s="14">
        <f t="shared" si="7"/>
        <v>1.9076027619294236E-3</v>
      </c>
      <c r="N11" s="14"/>
      <c r="O11" s="14"/>
      <c r="P11" s="14"/>
      <c r="Q11" s="14"/>
      <c r="R11" s="14"/>
      <c r="S11" s="14"/>
    </row>
    <row r="12" spans="1:19" x14ac:dyDescent="0.4">
      <c r="A12" s="9">
        <v>70</v>
      </c>
      <c r="B12" s="11">
        <v>2670</v>
      </c>
      <c r="C12" s="11">
        <v>97</v>
      </c>
      <c r="D12" s="12">
        <f t="shared" si="0"/>
        <v>3.6329588014981276E-2</v>
      </c>
      <c r="E12" s="13">
        <v>3.0519999999999999E-2</v>
      </c>
      <c r="F12" s="14">
        <f t="shared" si="1"/>
        <v>81.488399999999999</v>
      </c>
      <c r="G12" s="14">
        <f t="shared" si="2"/>
        <v>79.001374032000001</v>
      </c>
      <c r="H12" s="18">
        <f t="shared" si="3"/>
        <v>1.7451761717075065</v>
      </c>
      <c r="I12" s="15"/>
      <c r="J12" s="15"/>
      <c r="K12" s="15"/>
      <c r="M12" s="14">
        <f t="shared" si="7"/>
        <v>3.0456398702956684</v>
      </c>
      <c r="N12" s="14"/>
      <c r="O12" s="14"/>
    </row>
    <row r="13" spans="1:19" x14ac:dyDescent="0.4">
      <c r="B13" s="16"/>
      <c r="C13" s="16">
        <f>SUM(C2:C12)</f>
        <v>623</v>
      </c>
      <c r="D13" s="15"/>
      <c r="E13" s="15"/>
      <c r="F13" s="14">
        <f>SUM(F2:F12)</f>
        <v>630.10267999999996</v>
      </c>
      <c r="G13" s="14">
        <f>SUM(G2:G12)</f>
        <v>616.05003734980005</v>
      </c>
      <c r="H13" s="14"/>
      <c r="I13" s="15"/>
      <c r="J13" s="15"/>
      <c r="K13" s="15"/>
      <c r="L13" s="9" t="s">
        <v>90</v>
      </c>
      <c r="M13" s="19">
        <f>SUM(M2:M12)</f>
        <v>22.018241326262764</v>
      </c>
      <c r="N13" s="20"/>
      <c r="Q13" s="14"/>
      <c r="R13" s="14"/>
      <c r="S13" s="14"/>
    </row>
    <row r="14" spans="1:19" x14ac:dyDescent="0.4">
      <c r="B14" s="16" t="s">
        <v>92</v>
      </c>
      <c r="C14" s="19">
        <f>(C13-F13)/G13^0.5</f>
        <v>-0.2861635102879268</v>
      </c>
      <c r="D14" s="15"/>
      <c r="E14" s="15"/>
      <c r="F14" s="14"/>
      <c r="G14" s="14"/>
      <c r="H14" s="14"/>
      <c r="I14" s="15"/>
      <c r="J14" s="15"/>
      <c r="K14" s="15"/>
      <c r="L14" s="9" t="s">
        <v>80</v>
      </c>
      <c r="M14" s="14">
        <f>CHIINV(0.05,11)</f>
        <v>19.675137572682498</v>
      </c>
      <c r="N14" s="14"/>
      <c r="O14" s="14"/>
      <c r="Q14" s="19"/>
      <c r="R14" s="14"/>
    </row>
    <row r="15" spans="1:19" x14ac:dyDescent="0.4">
      <c r="C15" s="9">
        <v>-1.96</v>
      </c>
      <c r="L15" s="9" t="s">
        <v>81</v>
      </c>
      <c r="M15" s="14">
        <f>CHIINV(0.05,10)</f>
        <v>18.307038053275146</v>
      </c>
      <c r="R15" s="19"/>
    </row>
    <row r="16" spans="1:19" x14ac:dyDescent="0.4">
      <c r="L16" s="9" t="s">
        <v>67</v>
      </c>
      <c r="M16" s="14">
        <f>CHIINV(0.05,9)</f>
        <v>16.918977604620451</v>
      </c>
    </row>
    <row r="17" spans="1:13" x14ac:dyDescent="0.4">
      <c r="L17" s="9" t="s">
        <v>68</v>
      </c>
      <c r="M17" s="14">
        <f>CHIINV(0.05,8)</f>
        <v>15.507313055865453</v>
      </c>
    </row>
    <row r="18" spans="1:13" x14ac:dyDescent="0.4">
      <c r="M18" s="14"/>
    </row>
    <row r="19" spans="1:13" x14ac:dyDescent="0.4">
      <c r="M19" s="14"/>
    </row>
    <row r="20" spans="1:13" x14ac:dyDescent="0.4">
      <c r="A20" s="9" t="s">
        <v>71</v>
      </c>
      <c r="B20" s="9" t="s">
        <v>72</v>
      </c>
      <c r="C20" s="9" t="s">
        <v>73</v>
      </c>
      <c r="D20" s="9" t="s">
        <v>74</v>
      </c>
      <c r="E20" s="9" t="s">
        <v>75</v>
      </c>
    </row>
    <row r="21" spans="1:13" x14ac:dyDescent="0.4">
      <c r="A21" s="9" t="s">
        <v>76</v>
      </c>
      <c r="B21" s="17">
        <v>3</v>
      </c>
      <c r="C21" s="17">
        <v>2</v>
      </c>
      <c r="D21" s="17">
        <v>3</v>
      </c>
      <c r="E21" s="17">
        <v>3</v>
      </c>
      <c r="G21" s="9" t="s">
        <v>93</v>
      </c>
      <c r="H21" s="21">
        <f>D21+E21</f>
        <v>6</v>
      </c>
      <c r="I21" s="22">
        <f>(2*6-11)/SQRT(11)</f>
        <v>0.30151134457776363</v>
      </c>
      <c r="J21" s="9" t="s">
        <v>94</v>
      </c>
      <c r="K21" s="21">
        <v>4</v>
      </c>
      <c r="L21" s="22">
        <f>(2-6*6/11)/SQRT(30^2/11^3)</f>
        <v>-1.547758235499187</v>
      </c>
    </row>
    <row r="22" spans="1:13" x14ac:dyDescent="0.4">
      <c r="A22" s="9" t="s">
        <v>77</v>
      </c>
      <c r="B22" s="17">
        <v>1.76</v>
      </c>
      <c r="C22" s="17">
        <v>3.74</v>
      </c>
      <c r="D22" s="17">
        <v>3.74</v>
      </c>
      <c r="E22" s="17">
        <v>1.76</v>
      </c>
      <c r="I22" s="9">
        <v>1.96</v>
      </c>
      <c r="L22" s="9">
        <v>-1.64</v>
      </c>
    </row>
    <row r="23" spans="1:13" x14ac:dyDescent="0.4">
      <c r="A23" s="9" t="s">
        <v>78</v>
      </c>
      <c r="B23" s="14">
        <f>(B21-B22)^2/B22</f>
        <v>0.87363636363636366</v>
      </c>
      <c r="C23" s="14">
        <f>(C21-C22)^2/C22</f>
        <v>0.80951871657754026</v>
      </c>
      <c r="D23" s="14">
        <f>(D21-D22)^2/D22</f>
        <v>0.1464171122994653</v>
      </c>
      <c r="E23" s="14">
        <f>(E21-E22)^2/E22</f>
        <v>0.87363636363636366</v>
      </c>
      <c r="F23" s="9" t="s">
        <v>91</v>
      </c>
      <c r="G23" s="19">
        <f>SUM(B23:E23)</f>
        <v>2.703208556149733</v>
      </c>
    </row>
    <row r="24" spans="1:13" x14ac:dyDescent="0.4">
      <c r="G24" s="14">
        <f>CHIINV(0.05,3)</f>
        <v>7.8147279032511792</v>
      </c>
    </row>
    <row r="26" spans="1:13" x14ac:dyDescent="0.4">
      <c r="A26" s="23" t="s">
        <v>82</v>
      </c>
    </row>
    <row r="27" spans="1:13" x14ac:dyDescent="0.4">
      <c r="A27" s="2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DD83-1A9B-4346-86FF-B9342999D548}">
  <dimension ref="A1:L49"/>
  <sheetViews>
    <sheetView workbookViewId="0"/>
  </sheetViews>
  <sheetFormatPr defaultRowHeight="14.6" x14ac:dyDescent="0.4"/>
  <sheetData>
    <row r="1" spans="1:8" x14ac:dyDescent="0.4">
      <c r="A1" t="s">
        <v>0</v>
      </c>
      <c r="B1" t="s">
        <v>5</v>
      </c>
      <c r="C1" t="s">
        <v>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4">
      <c r="A2">
        <v>35</v>
      </c>
      <c r="B2">
        <v>1051</v>
      </c>
      <c r="C2">
        <v>2</v>
      </c>
      <c r="D2">
        <v>1.1299999999999999E-3</v>
      </c>
      <c r="E2" s="8">
        <f>B2*D2</f>
        <v>1.18763</v>
      </c>
      <c r="F2" s="8">
        <f>E2*(1-D2)</f>
        <v>1.1862879781</v>
      </c>
      <c r="G2" s="8">
        <f>(C2-E2)/SQRT(F2)</f>
        <v>0.74586256839347276</v>
      </c>
      <c r="H2" s="8">
        <f>G2^2</f>
        <v>0.55631097093050785</v>
      </c>
    </row>
    <row r="3" spans="1:8" x14ac:dyDescent="0.4">
      <c r="A3">
        <v>36</v>
      </c>
      <c r="B3">
        <v>940</v>
      </c>
      <c r="C3">
        <v>2</v>
      </c>
      <c r="D3">
        <v>1.23E-3</v>
      </c>
      <c r="E3" s="8">
        <f t="shared" ref="E3:E37" si="0">B3*D3</f>
        <v>1.1561999999999999</v>
      </c>
      <c r="F3" s="8">
        <f t="shared" ref="F3:F37" si="1">E3*(1-D3)</f>
        <v>1.1547778739999999</v>
      </c>
      <c r="G3" s="8">
        <f t="shared" ref="G3:G37" si="2">(C3-E3)/SQRT(F3)</f>
        <v>0.78521808571222285</v>
      </c>
      <c r="H3" s="8">
        <f t="shared" ref="H3:H37" si="3">G3^2</f>
        <v>0.61656744212956771</v>
      </c>
    </row>
    <row r="4" spans="1:8" x14ac:dyDescent="0.4">
      <c r="A4">
        <v>37</v>
      </c>
      <c r="B4">
        <v>1048</v>
      </c>
      <c r="C4">
        <v>3</v>
      </c>
      <c r="D4">
        <v>1.34E-3</v>
      </c>
      <c r="E4" s="8">
        <f t="shared" si="0"/>
        <v>1.40432</v>
      </c>
      <c r="F4" s="8">
        <f t="shared" si="1"/>
        <v>1.4024382112</v>
      </c>
      <c r="G4" s="8">
        <f t="shared" si="2"/>
        <v>1.347422929571346</v>
      </c>
      <c r="H4" s="8">
        <f t="shared" si="3"/>
        <v>1.8155485511346285</v>
      </c>
    </row>
    <row r="5" spans="1:8" x14ac:dyDescent="0.4">
      <c r="A5">
        <v>38</v>
      </c>
      <c r="B5">
        <v>716</v>
      </c>
      <c r="C5">
        <v>3</v>
      </c>
      <c r="D5">
        <v>1.48E-3</v>
      </c>
      <c r="E5" s="8">
        <f t="shared" si="0"/>
        <v>1.05968</v>
      </c>
      <c r="F5" s="8">
        <f t="shared" si="1"/>
        <v>1.0581116736</v>
      </c>
      <c r="G5" s="8">
        <f t="shared" si="2"/>
        <v>1.8862862863101384</v>
      </c>
      <c r="H5" s="8">
        <f t="shared" si="3"/>
        <v>3.5580759539216933</v>
      </c>
    </row>
    <row r="6" spans="1:8" x14ac:dyDescent="0.4">
      <c r="A6">
        <v>39</v>
      </c>
      <c r="B6">
        <v>719</v>
      </c>
      <c r="C6">
        <v>3</v>
      </c>
      <c r="D6">
        <v>1.65E-3</v>
      </c>
      <c r="E6" s="8">
        <f t="shared" si="0"/>
        <v>1.18635</v>
      </c>
      <c r="F6" s="8">
        <f t="shared" si="1"/>
        <v>1.1843925225</v>
      </c>
      <c r="G6" s="8">
        <f t="shared" si="2"/>
        <v>1.666501280854872</v>
      </c>
      <c r="H6" s="8">
        <f t="shared" si="3"/>
        <v>2.7772265190909291</v>
      </c>
    </row>
    <row r="7" spans="1:8" x14ac:dyDescent="0.4">
      <c r="A7">
        <v>40</v>
      </c>
      <c r="B7">
        <v>1051</v>
      </c>
      <c r="C7">
        <v>1</v>
      </c>
      <c r="D7">
        <v>1.8400000000000001E-3</v>
      </c>
      <c r="E7" s="8">
        <f t="shared" si="0"/>
        <v>1.93384</v>
      </c>
      <c r="F7" s="8">
        <f t="shared" si="1"/>
        <v>1.9302817344000001</v>
      </c>
      <c r="G7" s="8">
        <f t="shared" si="2"/>
        <v>-0.67214368392080148</v>
      </c>
      <c r="H7" s="8">
        <f t="shared" si="3"/>
        <v>0.45177713183462631</v>
      </c>
    </row>
    <row r="8" spans="1:8" x14ac:dyDescent="0.4">
      <c r="A8">
        <v>41</v>
      </c>
      <c r="B8">
        <v>1042</v>
      </c>
      <c r="C8">
        <v>1</v>
      </c>
      <c r="D8">
        <v>2.0600000000000002E-3</v>
      </c>
      <c r="E8" s="8">
        <f t="shared" si="0"/>
        <v>2.1465200000000002</v>
      </c>
      <c r="F8" s="8">
        <f t="shared" si="1"/>
        <v>2.1420981688000005</v>
      </c>
      <c r="G8" s="8">
        <f t="shared" si="2"/>
        <v>-0.78336100692441168</v>
      </c>
      <c r="H8" s="8">
        <f t="shared" si="3"/>
        <v>0.61365446716962813</v>
      </c>
    </row>
    <row r="9" spans="1:8" x14ac:dyDescent="0.4">
      <c r="A9">
        <v>42</v>
      </c>
      <c r="B9">
        <v>1804</v>
      </c>
      <c r="C9">
        <v>3</v>
      </c>
      <c r="D9">
        <v>2.31E-3</v>
      </c>
      <c r="E9" s="8">
        <f t="shared" si="0"/>
        <v>4.1672399999999996</v>
      </c>
      <c r="F9" s="8">
        <f t="shared" si="1"/>
        <v>4.1576136755999995</v>
      </c>
      <c r="G9" s="8">
        <f t="shared" si="2"/>
        <v>-0.57245070657285202</v>
      </c>
      <c r="H9" s="8">
        <f t="shared" si="3"/>
        <v>0.32769981145575749</v>
      </c>
    </row>
    <row r="10" spans="1:8" x14ac:dyDescent="0.4">
      <c r="A10">
        <v>43</v>
      </c>
      <c r="B10">
        <v>1468</v>
      </c>
      <c r="C10">
        <v>6</v>
      </c>
      <c r="D10">
        <v>2.5999999999999999E-3</v>
      </c>
      <c r="E10" s="8">
        <f t="shared" si="0"/>
        <v>3.8167999999999997</v>
      </c>
      <c r="F10" s="8">
        <f t="shared" si="1"/>
        <v>3.8068763199999998</v>
      </c>
      <c r="G10" s="8">
        <f t="shared" si="2"/>
        <v>1.1189460279115035</v>
      </c>
      <c r="H10" s="8">
        <f t="shared" si="3"/>
        <v>1.2520402133789312</v>
      </c>
    </row>
    <row r="11" spans="1:8" x14ac:dyDescent="0.4">
      <c r="A11">
        <v>44</v>
      </c>
      <c r="B11">
        <v>1576</v>
      </c>
      <c r="C11">
        <v>4</v>
      </c>
      <c r="D11">
        <v>2.9299999999999999E-3</v>
      </c>
      <c r="E11" s="8">
        <f t="shared" si="0"/>
        <v>4.61768</v>
      </c>
      <c r="F11" s="8">
        <f t="shared" si="1"/>
        <v>4.6041501976000001</v>
      </c>
      <c r="G11" s="8">
        <f t="shared" si="2"/>
        <v>-0.28786495594411765</v>
      </c>
      <c r="H11" s="8">
        <f t="shared" si="3"/>
        <v>8.2866232860708794E-2</v>
      </c>
    </row>
    <row r="12" spans="1:8" x14ac:dyDescent="0.4">
      <c r="A12">
        <v>45</v>
      </c>
      <c r="B12">
        <v>1647</v>
      </c>
      <c r="C12">
        <v>8</v>
      </c>
      <c r="D12">
        <v>3.32E-3</v>
      </c>
      <c r="E12" s="8">
        <f t="shared" si="0"/>
        <v>5.4680400000000002</v>
      </c>
      <c r="F12" s="8">
        <f t="shared" si="1"/>
        <v>5.4498861072000002</v>
      </c>
      <c r="G12" s="8">
        <f t="shared" si="2"/>
        <v>1.0845838348042662</v>
      </c>
      <c r="H12" s="8">
        <f t="shared" si="3"/>
        <v>1.1763220947187278</v>
      </c>
    </row>
    <row r="13" spans="1:8" x14ac:dyDescent="0.4">
      <c r="A13">
        <v>46</v>
      </c>
      <c r="B13">
        <v>1861</v>
      </c>
      <c r="C13">
        <v>5</v>
      </c>
      <c r="D13">
        <v>3.7599999999999999E-3</v>
      </c>
      <c r="E13" s="8">
        <f t="shared" si="0"/>
        <v>6.9973599999999996</v>
      </c>
      <c r="F13" s="8">
        <f t="shared" si="1"/>
        <v>6.9710499264000001</v>
      </c>
      <c r="G13" s="8">
        <f t="shared" si="2"/>
        <v>-0.75649707242625364</v>
      </c>
      <c r="H13" s="8">
        <f t="shared" si="3"/>
        <v>0.57228782058949246</v>
      </c>
    </row>
    <row r="14" spans="1:8" x14ac:dyDescent="0.4">
      <c r="A14">
        <v>47</v>
      </c>
      <c r="B14">
        <v>1669</v>
      </c>
      <c r="C14">
        <v>8</v>
      </c>
      <c r="D14">
        <v>4.2500000000000003E-3</v>
      </c>
      <c r="E14" s="8">
        <f t="shared" si="0"/>
        <v>7.0932500000000003</v>
      </c>
      <c r="F14" s="8">
        <f t="shared" si="1"/>
        <v>7.0631036875000008</v>
      </c>
      <c r="G14" s="8">
        <f t="shared" si="2"/>
        <v>0.34118487739498471</v>
      </c>
      <c r="H14" s="8">
        <f t="shared" si="3"/>
        <v>0.11640712056303075</v>
      </c>
    </row>
    <row r="15" spans="1:8" x14ac:dyDescent="0.4">
      <c r="A15">
        <v>48</v>
      </c>
      <c r="B15">
        <v>1624</v>
      </c>
      <c r="C15">
        <v>4</v>
      </c>
      <c r="D15">
        <v>4.81E-3</v>
      </c>
      <c r="E15" s="8">
        <f t="shared" si="0"/>
        <v>7.8114400000000002</v>
      </c>
      <c r="F15" s="8">
        <f t="shared" si="1"/>
        <v>7.7738669736000006</v>
      </c>
      <c r="G15" s="8">
        <f t="shared" si="2"/>
        <v>-1.367006359924309</v>
      </c>
      <c r="H15" s="8">
        <f t="shared" si="3"/>
        <v>1.8687063880735093</v>
      </c>
    </row>
    <row r="16" spans="1:8" x14ac:dyDescent="0.4">
      <c r="A16">
        <v>49</v>
      </c>
      <c r="B16">
        <v>1157</v>
      </c>
      <c r="C16">
        <v>5</v>
      </c>
      <c r="D16">
        <v>5.45E-3</v>
      </c>
      <c r="E16" s="8">
        <f t="shared" si="0"/>
        <v>6.30565</v>
      </c>
      <c r="F16" s="8">
        <f t="shared" si="1"/>
        <v>6.2712842074999999</v>
      </c>
      <c r="G16" s="8">
        <f t="shared" si="2"/>
        <v>-0.52137299364871748</v>
      </c>
      <c r="H16" s="8">
        <f t="shared" si="3"/>
        <v>0.27182979850622557</v>
      </c>
    </row>
    <row r="17" spans="1:8" x14ac:dyDescent="0.4">
      <c r="A17">
        <v>50</v>
      </c>
      <c r="B17">
        <v>2193</v>
      </c>
      <c r="C17">
        <v>14</v>
      </c>
      <c r="D17">
        <v>6.1500000000000001E-3</v>
      </c>
      <c r="E17" s="8">
        <f t="shared" si="0"/>
        <v>13.48695</v>
      </c>
      <c r="F17" s="8">
        <f t="shared" si="1"/>
        <v>13.4040052575</v>
      </c>
      <c r="G17" s="8">
        <f t="shared" si="2"/>
        <v>0.14013363811234297</v>
      </c>
      <c r="H17" s="8">
        <f t="shared" si="3"/>
        <v>1.9637436530601102E-2</v>
      </c>
    </row>
    <row r="18" spans="1:8" x14ac:dyDescent="0.4">
      <c r="A18">
        <v>51</v>
      </c>
      <c r="B18">
        <v>1803</v>
      </c>
      <c r="C18">
        <v>17</v>
      </c>
      <c r="D18">
        <v>6.94E-3</v>
      </c>
      <c r="E18" s="8">
        <f t="shared" si="0"/>
        <v>12.51282</v>
      </c>
      <c r="F18" s="8">
        <f t="shared" si="1"/>
        <v>12.425981029200001</v>
      </c>
      <c r="G18" s="8">
        <f t="shared" si="2"/>
        <v>1.272940628709327</v>
      </c>
      <c r="H18" s="8">
        <f t="shared" si="3"/>
        <v>1.6203778442188967</v>
      </c>
    </row>
    <row r="19" spans="1:8" x14ac:dyDescent="0.4">
      <c r="A19">
        <v>52</v>
      </c>
      <c r="B19">
        <v>2402</v>
      </c>
      <c r="C19">
        <v>25</v>
      </c>
      <c r="D19">
        <v>7.8100000000000001E-3</v>
      </c>
      <c r="E19" s="8">
        <f t="shared" si="0"/>
        <v>18.759620000000002</v>
      </c>
      <c r="F19" s="8">
        <f t="shared" si="1"/>
        <v>18.613107367800001</v>
      </c>
      <c r="G19" s="8">
        <f t="shared" si="2"/>
        <v>1.4464439024386275</v>
      </c>
      <c r="H19" s="8">
        <f t="shared" si="3"/>
        <v>2.0921999629018857</v>
      </c>
    </row>
    <row r="20" spans="1:8" x14ac:dyDescent="0.4">
      <c r="A20">
        <v>53</v>
      </c>
      <c r="B20">
        <v>2120</v>
      </c>
      <c r="C20">
        <v>20</v>
      </c>
      <c r="D20">
        <v>8.77E-3</v>
      </c>
      <c r="E20" s="8">
        <f t="shared" si="0"/>
        <v>18.592400000000001</v>
      </c>
      <c r="F20" s="8">
        <f t="shared" si="1"/>
        <v>18.429344652000001</v>
      </c>
      <c r="G20" s="8">
        <f t="shared" si="2"/>
        <v>0.32788708606151495</v>
      </c>
      <c r="H20" s="8">
        <f t="shared" si="3"/>
        <v>0.10750994120591131</v>
      </c>
    </row>
    <row r="21" spans="1:8" x14ac:dyDescent="0.4">
      <c r="A21">
        <v>54</v>
      </c>
      <c r="B21">
        <v>2406</v>
      </c>
      <c r="C21">
        <v>32</v>
      </c>
      <c r="D21">
        <v>9.8200000000000006E-3</v>
      </c>
      <c r="E21" s="8">
        <f t="shared" si="0"/>
        <v>23.626920000000002</v>
      </c>
      <c r="F21" s="8">
        <f t="shared" si="1"/>
        <v>23.394903645599999</v>
      </c>
      <c r="G21" s="8">
        <f t="shared" si="2"/>
        <v>1.7311097811519656</v>
      </c>
      <c r="H21" s="8">
        <f t="shared" si="3"/>
        <v>2.9967410744000063</v>
      </c>
    </row>
    <row r="22" spans="1:8" x14ac:dyDescent="0.4">
      <c r="A22">
        <v>55</v>
      </c>
      <c r="B22">
        <v>1975</v>
      </c>
      <c r="C22">
        <v>21</v>
      </c>
      <c r="D22">
        <v>1.098E-2</v>
      </c>
      <c r="E22" s="8">
        <f t="shared" si="0"/>
        <v>21.685500000000001</v>
      </c>
      <c r="F22" s="8">
        <f t="shared" si="1"/>
        <v>21.447393210000001</v>
      </c>
      <c r="G22" s="8">
        <f t="shared" si="2"/>
        <v>-0.14801993258790402</v>
      </c>
      <c r="H22" s="8">
        <f t="shared" si="3"/>
        <v>2.1909900443327652E-2</v>
      </c>
    </row>
    <row r="23" spans="1:8" x14ac:dyDescent="0.4">
      <c r="A23">
        <v>56</v>
      </c>
      <c r="B23">
        <v>2564</v>
      </c>
      <c r="C23">
        <v>31</v>
      </c>
      <c r="D23">
        <v>1.2239999999999999E-2</v>
      </c>
      <c r="E23" s="8">
        <f t="shared" si="0"/>
        <v>31.383359999999996</v>
      </c>
      <c r="F23" s="8">
        <f t="shared" si="1"/>
        <v>30.999227673599997</v>
      </c>
      <c r="G23" s="8">
        <f t="shared" si="2"/>
        <v>-6.8854346300477653E-2</v>
      </c>
      <c r="H23" s="8">
        <f t="shared" si="3"/>
        <v>4.7409210044661006E-3</v>
      </c>
    </row>
    <row r="24" spans="1:8" x14ac:dyDescent="0.4">
      <c r="A24">
        <v>57</v>
      </c>
      <c r="B24">
        <v>1798</v>
      </c>
      <c r="C24">
        <v>26</v>
      </c>
      <c r="D24">
        <v>1.3610000000000001E-2</v>
      </c>
      <c r="E24" s="8">
        <f t="shared" si="0"/>
        <v>24.470780000000001</v>
      </c>
      <c r="F24" s="8">
        <f t="shared" si="1"/>
        <v>24.1377326842</v>
      </c>
      <c r="G24" s="8">
        <f t="shared" si="2"/>
        <v>0.31125886728542701</v>
      </c>
      <c r="H24" s="8">
        <f t="shared" si="3"/>
        <v>9.688208246380707E-2</v>
      </c>
    </row>
    <row r="25" spans="1:8" x14ac:dyDescent="0.4">
      <c r="A25">
        <v>58</v>
      </c>
      <c r="B25">
        <v>2536</v>
      </c>
      <c r="C25">
        <v>48</v>
      </c>
      <c r="D25">
        <v>1.5089999999999999E-2</v>
      </c>
      <c r="E25" s="8">
        <f t="shared" si="0"/>
        <v>38.268239999999999</v>
      </c>
      <c r="F25" s="8">
        <f t="shared" si="1"/>
        <v>37.690772258399996</v>
      </c>
      <c r="G25" s="8">
        <f t="shared" si="2"/>
        <v>1.5851628004921408</v>
      </c>
      <c r="H25" s="8">
        <f t="shared" si="3"/>
        <v>2.5127411040640864</v>
      </c>
    </row>
    <row r="26" spans="1:8" x14ac:dyDescent="0.4">
      <c r="A26">
        <v>59</v>
      </c>
      <c r="B26">
        <v>2511</v>
      </c>
      <c r="C26">
        <v>46</v>
      </c>
      <c r="D26">
        <v>1.67E-2</v>
      </c>
      <c r="E26" s="8">
        <f t="shared" si="0"/>
        <v>41.933700000000002</v>
      </c>
      <c r="F26" s="8">
        <f t="shared" si="1"/>
        <v>41.233407210000003</v>
      </c>
      <c r="G26" s="8">
        <f t="shared" si="2"/>
        <v>0.6332494262573638</v>
      </c>
      <c r="H26" s="8">
        <f t="shared" si="3"/>
        <v>0.40100483585528046</v>
      </c>
    </row>
    <row r="27" spans="1:8" x14ac:dyDescent="0.4">
      <c r="A27">
        <v>60</v>
      </c>
      <c r="B27">
        <v>1858</v>
      </c>
      <c r="C27">
        <v>33</v>
      </c>
      <c r="D27">
        <v>1.8429999999999998E-2</v>
      </c>
      <c r="E27" s="8">
        <f t="shared" si="0"/>
        <v>34.242939999999997</v>
      </c>
      <c r="F27" s="8">
        <f t="shared" si="1"/>
        <v>33.611842615800001</v>
      </c>
      <c r="G27" s="8">
        <f t="shared" si="2"/>
        <v>-0.21438974313460768</v>
      </c>
      <c r="H27" s="8">
        <f t="shared" si="3"/>
        <v>4.5962961961323059E-2</v>
      </c>
    </row>
    <row r="28" spans="1:8" x14ac:dyDescent="0.4">
      <c r="A28">
        <v>61</v>
      </c>
      <c r="B28">
        <v>1835</v>
      </c>
      <c r="C28">
        <v>49</v>
      </c>
      <c r="D28">
        <v>2.0279999999999999E-2</v>
      </c>
      <c r="E28" s="8">
        <f t="shared" si="0"/>
        <v>37.213799999999999</v>
      </c>
      <c r="F28" s="8">
        <f t="shared" si="1"/>
        <v>36.459104136000001</v>
      </c>
      <c r="G28" s="8">
        <f t="shared" si="2"/>
        <v>1.951959532854229</v>
      </c>
      <c r="H28" s="8">
        <f t="shared" si="3"/>
        <v>3.8101460179004998</v>
      </c>
    </row>
    <row r="29" spans="1:8" x14ac:dyDescent="0.4">
      <c r="A29">
        <v>62</v>
      </c>
      <c r="B29">
        <v>1393</v>
      </c>
      <c r="C29">
        <v>30</v>
      </c>
      <c r="D29">
        <v>2.2290000000000001E-2</v>
      </c>
      <c r="E29" s="8">
        <f t="shared" si="0"/>
        <v>31.049970000000002</v>
      </c>
      <c r="F29" s="8">
        <f t="shared" si="1"/>
        <v>30.357866168699999</v>
      </c>
      <c r="G29" s="8">
        <f t="shared" si="2"/>
        <v>-0.19056417956560728</v>
      </c>
      <c r="H29" s="8">
        <f t="shared" si="3"/>
        <v>3.6314706533513014E-2</v>
      </c>
    </row>
    <row r="30" spans="1:8" x14ac:dyDescent="0.4">
      <c r="A30">
        <v>63</v>
      </c>
      <c r="B30">
        <v>1462</v>
      </c>
      <c r="C30">
        <v>32</v>
      </c>
      <c r="D30">
        <v>2.4479999999999998E-2</v>
      </c>
      <c r="E30" s="8">
        <f t="shared" si="0"/>
        <v>35.789759999999994</v>
      </c>
      <c r="F30" s="8">
        <f t="shared" si="1"/>
        <v>34.913626675199993</v>
      </c>
      <c r="G30" s="8">
        <f t="shared" si="2"/>
        <v>-0.6413782461330938</v>
      </c>
      <c r="H30" s="8">
        <f t="shared" si="3"/>
        <v>0.41136605461276343</v>
      </c>
    </row>
    <row r="31" spans="1:8" x14ac:dyDescent="0.4">
      <c r="A31">
        <v>64</v>
      </c>
      <c r="B31">
        <v>1245</v>
      </c>
      <c r="C31">
        <v>34</v>
      </c>
      <c r="D31">
        <v>2.6870000000000002E-2</v>
      </c>
      <c r="E31" s="8">
        <f t="shared" si="0"/>
        <v>33.453150000000001</v>
      </c>
      <c r="F31" s="8">
        <f t="shared" si="1"/>
        <v>32.554263859500004</v>
      </c>
      <c r="G31" s="8">
        <f t="shared" si="2"/>
        <v>9.5843855749756235E-2</v>
      </c>
      <c r="H31" s="8">
        <f t="shared" si="3"/>
        <v>9.1860446849800804E-3</v>
      </c>
    </row>
    <row r="32" spans="1:8" x14ac:dyDescent="0.4">
      <c r="A32">
        <v>65</v>
      </c>
      <c r="B32">
        <v>1064</v>
      </c>
      <c r="C32">
        <v>26</v>
      </c>
      <c r="D32">
        <v>2.9489999999999999E-2</v>
      </c>
      <c r="E32" s="8">
        <f t="shared" si="0"/>
        <v>31.377359999999999</v>
      </c>
      <c r="F32" s="8">
        <f t="shared" si="1"/>
        <v>30.452041653599998</v>
      </c>
      <c r="G32" s="8">
        <f t="shared" si="2"/>
        <v>-0.97445301737798196</v>
      </c>
      <c r="H32" s="8">
        <f t="shared" si="3"/>
        <v>0.9495586830770536</v>
      </c>
    </row>
    <row r="33" spans="1:12" x14ac:dyDescent="0.4">
      <c r="A33">
        <v>66</v>
      </c>
      <c r="B33">
        <v>1502</v>
      </c>
      <c r="C33">
        <v>42</v>
      </c>
      <c r="D33">
        <v>3.2379999999999999E-2</v>
      </c>
      <c r="E33" s="8">
        <f t="shared" si="0"/>
        <v>48.63476</v>
      </c>
      <c r="F33" s="8">
        <f t="shared" si="1"/>
        <v>47.059966471199999</v>
      </c>
      <c r="G33" s="8">
        <f t="shared" si="2"/>
        <v>-0.96716241493254551</v>
      </c>
      <c r="H33" s="8">
        <f t="shared" si="3"/>
        <v>0.93540313685815335</v>
      </c>
    </row>
    <row r="34" spans="1:12" x14ac:dyDescent="0.4">
      <c r="A34">
        <v>67</v>
      </c>
      <c r="B34">
        <v>875</v>
      </c>
      <c r="C34">
        <v>29</v>
      </c>
      <c r="D34">
        <v>3.5549999999999998E-2</v>
      </c>
      <c r="E34" s="8">
        <f t="shared" si="0"/>
        <v>31.106249999999999</v>
      </c>
      <c r="F34" s="8">
        <f t="shared" si="1"/>
        <v>30.000422812500002</v>
      </c>
      <c r="G34" s="8">
        <f t="shared" si="2"/>
        <v>-0.38454416908994155</v>
      </c>
      <c r="H34" s="8">
        <f t="shared" si="3"/>
        <v>0.14787421798107356</v>
      </c>
    </row>
    <row r="35" spans="1:12" x14ac:dyDescent="0.4">
      <c r="A35">
        <v>68</v>
      </c>
      <c r="B35">
        <v>927</v>
      </c>
      <c r="C35">
        <v>34</v>
      </c>
      <c r="D35">
        <v>3.9030000000000002E-2</v>
      </c>
      <c r="E35" s="8">
        <f t="shared" si="0"/>
        <v>36.180810000000001</v>
      </c>
      <c r="F35" s="8">
        <f t="shared" si="1"/>
        <v>34.7686729857</v>
      </c>
      <c r="G35" s="8">
        <f t="shared" si="2"/>
        <v>-0.36984842387775779</v>
      </c>
      <c r="H35" s="8">
        <f t="shared" si="3"/>
        <v>0.13678785664486159</v>
      </c>
    </row>
    <row r="36" spans="1:12" x14ac:dyDescent="0.4">
      <c r="A36">
        <v>69</v>
      </c>
      <c r="B36">
        <v>497</v>
      </c>
      <c r="C36">
        <v>27</v>
      </c>
      <c r="D36">
        <v>4.2849999999999999E-2</v>
      </c>
      <c r="E36" s="8">
        <f t="shared" si="0"/>
        <v>21.29645</v>
      </c>
      <c r="F36" s="8">
        <f t="shared" si="1"/>
        <v>20.383897117499998</v>
      </c>
      <c r="G36" s="8">
        <f t="shared" si="2"/>
        <v>1.2632858853051234</v>
      </c>
      <c r="H36" s="8">
        <f t="shared" si="3"/>
        <v>1.5958912280111495</v>
      </c>
    </row>
    <row r="37" spans="1:12" x14ac:dyDescent="0.4">
      <c r="A37">
        <v>70</v>
      </c>
      <c r="B37">
        <v>983</v>
      </c>
      <c r="C37">
        <v>57</v>
      </c>
      <c r="D37">
        <v>4.7030000000000002E-2</v>
      </c>
      <c r="E37" s="8">
        <f t="shared" si="0"/>
        <v>46.230490000000003</v>
      </c>
      <c r="F37" s="8">
        <f t="shared" si="1"/>
        <v>44.056270055300004</v>
      </c>
      <c r="G37" s="8">
        <f t="shared" si="2"/>
        <v>1.6225275550002938</v>
      </c>
      <c r="H37" s="8">
        <f t="shared" si="3"/>
        <v>2.6325956667352313</v>
      </c>
    </row>
    <row r="38" spans="1:12" x14ac:dyDescent="0.4">
      <c r="C38">
        <f>SUM(C2:C37)</f>
        <v>731</v>
      </c>
      <c r="E38" s="8">
        <f>SUM(E2:E37)</f>
        <v>687.64803000000006</v>
      </c>
      <c r="F38" s="8">
        <f>SUM(F2:F37)</f>
        <v>672.55006879730013</v>
      </c>
      <c r="G38" t="s">
        <v>90</v>
      </c>
      <c r="H38" s="24">
        <f>SUM(H2:H37)</f>
        <v>36.642152194446844</v>
      </c>
    </row>
    <row r="39" spans="1:12" x14ac:dyDescent="0.4">
      <c r="B39" t="s">
        <v>92</v>
      </c>
      <c r="C39" s="24">
        <f>(C38-E38)/SQRT(F38)</f>
        <v>1.6716545191843715</v>
      </c>
      <c r="G39" t="s">
        <v>95</v>
      </c>
      <c r="H39" s="8">
        <f>CHIINV(0.05,36)</f>
        <v>50.998460165710647</v>
      </c>
    </row>
    <row r="40" spans="1:12" x14ac:dyDescent="0.4">
      <c r="C40" s="7">
        <v>1.96</v>
      </c>
      <c r="D40" s="7"/>
      <c r="H40" s="8"/>
    </row>
    <row r="41" spans="1:12" x14ac:dyDescent="0.4">
      <c r="H41" s="8"/>
    </row>
    <row r="43" spans="1:12" x14ac:dyDescent="0.4">
      <c r="A43" t="s">
        <v>96</v>
      </c>
      <c r="B43" t="s">
        <v>97</v>
      </c>
      <c r="C43" t="s">
        <v>98</v>
      </c>
      <c r="D43" t="s">
        <v>99</v>
      </c>
      <c r="E43" t="s">
        <v>100</v>
      </c>
      <c r="F43" t="s">
        <v>101</v>
      </c>
      <c r="G43" t="s">
        <v>102</v>
      </c>
      <c r="H43" t="s">
        <v>103</v>
      </c>
    </row>
    <row r="44" spans="1:12" x14ac:dyDescent="0.4">
      <c r="A44">
        <f>COUNTIF($G$2:$G$37,"&lt;-3")</f>
        <v>0</v>
      </c>
      <c r="B44">
        <f>COUNTIF($G$2:$G$37,"&lt;-2")-SUM($A44:A44)</f>
        <v>0</v>
      </c>
      <c r="C44">
        <f>COUNTIF($G$2:$G$37,"&lt;-1")-SUM($A44:B44)</f>
        <v>1</v>
      </c>
      <c r="D44">
        <f>COUNTIF($G$2:$G$37,"&lt;0")-SUM($A44:C44)</f>
        <v>15</v>
      </c>
      <c r="E44">
        <f>COUNTIF($G$2:$G$37,"&lt;1")-SUM($A44:D44)</f>
        <v>8</v>
      </c>
      <c r="F44">
        <f>COUNTIF($G$2:$G$37,"&lt;2")-SUM($A44:E44)</f>
        <v>12</v>
      </c>
      <c r="G44">
        <f>COUNTIF($G$2:$G$37,"&lt;3")-SUM($A44:F44)</f>
        <v>0</v>
      </c>
      <c r="H44">
        <f>36-SUM(A44:G44)</f>
        <v>0</v>
      </c>
    </row>
    <row r="45" spans="1:12" x14ac:dyDescent="0.4">
      <c r="A45">
        <v>0</v>
      </c>
      <c r="B45">
        <f>0.02*36</f>
        <v>0.72</v>
      </c>
      <c r="C45">
        <f>0.14*36</f>
        <v>5.0400000000000009</v>
      </c>
      <c r="D45">
        <f>0.34*36</f>
        <v>12.24</v>
      </c>
      <c r="E45">
        <f>0.34*36</f>
        <v>12.24</v>
      </c>
      <c r="F45">
        <f>0.14*36</f>
        <v>5.0400000000000009</v>
      </c>
      <c r="G45">
        <f>0.02*36</f>
        <v>0.72</v>
      </c>
      <c r="H45">
        <v>0</v>
      </c>
    </row>
    <row r="46" spans="1:12" x14ac:dyDescent="0.4">
      <c r="C46">
        <f>A44+B44+C44</f>
        <v>1</v>
      </c>
      <c r="D46">
        <f>D44</f>
        <v>15</v>
      </c>
      <c r="E46">
        <f>E44</f>
        <v>8</v>
      </c>
      <c r="F46">
        <f>F44+G44+H44</f>
        <v>12</v>
      </c>
    </row>
    <row r="47" spans="1:12" x14ac:dyDescent="0.4">
      <c r="C47">
        <f>A45+B45+C45</f>
        <v>5.7600000000000007</v>
      </c>
      <c r="D47">
        <f>D45</f>
        <v>12.24</v>
      </c>
      <c r="E47">
        <f>E45</f>
        <v>12.24</v>
      </c>
      <c r="F47">
        <f>F45+G45+H45</f>
        <v>5.7600000000000007</v>
      </c>
    </row>
    <row r="48" spans="1:12" x14ac:dyDescent="0.4">
      <c r="C48" s="8">
        <f>(C46-C47)^2/C47</f>
        <v>3.9336111111111118</v>
      </c>
      <c r="D48" s="8">
        <f>(D46-D47)^2/D47</f>
        <v>0.62235294117647044</v>
      </c>
      <c r="E48" s="8">
        <f>(E46-E47)^2/E47</f>
        <v>1.4687581699346406</v>
      </c>
      <c r="F48" s="8">
        <f>(F46-F47)^2/F47</f>
        <v>6.7599999999999971</v>
      </c>
      <c r="G48" t="s">
        <v>91</v>
      </c>
      <c r="H48" s="24">
        <f>SUM(C48:F48)</f>
        <v>12.784722222222221</v>
      </c>
      <c r="I48" t="s">
        <v>93</v>
      </c>
      <c r="J48" s="24">
        <f>(2*20-36)/6</f>
        <v>0.66666666666666663</v>
      </c>
      <c r="K48" t="s">
        <v>94</v>
      </c>
      <c r="L48" s="25">
        <f>(9-20*17/36)/SQRT(20*20*16*16/36/36/36)</f>
        <v>-0.30000000000000016</v>
      </c>
    </row>
    <row r="49" spans="8:12" x14ac:dyDescent="0.4">
      <c r="H49" s="8">
        <f>CHIINV(0.05,3)</f>
        <v>7.8147279032511792</v>
      </c>
      <c r="J49" s="7">
        <v>1.96</v>
      </c>
      <c r="L49">
        <v>-1.64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/>
  </sheetViews>
  <sheetFormatPr defaultRowHeight="14.6" x14ac:dyDescent="0.4"/>
  <cols>
    <col min="1" max="1" width="9.3046875" bestFit="1" customWidth="1"/>
    <col min="2" max="2" width="9.53515625" bestFit="1" customWidth="1"/>
  </cols>
  <sheetData>
    <row r="1" spans="1:6" x14ac:dyDescent="0.4">
      <c r="A1" t="s">
        <v>0</v>
      </c>
      <c r="B1" t="s">
        <v>7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4">
      <c r="A2" s="4">
        <v>35</v>
      </c>
      <c r="B2" s="5">
        <v>2.0500000000000002E-3</v>
      </c>
      <c r="C2" s="3">
        <f>B3-B2</f>
        <v>6.8099999999999975E-4</v>
      </c>
      <c r="D2" s="3">
        <f>C3-C2</f>
        <v>-5.2999999999999662E-5</v>
      </c>
      <c r="E2" s="3">
        <f>D3-D2</f>
        <v>1.7999999999999353E-5</v>
      </c>
      <c r="F2" t="str">
        <f>IF(ABS(E2)*7^3&lt;B2,"YES","OOPS")</f>
        <v>OOPS</v>
      </c>
    </row>
    <row r="3" spans="1:6" x14ac:dyDescent="0.4">
      <c r="A3" s="4">
        <v>36</v>
      </c>
      <c r="B3" s="5">
        <v>2.7309999999999999E-3</v>
      </c>
      <c r="C3" s="3">
        <f t="shared" ref="C3:E11" si="0">B4-B3</f>
        <v>6.2800000000000009E-4</v>
      </c>
      <c r="D3" s="3">
        <f t="shared" si="0"/>
        <v>-3.5000000000000309E-5</v>
      </c>
      <c r="E3" s="3">
        <f t="shared" si="0"/>
        <v>1.5000000000001124E-5</v>
      </c>
      <c r="F3" t="str">
        <f t="shared" ref="F3:F9" si="1">IF(ABS(E3)*7^3&lt;B3,"YES","OOPS")</f>
        <v>OOPS</v>
      </c>
    </row>
    <row r="4" spans="1:6" x14ac:dyDescent="0.4">
      <c r="A4" s="4">
        <v>37</v>
      </c>
      <c r="B4" s="5">
        <v>3.359E-3</v>
      </c>
      <c r="C4" s="3">
        <f t="shared" si="0"/>
        <v>5.9299999999999978E-4</v>
      </c>
      <c r="D4" s="3">
        <f t="shared" si="0"/>
        <v>-1.9999999999999185E-5</v>
      </c>
      <c r="E4" s="3">
        <f t="shared" si="0"/>
        <v>-2.8000000000001982E-5</v>
      </c>
      <c r="F4" t="str">
        <f t="shared" si="1"/>
        <v>OOPS</v>
      </c>
    </row>
    <row r="5" spans="1:6" x14ac:dyDescent="0.4">
      <c r="A5" s="4">
        <v>38</v>
      </c>
      <c r="B5" s="5">
        <v>3.9519999999999998E-3</v>
      </c>
      <c r="C5" s="3">
        <f t="shared" si="0"/>
        <v>5.7300000000000059E-4</v>
      </c>
      <c r="D5" s="3">
        <f t="shared" si="0"/>
        <v>-4.8000000000001167E-5</v>
      </c>
      <c r="E5" s="3">
        <f t="shared" si="0"/>
        <v>3.4000000000001911E-5</v>
      </c>
      <c r="F5" t="str">
        <f t="shared" si="1"/>
        <v>OOPS</v>
      </c>
    </row>
    <row r="6" spans="1:6" x14ac:dyDescent="0.4">
      <c r="A6" s="4">
        <v>39</v>
      </c>
      <c r="B6" s="5">
        <v>4.5250000000000004E-3</v>
      </c>
      <c r="C6" s="3">
        <f t="shared" si="0"/>
        <v>5.2499999999999943E-4</v>
      </c>
      <c r="D6" s="3">
        <f t="shared" si="0"/>
        <v>-1.3999999999999256E-5</v>
      </c>
      <c r="E6" s="3">
        <f t="shared" si="0"/>
        <v>-8.0000000000010618E-6</v>
      </c>
      <c r="F6" t="str">
        <f t="shared" si="1"/>
        <v>YES</v>
      </c>
    </row>
    <row r="7" spans="1:6" x14ac:dyDescent="0.4">
      <c r="A7" s="4">
        <v>40</v>
      </c>
      <c r="B7" s="5">
        <v>5.0499999999999998E-3</v>
      </c>
      <c r="C7" s="3">
        <f t="shared" si="0"/>
        <v>5.1100000000000017E-4</v>
      </c>
      <c r="D7" s="3">
        <f t="shared" si="0"/>
        <v>-2.2000000000000318E-5</v>
      </c>
      <c r="E7" s="3">
        <f t="shared" si="0"/>
        <v>1.9000000000000787E-5</v>
      </c>
      <c r="F7" t="str">
        <f t="shared" si="1"/>
        <v>OOPS</v>
      </c>
    </row>
    <row r="8" spans="1:6" x14ac:dyDescent="0.4">
      <c r="A8" s="4">
        <v>41</v>
      </c>
      <c r="B8" s="5">
        <v>5.561E-3</v>
      </c>
      <c r="C8" s="3">
        <f t="shared" si="0"/>
        <v>4.8899999999999985E-4</v>
      </c>
      <c r="D8" s="3">
        <f t="shared" si="0"/>
        <v>-2.9999999999995308E-6</v>
      </c>
      <c r="E8" s="3">
        <f t="shared" si="0"/>
        <v>1.4999999999999389E-5</v>
      </c>
      <c r="F8" t="str">
        <f t="shared" si="1"/>
        <v>YES</v>
      </c>
    </row>
    <row r="9" spans="1:6" x14ac:dyDescent="0.4">
      <c r="A9" s="4">
        <v>42</v>
      </c>
      <c r="B9" s="5">
        <v>6.0499999999999998E-3</v>
      </c>
      <c r="C9" s="3">
        <f t="shared" si="0"/>
        <v>4.8600000000000032E-4</v>
      </c>
      <c r="D9" s="3">
        <f t="shared" si="0"/>
        <v>1.1999999999999858E-5</v>
      </c>
      <c r="E9" s="3">
        <f t="shared" si="0"/>
        <v>2.0999999999999318E-5</v>
      </c>
      <c r="F9" t="str">
        <f t="shared" si="1"/>
        <v>OOPS</v>
      </c>
    </row>
    <row r="10" spans="1:6" x14ac:dyDescent="0.4">
      <c r="A10" s="4">
        <v>43</v>
      </c>
      <c r="B10" s="5">
        <v>6.5360000000000001E-3</v>
      </c>
      <c r="C10" s="3">
        <f t="shared" si="0"/>
        <v>4.9800000000000018E-4</v>
      </c>
      <c r="D10" s="3">
        <f t="shared" si="0"/>
        <v>3.2999999999999176E-5</v>
      </c>
    </row>
    <row r="11" spans="1:6" x14ac:dyDescent="0.4">
      <c r="A11" s="4">
        <v>44</v>
      </c>
      <c r="B11" s="5">
        <v>7.0340000000000003E-3</v>
      </c>
      <c r="C11" s="3">
        <f t="shared" si="0"/>
        <v>5.3099999999999935E-4</v>
      </c>
    </row>
    <row r="12" spans="1:6" x14ac:dyDescent="0.4">
      <c r="A12" s="4">
        <v>45</v>
      </c>
      <c r="B12" s="5">
        <v>7.5649999999999997E-3</v>
      </c>
    </row>
    <row r="15" spans="1:6" x14ac:dyDescent="0.4">
      <c r="A1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workbookViewId="0"/>
  </sheetViews>
  <sheetFormatPr defaultRowHeight="14.6" x14ac:dyDescent="0.4"/>
  <sheetData>
    <row r="1" spans="1:1" x14ac:dyDescent="0.4">
      <c r="A1" t="s">
        <v>15</v>
      </c>
    </row>
    <row r="2" spans="1:1" x14ac:dyDescent="0.4">
      <c r="A2" s="6" t="s">
        <v>16</v>
      </c>
    </row>
    <row r="4" spans="1:1" x14ac:dyDescent="0.4">
      <c r="A4" t="s">
        <v>17</v>
      </c>
    </row>
    <row r="5" spans="1:1" x14ac:dyDescent="0.4">
      <c r="A5" s="6" t="s">
        <v>18</v>
      </c>
    </row>
    <row r="7" spans="1:1" x14ac:dyDescent="0.4">
      <c r="A7" t="s">
        <v>19</v>
      </c>
    </row>
    <row r="8" spans="1:1" x14ac:dyDescent="0.4">
      <c r="A8" s="6" t="s">
        <v>20</v>
      </c>
    </row>
    <row r="9" spans="1:1" x14ac:dyDescent="0.4">
      <c r="A9" s="6" t="s">
        <v>21</v>
      </c>
    </row>
    <row r="11" spans="1:1" x14ac:dyDescent="0.4">
      <c r="A11" t="s">
        <v>22</v>
      </c>
    </row>
    <row r="12" spans="1:1" x14ac:dyDescent="0.4">
      <c r="A12" t="s">
        <v>23</v>
      </c>
    </row>
    <row r="13" spans="1:1" x14ac:dyDescent="0.4">
      <c r="A13" s="6" t="s">
        <v>24</v>
      </c>
    </row>
    <row r="16" spans="1:1" x14ac:dyDescent="0.4">
      <c r="A16" t="s">
        <v>25</v>
      </c>
    </row>
    <row r="17" spans="1:1" x14ac:dyDescent="0.4">
      <c r="A17" t="s">
        <v>26</v>
      </c>
    </row>
    <row r="19" spans="1:1" x14ac:dyDescent="0.4">
      <c r="A19" t="s">
        <v>27</v>
      </c>
    </row>
    <row r="20" spans="1:1" x14ac:dyDescent="0.4">
      <c r="A20" t="s">
        <v>28</v>
      </c>
    </row>
    <row r="21" spans="1:1" x14ac:dyDescent="0.4">
      <c r="A21" t="s">
        <v>29</v>
      </c>
    </row>
    <row r="23" spans="1:1" x14ac:dyDescent="0.4">
      <c r="A23" t="s">
        <v>30</v>
      </c>
    </row>
    <row r="24" spans="1:1" x14ac:dyDescent="0.4">
      <c r="A24" t="s">
        <v>31</v>
      </c>
    </row>
    <row r="26" spans="1:1" x14ac:dyDescent="0.4">
      <c r="A26" t="s">
        <v>32</v>
      </c>
    </row>
    <row r="27" spans="1:1" x14ac:dyDescent="0.4">
      <c r="A2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defaultRowHeight="14.6" x14ac:dyDescent="0.4"/>
  <sheetData>
    <row r="1" spans="1:1" x14ac:dyDescent="0.4">
      <c r="A1" t="s">
        <v>42</v>
      </c>
    </row>
    <row r="2" spans="1:1" x14ac:dyDescent="0.4">
      <c r="A2" t="s">
        <v>36</v>
      </c>
    </row>
    <row r="3" spans="1:1" x14ac:dyDescent="0.4">
      <c r="A3" t="s">
        <v>39</v>
      </c>
    </row>
    <row r="4" spans="1:1" x14ac:dyDescent="0.4">
      <c r="A4" t="s">
        <v>40</v>
      </c>
    </row>
    <row r="5" spans="1:1" x14ac:dyDescent="0.4">
      <c r="A5" t="s">
        <v>37</v>
      </c>
    </row>
    <row r="6" spans="1:1" x14ac:dyDescent="0.4">
      <c r="A6" t="s">
        <v>41</v>
      </c>
    </row>
    <row r="7" spans="1:1" x14ac:dyDescent="0.4">
      <c r="A7" t="s">
        <v>38</v>
      </c>
    </row>
    <row r="8" spans="1:1" x14ac:dyDescent="0.4">
      <c r="A8" t="s">
        <v>34</v>
      </c>
    </row>
    <row r="9" spans="1:1" x14ac:dyDescent="0.4">
      <c r="A9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/>
  </sheetViews>
  <sheetFormatPr defaultRowHeight="14.6" x14ac:dyDescent="0.4"/>
  <sheetData>
    <row r="1" spans="1:1" x14ac:dyDescent="0.4">
      <c r="A1" t="s">
        <v>43</v>
      </c>
    </row>
    <row r="2" spans="1:1" x14ac:dyDescent="0.4">
      <c r="A2" t="s">
        <v>44</v>
      </c>
    </row>
    <row r="3" spans="1:1" x14ac:dyDescent="0.4">
      <c r="A3" t="s">
        <v>45</v>
      </c>
    </row>
    <row r="4" spans="1:1" x14ac:dyDescent="0.4">
      <c r="A4" t="s">
        <v>46</v>
      </c>
    </row>
    <row r="5" spans="1:1" x14ac:dyDescent="0.4">
      <c r="A5" t="s">
        <v>48</v>
      </c>
    </row>
    <row r="6" spans="1:1" x14ac:dyDescent="0.4">
      <c r="A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9"/>
  <sheetViews>
    <sheetView workbookViewId="0"/>
  </sheetViews>
  <sheetFormatPr defaultRowHeight="14.6" x14ac:dyDescent="0.4"/>
  <sheetData>
    <row r="1" spans="1:1" x14ac:dyDescent="0.4">
      <c r="A1" t="s">
        <v>49</v>
      </c>
    </row>
    <row r="18" spans="1:1" x14ac:dyDescent="0.4">
      <c r="A18" t="s">
        <v>52</v>
      </c>
    </row>
    <row r="20" spans="1:1" x14ac:dyDescent="0.4">
      <c r="A20" t="s">
        <v>50</v>
      </c>
    </row>
    <row r="39" spans="1:1" x14ac:dyDescent="0.4">
      <c r="A39" t="s">
        <v>104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4"/>
  <sheetViews>
    <sheetView workbookViewId="0"/>
  </sheetViews>
  <sheetFormatPr defaultRowHeight="14.6" x14ac:dyDescent="0.4"/>
  <sheetData>
    <row r="64" spans="1:1" x14ac:dyDescent="0.4">
      <c r="A64" s="7" t="s">
        <v>53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"/>
  <sheetViews>
    <sheetView workbookViewId="0"/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6</v>
      </c>
      <c r="E1" t="s">
        <v>7</v>
      </c>
      <c r="I1" t="s">
        <v>3</v>
      </c>
      <c r="J1" t="s">
        <v>4</v>
      </c>
    </row>
    <row r="2" spans="1:14" x14ac:dyDescent="0.4">
      <c r="A2">
        <v>70</v>
      </c>
      <c r="B2" s="1">
        <v>1000</v>
      </c>
      <c r="C2">
        <v>80</v>
      </c>
      <c r="D2">
        <f t="shared" ref="D2:D7" si="0">C2/B2</f>
        <v>0.08</v>
      </c>
      <c r="E2">
        <f t="shared" ref="E2:E7" si="1">$I$2*$J$2^A2</f>
        <v>8.0302191762616812E-2</v>
      </c>
      <c r="G2">
        <f t="shared" ref="G2:G7" si="2">-B2*$J$2^A2+C2/$I$2</f>
        <v>-1793.0222200692515</v>
      </c>
      <c r="H2">
        <f t="shared" ref="H2:H7" si="3">-B2*$I$2*A2*$J$2^(A2-1)+A2*C2/$J$2</f>
        <v>-19.369708457246816</v>
      </c>
      <c r="I2" s="2">
        <v>1.6853765627351471E-4</v>
      </c>
      <c r="J2">
        <v>1.0920878561423506</v>
      </c>
      <c r="L2">
        <f t="shared" ref="L2:L7" si="4">LN(D2)</f>
        <v>-2.5257286443082556</v>
      </c>
      <c r="M2">
        <f t="array" ref="M2:N2">LINEST(L2:L7,A2:A7)</f>
        <v>8.7882712281596179E-2</v>
      </c>
      <c r="N2">
        <v>-8.6732463691632766</v>
      </c>
    </row>
    <row r="3" spans="1:14" x14ac:dyDescent="0.4">
      <c r="A3">
        <v>71</v>
      </c>
      <c r="B3" s="1">
        <v>1005</v>
      </c>
      <c r="C3">
        <v>90</v>
      </c>
      <c r="D3">
        <f t="shared" si="0"/>
        <v>8.9552238805970144E-2</v>
      </c>
      <c r="E3">
        <f t="shared" si="1"/>
        <v>8.7697048445568124E-2</v>
      </c>
      <c r="G3">
        <f t="shared" si="2"/>
        <v>11062.609706511255</v>
      </c>
      <c r="H3">
        <f t="shared" si="3"/>
        <v>121.21470577842683</v>
      </c>
      <c r="L3">
        <f t="shared" si="4"/>
        <v>-2.4129331501629112</v>
      </c>
      <c r="M3">
        <f>EXP(M2)</f>
        <v>1.0918600527434645</v>
      </c>
      <c r="N3">
        <f>EXP(N2)</f>
        <v>1.7110273897410014E-4</v>
      </c>
    </row>
    <row r="4" spans="1:14" x14ac:dyDescent="0.4">
      <c r="A4">
        <v>72</v>
      </c>
      <c r="B4" s="1">
        <v>1010</v>
      </c>
      <c r="C4">
        <v>95</v>
      </c>
      <c r="D4">
        <f t="shared" si="0"/>
        <v>9.405940594059406E-2</v>
      </c>
      <c r="E4">
        <f t="shared" si="1"/>
        <v>9.577288162693233E-2</v>
      </c>
      <c r="G4">
        <f t="shared" si="2"/>
        <v>-10268.390349472291</v>
      </c>
      <c r="H4">
        <f t="shared" si="3"/>
        <v>-114.09700346881255</v>
      </c>
      <c r="L4">
        <f t="shared" si="4"/>
        <v>-2.3638287182347644</v>
      </c>
    </row>
    <row r="5" spans="1:14" x14ac:dyDescent="0.4">
      <c r="A5">
        <v>73</v>
      </c>
      <c r="B5" s="1">
        <v>1008</v>
      </c>
      <c r="C5">
        <v>105</v>
      </c>
      <c r="D5">
        <f t="shared" si="0"/>
        <v>0.10416666666666667</v>
      </c>
      <c r="E5">
        <f t="shared" si="1"/>
        <v>0.10459240097253164</v>
      </c>
      <c r="G5">
        <f t="shared" si="2"/>
        <v>-2546.2569600200513</v>
      </c>
      <c r="H5">
        <f t="shared" si="3"/>
        <v>-28.685634572870185</v>
      </c>
      <c r="L5">
        <f t="shared" si="4"/>
        <v>-2.2617630984737906</v>
      </c>
    </row>
    <row r="6" spans="1:14" x14ac:dyDescent="0.4">
      <c r="A6">
        <v>74</v>
      </c>
      <c r="B6" s="1">
        <v>1006</v>
      </c>
      <c r="C6">
        <v>115</v>
      </c>
      <c r="D6">
        <f t="shared" si="0"/>
        <v>0.1143141153081511</v>
      </c>
      <c r="E6">
        <f t="shared" si="1"/>
        <v>0.11422409094687318</v>
      </c>
      <c r="G6">
        <f t="shared" si="2"/>
        <v>537.35473393916618</v>
      </c>
      <c r="H6">
        <f t="shared" si="3"/>
        <v>6.1366615453862323</v>
      </c>
      <c r="L6">
        <f t="shared" si="4"/>
        <v>-2.1688052222964345</v>
      </c>
    </row>
    <row r="7" spans="1:14" x14ac:dyDescent="0.4">
      <c r="A7">
        <v>75</v>
      </c>
      <c r="B7">
        <v>998</v>
      </c>
      <c r="C7">
        <v>125</v>
      </c>
      <c r="D7">
        <f t="shared" si="0"/>
        <v>0.12525050100200399</v>
      </c>
      <c r="E7">
        <f t="shared" si="1"/>
        <v>0.12474274260197962</v>
      </c>
      <c r="G7">
        <f t="shared" si="2"/>
        <v>3006.7042252086103</v>
      </c>
      <c r="H7">
        <f t="shared" si="3"/>
        <v>34.800969563088074</v>
      </c>
      <c r="L7">
        <f t="shared" si="4"/>
        <v>-2.0774395390091631</v>
      </c>
    </row>
    <row r="8" spans="1:14" x14ac:dyDescent="0.4">
      <c r="G8">
        <f>SUM(G2:G7)</f>
        <v>-1.0008639025618322</v>
      </c>
      <c r="H8">
        <f>SUM(H2:H7)</f>
        <v>-9.6120284069911577E-6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workbookViewId="0"/>
  </sheetViews>
  <sheetFormatPr defaultRowHeight="14.6" x14ac:dyDescent="0.4"/>
  <cols>
    <col min="15" max="17" width="9.15234375" customWidth="1"/>
  </cols>
  <sheetData>
    <row r="1" spans="1:19" x14ac:dyDescent="0.4">
      <c r="A1" t="s">
        <v>0</v>
      </c>
      <c r="B1" t="s">
        <v>5</v>
      </c>
      <c r="C1" t="s">
        <v>2</v>
      </c>
      <c r="D1" t="s">
        <v>6</v>
      </c>
      <c r="E1" t="s">
        <v>7</v>
      </c>
      <c r="I1" t="s">
        <v>8</v>
      </c>
      <c r="J1" t="s">
        <v>9</v>
      </c>
      <c r="R1" t="s">
        <v>8</v>
      </c>
      <c r="S1" t="s">
        <v>9</v>
      </c>
    </row>
    <row r="2" spans="1:19" x14ac:dyDescent="0.4">
      <c r="A2">
        <v>30</v>
      </c>
      <c r="B2" s="1">
        <v>70000</v>
      </c>
      <c r="C2">
        <v>39</v>
      </c>
      <c r="D2">
        <f>C2/B2</f>
        <v>5.5714285714285718E-4</v>
      </c>
      <c r="E2">
        <f>EXP($I$2+$J$2*A2)/(1+EXP($I$2+$J$2*A2))</f>
        <v>3.9148630531980077E-4</v>
      </c>
      <c r="G2">
        <f>LN(D2/(1-D2))</f>
        <v>-7.4921315767829535</v>
      </c>
      <c r="H2">
        <f>B2*(G2-$I$2-$J$2*A2)^2</f>
        <v>8724.4528744484596</v>
      </c>
      <c r="I2">
        <v>-10.82627829750556</v>
      </c>
      <c r="J2">
        <v>9.9370327909678868E-2</v>
      </c>
      <c r="L2">
        <f t="array" ref="L2:M2">LINEST(G2:G21,A2:A21)</f>
        <v>0.10027496917387523</v>
      </c>
      <c r="M2">
        <v>-10.86288186300443</v>
      </c>
      <c r="O2">
        <f>B2*A2*(G2-SUMPRODUCT($B$2:$B$21,$G$2:$G$21)/SUM($B$2:$B$21))</f>
        <v>-1207326.9827421478</v>
      </c>
      <c r="P2">
        <f>B2*A2*(-SUMPRODUCT($B$2:$B$21,$A$2:$A$21)/SUM($B$2:$B$21)+A2)</f>
        <v>-19610502.844039999</v>
      </c>
      <c r="Q2">
        <f>B2*(G2-$S$2*A2)</f>
        <v>-733126.90562757046</v>
      </c>
      <c r="R2">
        <f>Q22/SUM(B2:B21)</f>
        <v>-10.82627730771439</v>
      </c>
      <c r="S2">
        <f>O22/P22</f>
        <v>9.9370331072744636E-2</v>
      </c>
    </row>
    <row r="3" spans="1:19" x14ac:dyDescent="0.4">
      <c r="A3">
        <v>31</v>
      </c>
      <c r="B3" s="1">
        <v>66672</v>
      </c>
      <c r="C3">
        <v>43</v>
      </c>
      <c r="D3">
        <f t="shared" ref="D3:D21" si="0">C3/B3</f>
        <v>6.4494840412766981E-4</v>
      </c>
      <c r="E3">
        <f t="shared" ref="E3:E21" si="1">EXP($I$2+$J$2*A3)/(1+EXP($I$2+$J$2*A3))</f>
        <v>4.3236924757223506E-4</v>
      </c>
      <c r="G3">
        <f t="shared" ref="G3:G21" si="2">LN(D3/(1-D3))</f>
        <v>-7.3456950814958555</v>
      </c>
      <c r="H3">
        <f t="shared" ref="H3:H21" si="3">B3*(G3-$I$2-$J$2*A3)^2</f>
        <v>10673.017190886565</v>
      </c>
      <c r="O3">
        <f t="shared" ref="O3:O21" si="4">B3*A3*(G3-SUMPRODUCT($B$2:$B$21,$G$2:$G$21)/SUM($B$2:$B$21))</f>
        <v>-885598.48099892831</v>
      </c>
      <c r="P3">
        <f t="shared" ref="P3:P21" si="5">B3*A3*(-SUMPRODUCT($B$2:$B$21,$A$2:$A$21)/SUM($B$2:$B$21)+A3)</f>
        <v>-17233936.959120419</v>
      </c>
      <c r="Q3">
        <f t="shared" ref="Q3:Q21" si="6">B3*(G3-$S$2*A3)</f>
        <v>-695133.96258523467</v>
      </c>
    </row>
    <row r="4" spans="1:19" x14ac:dyDescent="0.4">
      <c r="A4">
        <v>32</v>
      </c>
      <c r="B4" s="1">
        <v>68375</v>
      </c>
      <c r="C4">
        <v>34</v>
      </c>
      <c r="D4">
        <f t="shared" si="0"/>
        <v>4.9725776965265083E-4</v>
      </c>
      <c r="E4">
        <f t="shared" si="1"/>
        <v>4.7751955881969102E-4</v>
      </c>
      <c r="G4">
        <f t="shared" si="2"/>
        <v>-7.6059046336648235</v>
      </c>
      <c r="H4">
        <f t="shared" si="3"/>
        <v>112.28045865673252</v>
      </c>
      <c r="O4">
        <f t="shared" si="4"/>
        <v>-1506855.1809526836</v>
      </c>
      <c r="P4">
        <f t="shared" si="5"/>
        <v>-16056276.296552153</v>
      </c>
      <c r="Q4">
        <f t="shared" si="6"/>
        <v>-737476.01371399756</v>
      </c>
    </row>
    <row r="5" spans="1:19" x14ac:dyDescent="0.4">
      <c r="A5">
        <v>33</v>
      </c>
      <c r="B5" s="1">
        <v>65420</v>
      </c>
      <c r="C5">
        <v>31</v>
      </c>
      <c r="D5">
        <f t="shared" si="0"/>
        <v>4.738612045246102E-4</v>
      </c>
      <c r="E5">
        <f t="shared" si="1"/>
        <v>5.2738221965445019E-4</v>
      </c>
      <c r="G5">
        <f t="shared" si="2"/>
        <v>-7.6541221230950036</v>
      </c>
      <c r="H5">
        <f t="shared" si="3"/>
        <v>749.8988981684746</v>
      </c>
      <c r="O5">
        <f t="shared" si="4"/>
        <v>-1590881.54412681</v>
      </c>
      <c r="P5">
        <f t="shared" si="5"/>
        <v>-13683577.223754378</v>
      </c>
      <c r="Q5">
        <f t="shared" si="6"/>
        <v>-715259.30223258061</v>
      </c>
    </row>
    <row r="6" spans="1:19" x14ac:dyDescent="0.4">
      <c r="A6">
        <v>34</v>
      </c>
      <c r="B6" s="1">
        <v>61779</v>
      </c>
      <c r="C6">
        <v>23</v>
      </c>
      <c r="D6">
        <f t="shared" si="0"/>
        <v>3.7229479272892082E-4</v>
      </c>
      <c r="E6">
        <f t="shared" si="1"/>
        <v>5.8244851262284094E-4</v>
      </c>
      <c r="G6">
        <f t="shared" si="2"/>
        <v>-7.8954521998326674</v>
      </c>
      <c r="H6">
        <f t="shared" si="3"/>
        <v>12386.290477251423</v>
      </c>
      <c r="O6">
        <f t="shared" si="4"/>
        <v>-2054775.7149282123</v>
      </c>
      <c r="P6">
        <f t="shared" si="5"/>
        <v>-11213097.274698192</v>
      </c>
      <c r="Q6">
        <f t="shared" si="6"/>
        <v>-696499.13068712747</v>
      </c>
    </row>
    <row r="7" spans="1:19" x14ac:dyDescent="0.4">
      <c r="A7">
        <v>35</v>
      </c>
      <c r="B7" s="1">
        <v>66091</v>
      </c>
      <c r="C7">
        <v>50</v>
      </c>
      <c r="D7">
        <f t="shared" si="0"/>
        <v>7.565326595149113E-4</v>
      </c>
      <c r="E7">
        <f t="shared" si="1"/>
        <v>6.4326081848568905E-4</v>
      </c>
      <c r="G7">
        <f t="shared" si="2"/>
        <v>-7.1860080348292508</v>
      </c>
      <c r="H7">
        <f t="shared" si="3"/>
        <v>1741.110686282276</v>
      </c>
      <c r="O7">
        <f t="shared" si="4"/>
        <v>-621770.40821267886</v>
      </c>
      <c r="P7">
        <f t="shared" si="5"/>
        <v>-10035370.724424127</v>
      </c>
      <c r="Q7">
        <f t="shared" si="6"/>
        <v>-704792.41631240677</v>
      </c>
    </row>
    <row r="8" spans="1:19" x14ac:dyDescent="0.4">
      <c r="A8">
        <v>36</v>
      </c>
      <c r="B8" s="1">
        <v>68514</v>
      </c>
      <c r="C8">
        <v>48</v>
      </c>
      <c r="D8">
        <f t="shared" si="0"/>
        <v>7.0058674139591905E-4</v>
      </c>
      <c r="E8">
        <f t="shared" si="1"/>
        <v>7.1041790454925697E-4</v>
      </c>
      <c r="G8">
        <f t="shared" si="2"/>
        <v>-7.2628915397548433</v>
      </c>
      <c r="H8">
        <f t="shared" si="3"/>
        <v>13.323529500856358</v>
      </c>
      <c r="O8">
        <f t="shared" si="4"/>
        <v>-852615.11849165522</v>
      </c>
      <c r="P8">
        <f t="shared" si="5"/>
        <v>-8234015.8603981128</v>
      </c>
      <c r="Q8">
        <f t="shared" si="6"/>
        <v>-742707.07002701226</v>
      </c>
    </row>
    <row r="9" spans="1:19" x14ac:dyDescent="0.4">
      <c r="A9">
        <v>37</v>
      </c>
      <c r="B9" s="1">
        <v>69560</v>
      </c>
      <c r="C9">
        <v>43</v>
      </c>
      <c r="D9">
        <f t="shared" si="0"/>
        <v>6.1817136285221392E-4</v>
      </c>
      <c r="E9">
        <f t="shared" si="1"/>
        <v>7.8458075450200146E-4</v>
      </c>
      <c r="G9">
        <f t="shared" si="2"/>
        <v>-7.3881264902651091</v>
      </c>
      <c r="H9">
        <f t="shared" si="3"/>
        <v>3958.399289568215</v>
      </c>
      <c r="O9">
        <f t="shared" si="4"/>
        <v>-1211996.9820716367</v>
      </c>
      <c r="P9">
        <f t="shared" si="5"/>
        <v>-6018218.7522679195</v>
      </c>
      <c r="Q9">
        <f t="shared" si="6"/>
        <v>-769669.48715138528</v>
      </c>
    </row>
    <row r="10" spans="1:19" x14ac:dyDescent="0.4">
      <c r="A10">
        <v>38</v>
      </c>
      <c r="B10" s="1">
        <v>65000</v>
      </c>
      <c r="C10">
        <v>48</v>
      </c>
      <c r="D10">
        <f t="shared" si="0"/>
        <v>7.3846153846153842E-4</v>
      </c>
      <c r="E10">
        <f t="shared" si="1"/>
        <v>8.6647899392648935E-4</v>
      </c>
      <c r="G10">
        <f t="shared" si="2"/>
        <v>-7.2102028036343917</v>
      </c>
      <c r="H10">
        <f t="shared" si="3"/>
        <v>1663.9369078879342</v>
      </c>
      <c r="O10">
        <f t="shared" si="4"/>
        <v>-723682.42907214991</v>
      </c>
      <c r="P10">
        <f t="shared" si="5"/>
        <v>-3305686.6784660961</v>
      </c>
      <c r="Q10">
        <f t="shared" si="6"/>
        <v>-714107.8999859147</v>
      </c>
    </row>
    <row r="11" spans="1:19" x14ac:dyDescent="0.4">
      <c r="A11">
        <v>39</v>
      </c>
      <c r="B11" s="1">
        <v>66279</v>
      </c>
      <c r="C11">
        <v>47</v>
      </c>
      <c r="D11">
        <f t="shared" si="0"/>
        <v>7.0912355346338957E-4</v>
      </c>
      <c r="E11">
        <f t="shared" si="1"/>
        <v>9.5691797079083005E-4</v>
      </c>
      <c r="G11">
        <f t="shared" si="2"/>
        <v>-7.2507714071085836</v>
      </c>
      <c r="H11">
        <f t="shared" si="3"/>
        <v>5962.5611056705784</v>
      </c>
      <c r="O11">
        <f t="shared" si="4"/>
        <v>-862206.29205075721</v>
      </c>
      <c r="P11">
        <f t="shared" si="5"/>
        <v>-874554.90571664786</v>
      </c>
      <c r="Q11">
        <f t="shared" si="6"/>
        <v>-737434.35884539702</v>
      </c>
    </row>
    <row r="12" spans="1:19" x14ac:dyDescent="0.4">
      <c r="A12">
        <v>40</v>
      </c>
      <c r="B12" s="1">
        <v>67300</v>
      </c>
      <c r="C12">
        <v>62</v>
      </c>
      <c r="D12">
        <f t="shared" si="0"/>
        <v>9.2124814264487372E-4</v>
      </c>
      <c r="E12">
        <f t="shared" si="1"/>
        <v>1.0567865557816936E-3</v>
      </c>
      <c r="G12">
        <f t="shared" si="2"/>
        <v>-6.9888594578352121</v>
      </c>
      <c r="H12">
        <f t="shared" si="3"/>
        <v>1270.4347035761709</v>
      </c>
      <c r="O12">
        <f t="shared" si="4"/>
        <v>-192869.66414594764</v>
      </c>
      <c r="P12">
        <f t="shared" si="5"/>
        <v>1781203.020878247</v>
      </c>
      <c r="Q12">
        <f t="shared" si="6"/>
        <v>-737855.17276013829</v>
      </c>
    </row>
    <row r="13" spans="1:19" x14ac:dyDescent="0.4">
      <c r="A13">
        <v>41</v>
      </c>
      <c r="B13" s="1">
        <v>65368</v>
      </c>
      <c r="C13">
        <v>63</v>
      </c>
      <c r="D13">
        <f t="shared" si="0"/>
        <v>9.6377432382817286E-4</v>
      </c>
      <c r="E13">
        <f t="shared" si="1"/>
        <v>1.1670657333410592E-3</v>
      </c>
      <c r="G13">
        <f t="shared" si="2"/>
        <v>-6.9436891556200884</v>
      </c>
      <c r="H13">
        <f t="shared" si="3"/>
        <v>2399.553169203939</v>
      </c>
      <c r="O13">
        <f t="shared" si="4"/>
        <v>-70955.838123524431</v>
      </c>
      <c r="P13">
        <f t="shared" si="5"/>
        <v>4453409.2636773922</v>
      </c>
      <c r="Q13">
        <f t="shared" si="6"/>
        <v>-720216.30458866397</v>
      </c>
    </row>
    <row r="14" spans="1:19" x14ac:dyDescent="0.4">
      <c r="A14">
        <v>42</v>
      </c>
      <c r="B14" s="1">
        <v>65391</v>
      </c>
      <c r="C14">
        <v>84</v>
      </c>
      <c r="D14">
        <f t="shared" si="0"/>
        <v>1.2845804468504839E-3</v>
      </c>
      <c r="E14">
        <f t="shared" si="1"/>
        <v>1.288838060727795E-3</v>
      </c>
      <c r="G14">
        <f t="shared" si="2"/>
        <v>-6.6560377082257327</v>
      </c>
      <c r="H14">
        <f t="shared" si="3"/>
        <v>0.71780884968124126</v>
      </c>
      <c r="O14">
        <f t="shared" si="4"/>
        <v>717300.22010082379</v>
      </c>
      <c r="P14">
        <f t="shared" si="5"/>
        <v>7310056.1705076061</v>
      </c>
      <c r="Q14">
        <f t="shared" si="6"/>
        <v>-708157.82518405828</v>
      </c>
    </row>
    <row r="15" spans="1:19" x14ac:dyDescent="0.4">
      <c r="A15">
        <v>43</v>
      </c>
      <c r="B15" s="1">
        <v>62917</v>
      </c>
      <c r="C15">
        <v>86</v>
      </c>
      <c r="D15">
        <f t="shared" si="0"/>
        <v>1.3668801754692691E-3</v>
      </c>
      <c r="E15">
        <f t="shared" si="1"/>
        <v>1.423298079354926E-3</v>
      </c>
      <c r="G15">
        <f t="shared" si="2"/>
        <v>-6.5938565649805385</v>
      </c>
      <c r="H15">
        <f t="shared" si="3"/>
        <v>103.21167550310548</v>
      </c>
      <c r="O15">
        <f t="shared" si="4"/>
        <v>874821.1366712997</v>
      </c>
      <c r="P15">
        <f t="shared" si="5"/>
        <v>9906382.8476885799</v>
      </c>
      <c r="Q15">
        <f t="shared" si="6"/>
        <v>-683705.24766334717</v>
      </c>
    </row>
    <row r="16" spans="1:19" x14ac:dyDescent="0.4">
      <c r="A16">
        <v>44</v>
      </c>
      <c r="B16" s="1">
        <v>66537</v>
      </c>
      <c r="C16">
        <v>120</v>
      </c>
      <c r="D16">
        <f t="shared" si="0"/>
        <v>1.8035078227151811E-3</v>
      </c>
      <c r="E16">
        <f t="shared" si="1"/>
        <v>1.5717637700596462E-3</v>
      </c>
      <c r="G16">
        <f t="shared" si="2"/>
        <v>-6.3162165840102888</v>
      </c>
      <c r="H16">
        <f t="shared" si="3"/>
        <v>1262.8606124058851</v>
      </c>
      <c r="O16">
        <f t="shared" si="4"/>
        <v>1759496.7633032277</v>
      </c>
      <c r="P16">
        <f t="shared" si="5"/>
        <v>13647621.895099457</v>
      </c>
      <c r="Q16">
        <f t="shared" si="6"/>
        <v>-711181.46646812977</v>
      </c>
    </row>
    <row r="17" spans="1:17" x14ac:dyDescent="0.4">
      <c r="A17">
        <v>45</v>
      </c>
      <c r="B17" s="1">
        <v>62302</v>
      </c>
      <c r="C17">
        <v>121</v>
      </c>
      <c r="D17">
        <f t="shared" si="0"/>
        <v>1.9421527398799396E-3</v>
      </c>
      <c r="E17">
        <f t="shared" si="1"/>
        <v>1.7356891518427846E-3</v>
      </c>
      <c r="G17">
        <f t="shared" si="2"/>
        <v>-6.2420142202282731</v>
      </c>
      <c r="H17">
        <f t="shared" si="3"/>
        <v>789.90258369475146</v>
      </c>
      <c r="O17">
        <f t="shared" si="4"/>
        <v>1892983.2551173945</v>
      </c>
      <c r="P17">
        <f t="shared" si="5"/>
        <v>15872988.253084712</v>
      </c>
      <c r="Q17">
        <f t="shared" si="6"/>
        <v>-667483.63644089806</v>
      </c>
    </row>
    <row r="18" spans="1:17" x14ac:dyDescent="0.4">
      <c r="A18">
        <v>46</v>
      </c>
      <c r="B18" s="1">
        <v>62145</v>
      </c>
      <c r="C18">
        <v>122</v>
      </c>
      <c r="D18">
        <f t="shared" si="0"/>
        <v>1.963150695953013E-3</v>
      </c>
      <c r="E18">
        <f t="shared" si="1"/>
        <v>1.9166781319531736E-3</v>
      </c>
      <c r="G18">
        <f t="shared" si="2"/>
        <v>-6.2312395182443874</v>
      </c>
      <c r="H18">
        <f t="shared" si="3"/>
        <v>35.806544126605047</v>
      </c>
      <c r="O18">
        <f t="shared" si="4"/>
        <v>1960974.574432207</v>
      </c>
      <c r="P18">
        <f t="shared" si="5"/>
        <v>19043502.778489605</v>
      </c>
      <c r="Q18">
        <f t="shared" si="6"/>
        <v>-671307.36418902036</v>
      </c>
    </row>
    <row r="19" spans="1:17" x14ac:dyDescent="0.4">
      <c r="A19">
        <v>47</v>
      </c>
      <c r="B19" s="1">
        <v>63856</v>
      </c>
      <c r="C19">
        <v>162</v>
      </c>
      <c r="D19">
        <f t="shared" si="0"/>
        <v>2.5369581558506642E-3</v>
      </c>
      <c r="E19">
        <f t="shared" si="1"/>
        <v>2.1164997239613861E-3</v>
      </c>
      <c r="G19">
        <f t="shared" si="2"/>
        <v>-5.9742493103688075</v>
      </c>
      <c r="H19">
        <f t="shared" si="3"/>
        <v>2106.4257348756655</v>
      </c>
      <c r="O19">
        <f t="shared" si="4"/>
        <v>2830055.6992093357</v>
      </c>
      <c r="P19">
        <f t="shared" si="5"/>
        <v>22994435.108750544</v>
      </c>
      <c r="Q19">
        <f t="shared" si="6"/>
        <v>-679725.08142902609</v>
      </c>
    </row>
    <row r="20" spans="1:17" x14ac:dyDescent="0.4">
      <c r="A20">
        <v>48</v>
      </c>
      <c r="B20" s="1">
        <v>61097</v>
      </c>
      <c r="C20">
        <v>151</v>
      </c>
      <c r="D20">
        <f t="shared" si="0"/>
        <v>2.4714797780578425E-3</v>
      </c>
      <c r="E20">
        <f t="shared" si="1"/>
        <v>2.3371047596182945E-3</v>
      </c>
      <c r="G20">
        <f t="shared" si="2"/>
        <v>-6.0004636683773338</v>
      </c>
      <c r="H20">
        <f t="shared" si="3"/>
        <v>191.86639971324041</v>
      </c>
      <c r="O20">
        <f t="shared" si="4"/>
        <v>2688513.2606881168</v>
      </c>
      <c r="P20">
        <f t="shared" si="5"/>
        <v>25401684.748290014</v>
      </c>
      <c r="Q20">
        <f t="shared" si="6"/>
        <v>-658029.32638932089</v>
      </c>
    </row>
    <row r="21" spans="1:17" x14ac:dyDescent="0.4">
      <c r="A21">
        <v>49</v>
      </c>
      <c r="B21" s="1">
        <v>61110</v>
      </c>
      <c r="C21">
        <v>184</v>
      </c>
      <c r="D21">
        <f t="shared" si="0"/>
        <v>3.0109638357061039E-3</v>
      </c>
      <c r="E21">
        <f t="shared" si="1"/>
        <v>2.5806442297553319E-3</v>
      </c>
      <c r="G21">
        <f t="shared" si="2"/>
        <v>-5.8024795343730267</v>
      </c>
      <c r="H21">
        <f t="shared" si="3"/>
        <v>1461.5957510365392</v>
      </c>
      <c r="O21">
        <f t="shared" si="4"/>
        <v>3337949.6345798322</v>
      </c>
      <c r="P21">
        <f t="shared" si="5"/>
        <v>28930793.994683363</v>
      </c>
      <c r="Q21">
        <f t="shared" si="6"/>
        <v>-652143.05000645143</v>
      </c>
    </row>
    <row r="22" spans="1:17" x14ac:dyDescent="0.4">
      <c r="H22">
        <f>SUM(H2:H21)</f>
        <v>55607.646401307094</v>
      </c>
      <c r="O22">
        <f>SUM(O2:O21)</f>
        <v>4280559.9081851058</v>
      </c>
      <c r="P22">
        <f>SUM(P2:P21)</f>
        <v>43076840.56171149</v>
      </c>
      <c r="Q22">
        <f>SUM(Q2:Q21)</f>
        <v>-14136011.02228768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3"/>
  <sheetViews>
    <sheetView workbookViewId="0"/>
  </sheetViews>
  <sheetFormatPr defaultRowHeight="14.6" x14ac:dyDescent="0.4"/>
  <sheetData>
    <row r="1" spans="1:19" x14ac:dyDescent="0.4">
      <c r="A1" t="s">
        <v>0</v>
      </c>
      <c r="B1" t="s">
        <v>5</v>
      </c>
      <c r="C1" t="s">
        <v>2</v>
      </c>
      <c r="D1" t="s">
        <v>10</v>
      </c>
      <c r="E1" t="s">
        <v>6</v>
      </c>
      <c r="F1" t="s">
        <v>7</v>
      </c>
      <c r="I1" t="s">
        <v>8</v>
      </c>
      <c r="J1" t="s">
        <v>9</v>
      </c>
      <c r="R1" t="s">
        <v>8</v>
      </c>
      <c r="S1" t="s">
        <v>9</v>
      </c>
    </row>
    <row r="2" spans="1:19" x14ac:dyDescent="0.4">
      <c r="A2">
        <v>47</v>
      </c>
      <c r="B2" s="1">
        <v>166</v>
      </c>
      <c r="C2">
        <v>2</v>
      </c>
      <c r="D2">
        <v>5.0499999999999998E-3</v>
      </c>
      <c r="E2">
        <f>C2/B2</f>
        <v>1.2048192771084338E-2</v>
      </c>
      <c r="F2">
        <f>$I$2+$J$2*D2</f>
        <v>1.0630708566553782E-2</v>
      </c>
      <c r="H2">
        <f>B2*(E2-$I$2-$J$2*D2)^2</f>
        <v>3.3353740403554175E-4</v>
      </c>
      <c r="I2">
        <v>7.3882049946929537E-3</v>
      </c>
      <c r="J2">
        <v>0.64207991521996588</v>
      </c>
      <c r="L2">
        <f t="array" ref="L2:M2">LINEST(E2:E22,D2:D22)</f>
        <v>0.5702168170403642</v>
      </c>
      <c r="M2">
        <v>9.2786875316400522E-3</v>
      </c>
      <c r="O2">
        <f>B2*D2*(E2-SUMPRODUCT($B$2:$B$22,$E$2:$E$22)/SUM($B$2:$B$22))</f>
        <v>-1.0786106472513525E-2</v>
      </c>
      <c r="P2">
        <f>B2*D2*(-SUMPRODUCT($B$2:$B$22,$D$2:$D$22)/SUM($B$2:$B$22)+D2)</f>
        <v>-1.8649353415803888E-2</v>
      </c>
      <c r="Q2">
        <f>B2*(E2-$S$2*D2)</f>
        <v>1.4617441496507797</v>
      </c>
      <c r="R2">
        <f>Q23/SUM(B2:B22)</f>
        <v>7.3882064194055455E-3</v>
      </c>
      <c r="S2">
        <f>O23/P23</f>
        <v>0.64208022229419115</v>
      </c>
    </row>
    <row r="3" spans="1:19" x14ac:dyDescent="0.4">
      <c r="A3">
        <v>48</v>
      </c>
      <c r="B3" s="1">
        <v>187</v>
      </c>
      <c r="C3">
        <v>2</v>
      </c>
      <c r="D3">
        <v>5.7000000000000002E-3</v>
      </c>
      <c r="E3">
        <f t="shared" ref="E3:E22" si="0">C3/B3</f>
        <v>1.06951871657754E-2</v>
      </c>
      <c r="F3">
        <f t="shared" ref="F3:F22" si="1">$I$2+$J$2*D3</f>
        <v>1.1048060511446758E-2</v>
      </c>
      <c r="H3">
        <f t="shared" ref="H3:H22" si="2">B3*(E3-$I$2-$J$2*D3)^2</f>
        <v>2.328516484195078E-5</v>
      </c>
      <c r="O3">
        <f t="shared" ref="O3:O22" si="3">B3*D3*(E3-SUMPRODUCT($B$2:$B$22,$E$2:$E$22)/SUM($B$2:$B$22))</f>
        <v>-1.5156722997795739E-2</v>
      </c>
      <c r="P3">
        <f t="shared" ref="P3:P22" si="4">B3*D3*(-SUMPRODUCT($B$2:$B$22,$D$2:$D$22)/SUM($B$2:$B$22)+D3)</f>
        <v>-2.3019852350477592E-2</v>
      </c>
      <c r="Q3">
        <f t="shared" ref="Q3:Q22" si="5">B3*(E3-$S$2*D3)</f>
        <v>1.3156066910566215</v>
      </c>
    </row>
    <row r="4" spans="1:19" x14ac:dyDescent="0.4">
      <c r="A4">
        <v>49</v>
      </c>
      <c r="B4" s="1">
        <v>218</v>
      </c>
      <c r="C4">
        <v>4</v>
      </c>
      <c r="D4">
        <v>6.4400000000000004E-3</v>
      </c>
      <c r="E4">
        <f t="shared" si="0"/>
        <v>1.834862385321101E-2</v>
      </c>
      <c r="F4">
        <f t="shared" si="1"/>
        <v>1.1523199648709535E-2</v>
      </c>
      <c r="H4">
        <f t="shared" si="2"/>
        <v>1.0155838594564023E-2</v>
      </c>
      <c r="O4">
        <f t="shared" si="3"/>
        <v>-9.2184356422416649E-3</v>
      </c>
      <c r="P4">
        <f t="shared" si="4"/>
        <v>-2.9281045829029455E-2</v>
      </c>
      <c r="Q4">
        <f t="shared" si="5"/>
        <v>3.0985707343167395</v>
      </c>
    </row>
    <row r="5" spans="1:19" x14ac:dyDescent="0.4">
      <c r="A5">
        <v>50</v>
      </c>
      <c r="B5" s="1">
        <v>243</v>
      </c>
      <c r="C5">
        <v>6</v>
      </c>
      <c r="D5">
        <v>7.28E-3</v>
      </c>
      <c r="E5">
        <f t="shared" si="0"/>
        <v>2.4691358024691357E-2</v>
      </c>
      <c r="F5">
        <f t="shared" si="1"/>
        <v>1.2062546777494305E-2</v>
      </c>
      <c r="H5">
        <f t="shared" si="2"/>
        <v>3.8755310264711358E-2</v>
      </c>
      <c r="O5">
        <f t="shared" si="3"/>
        <v>-3.9534032462761515E-4</v>
      </c>
      <c r="P5">
        <f t="shared" si="4"/>
        <v>-3.5410226493300376E-2</v>
      </c>
      <c r="Q5">
        <f t="shared" si="5"/>
        <v>4.8641344035526837</v>
      </c>
    </row>
    <row r="6" spans="1:19" x14ac:dyDescent="0.4">
      <c r="A6">
        <v>51</v>
      </c>
      <c r="B6" s="1">
        <v>276</v>
      </c>
      <c r="C6">
        <v>2</v>
      </c>
      <c r="D6">
        <v>8.26E-3</v>
      </c>
      <c r="E6">
        <f t="shared" si="0"/>
        <v>7.246376811594203E-3</v>
      </c>
      <c r="F6">
        <f t="shared" si="1"/>
        <v>1.2691785094409873E-2</v>
      </c>
      <c r="H6">
        <f t="shared" si="2"/>
        <v>8.1840820971698681E-3</v>
      </c>
      <c r="O6">
        <f t="shared" si="3"/>
        <v>-4.027984503373188E-2</v>
      </c>
      <c r="P6">
        <f t="shared" si="4"/>
        <v>-4.3398957091176277E-2</v>
      </c>
      <c r="Q6">
        <f t="shared" si="5"/>
        <v>0.53621119242259474</v>
      </c>
    </row>
    <row r="7" spans="1:19" x14ac:dyDescent="0.4">
      <c r="A7">
        <v>52</v>
      </c>
      <c r="B7" s="1">
        <v>302</v>
      </c>
      <c r="C7">
        <v>4</v>
      </c>
      <c r="D7">
        <v>9.2999999999999992E-3</v>
      </c>
      <c r="E7">
        <f t="shared" si="0"/>
        <v>1.3245033112582781E-2</v>
      </c>
      <c r="F7">
        <f t="shared" si="1"/>
        <v>1.3359548206238636E-2</v>
      </c>
      <c r="H7">
        <f t="shared" si="2"/>
        <v>3.9603394158527711E-6</v>
      </c>
      <c r="O7">
        <f t="shared" si="3"/>
        <v>-3.2775806559348072E-2</v>
      </c>
      <c r="P7">
        <f t="shared" si="4"/>
        <v>-5.054534670002004E-2</v>
      </c>
      <c r="Q7">
        <f t="shared" si="5"/>
        <v>2.1966534876645349</v>
      </c>
    </row>
    <row r="8" spans="1:19" x14ac:dyDescent="0.4">
      <c r="A8">
        <v>53</v>
      </c>
      <c r="B8" s="1">
        <v>347</v>
      </c>
      <c r="C8">
        <v>7</v>
      </c>
      <c r="D8">
        <v>1.051E-2</v>
      </c>
      <c r="E8">
        <f t="shared" si="0"/>
        <v>2.0172910662824207E-2</v>
      </c>
      <c r="F8">
        <f t="shared" si="1"/>
        <v>1.4136464903654795E-2</v>
      </c>
      <c r="H8">
        <f t="shared" si="2"/>
        <v>1.2644221058977849E-2</v>
      </c>
      <c r="O8">
        <f t="shared" si="3"/>
        <v>-1.7293657070335981E-2</v>
      </c>
      <c r="P8">
        <f t="shared" si="4"/>
        <v>-6.1220351180215092E-2</v>
      </c>
      <c r="Q8">
        <f t="shared" si="5"/>
        <v>4.6583526916997542</v>
      </c>
    </row>
    <row r="9" spans="1:19" x14ac:dyDescent="0.4">
      <c r="A9">
        <v>54</v>
      </c>
      <c r="B9" s="1">
        <v>390</v>
      </c>
      <c r="C9">
        <v>3</v>
      </c>
      <c r="D9">
        <v>1.184E-2</v>
      </c>
      <c r="E9">
        <f t="shared" si="0"/>
        <v>7.6923076923076927E-3</v>
      </c>
      <c r="F9">
        <f t="shared" si="1"/>
        <v>1.4990431190897349E-2</v>
      </c>
      <c r="H9">
        <f t="shared" si="2"/>
        <v>2.0772416574259947E-2</v>
      </c>
      <c r="O9">
        <f t="shared" si="3"/>
        <v>-7.9526743704495362E-2</v>
      </c>
      <c r="P9">
        <f t="shared" si="4"/>
        <v>-7.1372553894329047E-2</v>
      </c>
      <c r="Q9">
        <f t="shared" si="5"/>
        <v>3.5130365534343032E-2</v>
      </c>
    </row>
    <row r="10" spans="1:19" x14ac:dyDescent="0.4">
      <c r="A10">
        <v>55</v>
      </c>
      <c r="B10" s="1">
        <v>430</v>
      </c>
      <c r="C10">
        <v>9</v>
      </c>
      <c r="D10">
        <v>1.3310000000000001E-2</v>
      </c>
      <c r="E10">
        <f t="shared" si="0"/>
        <v>2.0930232558139535E-2</v>
      </c>
      <c r="F10">
        <f t="shared" si="1"/>
        <v>1.59342886662707E-2</v>
      </c>
      <c r="H10">
        <f t="shared" si="2"/>
        <v>1.0732565809401655E-2</v>
      </c>
      <c r="O10">
        <f t="shared" si="3"/>
        <v>-2.2805077149155032E-2</v>
      </c>
      <c r="P10">
        <f t="shared" si="4"/>
        <v>-8.0049703284349738E-2</v>
      </c>
      <c r="Q10">
        <f t="shared" si="5"/>
        <v>5.3251822637436552</v>
      </c>
    </row>
    <row r="11" spans="1:19" x14ac:dyDescent="0.4">
      <c r="A11">
        <v>56</v>
      </c>
      <c r="B11" s="1">
        <v>494</v>
      </c>
      <c r="C11">
        <v>9</v>
      </c>
      <c r="D11">
        <v>1.4919999999999999E-2</v>
      </c>
      <c r="E11">
        <f t="shared" si="0"/>
        <v>1.8218623481781375E-2</v>
      </c>
      <c r="F11">
        <f t="shared" si="1"/>
        <v>1.6968037329774845E-2</v>
      </c>
      <c r="H11">
        <f t="shared" si="2"/>
        <v>7.7259906745370734E-4</v>
      </c>
      <c r="O11">
        <f t="shared" si="3"/>
        <v>-4.9354295638233923E-2</v>
      </c>
      <c r="P11">
        <f t="shared" si="4"/>
        <v>-9.1221734538988714E-2</v>
      </c>
      <c r="Q11">
        <f t="shared" si="5"/>
        <v>4.2675605631851097</v>
      </c>
    </row>
    <row r="12" spans="1:19" x14ac:dyDescent="0.4">
      <c r="A12">
        <v>57</v>
      </c>
      <c r="B12" s="1">
        <v>558</v>
      </c>
      <c r="C12">
        <v>8</v>
      </c>
      <c r="D12">
        <v>1.668E-2</v>
      </c>
      <c r="E12">
        <f t="shared" si="0"/>
        <v>1.4336917562724014E-2</v>
      </c>
      <c r="F12">
        <f t="shared" si="1"/>
        <v>1.8098097980561986E-2</v>
      </c>
      <c r="H12">
        <f t="shared" si="2"/>
        <v>7.8937347996245171E-3</v>
      </c>
      <c r="O12">
        <f t="shared" si="3"/>
        <v>-9.8453335114554799E-2</v>
      </c>
      <c r="P12">
        <f t="shared" si="4"/>
        <v>-9.8813685440331298E-2</v>
      </c>
      <c r="Q12">
        <f t="shared" si="5"/>
        <v>2.0238768558101534</v>
      </c>
    </row>
    <row r="13" spans="1:19" x14ac:dyDescent="0.4">
      <c r="A13">
        <v>58</v>
      </c>
      <c r="B13" s="1">
        <v>628</v>
      </c>
      <c r="C13">
        <v>11</v>
      </c>
      <c r="D13">
        <v>1.8589999999999999E-2</v>
      </c>
      <c r="E13">
        <f t="shared" si="0"/>
        <v>1.751592356687898E-2</v>
      </c>
      <c r="F13">
        <f t="shared" si="1"/>
        <v>1.9324470618632121E-2</v>
      </c>
      <c r="H13">
        <f t="shared" si="2"/>
        <v>2.0540890513183218E-3</v>
      </c>
      <c r="O13">
        <f t="shared" si="3"/>
        <v>-8.6378743570903749E-2</v>
      </c>
      <c r="P13">
        <f t="shared" si="4"/>
        <v>-0.1016457746263042</v>
      </c>
      <c r="Q13">
        <f t="shared" si="5"/>
        <v>3.5040216032220197</v>
      </c>
    </row>
    <row r="14" spans="1:19" x14ac:dyDescent="0.4">
      <c r="A14">
        <v>59</v>
      </c>
      <c r="B14" s="1">
        <v>701</v>
      </c>
      <c r="C14">
        <v>14</v>
      </c>
      <c r="D14">
        <v>2.0650000000000002E-2</v>
      </c>
      <c r="E14">
        <f t="shared" si="0"/>
        <v>1.9971469329529243E-2</v>
      </c>
      <c r="F14">
        <f t="shared" si="1"/>
        <v>2.0647155243985249E-2</v>
      </c>
      <c r="H14">
        <f t="shared" si="2"/>
        <v>3.2004256995097046E-4</v>
      </c>
      <c r="O14">
        <f t="shared" si="3"/>
        <v>-7.1558436310199744E-2</v>
      </c>
      <c r="P14">
        <f t="shared" si="4"/>
        <v>-9.621434976915369E-2</v>
      </c>
      <c r="Q14">
        <f t="shared" si="5"/>
        <v>4.7054714301470906</v>
      </c>
    </row>
    <row r="15" spans="1:19" x14ac:dyDescent="0.4">
      <c r="A15">
        <v>60</v>
      </c>
      <c r="B15" s="1">
        <v>813</v>
      </c>
      <c r="C15">
        <v>18</v>
      </c>
      <c r="D15">
        <v>2.2870000000000001E-2</v>
      </c>
      <c r="E15">
        <f t="shared" si="0"/>
        <v>2.2140221402214021E-2</v>
      </c>
      <c r="F15">
        <f t="shared" si="1"/>
        <v>2.2072572655773573E-2</v>
      </c>
      <c r="H15">
        <f t="shared" si="2"/>
        <v>3.7205749036055249E-6</v>
      </c>
      <c r="O15">
        <f t="shared" si="3"/>
        <v>-5.1589257230645946E-2</v>
      </c>
      <c r="P15">
        <f t="shared" si="4"/>
        <v>-8.2305781181844881E-2</v>
      </c>
      <c r="Q15">
        <f t="shared" si="5"/>
        <v>6.06160338201519</v>
      </c>
    </row>
    <row r="16" spans="1:19" x14ac:dyDescent="0.4">
      <c r="A16">
        <v>61</v>
      </c>
      <c r="B16" s="1">
        <v>917</v>
      </c>
      <c r="C16">
        <v>18</v>
      </c>
      <c r="D16">
        <v>2.5250000000000002E-2</v>
      </c>
      <c r="E16">
        <f t="shared" si="0"/>
        <v>1.9629225736095966E-2</v>
      </c>
      <c r="F16">
        <f t="shared" si="1"/>
        <v>2.3600722853997093E-2</v>
      </c>
      <c r="H16">
        <f t="shared" si="2"/>
        <v>1.4463647840824724E-2</v>
      </c>
      <c r="O16">
        <f t="shared" si="3"/>
        <v>-0.12238432636430431</v>
      </c>
      <c r="P16">
        <f t="shared" si="4"/>
        <v>-4.7388278984703727E-2</v>
      </c>
      <c r="Q16">
        <f t="shared" si="5"/>
        <v>3.1331140129447235</v>
      </c>
    </row>
    <row r="17" spans="1:17" x14ac:dyDescent="0.4">
      <c r="A17">
        <v>62</v>
      </c>
      <c r="B17" s="1">
        <v>1040</v>
      </c>
      <c r="C17">
        <v>24</v>
      </c>
      <c r="D17">
        <v>2.7779999999999999E-2</v>
      </c>
      <c r="E17">
        <f t="shared" si="0"/>
        <v>2.3076923076923078E-2</v>
      </c>
      <c r="F17">
        <f t="shared" si="1"/>
        <v>2.5225185039503606E-2</v>
      </c>
      <c r="H17">
        <f t="shared" si="2"/>
        <v>4.7996306382651543E-3</v>
      </c>
      <c r="O17">
        <f t="shared" si="3"/>
        <v>-5.3099491015964145E-2</v>
      </c>
      <c r="P17">
        <f t="shared" si="4"/>
        <v>1.3965019174671004E-2</v>
      </c>
      <c r="Q17">
        <f t="shared" si="5"/>
        <v>5.4495318816540657</v>
      </c>
    </row>
    <row r="18" spans="1:17" x14ac:dyDescent="0.4">
      <c r="A18">
        <v>63</v>
      </c>
      <c r="B18" s="1">
        <v>1182</v>
      </c>
      <c r="C18">
        <v>30</v>
      </c>
      <c r="D18">
        <v>3.049E-2</v>
      </c>
      <c r="E18">
        <f t="shared" si="0"/>
        <v>2.5380710659898477E-2</v>
      </c>
      <c r="F18">
        <f t="shared" si="1"/>
        <v>2.6965221609749714E-2</v>
      </c>
      <c r="H18">
        <f t="shared" si="2"/>
        <v>2.9676177911345893E-3</v>
      </c>
      <c r="O18">
        <f t="shared" si="3"/>
        <v>1.6789764210807568E-2</v>
      </c>
      <c r="P18">
        <f t="shared" si="4"/>
        <v>0.11508628633614321</v>
      </c>
      <c r="Q18">
        <f t="shared" si="5"/>
        <v>6.8599552942996302</v>
      </c>
    </row>
    <row r="19" spans="1:17" x14ac:dyDescent="0.4">
      <c r="A19">
        <v>64</v>
      </c>
      <c r="B19" s="1">
        <v>1299</v>
      </c>
      <c r="C19">
        <v>43</v>
      </c>
      <c r="D19">
        <v>3.3390000000000003E-2</v>
      </c>
      <c r="E19">
        <f t="shared" si="0"/>
        <v>3.3102386451116246E-2</v>
      </c>
      <c r="F19">
        <f t="shared" si="1"/>
        <v>2.8827253363887619E-2</v>
      </c>
      <c r="H19">
        <f t="shared" si="2"/>
        <v>2.3741515024658554E-2</v>
      </c>
      <c r="O19">
        <f t="shared" si="3"/>
        <v>0.35512364838688149</v>
      </c>
      <c r="P19">
        <f t="shared" si="4"/>
        <v>0.2642912735586001</v>
      </c>
      <c r="Q19">
        <f t="shared" si="5"/>
        <v>15.150662849498451</v>
      </c>
    </row>
    <row r="20" spans="1:17" x14ac:dyDescent="0.4">
      <c r="A20">
        <v>65</v>
      </c>
      <c r="B20" s="1">
        <v>1432</v>
      </c>
      <c r="C20">
        <v>41</v>
      </c>
      <c r="D20">
        <v>3.6479999999999999E-2</v>
      </c>
      <c r="E20">
        <f t="shared" si="0"/>
        <v>2.8631284916201118E-2</v>
      </c>
      <c r="F20">
        <f t="shared" si="1"/>
        <v>3.0811280301917307E-2</v>
      </c>
      <c r="H20">
        <f t="shared" si="2"/>
        <v>6.8054079906572276E-3</v>
      </c>
      <c r="O20">
        <f t="shared" si="3"/>
        <v>0.19414494689733491</v>
      </c>
      <c r="P20">
        <f t="shared" si="4"/>
        <v>0.4797331541601228</v>
      </c>
      <c r="Q20">
        <f t="shared" si="5"/>
        <v>7.4581401186937235</v>
      </c>
    </row>
    <row r="21" spans="1:17" x14ac:dyDescent="0.4">
      <c r="A21">
        <v>66</v>
      </c>
      <c r="B21" s="1">
        <v>1596</v>
      </c>
      <c r="C21">
        <v>54</v>
      </c>
      <c r="D21">
        <v>3.9780000000000003E-2</v>
      </c>
      <c r="E21">
        <f t="shared" si="0"/>
        <v>3.3834586466165412E-2</v>
      </c>
      <c r="F21">
        <f t="shared" si="1"/>
        <v>3.2930144022143198E-2</v>
      </c>
      <c r="H21">
        <f t="shared" si="2"/>
        <v>1.3055537507400032E-3</v>
      </c>
      <c r="O21">
        <f t="shared" si="3"/>
        <v>0.56630500834947561</v>
      </c>
      <c r="P21">
        <f t="shared" si="4"/>
        <v>0.79255491585155324</v>
      </c>
      <c r="Q21">
        <f t="shared" si="5"/>
        <v>13.23504581639077</v>
      </c>
    </row>
    <row r="22" spans="1:17" x14ac:dyDescent="0.4">
      <c r="A22">
        <v>67</v>
      </c>
      <c r="B22" s="1">
        <v>1752</v>
      </c>
      <c r="C22">
        <v>64</v>
      </c>
      <c r="D22">
        <v>4.3319999999999997E-2</v>
      </c>
      <c r="E22">
        <f t="shared" si="0"/>
        <v>3.6529680365296802E-2</v>
      </c>
      <c r="F22">
        <f t="shared" si="1"/>
        <v>3.5203106922021873E-2</v>
      </c>
      <c r="H22">
        <f t="shared" si="2"/>
        <v>3.0831645199048121E-3</v>
      </c>
      <c r="O22">
        <f t="shared" si="3"/>
        <v>0.88152771090775472</v>
      </c>
      <c r="P22">
        <f t="shared" si="4"/>
        <v>1.2161196287942284</v>
      </c>
      <c r="Q22">
        <f t="shared" si="5"/>
        <v>15.268268517417802</v>
      </c>
    </row>
    <row r="23" spans="1:17" x14ac:dyDescent="0.4">
      <c r="H23">
        <f>SUM(H2:H22)</f>
        <v>0.16981594092681424</v>
      </c>
      <c r="O23">
        <f>SUM(O2:O22)</f>
        <v>1.2528354585532029</v>
      </c>
      <c r="P23">
        <f>SUM(P2:P22)</f>
        <v>1.9512132830952909</v>
      </c>
      <c r="Q23">
        <f>SUM(Q2:Q22)</f>
        <v>110.60883830492043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Jackie</cp:lastModifiedBy>
  <dcterms:created xsi:type="dcterms:W3CDTF">2015-08-27T07:55:22Z</dcterms:created>
  <dcterms:modified xsi:type="dcterms:W3CDTF">2022-01-14T14:33:39Z</dcterms:modified>
</cp:coreProperties>
</file>