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DACCMOY. " sheetId="1" state="visible" r:id="rId2"/>
  </sheets>
  <definedNames>
    <definedName function="false" hidden="false" name="arrow_part_data" vbProcedure="false">'USBDACCMOY. '!$H$5:$L$33</definedName>
    <definedName function="false" hidden="false" name="BoardQty" vbProcedure="false">'USBDACCMOY. '!$G$1</definedName>
    <definedName function="false" hidden="false" name="digikey_part_data" vbProcedure="false">'USBDACCMOY. '!$M$5:$Q$33</definedName>
    <definedName function="false" hidden="false" name="farnell_part_data" vbProcedure="false">'USBDACCMOY. '!$R$5:$V$33</definedName>
    <definedName function="false" hidden="false" name="global_part_data" vbProcedure="false">'USBDACCMOY. '!$A$5:$G$33</definedName>
    <definedName function="false" hidden="false" name="lcsc_part_data" vbProcedure="false">'USBDACCMOY. '!$W$5:$AA$33</definedName>
    <definedName function="false" hidden="false" name="mouser_part_data" vbProcedure="false">'USBDACCMOY. '!$AB$5:$AF$33</definedName>
    <definedName function="false" hidden="false" name="newark_part_data" vbProcedure="false">'USBDACCMOY. '!$AG$5:$AK$33</definedName>
    <definedName function="false" hidden="false" name="PURCHASE_DESCRIPTION" vbProcedure="false">'USBDACCMOY. '!$G$36</definedName>
    <definedName function="false" hidden="false" name="rs_part_data" vbProcedure="false">'USBDACCMOY. '!$AL$5:$AP$33</definedName>
    <definedName function="false" hidden="false" name="tme_part_data" vbProcedure="false">'USBDACCMOY. '!$AQ$5:$AU$33</definedName>
    <definedName function="false" hidden="false" name="TotalCost" vbProcedure="false">'USBDACCMOY. '!$G$3</definedName>
    <definedName function="false" hidden="false" name="USD_GBP" vbProcedure="false">'USBDACCMOY. '!$C$36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F3" authorId="0">
      <text>
        <r>
          <rPr>
            <sz val="8"/>
            <color rgb="FF000000"/>
            <rFont val="Tahoma"/>
            <family val="2"/>
            <charset val="1"/>
          </rPr>
          <t xml:space="preserve">Use the minimum extend price across distributors not taking account available quantities.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F35" authorId="0">
      <text>
        <r>
          <rPr>
            <sz val="8"/>
            <color rgb="FF000000"/>
            <rFont val="Tahoma"/>
            <family val="2"/>
            <charset val="1"/>
          </rPr>
          <t xml:space="preserve">This is the total of your cart across all distributors.</t>
        </r>
      </text>
    </comment>
    <comment ref="F36" authorId="0">
      <text>
        <r>
          <rPr>
            <sz val="8"/>
            <color rgb="FF000000"/>
            <rFont val="Tahoma"/>
            <family val="2"/>
            <charset val="1"/>
          </rPr>
          <t xml:space="preserve">This description will be added to all purchased parts label and may be used to distinguish the component of different projects.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I3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L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M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2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2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2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2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2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3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M3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N3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O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$0.34      $0.34
    10   $0.24      $2.39
    50   $0.17      $8.37
   100   $0.14     $14.36
   500   $0.11     $53.83
  1000   $0.08     $82.65
  2000   $0.08    $156.60
  5000   $0.07    $369.75
 10000   $0.07    $696.00
 25000   $0.07  $1,631.25
 50000   $0.06  $3,045.00
100000   $0.06  $5,655.00</t>
        </r>
      </text>
    </comment>
    <comment ref="O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$0.32      $0.32
    50   $0.27     $13.70
   100   $0.24     $23.90
   250   $0.21     $53.00
   900   $0.19    $167.40
  1800   $0.18    $318.60</t>
        </r>
      </text>
    </comment>
    <comment ref="O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$0.43      $0.43
    10   $0.30      $2.96
    50   $0.20      $9.89
   100   $0.18     $17.73
   500   $0.13     $66.50
  1000   $0.10     $97.66
  2000   $0.09    $185.04
  5000   $0.09    $436.90
 10000   $0.08    $822.40
 25000   $0.08  $1,927.50
 50000   $0.07  $3,598.00
100000   $0.07  $6,682.00</t>
        </r>
      </text>
    </comment>
    <comment ref="O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$4.97      $4.97
    10   $4.46     $44.60
    25   $4.22    $105.41
   100   $3.47    $346.69
   250   $3.11    $777.71
   500   $3.00  $1,499.20
  1000   $2.49  $2,492.42</t>
        </r>
      </text>
    </comment>
    <comment ref="O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$1.05      $1.05
    10   $0.92      $9.21
    25   $0.87     $21.66
    50   $0.83     $41.52
   100   $0.79     $79.42
   250   $0.72    $180.51
   500   $0.65    $324.92
  1000   $0.58    $577.63
  2000   $0.49    $984.60
  4000   $0.48  $1,903.56
  6000   $0.46  $2,756.88
 10000   $0.44  $4,365.10
 14000   $0.43  $5,973.24</t>
        </r>
      </text>
    </comment>
    <comment ref="O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5000   $0.02     $85.85</t>
        </r>
      </text>
    </comment>
    <comment ref="O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5000   $0.02     $85.85</t>
        </r>
      </text>
    </comment>
    <comment ref="O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$0.07      $0.72
   100   $0.03      $2.75
  1000   $0.01     $12.10
  2500   $0.01     $26.12
  5000   $0.01     $43.50
 10000   $0.01     $78.10
 25000   $0.01    $179.25
 50000   $0.01    $348.00</t>
        </r>
      </text>
    </comment>
    <comment ref="O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5000   $0.02     $85.85</t>
        </r>
      </text>
    </comment>
    <comment ref="O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5000   $0.02     $85.85</t>
        </r>
      </text>
    </comment>
    <comment ref="O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5000   $0.02     $85.85</t>
        </r>
      </text>
    </comment>
    <comment ref="O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5000   $0.02     $85.85</t>
        </r>
      </text>
    </comment>
    <comment ref="O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5000   $0.02     $85.85</t>
        </r>
      </text>
    </comment>
    <comment ref="O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5000   $0.02     $85.85</t>
        </r>
      </text>
    </comment>
    <comment ref="O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$5.08      $5.08
     5   $5.05     $25.25
    10   $5.02     $50.20
    25   $4.96    $124.00
    50   $4.84    $242.00
   100   $4.60    $460.00
   250   $4.30  $1,075.01
   500   $4.01  $2,005.01
  1000   $3.99  $3,990.00</t>
        </r>
      </text>
    </comment>
    <comment ref="O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$13.52     $13.52
    10  $12.42    $124.23
    25  $11.91    $297.71
   100   $9.98    $997.74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Q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R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2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2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2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R3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S3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T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£0.08      £0.81
   100   £0.05      £4.85
   150   £0.05      £7.28
   500   £0.02     £12.15
  1000   £0.02     £21.50
  2000   £0.02     £37.40
  4000   £0.01     £56.00
 20000   £0.01    £206.00</t>
        </r>
      </text>
    </comment>
    <comment ref="T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£0.27      £0.27
    50   £0.22     £11.15
   100   £0.14     £13.50
   150   £0.14     £20.25
   250   £0.12     £31.25
   500   £0.09     £47.10
  1000   £0.06     £64.30
  5000   £0.06    £303.50</t>
        </r>
      </text>
    </comment>
    <comment ref="T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£0.08      £0.85
   100   £0.04      £4.25
   150   £0.04      £6.38
   500   £0.03     £12.75
  1000   £0.02     £19.60
  2000   £0.02     £31.00
  4000   £0.01     £44.00</t>
        </r>
      </text>
    </comment>
    <comment ref="T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£0.35      £0.35
     5   £0.32      £1.62
    10   £0.27      £2.68
    20   £0.26      £5.28
    40   £0.21      £8.48
   100   £0.18     £18.00
   150   £0.18     £27.00
   500   £0.15     £75.00</t>
        </r>
      </text>
    </comment>
    <comment ref="T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£0.32      £0.32
    50   £0.24     £11.90
   100   £0.16     £15.60
   150   £0.16     £23.40
   250   £0.15     £37.25
   500   £0.11     £55.50
  1000   £0.08     £75.90
  5000   £0.07    £358.50</t>
        </r>
      </text>
    </comment>
    <comment ref="T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£0.23      £1.16
    50   £0.12      £5.80
   150   £0.12     £17.40
   250   £0.07     £17.42
   500   £0.05     £26.80
  1500   £0.04     £53.55
  3000   £0.06    £187.20
 15000   £0.05    £808.50</t>
        </r>
      </text>
    </comment>
    <comment ref="T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£4.43      £4.43
    10   £3.58     £35.80
    25   £3.38     £84.50
    50   £3.08    £154.00
   100   £2.78    £278.00
   250   £2.50    £625.00
   500   £2.00  £1,000.00</t>
        </r>
      </text>
    </comment>
    <comment ref="T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£0.62      £0.62
    60   £0.54     £32.58
   200   £0.52    £103.20
   500   £0.49    £245.00
  1000   £0.44    £436.00
  2000   £0.36    £714.00
 10000   £0.33  £3,320.00
 20000   £0.32  £6,500.00</t>
        </r>
      </text>
    </comment>
    <comment ref="T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£0.51      £5.11
   100   £0.44     £43.60
   250   £0.41    £101.50
   500   £0.38    £188.00
  1000   £0.36    £355.00
  2500   £0.34    £847.50</t>
        </r>
      </text>
    </comment>
    <comment ref="T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£0.11      £1.11
   100   £0.08      £8.24
   150   £0.08     £12.36
   500   £0.07     £33.45
  1000   £0.06     £55.80
  2000   £0.05     £97.60
  4000   £0.04    £148.00
 20000   £0.04    £706.00</t>
        </r>
      </text>
    </comment>
    <comment ref="T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£0.32      £0.32
     2   £0.28      £0.57
     3   £0.27      £0.82
     5   £0.26      £1.30
    10   £0.25      £2.46
    20   £0.23      £4.52
    50   £0.21     £10.50</t>
        </r>
      </text>
    </comment>
    <comment ref="T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£0.07      £0.67
   100   £0.04      £4.15
   500   £0.03     £12.55
  1000   £0.02     £17.50
  2500   £0.02     £40.75
  5000   £0.02     £80.00
 25000   £0.02    £390.00</t>
        </r>
      </text>
    </comment>
    <comment ref="T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£0.07      £0.67
   100   £0.04      £4.15
   500   £0.03     £12.55
  1000   £0.02     £17.50
  2500   £0.02     £40.75
  5000   £0.02     £80.00
 25000   £0.02    £390.00</t>
        </r>
      </text>
    </comment>
    <comment ref="T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5000   £0.01     £42.50
 25000   £0.01    £175.00
 50000   £0.01    £315.00</t>
        </r>
      </text>
    </comment>
    <comment ref="T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£0.05      £0.54
   100   £0.03      £3.31
   150   £0.03      £4.96
   500   £0.02     £10.35
  1000   £0.01     £14.00
  2500   £0.01     £34.00
  5000   £0.01     £65.50
 25000   £0.01    £317.50
 50000   £0.01    £630.00</t>
        </r>
      </text>
    </comment>
    <comment ref="T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£0.10      £1.01
   100   £0.06      £5.97
   150   £0.06      £8.96
   500   £0.04     £18.85
  1000   £0.02     £23.60
  2500   £0.02     £53.75</t>
        </r>
      </text>
    </comment>
    <comment ref="T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£0.06      £0.62
   100   £0.04      £4.01
   150   £0.04      £6.02
   500   £0.02     £11.95
  1000   £0.02     £16.60
  2500   £0.02     £38.25
  5000   £0.01     £70.50
 25000   £0.01    £322.50
 50000   £0.01    £630.00</t>
        </r>
      </text>
    </comment>
    <comment ref="T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£0.09      £0.88
   100   £0.05      £5.33
   150   £0.05      £8.00
   500   £0.03     £15.85
  1000   £0.02     £20.80
  2500   £0.02     £49.00</t>
        </r>
      </text>
    </comment>
    <comment ref="T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£0.09      £0.91
   100   £0.06      £5.66
   150   £0.06      £8.49
   500   £0.03     £16.60
  1000   £0.02     £24.10
  2500   £0.02     £56.00
  5000   £0.02     £93.00
 25000   £0.01    £367.50</t>
        </r>
      </text>
    </comment>
    <comment ref="T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£0.07      £0.69
   100   £0.04      £4.35
   150   £0.04      £6.52
   500   £0.03     £12.65
  1000   £0.02     £17.30
  2500   £0.02     £40.25
  5000   £0.01     £72.50
 25000   £0.01    £352.50</t>
        </r>
      </text>
    </comment>
    <comment ref="T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£0.07      £0.67
   100   £0.04      £4.26
   150   £0.04      £6.39
   500   £0.02     £12.40
  1000   £0.02     £17.00
  2500   £0.02     £39.50</t>
        </r>
      </text>
    </comment>
    <comment ref="T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£0.09      £0.87
   100   £0.05      £5.26
   150   £0.05      £7.89
   500   £0.03     £15.45
  1000   £0.02     £21.00
  2500   £0.02     £48.75
  5000   £0.02     £90.00
 25000   £0.02    £410.00</t>
        </r>
      </text>
    </comment>
    <comment ref="T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£4.23      £4.23
    10   £4.20     £42.00
    25   £4.05    £101.25
   100   £3.86    £386.00
   150   £3.36    £504.00</t>
        </r>
      </text>
    </comment>
    <comment ref="T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£9.62      £9.62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V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X3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X36" authorId="0">
      <text>
        <r>
          <rPr>
            <sz val="8"/>
            <color rgb="FF000000"/>
            <rFont val="Tahoma"/>
            <family val="2"/>
            <charset val="1"/>
          </rPr>
          <t xml:space="preserve">Copy this header and order to CSV file and use for JLCPCB manufacture PCB housing. The multipart components that use "#" symbol is not allowed at JLCPCB.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Y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5   $0.08      $0.41
    50   $0.06      $3.04
   150   $0.06      $8.52
   500   $0.05     $26.38
  2500   $0.05    $127.45
  5000   $0.05    $250.45</t>
        </r>
      </text>
    </comment>
    <comment ref="Y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$0.16      $0.16
    10   $0.12      $1.19
    30   $0.11      $3.33
   100   $0.10     $10.31
   500   $0.10     $49.82
  1000   $0.10     $97.90</t>
        </r>
      </text>
    </comment>
    <comment ref="Y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$0.51      $0.51
    10   $0.37      $3.70
    30   $0.34     $10.35
   100   $0.32     $32.00
   500   $0.31    $154.16
  1000   $0.30    $303.33</t>
        </r>
      </text>
    </comment>
    <comment ref="Y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$3.10      $3.10
    10   $2.28     $22.83
    30   $2.13     $64.00
   100   $1.98    $198.17
   500   $1.92    $957.50
  1000   $1.88  $1,881.67</t>
        </r>
      </text>
    </comment>
    <comment ref="Y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50   $0.01      $0.53
   500   $0.01      $3.86
  1500   $0.01     $10.82
  5000   $0.01     $33.45
 25000   $0.01    $161.50
 50000   $0.01    $317.00</t>
        </r>
      </text>
    </comment>
    <comment ref="Y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20   $0.02      $0.43
   200   $0.02      $3.11
   600   $0.01      $8.71
  2000   $0.01     $26.92
 10000   $0.01    $129.90
 20000   $0.01    $255.20</t>
        </r>
      </text>
    </comment>
    <comment ref="Y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20   $0.02      $0.48
   200   $0.02      $3.68
   600   $0.02     $10.41
  2000   $0.02     $32.56
 10000   $0.02    $158.10
 20000   $0.02    $311.60</t>
        </r>
      </text>
    </comment>
    <comment ref="Y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20   $0.02      $0.43
   200   $0.02      $3.11
   600   $0.01      $8.71
  2000   $0.01     $26.92
 10000   $0.01    $129.90
 20000   $0.01    $255.20</t>
        </r>
      </text>
    </comment>
    <comment ref="Y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20   $0.02      $0.49
   200   $0.02      $3.74
   600   $0.02     $10.56
  2000   $0.02     $33.04
 10000   $0.02    $160.40
 20000   $0.02    $316.00</t>
        </r>
      </text>
    </comment>
    <comment ref="Y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20   $0.02      $0.43
   200   $0.02      $3.11
   600   $0.01      $8.71
  2000   $0.01     $26.92
 10000   $0.01    $129.90
 20000   $0.01    $255.20</t>
        </r>
      </text>
    </comment>
    <comment ref="Y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20   $0.02      $0.43
   200   $0.02      $3.18
   600   $0.01      $8.91
  2000   $0.01     $27.60
 10000   $0.01    $133.30
 20000   $0.01    $262.00</t>
        </r>
      </text>
    </comment>
    <comment ref="Y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20   $0.02      $0.46
   200   $0.02      $3.43
   600   $0.02      $9.65
  2000   $0.02     $30.04
 10000   $0.01    $145.50
 20000   $0.01    $286.40</t>
        </r>
      </text>
    </comment>
    <comment ref="Y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20   $0.02      $0.43
   200   $0.02      $3.11
   600   $0.01      $8.71
  2000   $0.01     $26.92
 10000   $0.01    $129.90
 20000   $0.01    $255.20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A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B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C3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D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$0.43      $0.43
    10   $0.30      $3.01
   100   $0.18     $18.00
   500   $0.14     $67.50
  1000   $0.12    $118.00
  2500   $0.10    $257.50</t>
        </r>
      </text>
    </comment>
    <comment ref="AD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$0.37      $0.37
    10   $0.25      $2.50
   100   $0.19     $18.80
  1000   $0.18    $180.00
  2000   $0.15    $308.00
 10000   $0.15  $1,540.00</t>
        </r>
      </text>
    </comment>
    <comment ref="AD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$0.35      $0.35
    10   $0.35      $3.50
    25   $0.35      $8.75
    50   $0.29     $14.65
   100   $0.26     $25.50
   250   $0.23     $56.75</t>
        </r>
      </text>
    </comment>
    <comment ref="AD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$0.47      $0.47
    10   $0.30      $2.96
   100   $0.21     $21.20
  1000   $0.21    $212.00
  2000   $0.18    $364.00
 10000   $0.16  $1,630.00</t>
        </r>
      </text>
    </comment>
    <comment ref="AD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$4.97      $4.97
    10   $4.46     $44.60
    25   $4.22    $105.50
   100   $3.47    $347.00
   250   $3.12    $780.00
   500   $3.00  $1,500.00</t>
        </r>
      </text>
    </comment>
    <comment ref="AD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$0.95      $0.95
    10   $0.75      $7.54
   100   $0.66     $65.60
   500   $0.59    $295.00
  1000   $0.52    $525.00
  2000   $0.46    $918.00</t>
        </r>
      </text>
    </comment>
    <comment ref="AD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$4.09      $4.09
    25   $3.64     $91.00
    50   $3.43    $171.50
   100   $3.30    $330.00
   500   $3.05  $1,525.00
  1000   $2.95  $2,950.00</t>
        </r>
      </text>
    </comment>
    <comment ref="AD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$0.10      $0.10
    10   $0.07      $0.72
   100   $0.03      $2.80
  1000   $0.01     $13.00
  5000   $0.01     $65.00
 10000   $0.01    $100.00</t>
        </r>
      </text>
    </comment>
    <comment ref="AD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$0.14      $0.14
    10   $0.08      $0.77
    50   $0.06      $3.20
   100   $0.04      $4.30
   500   $0.03     $14.50
  1000   $0.02     $20.00</t>
        </r>
      </text>
    </comment>
    <comment ref="AD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$0.21      $0.21
    10   $0.12      $1.15
    50   $0.10      $4.75
   100   $0.06      $6.40
   500   $0.04     $21.00
  1000   $0.03     $29.00</t>
        </r>
      </text>
    </comment>
    <comment ref="AD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$0.19      $0.19
    10   $0.10      $1.00
    50   $0.08      $4.15
   100   $0.06      $5.60
   500   $0.04     $18.50
  1000   $0.03     $26.00</t>
        </r>
      </text>
    </comment>
    <comment ref="AD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$0.19      $0.19
    10   $0.10      $1.00
    50   $0.08      $4.15
   100   $0.06      $5.60
   500   $0.04     $18.50
  1000   $0.03     $26.00</t>
        </r>
      </text>
    </comment>
    <comment ref="AD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$0.21      $0.21
    10   $0.12      $1.15
    50   $0.10      $4.75
   100   $0.06      $6.40
   500   $0.04     $21.00
  1000   $0.03     $29.00</t>
        </r>
      </text>
    </comment>
    <comment ref="AD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$0.13      $0.13
    10   $0.08      $0.77
    50   $0.06      $3.20
   100   $0.04      $4.30
   500   $0.03     $14.50
  1000   $0.02     $20.00</t>
        </r>
      </text>
    </comment>
    <comment ref="AD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$0.13      $0.13
    10   $0.08      $0.77
    50   $0.06      $3.20
   100   $0.04      $4.30
   500   $0.03     $14.50
  1000   $0.02     $20.00</t>
        </r>
      </text>
    </comment>
    <comment ref="AD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$0.19      $0.19
    10   $0.10      $1.00
    50   $0.08      $4.15
   100   $0.06      $5.60
   500   $0.04     $18.50
  1000   $0.03     $26.00</t>
        </r>
      </text>
    </comment>
    <comment ref="AD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$8.05      $8.05
     5   $7.75     $38.75
    10   $7.54     $75.40
    25   $7.35    $183.75
    50   $7.35    $367.50
   100   $7.35    $735.00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F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G1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2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2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G2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H3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I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$0.02      $0.02
    10   $0.18      $1.85
    50   $0.10      $5.20
   100   $0.08      $8.30
   250   $0.02      $4.50
   500   $0.02      $8.00
  1000   $0.01     $14.00
  4000   $0.01     $56.00
  5000   $0.01     $65.00</t>
        </r>
      </text>
    </comment>
    <comment ref="AI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$0.03      $0.03
    10   $0.25      $2.49
    25   $0.20      $5.12
    50   $0.16      $8.10
   100   $0.12     $11.80
  1000   $0.03     $26.00
  2000   $0.03     $52.00
  4000   $0.03    $104.00
  6000   $0.03    $156.00
 10000   $0.03    $260.00</t>
        </r>
      </text>
    </comment>
    <comment ref="AI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$0.17      $0.17
    10   $0.11      $1.11
    50   $0.06      $3.15
   100   $0.05      $5.00
   250   $0.04     $10.00
   500   $0.04     $17.50
  1000   $0.03     $29.00
  4000   $0.02     $84.00
  8000   $0.02    $160.00
 20000   $0.02    $360.00
 40000   $0.02    $640.00</t>
        </r>
      </text>
    </comment>
    <comment ref="AI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$0.35      $0.35
    10   $0.33      $3.34
    25   $0.32      $7.90
    50   $0.30     $14.90
   100   $0.26     $26.20
   250   $0.24     $58.75
   500   $0.21    $104.50</t>
        </r>
      </text>
    </comment>
    <comment ref="AI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$0.07      $0.07
    10   $0.07      $0.69
    25   $0.07      $1.72
    50   $0.07      $3.45
   100   $0.07      $6.90
  1000   $0.08     $83.00
  2000   $0.08    $156.00
  4000   $0.08    $308.00
  6000   $0.08    $450.00
 10000   $0.07    $740.00</t>
        </r>
      </text>
    </comment>
    <comment ref="AI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$0.03      $0.03
    10   $0.03      $0.31
   100   $0.03      $3.10
   250   $0.03      $7.75
   500   $0.03     $15.50
  1000   $0.03     $31.00
  3000   $0.20    $609.00
  6000   $0.20  $1,218.00
  9000   $0.19  $1,674.00
 15000   $0.14  $2,130.00
 30000   $0.11  $3,210.00
 60000   $0.09  $5,460.00</t>
        </r>
      </text>
    </comment>
    <comment ref="AI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$4.97      $4.97
    10   $4.46     $44.60
    25   $4.22    $105.50
    50   $3.85    $192.50
   100   $3.47    $347.00
   250   $3.12    $780.00
   500   $3.00  $1,500.00</t>
        </r>
      </text>
    </comment>
    <comment ref="AI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$0.47      $0.47
    25   $0.55     $13.68
   100   $0.50     $50.50
   250   $0.50    $126.25
   500   $0.50    $252.50
  1000   $0.50    $505.00
  2000   $0.46    $920.00
  2500   $0.44  $1,095.00
  4000   $0.45  $1,804.00
  8000   $0.44  $3,544.00
 12000   $0.44  $5,220.00</t>
        </r>
      </text>
    </comment>
    <comment ref="AI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$0.63      $0.63
   100   $0.54     $54.10
   250   $0.50    $126.00
   500   $0.47    $233.50
  1000   $0.44    $441.00
  2500   $0.42  $1,052.50</t>
        </r>
      </text>
    </comment>
    <comment ref="AI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$0.30      $0.30
    10   $0.25      $2.54
    25   $0.23      $5.78
    50   $0.16      $7.90
   100   $0.13     $13.10
   250   $0.11     $27.25
   500   $0.09     $44.00
  1000   $0.07     $73.00
  4000   $0.06    $260.00
  8000   $0.05    $424.00
 16000   $0.05    $736.00
 24000   $0.04  $1,032.00
 40000   $0.04  $1,480.00</t>
        </r>
      </text>
    </comment>
    <comment ref="AI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$0.51      $0.51
    10   $0.46      $4.58
   100   $0.36     $36.00
   500   $0.30    $148.00
  1000   $0.26    $257.00
  5000   $0.23  $1,150.00
 10000   $0.21  $2,070.00
 25000   $0.20  $5,000.00</t>
        </r>
      </text>
    </comment>
    <comment ref="AI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5000   $0.02    $100.00</t>
        </r>
      </text>
    </comment>
    <comment ref="AI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5000   $0.02    $100.00</t>
        </r>
      </text>
    </comment>
    <comment ref="AI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$0.01      $0.01
    25   $0.01      $0.15
    50   $0.01      $0.30
   100   $0.01      $0.60
   250   $0.01      $1.50
   500   $0.01      $3.00
  1000   $0.01      $6.00
  5000   $0.00     $15.00
 10000   $0.00     $30.00</t>
        </r>
      </text>
    </comment>
    <comment ref="AI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10   $0.11      $1.10
    25   $0.10      $2.55
    50   $0.09      $4.60
   100   $0.06      $6.30
   250   $0.05     $13.50
   500   $0.04     $22.00
  1000   $0.03     $32.00</t>
        </r>
      </text>
    </comment>
    <comment ref="AI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10   $0.16      $1.63
    25   $0.15      $3.72
    50   $0.14      $6.75
   100   $0.09      $9.20
   250   $0.08     $19.25
   500   $0.06     $31.00
  1000   $0.04     $44.00</t>
        </r>
      </text>
    </comment>
    <comment ref="AI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10   $0.10      $1.00
    25   $0.09      $2.30
    50   $0.08      $4.15
   100   $0.06      $5.60
   250   $0.05     $11.75
   500   $0.04     $18.50
  1000   $0.03     $26.00
  5000   $0.03    $155.00
 10000   $0.03    $270.00
 20000   $0.02    $460.00
 30000   $0.02    $600.00</t>
        </r>
      </text>
    </comment>
    <comment ref="AI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10   $0.10      $1.00
    25   $0.09      $2.30
    50   $0.08      $4.15
   100   $0.06      $5.60
   250   $0.05     $11.75
   500   $0.04     $18.50
  1000   $0.03     $26.00</t>
        </r>
      </text>
    </comment>
    <comment ref="AI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$0.17      $0.17
    10   $0.09      $0.89
    25   $0.07      $1.82
    50   $0.06      $2.90
   100   $0.04      $4.00
   500   $0.03     $15.50
  1000   $0.02     $25.00
  2500   $0.02     $50.00
  5000   $0.02    $100.00</t>
        </r>
      </text>
    </comment>
    <comment ref="AI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5000   $0.02    $100.00</t>
        </r>
      </text>
    </comment>
    <comment ref="AI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10   $0.11      $1.10
    25   $0.10      $2.55
    50   $0.09      $4.60
   100   $0.06      $6.30
   250   $0.05     $13.50
   500   $0.04     $22.00
  1000   $0.03     $32.00</t>
        </r>
      </text>
    </comment>
    <comment ref="AI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10   $0.14      $1.42
    25   $0.13      $3.28
    50   $0.12      $5.95
   100   $0.08      $8.10
   250   $0.07     $17.25
   500   $0.06     $27.50
  1000   $0.04     $40.00</t>
        </r>
      </text>
    </comment>
    <comment ref="AI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$5.37      $5.37
     5   $5.34     $26.70
    10   $5.32     $53.20
    25   $5.26    $131.50
    50   $5.14    $257.00
   100   $4.90    $490.00
   250   $4.60  $1,150.00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K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L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L2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L2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L3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M3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N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N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£0.38      £1.91
    50   £0.32     £15.80
   250   £0.20     £49.00
  1000   £0.12    £120.00
  2500   £0.11    £285.00</t>
        </r>
      </text>
    </comment>
    <comment ref="AN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£0.22      £1.10
    25   £0.10      £2.60
   375   £0.09     £33.00
  1250   £0.06     £75.00</t>
        </r>
      </text>
    </comment>
    <comment ref="AN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10   £0.26      £2.55
    50   £0.21     £10.30
   100   £0.19     £18.60
   200   £0.18     £35.40
  1000   £0.14    £137.00</t>
        </r>
      </text>
    </comment>
    <comment ref="AN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£0.23      £1.16
    10   £0.11      £1.14
    50   £0.11      £5.30
   250   £0.10     £25.00</t>
        </r>
      </text>
    </comment>
    <comment ref="AN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£4.39      £4.39
    15   £3.33     £49.95
    38   £3.16    £120.08</t>
        </r>
      </text>
    </comment>
    <comment ref="AN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5   £0.72      £3.58
   125   £0.55     £68.50
   375   £0.50    £187.50
  1000   £0.39    £392.00
  2000   £0.38    £764.00</t>
        </r>
      </text>
    </comment>
    <comment ref="AN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£3.89      £3.89
    10   £2.79     £27.90
    50   £2.55    £127.50
   100   £2.38    £238.00
   200   £2.30    £460.00</t>
        </r>
      </text>
    </comment>
    <comment ref="AN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100   £0.03      £3.40
   500   £0.03     £14.50
  1000   £0.03     £26.00
  1500   £0.02     £33.00
  2000   £0.02     £34.00</t>
        </r>
      </text>
    </comment>
    <comment ref="AN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100   £0.01      £1.30</t>
        </r>
      </text>
    </comment>
    <comment ref="AN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100   £0.04      £4.30
  1000   £0.04     £41.00</t>
        </r>
      </text>
    </comment>
    <comment ref="AN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100   £0.04      £3.50
   500   £0.02     £12.00
  1000   £0.02     £16.00
  5000   £0.01     £65.00</t>
        </r>
      </text>
    </comment>
    <comment ref="AN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100   £0.04      £3.90
  1000   £0.04     £37.00</t>
        </r>
      </text>
    </comment>
    <comment ref="AN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100   £0.03      £3.30
  1000   £0.02     £16.00
  2500   £0.02     £40.00</t>
        </r>
      </text>
    </comment>
    <comment ref="AN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100   £0.03      £3.40
   500   £0.03     £14.50
  1000   £0.02     £25.00
  2500   £0.02     £55.00
  4000   £0.02     £72.00</t>
        </r>
      </text>
    </comment>
    <comment ref="AN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100   £0.04      £4.20
  1000   £0.04     £39.00</t>
        </r>
      </text>
    </comment>
    <comment ref="AN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(GBP):
  Qty  -  Unit£  -  Ext£
================
     1   £7.17      £7.17
     5   £6.89     £34.45
    10   £6.75     £67.50
    25   £6.59    £164.75
    50   £6.44    £322.00</t>
        </r>
      </text>
    </comment>
    <comment ref="AO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P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P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AR3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S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 across distributors.</t>
        </r>
      </text>
    </comment>
    <comment ref="AS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$4.31      $4.31
     5   $3.81     $19.05
    25   $3.42     $85.50
    75   $3.19    $239.25</t>
        </r>
      </text>
    </comment>
    <comment ref="AS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$1.02      $1.02
    20   $0.72     $14.40
   100   $0.52     $52.00
   500   $0.42    $210.00</t>
        </r>
      </text>
    </comment>
    <comment ref="AS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 (USD):
  Qty  -  Unit$  -  Ext$
================
     1   $7.39      $7.39
     5   $6.69     $33.45
    20   $5.81    $116.20
   100   $5.28    $528.00</t>
        </r>
      </text>
    </comment>
    <comment ref="AT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U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U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<sst xmlns="http://schemas.openxmlformats.org/spreadsheetml/2006/main" count="318" uniqueCount="224">
  <si>
    <t xml:space="preserve">Prj:</t>
  </si>
  <si>
    <t xml:space="preserve">USBDACCMOY.csv</t>
  </si>
  <si>
    <t xml:space="preserve">Board Qty:</t>
  </si>
  <si>
    <t xml:space="preserve">Co.:</t>
  </si>
  <si>
    <t xml:space="preserve">Unit Cost:</t>
  </si>
  <si>
    <t xml:space="preserve">Prj date:</t>
  </si>
  <si>
    <t xml:space="preserve">2020-07-05 22:00:10 (file)</t>
  </si>
  <si>
    <t xml:space="preserve">Total Cost:</t>
  </si>
  <si>
    <t xml:space="preserve">$ date:</t>
  </si>
  <si>
    <t xml:space="preserve">2020-07-05 22:00:31</t>
  </si>
  <si>
    <t xml:space="preserve">Global Part Info</t>
  </si>
  <si>
    <t xml:space="preserve">Arrow</t>
  </si>
  <si>
    <t xml:space="preserve">Digi-Key</t>
  </si>
  <si>
    <t xml:space="preserve">Farnell</t>
  </si>
  <si>
    <t xml:space="preserve">LCSC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</si>
  <si>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</si>
  <si>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</si>
  <si>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</si>
  <si>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</si>
  <si>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</si>
  <si>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</si>
  <si>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</si>
  <si>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</si>
  <si>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</si>
  <si>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</si>
  <si>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</si>
  <si>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</si>
  <si>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</si>
  <si>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</si>
  <si>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C1,C6</t>
  </si>
  <si>
    <t xml:space="preserve">0.1uF</t>
  </si>
  <si>
    <t xml:space="preserve">MKS2D031001A00KI00</t>
  </si>
  <si>
    <t xml:space="preserve">NonStk</t>
  </si>
  <si>
    <t xml:space="preserve">505MKS2D031001A00KI</t>
  </si>
  <si>
    <t xml:space="preserve">1082700</t>
  </si>
  <si>
    <t xml:space="preserve">C11,C12,C14-C16,C19</t>
  </si>
  <si>
    <t xml:space="preserve">1uF</t>
  </si>
  <si>
    <t xml:space="preserve">MC0805F105Z160CT</t>
  </si>
  <si>
    <t xml:space="preserve">1759422</t>
  </si>
  <si>
    <t xml:space="preserve">33R0750</t>
  </si>
  <si>
    <t xml:space="preserve">C13</t>
  </si>
  <si>
    <t xml:space="preserve">10uF</t>
  </si>
  <si>
    <t xml:space="preserve">EEEFC1V100R</t>
  </si>
  <si>
    <t xml:space="preserve">PCE4022CT-ND</t>
  </si>
  <si>
    <t xml:space="preserve">9694471</t>
  </si>
  <si>
    <t xml:space="preserve">C336586</t>
  </si>
  <si>
    <t xml:space="preserve">667EEEFC1V100R</t>
  </si>
  <si>
    <t xml:space="preserve">91K9624</t>
  </si>
  <si>
    <t xml:space="preserve">5370332</t>
  </si>
  <si>
    <t xml:space="preserve">C17,C18</t>
  </si>
  <si>
    <t xml:space="preserve">22pF</t>
  </si>
  <si>
    <t xml:space="preserve">MC0805N220J500CT</t>
  </si>
  <si>
    <t xml:space="preserve">1759195</t>
  </si>
  <si>
    <t xml:space="preserve">33R0545</t>
  </si>
  <si>
    <t xml:space="preserve">C2,C4</t>
  </si>
  <si>
    <t xml:space="preserve">220uF</t>
  </si>
  <si>
    <t xml:space="preserve">865080345012</t>
  </si>
  <si>
    <t xml:space="preserve">732-8422-1-ND</t>
  </si>
  <si>
    <t xml:space="preserve">2466285</t>
  </si>
  <si>
    <t xml:space="preserve">710865080345012</t>
  </si>
  <si>
    <t xml:space="preserve">40Y4000</t>
  </si>
  <si>
    <t xml:space="preserve">8391770</t>
  </si>
  <si>
    <t xml:space="preserve">C3,C5</t>
  </si>
  <si>
    <t xml:space="preserve">0.068uF</t>
  </si>
  <si>
    <t xml:space="preserve">MKS02/6800/250/20</t>
  </si>
  <si>
    <t xml:space="preserve">C7,C8</t>
  </si>
  <si>
    <t xml:space="preserve">100uF</t>
  </si>
  <si>
    <t xml:space="preserve">EEEFC0J101P</t>
  </si>
  <si>
    <t xml:space="preserve">PCE3981CT-ND</t>
  </si>
  <si>
    <t xml:space="preserve">9694331</t>
  </si>
  <si>
    <t xml:space="preserve">C336303</t>
  </si>
  <si>
    <t xml:space="preserve">667EEEFC0J101P</t>
  </si>
  <si>
    <t xml:space="preserve">91K9600</t>
  </si>
  <si>
    <t xml:space="preserve">5370051</t>
  </si>
  <si>
    <t xml:space="preserve">C9,C10</t>
  </si>
  <si>
    <t xml:space="preserve">22nF</t>
  </si>
  <si>
    <t xml:space="preserve">MC1210B223K501CT</t>
  </si>
  <si>
    <t xml:space="preserve">2320947</t>
  </si>
  <si>
    <t xml:space="preserve">06X6304</t>
  </si>
  <si>
    <t xml:space="preserve">IC1</t>
  </si>
  <si>
    <t xml:space="preserve">OPA2134P</t>
  </si>
  <si>
    <t xml:space="preserve">OPA2134UA</t>
  </si>
  <si>
    <t xml:space="preserve">OPA2134UA-ND</t>
  </si>
  <si>
    <t xml:space="preserve">3116899</t>
  </si>
  <si>
    <t xml:space="preserve">595OPA2134UA</t>
  </si>
  <si>
    <t xml:space="preserve">35C1847</t>
  </si>
  <si>
    <t xml:space="preserve">2858233</t>
  </si>
  <si>
    <t xml:space="preserve">J1</t>
  </si>
  <si>
    <t xml:space="preserve">USB</t>
  </si>
  <si>
    <t xml:space="preserve">47346-0001</t>
  </si>
  <si>
    <t xml:space="preserve">WM17141CT-ND</t>
  </si>
  <si>
    <t xml:space="preserve">1568026</t>
  </si>
  <si>
    <t xml:space="preserve">C132560</t>
  </si>
  <si>
    <t xml:space="preserve">538473460001</t>
  </si>
  <si>
    <t xml:space="preserve">96M8533</t>
  </si>
  <si>
    <t xml:space="preserve">7025475</t>
  </si>
  <si>
    <t xml:space="preserve">MX473460001</t>
  </si>
  <si>
    <t xml:space="preserve">JACKOUT1</t>
  </si>
  <si>
    <t xml:space="preserve">STEREOJACK</t>
  </si>
  <si>
    <t xml:space="preserve">FC68131</t>
  </si>
  <si>
    <t xml:space="preserve">2518188</t>
  </si>
  <si>
    <t xml:space="preserve">75Y0812</t>
  </si>
  <si>
    <t xml:space="preserve">L1,L2</t>
  </si>
  <si>
    <t xml:space="preserve">L</t>
  </si>
  <si>
    <t xml:space="preserve">MLZ1608M100WT</t>
  </si>
  <si>
    <t xml:space="preserve">2215635</t>
  </si>
  <si>
    <t xml:space="preserve">46W4779</t>
  </si>
  <si>
    <t xml:space="preserve">M1</t>
  </si>
  <si>
    <t xml:space="preserve">AUDIO-POTS_ALPS_RK0971221Z05</t>
  </si>
  <si>
    <t xml:space="preserve">RK0971221Z05</t>
  </si>
  <si>
    <t xml:space="preserve">C336003</t>
  </si>
  <si>
    <t xml:space="preserve">688RK0971221Z05</t>
  </si>
  <si>
    <t xml:space="preserve">7293521</t>
  </si>
  <si>
    <t xml:space="preserve">Q1</t>
  </si>
  <si>
    <t xml:space="preserve">12MHz</t>
  </si>
  <si>
    <t xml:space="preserve">HC49S-12-30-50-70-30-ATF</t>
  </si>
  <si>
    <t xml:space="preserve">1667001</t>
  </si>
  <si>
    <t xml:space="preserve">33P6958</t>
  </si>
  <si>
    <t xml:space="preserve">R1,R5</t>
  </si>
  <si>
    <t xml:space="preserve">47R</t>
  </si>
  <si>
    <t xml:space="preserve">ERJ6RED16R0V</t>
  </si>
  <si>
    <t xml:space="preserve">ERJ-6RED16R0V-ND</t>
  </si>
  <si>
    <t xml:space="preserve">2380496</t>
  </si>
  <si>
    <t xml:space="preserve">79AC6863</t>
  </si>
  <si>
    <t xml:space="preserve">8101965</t>
  </si>
  <si>
    <t xml:space="preserve">R13,R14</t>
  </si>
  <si>
    <t xml:space="preserve">16Ohm</t>
  </si>
  <si>
    <t xml:space="preserve">R15</t>
  </si>
  <si>
    <t xml:space="preserve">560Ohm</t>
  </si>
  <si>
    <t xml:space="preserve">ERJ6ENF5600V</t>
  </si>
  <si>
    <t xml:space="preserve">P560CCT-ND</t>
  </si>
  <si>
    <t xml:space="preserve">2398068</t>
  </si>
  <si>
    <t xml:space="preserve">C413276</t>
  </si>
  <si>
    <t xml:space="preserve">667ERJ6ENF5600V</t>
  </si>
  <si>
    <t xml:space="preserve">64R5414</t>
  </si>
  <si>
    <t xml:space="preserve">8127204</t>
  </si>
  <si>
    <t xml:space="preserve">R16</t>
  </si>
  <si>
    <t xml:space="preserve">330Ohm</t>
  </si>
  <si>
    <t xml:space="preserve">ERJ6RBD3300V</t>
  </si>
  <si>
    <t xml:space="preserve">ERJ-6RBD3300V-ND</t>
  </si>
  <si>
    <t xml:space="preserve">2380369</t>
  </si>
  <si>
    <t xml:space="preserve">C416921</t>
  </si>
  <si>
    <t xml:space="preserve">667ERJ6RBD3300V</t>
  </si>
  <si>
    <t xml:space="preserve">01AC1817</t>
  </si>
  <si>
    <t xml:space="preserve">8101808</t>
  </si>
  <si>
    <t xml:space="preserve">R17,R21</t>
  </si>
  <si>
    <t xml:space="preserve">1.5kOhm</t>
  </si>
  <si>
    <t xml:space="preserve">ERJ6RBD1501V</t>
  </si>
  <si>
    <t xml:space="preserve">ERJ-6RBD1501V-ND</t>
  </si>
  <si>
    <t xml:space="preserve">2380317</t>
  </si>
  <si>
    <t xml:space="preserve">C336856</t>
  </si>
  <si>
    <t xml:space="preserve">667ERJ6RBD1501V</t>
  </si>
  <si>
    <t xml:space="preserve">85Y9506</t>
  </si>
  <si>
    <t xml:space="preserve">8101716</t>
  </si>
  <si>
    <t xml:space="preserve">R18,R19</t>
  </si>
  <si>
    <t xml:space="preserve">22Ohm</t>
  </si>
  <si>
    <t xml:space="preserve">ERJ6RED22R0V</t>
  </si>
  <si>
    <t xml:space="preserve">2380519</t>
  </si>
  <si>
    <t xml:space="preserve">C416949</t>
  </si>
  <si>
    <t xml:space="preserve">667ERJ6RED22R0V</t>
  </si>
  <si>
    <t xml:space="preserve">92Y2964</t>
  </si>
  <si>
    <t xml:space="preserve">8101987</t>
  </si>
  <si>
    <t xml:space="preserve">R2,R6</t>
  </si>
  <si>
    <t xml:space="preserve">100k</t>
  </si>
  <si>
    <t xml:space="preserve">ERJ6RBD1003V</t>
  </si>
  <si>
    <t xml:space="preserve">ERJ-6RBD1003V-ND</t>
  </si>
  <si>
    <t xml:space="preserve">2380290</t>
  </si>
  <si>
    <t xml:space="preserve">C336855</t>
  </si>
  <si>
    <t xml:space="preserve">667ERJ6RBD1003V</t>
  </si>
  <si>
    <t xml:space="preserve">85Y9502</t>
  </si>
  <si>
    <t xml:space="preserve">8101675</t>
  </si>
  <si>
    <t xml:space="preserve">R20</t>
  </si>
  <si>
    <t xml:space="preserve">1MOhm</t>
  </si>
  <si>
    <t xml:space="preserve">ERJ6RED1004V</t>
  </si>
  <si>
    <t xml:space="preserve">ERJ-6RED1004V-ND</t>
  </si>
  <si>
    <t xml:space="preserve">2380449</t>
  </si>
  <si>
    <t xml:space="preserve">C416941</t>
  </si>
  <si>
    <t xml:space="preserve">667ERJ6RED1004V</t>
  </si>
  <si>
    <t xml:space="preserve">79AC6826</t>
  </si>
  <si>
    <t xml:space="preserve">8101921</t>
  </si>
  <si>
    <t xml:space="preserve">R3,R7</t>
  </si>
  <si>
    <t xml:space="preserve">10k</t>
  </si>
  <si>
    <t xml:space="preserve">ERJ6RBD1002V</t>
  </si>
  <si>
    <t xml:space="preserve">2380289</t>
  </si>
  <si>
    <t xml:space="preserve">C191557</t>
  </si>
  <si>
    <t xml:space="preserve">667ERJ6RBD1002V</t>
  </si>
  <si>
    <t xml:space="preserve">52W0364</t>
  </si>
  <si>
    <t xml:space="preserve">8101671</t>
  </si>
  <si>
    <t xml:space="preserve">R4,R8</t>
  </si>
  <si>
    <t xml:space="preserve">2k</t>
  </si>
  <si>
    <t xml:space="preserve">ERJ6RBD2001V</t>
  </si>
  <si>
    <t xml:space="preserve">ERJ-6RBD2001V-ND</t>
  </si>
  <si>
    <t xml:space="preserve">2380337</t>
  </si>
  <si>
    <t xml:space="preserve">C336837</t>
  </si>
  <si>
    <t xml:space="preserve">667ERJ6RBD2001V</t>
  </si>
  <si>
    <t xml:space="preserve">85Y9511</t>
  </si>
  <si>
    <t xml:space="preserve">8101744</t>
  </si>
  <si>
    <t xml:space="preserve">R9-R12</t>
  </si>
  <si>
    <t xml:space="preserve">3.3kOhm</t>
  </si>
  <si>
    <t xml:space="preserve">ERJ6RBD3301V</t>
  </si>
  <si>
    <t xml:space="preserve">ERJ-6RBD3301V-ND</t>
  </si>
  <si>
    <t xml:space="preserve">2380370</t>
  </si>
  <si>
    <t xml:space="preserve">C416922</t>
  </si>
  <si>
    <t xml:space="preserve">667ERJ6RBD3301V</t>
  </si>
  <si>
    <t xml:space="preserve">85Y9522</t>
  </si>
  <si>
    <t xml:space="preserve">8101801</t>
  </si>
  <si>
    <t xml:space="preserve">U1</t>
  </si>
  <si>
    <t xml:space="preserve">NMA0512SC</t>
  </si>
  <si>
    <t xml:space="preserve">811-1451-5-ND</t>
  </si>
  <si>
    <t xml:space="preserve">1021431</t>
  </si>
  <si>
    <t xml:space="preserve">580NMA0512SC</t>
  </si>
  <si>
    <t xml:space="preserve">61K3062</t>
  </si>
  <si>
    <t xml:space="preserve">5442522</t>
  </si>
  <si>
    <t xml:space="preserve">U2</t>
  </si>
  <si>
    <t xml:space="preserve">PCM2707C</t>
  </si>
  <si>
    <t xml:space="preserve">PCM2707PJT</t>
  </si>
  <si>
    <t xml:space="preserve">296-15276-5-ND</t>
  </si>
  <si>
    <t xml:space="preserve">1755016</t>
  </si>
  <si>
    <t xml:space="preserve">6625510</t>
  </si>
  <si>
    <t xml:space="preserve">Used currency rates:</t>
  </si>
  <si>
    <t xml:space="preserve">Total Purchase:</t>
  </si>
  <si>
    <t xml:space="preserve">USD($)/GBP(£):</t>
  </si>
  <si>
    <t xml:space="preserve">Purchase description:</t>
  </si>
  <si>
    <t xml:space="preserve">KiCost® v.1.1.4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</si>
</sst>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90909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000000"/>
        <bgColor rgb="FF00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1166DD"/>
        <bgColor rgb="FF3366FF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1166D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0C4DA1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octopart.com/click/track?c=1&amp;ai=8078&amp;sig=033166f&amp;sid=2401&amp;ppid=22890425&amp;vpid=269059509&amp;ct=offers" TargetMode="External"/><Relationship Id="rId3" Type="http://schemas.openxmlformats.org/officeDocument/2006/relationships/hyperlink" Target="https://octopart.com/click/track?ai=8078&amp;sig=02feb72&amp;sid=10022&amp;ppid=22890425&amp;vpid=276234154&amp;ct=offers" TargetMode="External"/><Relationship Id="rId4" Type="http://schemas.openxmlformats.org/officeDocument/2006/relationships/hyperlink" Target="http://datasheet.octopart.com/MC0805F105Z160CT-Multicomp-datasheet-38887781.pdf" TargetMode="External"/><Relationship Id="rId5" Type="http://schemas.openxmlformats.org/officeDocument/2006/relationships/hyperlink" Target="https://octopart.com/click/track?ai=8078&amp;sig=0bc02fa&amp;sid=819&amp;ppid=10529209&amp;vpid=139046867&amp;ct=offers" TargetMode="External"/><Relationship Id="rId6" Type="http://schemas.openxmlformats.org/officeDocument/2006/relationships/hyperlink" Target="https://octopart.com/click/track?ai=8078&amp;sig=0848b61&amp;sid=2402&amp;ppid=10529209&amp;vpid=120171551&amp;ct=offers" TargetMode="External"/><Relationship Id="rId7" Type="http://schemas.openxmlformats.org/officeDocument/2006/relationships/hyperlink" Target="http://datasheet.octopart.com/EEEFC1V100R-Panasonic-datasheet-43457028.pdf" TargetMode="External"/><Relationship Id="rId8" Type="http://schemas.openxmlformats.org/officeDocument/2006/relationships/hyperlink" Target="https://octopart.com/click/track?ai=8078&amp;sig=01c19a3&amp;sid=459&amp;ppid=4642818&amp;vpid=115651053&amp;ct=offers" TargetMode="External"/><Relationship Id="rId9" Type="http://schemas.openxmlformats.org/officeDocument/2006/relationships/hyperlink" Target="https://octopart.com/click/track?ai=8078&amp;sig=046dbdb&amp;sid=11744&amp;ppid=4642818&amp;vpid=132560073&amp;ct=offers" TargetMode="External"/><Relationship Id="rId10" Type="http://schemas.openxmlformats.org/officeDocument/2006/relationships/hyperlink" Target="https://octopart.com/click/track?ai=8078&amp;sig=0590bfa&amp;sid=27971&amp;ppid=4642818&amp;vpid=519961410&amp;ct=offers" TargetMode="External"/><Relationship Id="rId11" Type="http://schemas.openxmlformats.org/officeDocument/2006/relationships/hyperlink" Target="https://octopart.com/click/track?ai=8078&amp;sig=0ded6b6&amp;sid=2401&amp;ppid=4642818&amp;vpid=114999145&amp;ct=offers" TargetMode="External"/><Relationship Id="rId12" Type="http://schemas.openxmlformats.org/officeDocument/2006/relationships/hyperlink" Target="https://octopart.com/click/track?ai=8078&amp;sig=0aaed01&amp;sid=2402&amp;ppid=4642818&amp;vpid=120184622&amp;ct=offers" TargetMode="External"/><Relationship Id="rId13" Type="http://schemas.openxmlformats.org/officeDocument/2006/relationships/hyperlink" Target="https://octopart.com/click/track?ai=8078&amp;sig=0dc7fb3&amp;sid=10022&amp;ppid=4642818&amp;vpid=199097015&amp;ct=offers" TargetMode="External"/><Relationship Id="rId14" Type="http://schemas.openxmlformats.org/officeDocument/2006/relationships/hyperlink" Target="http://datasheet.octopart.com/MC0805N220J500CT-Multicomp-datasheet-26590290.pdf" TargetMode="External"/><Relationship Id="rId15" Type="http://schemas.openxmlformats.org/officeDocument/2006/relationships/hyperlink" Target="https://octopart.com/click/track?ai=8078&amp;sig=0297f7b&amp;sid=11744&amp;ppid=10529721&amp;vpid=132445654&amp;ct=offers" TargetMode="External"/><Relationship Id="rId16" Type="http://schemas.openxmlformats.org/officeDocument/2006/relationships/hyperlink" Target="https://octopart.com/click/track?ai=8078&amp;sig=08e2fc9&amp;sid=2402&amp;ppid=10529721&amp;vpid=191194307&amp;ct=offers" TargetMode="External"/><Relationship Id="rId17" Type="http://schemas.openxmlformats.org/officeDocument/2006/relationships/hyperlink" Target="http://datasheet.octopart.com/865080345012-W&#252;rth-Elektronik-datasheet-37144386.pdf" TargetMode="External"/><Relationship Id="rId18" Type="http://schemas.openxmlformats.org/officeDocument/2006/relationships/hyperlink" Target="https://octopart.com/click/track?ai=8078&amp;sig=071eeb5&amp;sid=459&amp;ppid=53914576&amp;vpid=240502499&amp;ct=offers" TargetMode="External"/><Relationship Id="rId19" Type="http://schemas.openxmlformats.org/officeDocument/2006/relationships/hyperlink" Target="https://octopart.com/click/track?ai=8078&amp;sig=08ee7d3&amp;sid=11744&amp;ppid=53914576&amp;vpid=183091878&amp;ct=offers" TargetMode="External"/><Relationship Id="rId20" Type="http://schemas.openxmlformats.org/officeDocument/2006/relationships/hyperlink" Target="https://octopart.com/click/track?ai=8078&amp;sig=0c4fff9&amp;sid=2401&amp;ppid=53914576&amp;vpid=392481689&amp;ct=offers" TargetMode="External"/><Relationship Id="rId21" Type="http://schemas.openxmlformats.org/officeDocument/2006/relationships/hyperlink" Target="https://octopart.com/click/track?ai=8078&amp;sig=0e190e4&amp;sid=2402&amp;ppid=53914576&amp;vpid=184773656&amp;ct=offers" TargetMode="External"/><Relationship Id="rId22" Type="http://schemas.openxmlformats.org/officeDocument/2006/relationships/hyperlink" Target="https://octopart.com/click/track?ai=8078&amp;sig=0c0cac9&amp;sid=10022&amp;ppid=53914576&amp;vpid=199199272&amp;ct=offers" TargetMode="External"/><Relationship Id="rId23" Type="http://schemas.openxmlformats.org/officeDocument/2006/relationships/hyperlink" Target="http://datasheet.octopart.com/EEEFC0J101P-Panasonic-datasheet-43457028.pdf" TargetMode="External"/><Relationship Id="rId24" Type="http://schemas.openxmlformats.org/officeDocument/2006/relationships/hyperlink" Target="https://octopart.com/click/track?ai=8078&amp;sig=098b083&amp;sid=459&amp;ppid=3615624&amp;vpid=115123383&amp;ct=offers" TargetMode="External"/><Relationship Id="rId25" Type="http://schemas.openxmlformats.org/officeDocument/2006/relationships/hyperlink" Target="https://octopart.com/click/track?ai=8078&amp;sig=0584db9&amp;sid=819&amp;ppid=3615624&amp;vpid=139273864&amp;ct=offers" TargetMode="External"/><Relationship Id="rId26" Type="http://schemas.openxmlformats.org/officeDocument/2006/relationships/hyperlink" Target="https://octopart.com/click/track?ai=8078&amp;sig=098ada7&amp;sid=27971&amp;ppid=3615624&amp;vpid=531978561&amp;ct=offers" TargetMode="External"/><Relationship Id="rId27" Type="http://schemas.openxmlformats.org/officeDocument/2006/relationships/hyperlink" Target="https://octopart.com/click/track?ai=8078&amp;sig=07658f4&amp;sid=2401&amp;ppid=3615624&amp;vpid=121771748&amp;ct=offers" TargetMode="External"/><Relationship Id="rId28" Type="http://schemas.openxmlformats.org/officeDocument/2006/relationships/hyperlink" Target="https://octopart.com/click/track?ai=8078&amp;sig=001db7b&amp;sid=2402&amp;ppid=3615624&amp;vpid=115392770&amp;ct=offers" TargetMode="External"/><Relationship Id="rId29" Type="http://schemas.openxmlformats.org/officeDocument/2006/relationships/hyperlink" Target="https://octopart.com/click/track?ai=8078&amp;sig=07e5708&amp;sid=10022&amp;ppid=3615624&amp;vpid=229322835&amp;ct=offers" TargetMode="External"/><Relationship Id="rId30" Type="http://schemas.openxmlformats.org/officeDocument/2006/relationships/hyperlink" Target="http://datasheet.octopart.com/MC1210B223K501CT-Multicomp-datasheet-12032164.pdf" TargetMode="External"/><Relationship Id="rId31" Type="http://schemas.openxmlformats.org/officeDocument/2006/relationships/hyperlink" Target="https://octopart.com/click/track?ai=8078&amp;sig=01bbf73&amp;sid=819&amp;ppid=29252346&amp;vpid=139052776&amp;ct=offers" TargetMode="External"/><Relationship Id="rId32" Type="http://schemas.openxmlformats.org/officeDocument/2006/relationships/hyperlink" Target="https://octopart.com/click/track?ai=8078&amp;sig=02ea5cd&amp;sid=2402&amp;ppid=29252346&amp;vpid=91015461&amp;ct=offers" TargetMode="External"/><Relationship Id="rId33" Type="http://schemas.openxmlformats.org/officeDocument/2006/relationships/hyperlink" Target="https://octopart.com/click/track?ai=8078&amp;sig=0f6cb0e&amp;sid=459&amp;ppid=55428859&amp;vpid=188488736&amp;ct=offers" TargetMode="External"/><Relationship Id="rId34" Type="http://schemas.openxmlformats.org/officeDocument/2006/relationships/hyperlink" Target="https://octopart.com/click/track?ai=8078&amp;sig=0c1654d&amp;sid=11744&amp;ppid=55428859&amp;vpid=602778979&amp;ct=offers" TargetMode="External"/><Relationship Id="rId35" Type="http://schemas.openxmlformats.org/officeDocument/2006/relationships/hyperlink" Target="https://octopart.com/click/track?ai=8078&amp;sig=02cd8fd&amp;sid=2401&amp;ppid=55428859&amp;vpid=187876551&amp;ct=offers" TargetMode="External"/><Relationship Id="rId36" Type="http://schemas.openxmlformats.org/officeDocument/2006/relationships/hyperlink" Target="https://octopart.com/click/track?ai=8078&amp;sig=02f187b&amp;sid=2402&amp;ppid=55428859&amp;vpid=190861948&amp;ct=offers" TargetMode="External"/><Relationship Id="rId37" Type="http://schemas.openxmlformats.org/officeDocument/2006/relationships/hyperlink" Target="https://octopart.com/click/track?ai=8078&amp;sig=0450a50&amp;sid=10022&amp;ppid=55428859&amp;vpid=229327704&amp;ct=offers" TargetMode="External"/><Relationship Id="rId38" Type="http://schemas.openxmlformats.org/officeDocument/2006/relationships/hyperlink" Target="https://octopart.com/click/track?ai=8078&amp;sig=008cf77&amp;sid=1532&amp;ppid=55428859&amp;vpid=187862370&amp;ct=offers" TargetMode="External"/><Relationship Id="rId39" Type="http://schemas.openxmlformats.org/officeDocument/2006/relationships/hyperlink" Target="http://datasheet.octopart.com/473460001-Molex-datasheet-8350473.pdf" TargetMode="External"/><Relationship Id="rId40" Type="http://schemas.openxmlformats.org/officeDocument/2006/relationships/hyperlink" Target="https://octopart.com/click/track?ai=8078&amp;sig=00c5a61&amp;sid=459&amp;ppid=7164928&amp;vpid=50127118&amp;ct=offers" TargetMode="External"/><Relationship Id="rId41" Type="http://schemas.openxmlformats.org/officeDocument/2006/relationships/hyperlink" Target="https://octopart.com/click/track?ai=8078&amp;sig=09fb2b5&amp;sid=819&amp;ppid=7164928&amp;vpid=139015539&amp;ct=offers" TargetMode="External"/><Relationship Id="rId42" Type="http://schemas.openxmlformats.org/officeDocument/2006/relationships/hyperlink" Target="https://octopart.com/click/track?ai=8078&amp;sig=08fbb0e&amp;sid=27971&amp;ppid=7164928&amp;vpid=626924393&amp;ct=offers" TargetMode="External"/><Relationship Id="rId43" Type="http://schemas.openxmlformats.org/officeDocument/2006/relationships/hyperlink" Target="https://octopart.com/click/track?ai=8078&amp;sig=02695e0&amp;sid=2401&amp;ppid=7164928&amp;vpid=37677377&amp;ct=offers" TargetMode="External"/><Relationship Id="rId44" Type="http://schemas.openxmlformats.org/officeDocument/2006/relationships/hyperlink" Target="https://octopart.com/click/track?ai=8078&amp;sig=07320a8&amp;sid=2402&amp;ppid=7164928&amp;vpid=11784317&amp;ct=offers" TargetMode="External"/><Relationship Id="rId45" Type="http://schemas.openxmlformats.org/officeDocument/2006/relationships/hyperlink" Target="https://octopart.com/click/track?ai=8078&amp;sig=0ecbcb7&amp;sid=10022&amp;ppid=7164928&amp;vpid=199068424&amp;ct=offers" TargetMode="External"/><Relationship Id="rId46" Type="http://schemas.openxmlformats.org/officeDocument/2006/relationships/hyperlink" Target="https://octopart.com/click/track?ai=8078&amp;sig=0077f5a&amp;sid=1532&amp;ppid=7164928&amp;vpid=118564874&amp;ct=offers" TargetMode="External"/><Relationship Id="rId47" Type="http://schemas.openxmlformats.org/officeDocument/2006/relationships/hyperlink" Target="http://datasheet.octopart.com/FC68131-Cliff-datasheet-61942900.pdf" TargetMode="External"/><Relationship Id="rId48" Type="http://schemas.openxmlformats.org/officeDocument/2006/relationships/hyperlink" Target="https://octopart.com/click/track?ai=8078&amp;sig=053b899&amp;sid=819&amp;ppid=25729298&amp;vpid=245863363&amp;ct=offers" TargetMode="External"/><Relationship Id="rId49" Type="http://schemas.openxmlformats.org/officeDocument/2006/relationships/hyperlink" Target="https://octopart.com/click/track?c=1&amp;ai=8078&amp;sig=09027ba&amp;sid=2402&amp;ppid=25729298&amp;vpid=247912655&amp;ct=offers" TargetMode="External"/><Relationship Id="rId50" Type="http://schemas.openxmlformats.org/officeDocument/2006/relationships/hyperlink" Target="http://datasheet.octopart.com/MLZ1608M100WT-TDK-datasheet-12356712.pdf" TargetMode="External"/><Relationship Id="rId51" Type="http://schemas.openxmlformats.org/officeDocument/2006/relationships/hyperlink" Target="https://octopart.com/click/track?ai=8078&amp;sig=04962f3&amp;sid=11744&amp;ppid=21628297&amp;vpid=132633251&amp;ct=offers" TargetMode="External"/><Relationship Id="rId52" Type="http://schemas.openxmlformats.org/officeDocument/2006/relationships/hyperlink" Target="https://octopart.com/click/track?ai=8078&amp;sig=087a551&amp;sid=2402&amp;ppid=21628297&amp;vpid=77551571&amp;ct=offers" TargetMode="External"/><Relationship Id="rId53" Type="http://schemas.openxmlformats.org/officeDocument/2006/relationships/hyperlink" Target="http://datasheet.octopart.com/RK0971221Z05-ALPS-datasheet-37145094.pdf" TargetMode="External"/><Relationship Id="rId54" Type="http://schemas.openxmlformats.org/officeDocument/2006/relationships/hyperlink" Target="https://octopart.com/click/track?ai=8078&amp;sig=09890b0&amp;sid=27971&amp;ppid=2824957&amp;vpid=511300682&amp;ct=offers" TargetMode="External"/><Relationship Id="rId55" Type="http://schemas.openxmlformats.org/officeDocument/2006/relationships/hyperlink" Target="https://octopart.com/click/track?ai=8078&amp;sig=06ac8ef&amp;sid=2401&amp;ppid=2824957&amp;vpid=37822377&amp;ct=offers" TargetMode="External"/><Relationship Id="rId56" Type="http://schemas.openxmlformats.org/officeDocument/2006/relationships/hyperlink" Target="https://octopart.com/click/track?ai=8078&amp;sig=0ae9023&amp;sid=10022&amp;ppid=2824957&amp;vpid=198976560&amp;ct=offers" TargetMode="External"/><Relationship Id="rId57" Type="http://schemas.openxmlformats.org/officeDocument/2006/relationships/hyperlink" Target="https://octopart.com/click/track?ai=8078&amp;sig=00aa0b0&amp;sid=1532&amp;ppid=2824957&amp;vpid=189378722&amp;ct=offers" TargetMode="External"/><Relationship Id="rId58" Type="http://schemas.openxmlformats.org/officeDocument/2006/relationships/hyperlink" Target="http://datasheet.octopart.com/HC49S-12-30-50-70-30-ATF-Multicomp-datasheet-5312401.pdf" TargetMode="External"/><Relationship Id="rId59" Type="http://schemas.openxmlformats.org/officeDocument/2006/relationships/hyperlink" Target="https://octopart.com/click/track?ai=8078&amp;sig=056dfc6&amp;sid=819&amp;ppid=8601760&amp;vpid=139023107&amp;ct=offers" TargetMode="External"/><Relationship Id="rId60" Type="http://schemas.openxmlformats.org/officeDocument/2006/relationships/hyperlink" Target="https://octopart.com/click/track?ai=8078&amp;sig=0111880&amp;sid=2402&amp;ppid=8601760&amp;vpid=15930426&amp;ct=offers" TargetMode="External"/><Relationship Id="rId61" Type="http://schemas.openxmlformats.org/officeDocument/2006/relationships/hyperlink" Target="http://datasheet.octopart.com/ERJ6RED16R0V-Panasonic-datasheet-13266541.pdf" TargetMode="External"/><Relationship Id="rId62" Type="http://schemas.openxmlformats.org/officeDocument/2006/relationships/hyperlink" Target="https://octopart.com/click/track?c=1&amp;ai=8078&amp;sig=0504f3a&amp;sid=459&amp;ppid=34853483&amp;vpid=448103810&amp;ct=offers" TargetMode="External"/><Relationship Id="rId63" Type="http://schemas.openxmlformats.org/officeDocument/2006/relationships/hyperlink" Target="https://octopart.com/click/track?c=1&amp;ai=8078&amp;sig=0e4c2be&amp;sid=819&amp;ppid=34853483&amp;vpid=139327512&amp;ct=offers" TargetMode="External"/><Relationship Id="rId64" Type="http://schemas.openxmlformats.org/officeDocument/2006/relationships/hyperlink" Target="https://octopart.com/click/track?c=1&amp;ai=8078&amp;sig=09d9671&amp;sid=2402&amp;ppid=34853483&amp;vpid=511391452&amp;ct=offers" TargetMode="External"/><Relationship Id="rId65" Type="http://schemas.openxmlformats.org/officeDocument/2006/relationships/hyperlink" Target="https://octopart.com/click/track?c=1&amp;ai=8078&amp;sig=058ca37&amp;sid=10022&amp;ppid=34853483&amp;vpid=204606581&amp;ct=offers" TargetMode="External"/><Relationship Id="rId66" Type="http://schemas.openxmlformats.org/officeDocument/2006/relationships/hyperlink" Target="http://datasheet.octopart.com/ERJ6RED16R0V-Panasonic-datasheet-13266541.pdf" TargetMode="External"/><Relationship Id="rId67" Type="http://schemas.openxmlformats.org/officeDocument/2006/relationships/hyperlink" Target="https://octopart.com/click/track?c=1&amp;ai=8078&amp;sig=0504f3a&amp;sid=459&amp;ppid=34853483&amp;vpid=448103810&amp;ct=offers" TargetMode="External"/><Relationship Id="rId68" Type="http://schemas.openxmlformats.org/officeDocument/2006/relationships/hyperlink" Target="https://octopart.com/click/track?c=1&amp;ai=8078&amp;sig=0e4c2be&amp;sid=819&amp;ppid=34853483&amp;vpid=139327512&amp;ct=offers" TargetMode="External"/><Relationship Id="rId69" Type="http://schemas.openxmlformats.org/officeDocument/2006/relationships/hyperlink" Target="https://octopart.com/click/track?c=1&amp;ai=8078&amp;sig=09d9671&amp;sid=2402&amp;ppid=34853483&amp;vpid=511391452&amp;ct=offers" TargetMode="External"/><Relationship Id="rId70" Type="http://schemas.openxmlformats.org/officeDocument/2006/relationships/hyperlink" Target="https://octopart.com/click/track?c=1&amp;ai=8078&amp;sig=058ca37&amp;sid=10022&amp;ppid=34853483&amp;vpid=204606581&amp;ct=offers" TargetMode="External"/><Relationship Id="rId71" Type="http://schemas.openxmlformats.org/officeDocument/2006/relationships/hyperlink" Target="http://datasheet.octopart.com/ERJ-6ENF5600V-Panasonic-datasheet-13266541.pdf" TargetMode="External"/><Relationship Id="rId72" Type="http://schemas.openxmlformats.org/officeDocument/2006/relationships/hyperlink" Target="https://octopart.com/click/track?ai=8078&amp;sig=01e9f8f&amp;sid=459&amp;ppid=55477609&amp;vpid=188063292&amp;ct=offers" TargetMode="External"/><Relationship Id="rId73" Type="http://schemas.openxmlformats.org/officeDocument/2006/relationships/hyperlink" Target="https://octopart.com/click/track?ai=8078&amp;sig=0d3b949&amp;sid=11744&amp;ppid=55477609&amp;vpid=132582455&amp;ct=offers" TargetMode="External"/><Relationship Id="rId74" Type="http://schemas.openxmlformats.org/officeDocument/2006/relationships/hyperlink" Target="https://octopart.com/click/track?ai=8078&amp;sig=0a015c6&amp;sid=27971&amp;ppid=55477609&amp;vpid=593401080&amp;ct=offers" TargetMode="External"/><Relationship Id="rId75" Type="http://schemas.openxmlformats.org/officeDocument/2006/relationships/hyperlink" Target="https://octopart.com/click/track?ai=8078&amp;sig=06027bc&amp;sid=2401&amp;ppid=55477609&amp;vpid=187840935&amp;ct=offers" TargetMode="External"/><Relationship Id="rId76" Type="http://schemas.openxmlformats.org/officeDocument/2006/relationships/hyperlink" Target="https://octopart.com/click/track?ai=8078&amp;sig=018155f&amp;sid=2402&amp;ppid=55477609&amp;vpid=190852088&amp;ct=offers" TargetMode="External"/><Relationship Id="rId77" Type="http://schemas.openxmlformats.org/officeDocument/2006/relationships/hyperlink" Target="https://octopart.com/click/track?c=1&amp;ai=8078&amp;sig=0957528&amp;sid=10022&amp;ppid=55477609&amp;vpid=205354531&amp;ct=offers" TargetMode="External"/><Relationship Id="rId78" Type="http://schemas.openxmlformats.org/officeDocument/2006/relationships/hyperlink" Target="http://datasheet.octopart.com/ERJ6RBD3300V-Panasonic-datasheet-13266541.pdf" TargetMode="External"/><Relationship Id="rId79" Type="http://schemas.openxmlformats.org/officeDocument/2006/relationships/hyperlink" Target="https://octopart.com/click/track?c=1&amp;ai=8078&amp;sig=01fd77c&amp;sid=459&amp;ppid=34853391&amp;vpid=448103603&amp;ct=offers" TargetMode="External"/><Relationship Id="rId80" Type="http://schemas.openxmlformats.org/officeDocument/2006/relationships/hyperlink" Target="https://octopart.com/click/track?ai=8078&amp;sig=019b4ac&amp;sid=11744&amp;ppid=34853391&amp;vpid=132582871&amp;ct=offers" TargetMode="External"/><Relationship Id="rId81" Type="http://schemas.openxmlformats.org/officeDocument/2006/relationships/hyperlink" Target="https://octopart.com/click/track?ai=8078&amp;sig=0e190c0&amp;sid=27971&amp;ppid=34853391&amp;vpid=593401165&amp;ct=offers" TargetMode="External"/><Relationship Id="rId82" Type="http://schemas.openxmlformats.org/officeDocument/2006/relationships/hyperlink" Target="https://octopart.com/click/track?ai=8078&amp;sig=0ece3de&amp;sid=2401&amp;ppid=34853391&amp;vpid=458472154&amp;ct=offers" TargetMode="External"/><Relationship Id="rId83" Type="http://schemas.openxmlformats.org/officeDocument/2006/relationships/hyperlink" Target="https://octopart.com/click/track?ai=8078&amp;sig=034646a&amp;sid=2402&amp;ppid=34853391&amp;vpid=462367786&amp;ct=offers" TargetMode="External"/><Relationship Id="rId84" Type="http://schemas.openxmlformats.org/officeDocument/2006/relationships/hyperlink" Target="https://octopart.com/click/track?ai=8078&amp;sig=09e00a0&amp;sid=10022&amp;ppid=34853391&amp;vpid=199102028&amp;ct=offers" TargetMode="External"/><Relationship Id="rId85" Type="http://schemas.openxmlformats.org/officeDocument/2006/relationships/hyperlink" Target="http://datasheet.octopart.com/ERJ6RBD1501V-Panasonic-datasheet-13266541.pdf" TargetMode="External"/><Relationship Id="rId86" Type="http://schemas.openxmlformats.org/officeDocument/2006/relationships/hyperlink" Target="https://octopart.com/click/track?c=1&amp;ai=8078&amp;sig=05568f9&amp;sid=459&amp;ppid=34853351&amp;vpid=448103496&amp;ct=offers" TargetMode="External"/><Relationship Id="rId87" Type="http://schemas.openxmlformats.org/officeDocument/2006/relationships/hyperlink" Target="https://octopart.com/click/track?ai=8078&amp;sig=0efa78f&amp;sid=11744&amp;ppid=34853351&amp;vpid=132582842&amp;ct=offers" TargetMode="External"/><Relationship Id="rId88" Type="http://schemas.openxmlformats.org/officeDocument/2006/relationships/hyperlink" Target="https://octopart.com/click/track?ai=8078&amp;sig=0721062&amp;sid=27971&amp;ppid=34853351&amp;vpid=531978834&amp;ct=offers" TargetMode="External"/><Relationship Id="rId89" Type="http://schemas.openxmlformats.org/officeDocument/2006/relationships/hyperlink" Target="https://octopart.com/click/track?ai=8078&amp;sig=0ef3675&amp;sid=2401&amp;ppid=34853351&amp;vpid=458472041&amp;ct=offers" TargetMode="External"/><Relationship Id="rId90" Type="http://schemas.openxmlformats.org/officeDocument/2006/relationships/hyperlink" Target="https://octopart.com/click/track?ai=8078&amp;sig=0fdbd82&amp;sid=2402&amp;ppid=34853351&amp;vpid=265549498&amp;ct=offers" TargetMode="External"/><Relationship Id="rId91" Type="http://schemas.openxmlformats.org/officeDocument/2006/relationships/hyperlink" Target="https://octopart.com/click/track?ai=8078&amp;sig=0b73330&amp;sid=10022&amp;ppid=34853351&amp;vpid=199102003&amp;ct=offers" TargetMode="External"/><Relationship Id="rId92" Type="http://schemas.openxmlformats.org/officeDocument/2006/relationships/hyperlink" Target="http://datasheet.octopart.com/ERJ6RED22R0V-Panasonic-datasheet-13266541.pdf" TargetMode="External"/><Relationship Id="rId93" Type="http://schemas.openxmlformats.org/officeDocument/2006/relationships/hyperlink" Target="https://octopart.com/click/track?ai=8078&amp;sig=040d84b&amp;sid=11744&amp;ppid=55412223&amp;vpid=190467148&amp;ct=offers" TargetMode="External"/><Relationship Id="rId94" Type="http://schemas.openxmlformats.org/officeDocument/2006/relationships/hyperlink" Target="https://octopart.com/click/track?ai=8078&amp;sig=0468566&amp;sid=27971&amp;ppid=55412223&amp;vpid=592590715&amp;ct=offers" TargetMode="External"/><Relationship Id="rId95" Type="http://schemas.openxmlformats.org/officeDocument/2006/relationships/hyperlink" Target="https://octopart.com/click/track?ai=8078&amp;sig=0f1604d&amp;sid=2401&amp;ppid=55412223&amp;vpid=87271626&amp;ct=offers" TargetMode="External"/><Relationship Id="rId96" Type="http://schemas.openxmlformats.org/officeDocument/2006/relationships/hyperlink" Target="https://octopart.com/click/track?ai=8078&amp;sig=0546637&amp;sid=2402&amp;ppid=55412223&amp;vpid=268584408&amp;ct=offers" TargetMode="External"/><Relationship Id="rId97" Type="http://schemas.openxmlformats.org/officeDocument/2006/relationships/hyperlink" Target="https://octopart.com/click/track?ai=8078&amp;sig=0b6ccc7&amp;sid=10022&amp;ppid=55412223&amp;vpid=199102080&amp;ct=offers" TargetMode="External"/><Relationship Id="rId98" Type="http://schemas.openxmlformats.org/officeDocument/2006/relationships/hyperlink" Target="http://datasheet.octopart.com/ERJ6RBD1003V-Panasonic-datasheet-13266541.pdf" TargetMode="External"/><Relationship Id="rId99" Type="http://schemas.openxmlformats.org/officeDocument/2006/relationships/hyperlink" Target="https://octopart.com/click/track?c=1&amp;ai=8078&amp;sig=0ca8b73&amp;sid=459&amp;ppid=20859694&amp;vpid=448103445&amp;ct=offers" TargetMode="External"/><Relationship Id="rId100" Type="http://schemas.openxmlformats.org/officeDocument/2006/relationships/hyperlink" Target="https://octopart.com/click/track?ai=8078&amp;sig=0b50e1a&amp;sid=819&amp;ppid=20859694&amp;vpid=139327062&amp;ct=offers" TargetMode="External"/><Relationship Id="rId101" Type="http://schemas.openxmlformats.org/officeDocument/2006/relationships/hyperlink" Target="https://octopart.com/click/track?ai=8078&amp;sig=0b42e56&amp;sid=27971&amp;ppid=20859694&amp;vpid=522570645&amp;ct=offers" TargetMode="External"/><Relationship Id="rId102" Type="http://schemas.openxmlformats.org/officeDocument/2006/relationships/hyperlink" Target="https://octopart.com/click/track?ai=8078&amp;sig=0c30c2d&amp;sid=2401&amp;ppid=20859694&amp;vpid=436707486&amp;ct=offers" TargetMode="External"/><Relationship Id="rId103" Type="http://schemas.openxmlformats.org/officeDocument/2006/relationships/hyperlink" Target="https://octopart.com/click/track?ai=8078&amp;sig=0efc881&amp;sid=2402&amp;ppid=20859694&amp;vpid=265549494&amp;ct=offers" TargetMode="External"/><Relationship Id="rId104" Type="http://schemas.openxmlformats.org/officeDocument/2006/relationships/hyperlink" Target="https://octopart.com/click/track?ai=8078&amp;sig=071f59d&amp;sid=10022&amp;ppid=20859694&amp;vpid=199101992&amp;ct=offers" TargetMode="External"/><Relationship Id="rId105" Type="http://schemas.openxmlformats.org/officeDocument/2006/relationships/hyperlink" Target="http://datasheet.octopart.com/ERJ6RED1004V-Panasonic-datasheet-13266541.pdf" TargetMode="External"/><Relationship Id="rId106" Type="http://schemas.openxmlformats.org/officeDocument/2006/relationships/hyperlink" Target="https://octopart.com/click/track?c=1&amp;ai=8078&amp;sig=0082a38&amp;sid=459&amp;ppid=34853443&amp;vpid=448103766&amp;ct=offers" TargetMode="External"/><Relationship Id="rId107" Type="http://schemas.openxmlformats.org/officeDocument/2006/relationships/hyperlink" Target="https://octopart.com/click/track?c=1&amp;ai=8078&amp;sig=0d95ffd&amp;sid=819&amp;ppid=34853443&amp;vpid=139327444&amp;ct=offers" TargetMode="External"/><Relationship Id="rId108" Type="http://schemas.openxmlformats.org/officeDocument/2006/relationships/hyperlink" Target="https://octopart.com/click/track?ai=8078&amp;sig=01d800b&amp;sid=27971&amp;ppid=34853443&amp;vpid=593401167&amp;ct=offers" TargetMode="External"/><Relationship Id="rId109" Type="http://schemas.openxmlformats.org/officeDocument/2006/relationships/hyperlink" Target="https://octopart.com/click/track?ai=8078&amp;sig=0c6ea7f&amp;sid=2401&amp;ppid=34853443&amp;vpid=436591989&amp;ct=offers" TargetMode="External"/><Relationship Id="rId110" Type="http://schemas.openxmlformats.org/officeDocument/2006/relationships/hyperlink" Target="https://octopart.com/click/track?c=1&amp;ai=8078&amp;sig=07a74ed&amp;sid=2402&amp;ppid=34853443&amp;vpid=511391412&amp;ct=offers" TargetMode="External"/><Relationship Id="rId111" Type="http://schemas.openxmlformats.org/officeDocument/2006/relationships/hyperlink" Target="https://octopart.com/click/track?ai=8078&amp;sig=02818b6&amp;sid=10022&amp;ppid=34853443&amp;vpid=199102062&amp;ct=offers" TargetMode="External"/><Relationship Id="rId112" Type="http://schemas.openxmlformats.org/officeDocument/2006/relationships/hyperlink" Target="http://datasheet.octopart.com/ERJ6RBD1002V-Panasonic-datasheet-13266541.pdf" TargetMode="External"/><Relationship Id="rId113" Type="http://schemas.openxmlformats.org/officeDocument/2006/relationships/hyperlink" Target="https://octopart.com/click/track?c=1&amp;ai=8078&amp;sig=04d2196&amp;sid=11744&amp;ppid=22237995&amp;vpid=132582827&amp;ct=offers" TargetMode="External"/><Relationship Id="rId114" Type="http://schemas.openxmlformats.org/officeDocument/2006/relationships/hyperlink" Target="https://octopart.com/click/track?ai=8078&amp;sig=087bceb&amp;sid=27971&amp;ppid=22237995&amp;vpid=552124334&amp;ct=offers" TargetMode="External"/><Relationship Id="rId115" Type="http://schemas.openxmlformats.org/officeDocument/2006/relationships/hyperlink" Target="https://octopart.com/click/track?ai=8078&amp;sig=0e4022c&amp;sid=2401&amp;ppid=22237995&amp;vpid=187841198&amp;ct=offers" TargetMode="External"/><Relationship Id="rId116" Type="http://schemas.openxmlformats.org/officeDocument/2006/relationships/hyperlink" Target="https://octopart.com/click/track?c=1&amp;ai=8078&amp;sig=00c8075&amp;sid=2402&amp;ppid=22237995&amp;vpid=548445510&amp;ct=offers" TargetMode="External"/><Relationship Id="rId117" Type="http://schemas.openxmlformats.org/officeDocument/2006/relationships/hyperlink" Target="https://octopart.com/click/track?ai=8078&amp;sig=0e5f311&amp;sid=10022&amp;ppid=22237995&amp;vpid=199101991&amp;ct=offers" TargetMode="External"/><Relationship Id="rId118" Type="http://schemas.openxmlformats.org/officeDocument/2006/relationships/hyperlink" Target="http://datasheet.octopart.com/ERJ6RBD2001V-Panasonic-datasheet-13266541.pdf" TargetMode="External"/><Relationship Id="rId119" Type="http://schemas.openxmlformats.org/officeDocument/2006/relationships/hyperlink" Target="https://octopart.com/click/track?c=1&amp;ai=8078&amp;sig=06eee5f&amp;sid=459&amp;ppid=34853368&amp;vpid=448103534&amp;ct=offers" TargetMode="External"/><Relationship Id="rId120" Type="http://schemas.openxmlformats.org/officeDocument/2006/relationships/hyperlink" Target="https://octopart.com/click/track?ai=8078&amp;sig=0eff275&amp;sid=11744&amp;ppid=34853368&amp;vpid=132582851&amp;ct=offers" TargetMode="External"/><Relationship Id="rId121" Type="http://schemas.openxmlformats.org/officeDocument/2006/relationships/hyperlink" Target="https://octopart.com/click/track?ai=8078&amp;sig=0d9cf7b&amp;sid=27971&amp;ppid=34853368&amp;vpid=531978835&amp;ct=offers" TargetMode="External"/><Relationship Id="rId122" Type="http://schemas.openxmlformats.org/officeDocument/2006/relationships/hyperlink" Target="https://octopart.com/click/track?ai=8078&amp;sig=0eb1e63&amp;sid=2401&amp;ppid=34853368&amp;vpid=458472081&amp;ct=offers" TargetMode="External"/><Relationship Id="rId123" Type="http://schemas.openxmlformats.org/officeDocument/2006/relationships/hyperlink" Target="https://octopart.com/click/track?ai=8078&amp;sig=0e9dfcc&amp;sid=2402&amp;ppid=34853368&amp;vpid=265549503&amp;ct=offers" TargetMode="External"/><Relationship Id="rId124" Type="http://schemas.openxmlformats.org/officeDocument/2006/relationships/hyperlink" Target="https://octopart.com/click/track?ai=8078&amp;sig=00b97a3&amp;sid=10022&amp;ppid=34853368&amp;vpid=199102012&amp;ct=offers" TargetMode="External"/><Relationship Id="rId125" Type="http://schemas.openxmlformats.org/officeDocument/2006/relationships/hyperlink" Target="http://datasheet.octopart.com/ERJ6RBD3301V-Panasonic-datasheet-13266541.pdf" TargetMode="External"/><Relationship Id="rId126" Type="http://schemas.openxmlformats.org/officeDocument/2006/relationships/hyperlink" Target="https://octopart.com/click/track?c=1&amp;ai=8078&amp;sig=0ee3d24&amp;sid=459&amp;ppid=34853392&amp;vpid=448103604&amp;ct=offers" TargetMode="External"/><Relationship Id="rId127" Type="http://schemas.openxmlformats.org/officeDocument/2006/relationships/hyperlink" Target="https://octopart.com/click/track?ai=8078&amp;sig=05b4237&amp;sid=11744&amp;ppid=34853392&amp;vpid=132582872&amp;ct=offers" TargetMode="External"/><Relationship Id="rId128" Type="http://schemas.openxmlformats.org/officeDocument/2006/relationships/hyperlink" Target="https://octopart.com/click/track?ai=8078&amp;sig=0c1a280&amp;sid=27971&amp;ppid=34853392&amp;vpid=592590711&amp;ct=offers" TargetMode="External"/><Relationship Id="rId129" Type="http://schemas.openxmlformats.org/officeDocument/2006/relationships/hyperlink" Target="https://octopart.com/click/track?ai=8078&amp;sig=080c807&amp;sid=2401&amp;ppid=34853392&amp;vpid=458472155&amp;ct=offers" TargetMode="External"/><Relationship Id="rId130" Type="http://schemas.openxmlformats.org/officeDocument/2006/relationships/hyperlink" Target="https://octopart.com/click/track?ai=8078&amp;sig=048043d&amp;sid=2402&amp;ppid=34853392&amp;vpid=265549514&amp;ct=offers" TargetMode="External"/><Relationship Id="rId131" Type="http://schemas.openxmlformats.org/officeDocument/2006/relationships/hyperlink" Target="https://octopart.com/click/track?ai=8078&amp;sig=040eda4&amp;sid=10022&amp;ppid=34853392&amp;vpid=199102029&amp;ct=offers" TargetMode="External"/><Relationship Id="rId132" Type="http://schemas.openxmlformats.org/officeDocument/2006/relationships/hyperlink" Target="http://datasheet.octopart.com/NMA0512SC-Murata-Power-Solutions-datasheet-8862036.pdf" TargetMode="External"/><Relationship Id="rId133" Type="http://schemas.openxmlformats.org/officeDocument/2006/relationships/hyperlink" Target="https://octopart.com/click/track?ai=8078&amp;sig=080ed2c&amp;sid=459&amp;ppid=49448383&amp;vpid=146947675&amp;ct=offers" TargetMode="External"/><Relationship Id="rId134" Type="http://schemas.openxmlformats.org/officeDocument/2006/relationships/hyperlink" Target="https://octopart.com/click/track?ai=8078&amp;sig=0a017fe&amp;sid=819&amp;ppid=49448383&amp;vpid=163022840&amp;ct=offers" TargetMode="External"/><Relationship Id="rId135" Type="http://schemas.openxmlformats.org/officeDocument/2006/relationships/hyperlink" Target="https://octopart.com/click/track?ai=8078&amp;sig=060c4c0&amp;sid=2401&amp;ppid=49448383&amp;vpid=37871252&amp;ct=offers" TargetMode="External"/><Relationship Id="rId136" Type="http://schemas.openxmlformats.org/officeDocument/2006/relationships/hyperlink" Target="https://octopart.com/click/track?ai=8078&amp;sig=00263a0&amp;sid=2402&amp;ppid=49448383&amp;vpid=146748938&amp;ct=offers" TargetMode="External"/><Relationship Id="rId137" Type="http://schemas.openxmlformats.org/officeDocument/2006/relationships/hyperlink" Target="https://octopart.com/click/track?ai=8078&amp;sig=04c51b0&amp;sid=10022&amp;ppid=49448383&amp;vpid=199075140&amp;ct=offers" TargetMode="External"/><Relationship Id="rId138" Type="http://schemas.openxmlformats.org/officeDocument/2006/relationships/hyperlink" Target="https://octopart.com/click/track?ai=8078&amp;sig=0147f79&amp;sid=459&amp;ppid=433949&amp;vpid=1062129&amp;ct=offers" TargetMode="External"/><Relationship Id="rId139" Type="http://schemas.openxmlformats.org/officeDocument/2006/relationships/hyperlink" Target="https://octopart.com/click/track?c=1&amp;ai=8078&amp;sig=0a516de&amp;sid=819&amp;ppid=433949&amp;vpid=139746037&amp;ct=offers" TargetMode="External"/><Relationship Id="rId140" Type="http://schemas.openxmlformats.org/officeDocument/2006/relationships/hyperlink" Target="https://octopart.com/click/track?c=1&amp;ai=8078&amp;sig=07185f1&amp;sid=10022&amp;ppid=433949&amp;vpid=114410748&amp;ct=offers" TargetMode="External"/><Relationship Id="rId14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7" activePane="bottomRight" state="frozen"/>
      <selection pane="topLeft" activeCell="A1" activeCellId="0" sqref="A1"/>
      <selection pane="topRight" activeCell="H1" activeCellId="0" sqref="H1"/>
      <selection pane="bottomLeft" activeCell="A7" activeCellId="0" sqref="A7"/>
      <selection pane="bottomRight" activeCell="G2" activeCellId="0" sqref="G2"/>
    </sheetView>
  </sheetViews>
  <sheetFormatPr defaultRowHeight="15" zeroHeight="false" outlineLevelRow="0" outlineLevelCol="2"/>
  <cols>
    <col collapsed="false" customWidth="true" hidden="false" outlineLevel="0" max="2" min="1" style="0" width="9.14"/>
    <col collapsed="false" customWidth="true" hidden="false" outlineLevel="2" max="3" min="3" style="0" width="9.14"/>
    <col collapsed="false" customWidth="true" hidden="false" outlineLevel="1" max="5" min="4" style="0" width="9.14"/>
    <col collapsed="false" customWidth="true" hidden="false" outlineLevel="0" max="6" min="6" style="0" width="9.14"/>
    <col collapsed="false" customWidth="true" hidden="false" outlineLevel="0" max="7" min="7" style="0" width="15.71"/>
    <col collapsed="false" customWidth="true" hidden="false" outlineLevel="1" max="8" min="8" style="0" width="9.14"/>
    <col collapsed="false" customWidth="true" hidden="false" outlineLevel="2" max="10" min="9" style="0" width="9.14"/>
    <col collapsed="false" customWidth="true" hidden="false" outlineLevel="0" max="11" min="11" style="0" width="15.71"/>
    <col collapsed="false" customWidth="true" hidden="false" outlineLevel="2" max="12" min="12" style="0" width="15.71"/>
    <col collapsed="false" customWidth="true" hidden="false" outlineLevel="1" max="13" min="13" style="0" width="9.14"/>
    <col collapsed="false" customWidth="true" hidden="false" outlineLevel="2" max="15" min="14" style="0" width="9.14"/>
    <col collapsed="false" customWidth="true" hidden="false" outlineLevel="0" max="16" min="16" style="0" width="15.71"/>
    <col collapsed="false" customWidth="true" hidden="false" outlineLevel="2" max="17" min="17" style="0" width="15.71"/>
    <col collapsed="false" customWidth="true" hidden="false" outlineLevel="1" max="18" min="18" style="0" width="9.14"/>
    <col collapsed="false" customWidth="true" hidden="false" outlineLevel="2" max="20" min="19" style="0" width="9.14"/>
    <col collapsed="false" customWidth="true" hidden="false" outlineLevel="0" max="21" min="21" style="0" width="15.71"/>
    <col collapsed="false" customWidth="true" hidden="false" outlineLevel="2" max="22" min="22" style="0" width="15.71"/>
    <col collapsed="false" customWidth="true" hidden="false" outlineLevel="1" max="23" min="23" style="0" width="9.14"/>
    <col collapsed="false" customWidth="true" hidden="false" outlineLevel="2" max="25" min="24" style="0" width="9.14"/>
    <col collapsed="false" customWidth="true" hidden="false" outlineLevel="0" max="26" min="26" style="0" width="15.71"/>
    <col collapsed="false" customWidth="true" hidden="false" outlineLevel="2" max="27" min="27" style="0" width="15.71"/>
    <col collapsed="false" customWidth="true" hidden="false" outlineLevel="1" max="28" min="28" style="0" width="9.14"/>
    <col collapsed="false" customWidth="true" hidden="false" outlineLevel="2" max="30" min="29" style="0" width="9.14"/>
    <col collapsed="false" customWidth="true" hidden="false" outlineLevel="0" max="31" min="31" style="0" width="15.71"/>
    <col collapsed="false" customWidth="true" hidden="false" outlineLevel="2" max="32" min="32" style="0" width="15.71"/>
    <col collapsed="false" customWidth="true" hidden="false" outlineLevel="1" max="33" min="33" style="0" width="9.14"/>
    <col collapsed="false" customWidth="true" hidden="false" outlineLevel="2" max="35" min="34" style="0" width="9.14"/>
    <col collapsed="false" customWidth="true" hidden="false" outlineLevel="0" max="36" min="36" style="0" width="15.71"/>
    <col collapsed="false" customWidth="true" hidden="false" outlineLevel="2" max="37" min="37" style="0" width="15.71"/>
    <col collapsed="false" customWidth="true" hidden="false" outlineLevel="1" max="38" min="38" style="0" width="9.14"/>
    <col collapsed="false" customWidth="true" hidden="false" outlineLevel="2" max="40" min="39" style="0" width="9.14"/>
    <col collapsed="false" customWidth="true" hidden="false" outlineLevel="0" max="41" min="41" style="0" width="15.71"/>
    <col collapsed="false" customWidth="true" hidden="false" outlineLevel="2" max="42" min="42" style="0" width="15.71"/>
    <col collapsed="false" customWidth="true" hidden="false" outlineLevel="1" max="43" min="43" style="0" width="9.14"/>
    <col collapsed="false" customWidth="true" hidden="false" outlineLevel="2" max="45" min="44" style="0" width="9.14"/>
    <col collapsed="false" customWidth="true" hidden="false" outlineLevel="0" max="46" min="46" style="0" width="15.71"/>
    <col collapsed="false" customWidth="true" hidden="false" outlineLevel="2" max="47" min="47" style="0" width="15.71"/>
    <col collapsed="false" customWidth="true" hidden="false" outlineLevel="0" max="1025" min="48" style="0" width="8.6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1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TotalCost/BoardQty</f>
        <v>29.2332670017953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5" t="n">
        <f aca="false">SUM(G7:G33)</f>
        <v>29.2332670017953</v>
      </c>
      <c r="K3" s="5" t="n">
        <f aca="false">SUM(K7:K33)</f>
        <v>0</v>
      </c>
      <c r="L3" s="6" t="n">
        <f aca="false">(COUNTA(K7:K33)&amp;" of "&amp;ROWS(K7:K33)&amp;" parts found")</f>
        <v>0</v>
      </c>
      <c r="P3" s="5" t="n">
        <f aca="false">SUM(P7:P33)</f>
        <v>26.83472</v>
      </c>
      <c r="Q3" s="6" t="str">
        <f aca="false">(COUNTA(P7:P33)&amp;" of "&amp;ROWS(P7:P33)&amp;" parts found")</f>
        <v>16 of 27 parts found</v>
      </c>
      <c r="U3" s="5" t="n">
        <f aca="false">SUM(U7:U33)</f>
        <v>31.0064147890485</v>
      </c>
      <c r="V3" s="6" t="str">
        <f aca="false">(COUNTA(U7:U33)&amp;" of "&amp;ROWS(U7:U33)&amp;" parts found")</f>
        <v>24 of 27 parts found</v>
      </c>
      <c r="Z3" s="5" t="n">
        <f aca="false">SUM(Z7:Z33)</f>
        <v>4.38523</v>
      </c>
      <c r="AA3" s="6" t="str">
        <f aca="false">(COUNTA(Z7:Z33)&amp;" of "&amp;ROWS(Z7:Z33)&amp;" parts found")</f>
        <v>13 of 27 parts found</v>
      </c>
      <c r="AE3" s="5" t="n">
        <f aca="false">SUM(AE7:AE33)</f>
        <v>23.84</v>
      </c>
      <c r="AF3" s="6" t="str">
        <f aca="false">(COUNTA(AE7:AE33)&amp;" of "&amp;ROWS(AE7:AE33)&amp;" parts found")</f>
        <v>17 of 27 parts found</v>
      </c>
      <c r="AJ3" s="5" t="n">
        <f aca="false">SUM(AJ7:AJ33)</f>
        <v>16.402</v>
      </c>
      <c r="AK3" s="6" t="str">
        <f aca="false">(COUNTA(AJ7:AJ33)&amp;" of "&amp;ROWS(AJ7:AJ33)&amp;" parts found")</f>
        <v>23 of 27 parts found</v>
      </c>
      <c r="AO3" s="5" t="n">
        <f aca="false">SUM(AO7:AO33)</f>
        <v>23.674059021544</v>
      </c>
      <c r="AP3" s="6" t="str">
        <f aca="false">(COUNTA(AO7:AO33)&amp;" of "&amp;ROWS(AO7:AO33)&amp;" parts found")</f>
        <v>16 of 27 parts found</v>
      </c>
      <c r="AT3" s="5" t="n">
        <f aca="false">SUM(AT7:AT33)</f>
        <v>12.72</v>
      </c>
      <c r="AU3" s="6" t="str">
        <f aca="false">(COUNTA(AT7:AT33)&amp;" of "&amp;ROWS(AT7:AT33)&amp;" parts found")</f>
        <v>3 of 27 parts found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9" t="s">
        <v>12</v>
      </c>
      <c r="N5" s="9"/>
      <c r="O5" s="9"/>
      <c r="P5" s="9"/>
      <c r="Q5" s="9"/>
      <c r="R5" s="10" t="s">
        <v>13</v>
      </c>
      <c r="S5" s="10"/>
      <c r="T5" s="10"/>
      <c r="U5" s="10"/>
      <c r="V5" s="10"/>
      <c r="W5" s="11" t="s">
        <v>14</v>
      </c>
      <c r="X5" s="11"/>
      <c r="Y5" s="11"/>
      <c r="Z5" s="11"/>
      <c r="AA5" s="11"/>
      <c r="AB5" s="12" t="s">
        <v>15</v>
      </c>
      <c r="AC5" s="12"/>
      <c r="AD5" s="12"/>
      <c r="AE5" s="12"/>
      <c r="AF5" s="12"/>
      <c r="AG5" s="13" t="s">
        <v>16</v>
      </c>
      <c r="AH5" s="13"/>
      <c r="AI5" s="13"/>
      <c r="AJ5" s="13"/>
      <c r="AK5" s="13"/>
      <c r="AL5" s="14" t="s">
        <v>17</v>
      </c>
      <c r="AM5" s="14"/>
      <c r="AN5" s="14"/>
      <c r="AO5" s="14"/>
      <c r="AP5" s="14"/>
      <c r="AQ5" s="15" t="s">
        <v>18</v>
      </c>
      <c r="AR5" s="15"/>
      <c r="AS5" s="15"/>
      <c r="AT5" s="15"/>
      <c r="AU5" s="15"/>
    </row>
    <row r="6" customFormat="false" ht="15" hidden="false" customHeight="false" outlineLevel="0" collapsed="false">
      <c r="A6" s="16" t="s">
        <v>19</v>
      </c>
      <c r="B6" s="16" t="s">
        <v>20</v>
      </c>
      <c r="C6" s="16" t="s">
        <v>21</v>
      </c>
      <c r="D6" s="16" t="s">
        <v>22</v>
      </c>
      <c r="E6" s="16" t="s">
        <v>23</v>
      </c>
      <c r="F6" s="16" t="s">
        <v>24</v>
      </c>
      <c r="G6" s="16" t="s">
        <v>25</v>
      </c>
      <c r="H6" s="16" t="s">
        <v>26</v>
      </c>
      <c r="I6" s="16" t="s">
        <v>27</v>
      </c>
      <c r="J6" s="16" t="s">
        <v>24</v>
      </c>
      <c r="K6" s="16" t="s">
        <v>25</v>
      </c>
      <c r="L6" s="16" t="s">
        <v>28</v>
      </c>
      <c r="M6" s="16" t="s">
        <v>26</v>
      </c>
      <c r="N6" s="16" t="s">
        <v>27</v>
      </c>
      <c r="O6" s="16" t="s">
        <v>24</v>
      </c>
      <c r="P6" s="16" t="s">
        <v>25</v>
      </c>
      <c r="Q6" s="16" t="s">
        <v>28</v>
      </c>
      <c r="R6" s="16" t="s">
        <v>26</v>
      </c>
      <c r="S6" s="16" t="s">
        <v>27</v>
      </c>
      <c r="T6" s="16" t="s">
        <v>24</v>
      </c>
      <c r="U6" s="16" t="s">
        <v>25</v>
      </c>
      <c r="V6" s="16" t="s">
        <v>28</v>
      </c>
      <c r="W6" s="16" t="s">
        <v>26</v>
      </c>
      <c r="X6" s="16" t="s">
        <v>27</v>
      </c>
      <c r="Y6" s="16" t="s">
        <v>24</v>
      </c>
      <c r="Z6" s="16" t="s">
        <v>25</v>
      </c>
      <c r="AA6" s="16" t="s">
        <v>28</v>
      </c>
      <c r="AB6" s="16" t="s">
        <v>26</v>
      </c>
      <c r="AC6" s="16" t="s">
        <v>27</v>
      </c>
      <c r="AD6" s="16" t="s">
        <v>24</v>
      </c>
      <c r="AE6" s="16" t="s">
        <v>25</v>
      </c>
      <c r="AF6" s="16" t="s">
        <v>28</v>
      </c>
      <c r="AG6" s="16" t="s">
        <v>26</v>
      </c>
      <c r="AH6" s="16" t="s">
        <v>27</v>
      </c>
      <c r="AI6" s="16" t="s">
        <v>24</v>
      </c>
      <c r="AJ6" s="16" t="s">
        <v>25</v>
      </c>
      <c r="AK6" s="16" t="s">
        <v>28</v>
      </c>
      <c r="AL6" s="16" t="s">
        <v>26</v>
      </c>
      <c r="AM6" s="16" t="s">
        <v>27</v>
      </c>
      <c r="AN6" s="16" t="s">
        <v>24</v>
      </c>
      <c r="AO6" s="16" t="s">
        <v>25</v>
      </c>
      <c r="AP6" s="16" t="s">
        <v>28</v>
      </c>
      <c r="AQ6" s="16" t="s">
        <v>26</v>
      </c>
      <c r="AR6" s="16" t="s">
        <v>27</v>
      </c>
      <c r="AS6" s="16" t="s">
        <v>24</v>
      </c>
      <c r="AT6" s="16" t="s">
        <v>25</v>
      </c>
      <c r="AU6" s="16" t="s">
        <v>28</v>
      </c>
    </row>
    <row r="7" customFormat="false" ht="13.8" hidden="false" customHeight="false" outlineLevel="0" collapsed="false">
      <c r="A7" s="17" t="s">
        <v>29</v>
      </c>
      <c r="B7" s="17" t="s">
        <v>30</v>
      </c>
      <c r="C7" s="17" t="s">
        <v>30</v>
      </c>
      <c r="D7" s="17" t="s">
        <v>31</v>
      </c>
      <c r="E7" s="18" t="n">
        <v>2</v>
      </c>
      <c r="F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0.43</v>
      </c>
      <c r="G7" s="19" t="n">
        <f aca="false">IFERROR(E7*F7,"")</f>
        <v>0.86</v>
      </c>
      <c r="AB7" s="20" t="s">
        <v>32</v>
      </c>
      <c r="AD7" s="19" t="n">
        <f aca="false">IFERROR(LOOKUP(IF(AC7="",E7,AC7),{0,1,10,100,500,1000,2500},{0,0.43,0.301,0.18,0.135,0.118,0.103}),"")</f>
        <v>0.43</v>
      </c>
      <c r="AE7" s="19" t="n">
        <f aca="false">IFERROR(IF(AC7="",E7,AC7)*AD7,"")</f>
        <v>0.86</v>
      </c>
      <c r="AF7" s="21" t="s">
        <v>33</v>
      </c>
      <c r="AL7" s="18" t="n">
        <v>4325</v>
      </c>
      <c r="AN7" s="19" t="n">
        <f aca="false">IFERROR(USD_GBP*LOOKUP(IF(AM7="",E7,AM7),{0,1,5,50,250,1000,2500},{0,0.382,0.382,0.316,0.196,0.12,0.114}),"")</f>
        <v>0.484100987432675</v>
      </c>
      <c r="AO7" s="19" t="n">
        <f aca="false">IFERROR(IF(AM7="",E7,AM7)*AN7,"")</f>
        <v>0.96820197486535</v>
      </c>
      <c r="AP7" s="21" t="s">
        <v>34</v>
      </c>
    </row>
    <row r="8" customFormat="false" ht="13.8" hidden="false" customHeight="false" outlineLevel="0" collapsed="false">
      <c r="A8" s="17" t="s">
        <v>35</v>
      </c>
      <c r="B8" s="17" t="s">
        <v>36</v>
      </c>
      <c r="C8" s="17" t="s">
        <v>36</v>
      </c>
      <c r="D8" s="17" t="s">
        <v>37</v>
      </c>
      <c r="E8" s="18" t="n">
        <v>6</v>
      </c>
      <c r="F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0.023</v>
      </c>
      <c r="G8" s="19" t="n">
        <f aca="false">IFERROR(E8*F8,"")</f>
        <v>0.138</v>
      </c>
      <c r="R8" s="18" t="n">
        <v>28000</v>
      </c>
      <c r="T8" s="19" t="n">
        <f aca="false">IFERROR(USD_GBP*LOOKUP(IF(S8="",E8,S8),{0,1,10,100,150,500,1000,2000,4000,20000},{0,0.0808,0.0808,0.0485,0.0485,0.0243,0.0215,0.0187,0.014,0.0103}),"")</f>
        <v>0.102396229802514</v>
      </c>
      <c r="U8" s="19" t="n">
        <f aca="false">IFERROR(IF(S8="",E8,S8)*T8,"")</f>
        <v>0.614377378815081</v>
      </c>
      <c r="V8" s="21" t="s">
        <v>38</v>
      </c>
      <c r="AG8" s="18" t="n">
        <v>20000</v>
      </c>
      <c r="AI8" s="19" t="n">
        <f aca="false">IFERROR(LOOKUP(IF(AH8="",E8,AH8),{0,1,10,50,100,250,500,1000,4000,5000},{0,0.023,0.185,0.104,0.083,0.018,0.016,0.014,0.014,0.013}),"")</f>
        <v>0.023</v>
      </c>
      <c r="AJ8" s="19" t="n">
        <f aca="false">IFERROR(IF(AH8="",E8,AH8)*AI8,"")</f>
        <v>0.138</v>
      </c>
      <c r="AK8" s="21" t="s">
        <v>39</v>
      </c>
    </row>
    <row r="9" customFormat="false" ht="13.8" hidden="false" customHeight="false" outlineLevel="0" collapsed="false">
      <c r="A9" s="17" t="s">
        <v>40</v>
      </c>
      <c r="B9" s="17" t="s">
        <v>41</v>
      </c>
      <c r="C9" s="17" t="s">
        <v>41</v>
      </c>
      <c r="D9" s="17" t="s">
        <v>42</v>
      </c>
      <c r="E9" s="18" t="n">
        <v>1</v>
      </c>
      <c r="F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0.026</v>
      </c>
      <c r="G9" s="19" t="n">
        <f aca="false">IFERROR(E9*F9,"")</f>
        <v>0.026</v>
      </c>
      <c r="M9" s="18" t="n">
        <v>253</v>
      </c>
      <c r="O9" s="19" t="n">
        <f aca="false">IFERROR(LOOKUP(IF(N9="",E9,N9),{0,1,10,50,100,500,1000,2000,5000,10000,25000,50000,100000},{0,0.34,0.239,0.1674,0.1436,0.10766,0.08265,0.0783,0.07395,0.0696,0.06525,0.0609,0.05655}),"")</f>
        <v>0.34</v>
      </c>
      <c r="P9" s="19" t="n">
        <f aca="false">IFERROR(IF(N9="",E9,N9)*O9,"")</f>
        <v>0.34</v>
      </c>
      <c r="Q9" s="21" t="s">
        <v>43</v>
      </c>
      <c r="R9" s="18" t="n">
        <v>3614</v>
      </c>
      <c r="T9" s="19" t="n">
        <f aca="false">IFERROR(USD_GBP*LOOKUP(IF(S9="",E9,S9),{0,1,50,100,150,250,500,1000,5000},{0,0.266,0.223,0.135,0.135,0.125,0.0942,0.0643,0.0607}),"")</f>
        <v>0.337096499102334</v>
      </c>
      <c r="U9" s="19" t="n">
        <f aca="false">IFERROR(IF(S9="",E9,S9)*T9,"")</f>
        <v>0.337096499102334</v>
      </c>
      <c r="V9" s="21" t="s">
        <v>44</v>
      </c>
      <c r="W9" s="18" t="n">
        <v>670</v>
      </c>
      <c r="Y9" s="19" t="n">
        <f aca="false">IFERROR(LOOKUP(IF(X9="",E9,X9),{0,1,5,50,150,500,2500,5000},{0,0.08272,0.08272,0.06081,0.05679,0.05277,0.05098,0.05009}),"")</f>
        <v>0.08272</v>
      </c>
      <c r="Z9" s="19" t="n">
        <f aca="false">IFERROR(IF(X9="",E9,X9)*Y9,"")</f>
        <v>0.08272</v>
      </c>
      <c r="AA9" s="21" t="s">
        <v>45</v>
      </c>
      <c r="AB9" s="18" t="n">
        <v>700</v>
      </c>
      <c r="AD9" s="19" t="n">
        <f aca="false">IFERROR(LOOKUP(IF(AC9="",E9,AC9),{0,1,10,100,1000,2000,10000},{0,0.37,0.25,0.188,0.18,0.154,0.154}),"")</f>
        <v>0.37</v>
      </c>
      <c r="AE9" s="19" t="n">
        <f aca="false">IFERROR(IF(AC9="",E9,AC9)*AD9,"")</f>
        <v>0.37</v>
      </c>
      <c r="AF9" s="21" t="s">
        <v>46</v>
      </c>
      <c r="AG9" s="18" t="n">
        <v>3000</v>
      </c>
      <c r="AI9" s="19" t="n">
        <f aca="false">IFERROR(LOOKUP(IF(AH9="",E9,AH9),{0,1,10,25,50,100,1000,2000,4000,6000,10000},{0,0.026,0.249,0.205,0.162,0.118,0.026,0.026,0.026,0.026,0.026}),"")</f>
        <v>0.026</v>
      </c>
      <c r="AJ9" s="19" t="n">
        <f aca="false">IFERROR(IF(AH9="",E9,AH9)*AI9,"")</f>
        <v>0.026</v>
      </c>
      <c r="AK9" s="21" t="s">
        <v>47</v>
      </c>
      <c r="AL9" s="18" t="n">
        <v>1405</v>
      </c>
      <c r="AN9" s="19" t="n">
        <f aca="false">IFERROR(USD_GBP*LOOKUP(IF(AM9="",E9,AM9),{0,1,5,25,375,1250},{0,0.22,0.22,0.104,0.088,0.06}),"")</f>
        <v>0.278801615798923</v>
      </c>
      <c r="AO9" s="19" t="n">
        <f aca="false">IFERROR(IF(AM9="",E9,AM9)*AN9,"")</f>
        <v>0.278801615798923</v>
      </c>
      <c r="AP9" s="21" t="s">
        <v>48</v>
      </c>
    </row>
    <row r="10" customFormat="false" ht="13.8" hidden="false" customHeight="false" outlineLevel="0" collapsed="false">
      <c r="A10" s="17" t="s">
        <v>49</v>
      </c>
      <c r="B10" s="17" t="s">
        <v>50</v>
      </c>
      <c r="C10" s="17" t="s">
        <v>50</v>
      </c>
      <c r="D10" s="17" t="s">
        <v>51</v>
      </c>
      <c r="E10" s="18" t="n">
        <v>2</v>
      </c>
      <c r="F1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0.107718806104129</v>
      </c>
      <c r="G10" s="19" t="n">
        <f aca="false">IFERROR(E10*F10,"")</f>
        <v>0.215437612208259</v>
      </c>
      <c r="R10" s="18" t="n">
        <v>540000</v>
      </c>
      <c r="T10" s="19" t="n">
        <f aca="false">IFERROR(USD_GBP*LOOKUP(IF(S10="",E10,S10),{0,1,10,100,150,500,1000,2000,4000},{0,0.085,0.085,0.0425,0.0425,0.0255,0.0196,0.0155,0.011}),"")</f>
        <v>0.107718806104129</v>
      </c>
      <c r="U10" s="19" t="n">
        <f aca="false">IFERROR(IF(S10="",E10,S10)*T10,"")</f>
        <v>0.215437612208259</v>
      </c>
      <c r="V10" s="21" t="s">
        <v>52</v>
      </c>
      <c r="AG10" s="18" t="n">
        <v>24000</v>
      </c>
      <c r="AI10" s="19" t="n">
        <f aca="false">IFERROR(LOOKUP(IF(AH10="",E10,AH10),{0,1,10,50,100,250,500,1000,4000,8000,20000,40000},{0,0.174,0.111,0.063,0.05,0.04,0.035,0.029,0.021,0.02,0.018,0.016}),"")</f>
        <v>0.174</v>
      </c>
      <c r="AJ10" s="19" t="n">
        <f aca="false">IFERROR(IF(AH10="",E10,AH10)*AI10,"")</f>
        <v>0.348</v>
      </c>
      <c r="AK10" s="21" t="s">
        <v>53</v>
      </c>
    </row>
    <row r="11" customFormat="false" ht="13.8" hidden="false" customHeight="false" outlineLevel="0" collapsed="false">
      <c r="A11" s="17" t="s">
        <v>54</v>
      </c>
      <c r="B11" s="17" t="s">
        <v>55</v>
      </c>
      <c r="C11" s="17" t="s">
        <v>55</v>
      </c>
      <c r="D11" s="17" t="s">
        <v>56</v>
      </c>
      <c r="E11" s="18" t="n">
        <v>2</v>
      </c>
      <c r="F1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0.32</v>
      </c>
      <c r="G11" s="19" t="n">
        <f aca="false">IFERROR(E11*F11,"")</f>
        <v>0.64</v>
      </c>
      <c r="M11" s="18" t="n">
        <v>798</v>
      </c>
      <c r="O11" s="19" t="n">
        <f aca="false">IFERROR(LOOKUP(IF(N11="",E11,N11),{0,1,50,100,250,900,1800},{0,0.32,0.274,0.239,0.212,0.186,0.177}),"")</f>
        <v>0.32</v>
      </c>
      <c r="P11" s="19" t="n">
        <f aca="false">IFERROR(IF(N11="",E11,N11)*O11,"")</f>
        <v>0.64</v>
      </c>
      <c r="Q11" s="21" t="s">
        <v>57</v>
      </c>
      <c r="R11" s="18" t="n">
        <v>19</v>
      </c>
      <c r="T11" s="19" t="n">
        <f aca="false">IFERROR(USD_GBP*LOOKUP(IF(S11="",E11,S11),{0,1,5,10,20,40,100,150,500},{0,0.35,0.324,0.268,0.264,0.212,0.18,0.18,0.15}),"")</f>
        <v>0.44354802513465</v>
      </c>
      <c r="U11" s="19" t="n">
        <f aca="false">IFERROR(IF(S11="",E11,S11)*T11,"")</f>
        <v>0.8870960502693</v>
      </c>
      <c r="V11" s="21" t="s">
        <v>58</v>
      </c>
      <c r="AB11" s="18" t="n">
        <v>945</v>
      </c>
      <c r="AD11" s="19" t="n">
        <f aca="false">IFERROR(LOOKUP(IF(AC11="",E11,AC11),{0,1,10,25,50,100,250},{0,0.35,0.35,0.35,0.293,0.255,0.227}),"")</f>
        <v>0.35</v>
      </c>
      <c r="AE11" s="19" t="n">
        <f aca="false">IFERROR(IF(AC11="",E11,AC11)*AD11,"")</f>
        <v>0.7</v>
      </c>
      <c r="AF11" s="21" t="s">
        <v>59</v>
      </c>
      <c r="AG11" s="18" t="n">
        <v>19</v>
      </c>
      <c r="AI11" s="19" t="n">
        <f aca="false">IFERROR(LOOKUP(IF(AH11="",E11,AH11),{0,1,10,25,50,100,250,500},{0,0.352,0.334,0.316,0.298,0.262,0.235,0.209}),"")</f>
        <v>0.352</v>
      </c>
      <c r="AJ11" s="19" t="n">
        <f aca="false">IFERROR(IF(AH11="",E11,AH11)*AI11,"")</f>
        <v>0.704</v>
      </c>
      <c r="AK11" s="21" t="s">
        <v>60</v>
      </c>
      <c r="AL11" s="18" t="n">
        <v>90</v>
      </c>
      <c r="AN11" s="19" t="n">
        <f aca="false">IFERROR(USD_GBP*LOOKUP(IF(AM11="",E11,AM11),{0,1,10,50,100,200,1000},{0,0.255,0.255,0.206,0.186,0.177,0.137}),"")</f>
        <v>0.323156418312388</v>
      </c>
      <c r="AO11" s="19" t="n">
        <f aca="false">IFERROR(IF(AM11="",E11,AM11)*AN11,"")</f>
        <v>0.646312836624776</v>
      </c>
      <c r="AP11" s="21" t="s">
        <v>61</v>
      </c>
    </row>
    <row r="12" customFormat="false" ht="13.8" hidden="false" customHeight="false" outlineLevel="0" collapsed="false">
      <c r="A12" s="17" t="s">
        <v>62</v>
      </c>
      <c r="B12" s="17" t="s">
        <v>63</v>
      </c>
      <c r="C12" s="17" t="s">
        <v>63</v>
      </c>
      <c r="D12" s="17" t="s">
        <v>64</v>
      </c>
      <c r="E12" s="18" t="n">
        <v>2</v>
      </c>
      <c r="F12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2" s="19" t="n">
        <f aca="false">IFERROR(E12*F12,"")</f>
        <v>0</v>
      </c>
    </row>
    <row r="13" customFormat="false" ht="13.8" hidden="false" customHeight="false" outlineLevel="0" collapsed="false">
      <c r="A13" s="17" t="s">
        <v>65</v>
      </c>
      <c r="B13" s="17" t="s">
        <v>66</v>
      </c>
      <c r="C13" s="17" t="s">
        <v>66</v>
      </c>
      <c r="D13" s="17" t="s">
        <v>67</v>
      </c>
      <c r="E13" s="18" t="n">
        <v>2</v>
      </c>
      <c r="F13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0.069</v>
      </c>
      <c r="G13" s="19" t="n">
        <f aca="false">IFERROR(E13*F13,"")</f>
        <v>0.138</v>
      </c>
      <c r="M13" s="18" t="n">
        <v>18495</v>
      </c>
      <c r="O13" s="19" t="n">
        <f aca="false">IFERROR(LOOKUP(IF(N13="",E13,N13),{0,1,10,50,100,500,1000,2000,5000,10000,25000,50000,100000},{0,0.43,0.296,0.1978,0.1773,0.133,0.09766,0.09252,0.08738,0.08224,0.0771,0.07196,0.06682}),"")</f>
        <v>0.43</v>
      </c>
      <c r="P13" s="19" t="n">
        <f aca="false">IFERROR(IF(N13="",E13,N13)*O13,"")</f>
        <v>0.86</v>
      </c>
      <c r="Q13" s="21" t="s">
        <v>68</v>
      </c>
      <c r="R13" s="18" t="n">
        <v>22966</v>
      </c>
      <c r="T13" s="19" t="n">
        <f aca="false">IFERROR(USD_GBP*LOOKUP(IF(S13="",E13,S13),{0,1,50,100,150,250,500,1000,5000},{0,0.315,0.238,0.156,0.156,0.149,0.111,0.0759,0.0717}),"")</f>
        <v>0.399193222621185</v>
      </c>
      <c r="U13" s="19" t="n">
        <f aca="false">IFERROR(IF(S13="",E13,S13)*T13,"")</f>
        <v>0.79838644524237</v>
      </c>
      <c r="V13" s="21" t="s">
        <v>69</v>
      </c>
      <c r="W13" s="18" t="n">
        <v>700</v>
      </c>
      <c r="Y13" s="19" t="n">
        <f aca="false">IFERROR(LOOKUP(IF(X13="",E13,X13),{0,1,10,30,100,500,1000},{0,0.16167,0.11885,0.11098,0.10312,0.09963,0.0979}),"")</f>
        <v>0.16167</v>
      </c>
      <c r="Z13" s="19" t="n">
        <f aca="false">IFERROR(IF(X13="",E13,X13)*Y13,"")</f>
        <v>0.32334</v>
      </c>
      <c r="AA13" s="21" t="s">
        <v>70</v>
      </c>
      <c r="AB13" s="18" t="n">
        <v>13108</v>
      </c>
      <c r="AD13" s="19" t="n">
        <f aca="false">IFERROR(LOOKUP(IF(AC13="",E13,AC13),{0,1,10,100,1000,2000,10000},{0,0.47,0.296,0.212,0.212,0.182,0.163}),"")</f>
        <v>0.47</v>
      </c>
      <c r="AE13" s="19" t="n">
        <f aca="false">IFERROR(IF(AC13="",E13,AC13)*AD13,"")</f>
        <v>0.94</v>
      </c>
      <c r="AF13" s="21" t="s">
        <v>71</v>
      </c>
      <c r="AG13" s="18" t="n">
        <v>2000</v>
      </c>
      <c r="AI13" s="19" t="n">
        <f aca="false">IFERROR(LOOKUP(IF(AH13="",E13,AH13),{0,1,10,25,50,100,1000,2000,4000,6000,10000},{0,0.069,0.069,0.069,0.069,0.069,0.083,0.078,0.077,0.075,0.074}),"")</f>
        <v>0.069</v>
      </c>
      <c r="AJ13" s="19" t="n">
        <f aca="false">IFERROR(IF(AH13="",E13,AH13)*AI13,"")</f>
        <v>0.138</v>
      </c>
      <c r="AK13" s="21" t="s">
        <v>72</v>
      </c>
      <c r="AL13" s="18" t="n">
        <v>370</v>
      </c>
      <c r="AN13" s="19" t="n">
        <f aca="false">IFERROR(USD_GBP*LOOKUP(IF(AM13="",E13,AM13),{0,1,5,10,50,250},{0,0.232,0.232,0.114,0.106,0.1}),"")</f>
        <v>0.294008976660682</v>
      </c>
      <c r="AO13" s="19" t="n">
        <f aca="false">IFERROR(IF(AM13="",E13,AM13)*AN13,"")</f>
        <v>0.588017953321365</v>
      </c>
      <c r="AP13" s="21" t="s">
        <v>73</v>
      </c>
    </row>
    <row r="14" customFormat="false" ht="13.8" hidden="false" customHeight="false" outlineLevel="0" collapsed="false">
      <c r="A14" s="17" t="s">
        <v>74</v>
      </c>
      <c r="B14" s="17" t="s">
        <v>75</v>
      </c>
      <c r="C14" s="17" t="s">
        <v>75</v>
      </c>
      <c r="D14" s="17" t="s">
        <v>76</v>
      </c>
      <c r="E14" s="18" t="n">
        <v>2</v>
      </c>
      <c r="F14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0.031</v>
      </c>
      <c r="G14" s="19" t="n">
        <f aca="false">IFERROR(E14*F14,"")</f>
        <v>0.062</v>
      </c>
      <c r="R14" s="18" t="n">
        <v>90</v>
      </c>
      <c r="T14" s="19" t="n">
        <f aca="false">IFERROR(USD_GBP*LOOKUP(IF(S14="",E14,S14),{0,1,5,50,150,250,500,1500,3000,15000},{0,0.232,0.232,0.116,0.116,0.0697,0.0536,0.0357,0.0624,0.0539}),"")</f>
        <v>0.294008976660682</v>
      </c>
      <c r="U14" s="19" t="n">
        <f aca="false">IFERROR(IF(S14="",E14,S14)*T14,"")</f>
        <v>0.588017953321365</v>
      </c>
      <c r="V14" s="21" t="s">
        <v>77</v>
      </c>
      <c r="AG14" s="18" t="n">
        <v>1990</v>
      </c>
      <c r="AI14" s="19" t="n">
        <f aca="false">IFERROR(LOOKUP(IF(AH14="",E14,AH14),{0,1,10,100,250,500,1000,3000,6000,9000,15000,30000,60000},{0,0.031,0.031,0.031,0.031,0.031,0.031,0.203,0.203,0.186,0.142,0.107,0.091}),"")</f>
        <v>0.031</v>
      </c>
      <c r="AJ14" s="19" t="n">
        <f aca="false">IFERROR(IF(AH14="",E14,AH14)*AI14,"")</f>
        <v>0.062</v>
      </c>
      <c r="AK14" s="21" t="s">
        <v>78</v>
      </c>
    </row>
    <row r="15" customFormat="false" ht="13.8" hidden="false" customHeight="false" outlineLevel="0" collapsed="false">
      <c r="A15" s="17" t="s">
        <v>79</v>
      </c>
      <c r="B15" s="17" t="s">
        <v>80</v>
      </c>
      <c r="C15" s="17" t="s">
        <v>80</v>
      </c>
      <c r="D15" s="17" t="s">
        <v>81</v>
      </c>
      <c r="E15" s="18" t="n">
        <v>1</v>
      </c>
      <c r="F15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4.31</v>
      </c>
      <c r="G15" s="19" t="n">
        <f aca="false">IFERROR(E15*F15,"")</f>
        <v>4.31</v>
      </c>
      <c r="M15" s="18" t="n">
        <v>4727</v>
      </c>
      <c r="O15" s="19" t="n">
        <f aca="false">IFERROR(LOOKUP(IF(N15="",E15,N15),{0,1,10,25,100,250,500,1000},{0,4.97,4.46,4.2164,3.4669,3.11084,2.9984,2.49242}),"")</f>
        <v>4.97</v>
      </c>
      <c r="P15" s="19" t="n">
        <f aca="false">IFERROR(IF(N15="",E15,N15)*O15,"")</f>
        <v>4.97</v>
      </c>
      <c r="Q15" s="21" t="s">
        <v>82</v>
      </c>
      <c r="R15" s="18" t="n">
        <v>1453</v>
      </c>
      <c r="T15" s="19" t="n">
        <f aca="false">IFERROR(USD_GBP*LOOKUP(IF(S15="",E15,S15),{0,1,10,25,50,100,250,500},{0,4.43,3.58,3.38,3.08,2.78,2.5,2}),"")</f>
        <v>5.61405071813286</v>
      </c>
      <c r="U15" s="19" t="n">
        <f aca="false">IFERROR(IF(S15="",E15,S15)*T15,"")</f>
        <v>5.61405071813286</v>
      </c>
      <c r="V15" s="21" t="s">
        <v>83</v>
      </c>
      <c r="AB15" s="18" t="n">
        <v>1182</v>
      </c>
      <c r="AD15" s="19" t="n">
        <f aca="false">IFERROR(LOOKUP(IF(AC15="",E15,AC15),{0,1,10,25,100,250,500},{0,4.97,4.46,4.22,3.47,3.12,3}),"")</f>
        <v>4.97</v>
      </c>
      <c r="AE15" s="19" t="n">
        <f aca="false">IFERROR(IF(AC15="",E15,AC15)*AD15,"")</f>
        <v>4.97</v>
      </c>
      <c r="AF15" s="21" t="s">
        <v>84</v>
      </c>
      <c r="AG15" s="18" t="n">
        <v>1453</v>
      </c>
      <c r="AI15" s="19" t="n">
        <f aca="false">IFERROR(LOOKUP(IF(AH15="",E15,AH15),{0,1,10,25,50,100,250,500},{0,4.97,4.46,4.22,3.85,3.47,3.12,3}),"")</f>
        <v>4.97</v>
      </c>
      <c r="AJ15" s="19" t="n">
        <f aca="false">IFERROR(IF(AH15="",E15,AH15)*AI15,"")</f>
        <v>4.97</v>
      </c>
      <c r="AK15" s="21" t="s">
        <v>85</v>
      </c>
      <c r="AL15" s="18" t="n">
        <v>115</v>
      </c>
      <c r="AN15" s="19" t="n">
        <f aca="false">IFERROR(USD_GBP*LOOKUP(IF(AM15="",E15,AM15),{0,1,15,38},{0,4.39,3.33,3.16}),"")</f>
        <v>5.56335951526033</v>
      </c>
      <c r="AO15" s="19" t="n">
        <f aca="false">IFERROR(IF(AM15="",E15,AM15)*AN15,"")</f>
        <v>5.56335951526033</v>
      </c>
      <c r="AP15" s="21" t="s">
        <v>86</v>
      </c>
      <c r="AQ15" s="18" t="n">
        <v>149</v>
      </c>
      <c r="AS15" s="19" t="n">
        <f aca="false">IFERROR(LOOKUP(IF(AR15="",E15,AR15),{0,1,5,25,75},{0,4.31,3.81,3.42,3.19}),"")</f>
        <v>4.31</v>
      </c>
      <c r="AT15" s="19" t="n">
        <f aca="false">IFERROR(IF(AR15="",E15,AR15)*AS15,"")</f>
        <v>4.31</v>
      </c>
      <c r="AU15" s="21" t="s">
        <v>81</v>
      </c>
    </row>
    <row r="16" customFormat="false" ht="13.8" hidden="false" customHeight="false" outlineLevel="0" collapsed="false">
      <c r="A16" s="17" t="s">
        <v>87</v>
      </c>
      <c r="B16" s="17" t="s">
        <v>88</v>
      </c>
      <c r="C16" s="17" t="s">
        <v>88</v>
      </c>
      <c r="D16" s="17" t="s">
        <v>89</v>
      </c>
      <c r="E16" s="18" t="n">
        <v>1</v>
      </c>
      <c r="F16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0.468</v>
      </c>
      <c r="G16" s="19" t="n">
        <f aca="false">IFERROR(E16*F16,"")</f>
        <v>0.468</v>
      </c>
      <c r="M16" s="18" t="n">
        <v>6823</v>
      </c>
      <c r="O16" s="19" t="n">
        <f aca="false">IFERROR(LOOKUP(IF(N16="",E16,N16),{0,1,10,25,50,100,250,500,1000,2000,4000,6000,10000,14000},{0,1.05,0.921,0.8664,0.8304,0.7942,0.72204,0.64984,0.57763,0.4923,0.47589,0.45948,0.43651,0.42666}),"")</f>
        <v>1.05</v>
      </c>
      <c r="P16" s="19" t="n">
        <f aca="false">IFERROR(IF(N16="",E16,N16)*O16,"")</f>
        <v>1.05</v>
      </c>
      <c r="Q16" s="21" t="s">
        <v>90</v>
      </c>
      <c r="R16" s="18" t="n">
        <v>22661</v>
      </c>
      <c r="T16" s="19" t="n">
        <f aca="false">IFERROR(USD_GBP*LOOKUP(IF(S16="",E16,S16),{0,1,60,200,500,1000,2000,10000,20000},{0,0.625,0.543,0.516,0.49,0.436,0.357,0.332,0.325}),"")</f>
        <v>0.792050044883304</v>
      </c>
      <c r="U16" s="19" t="n">
        <f aca="false">IFERROR(IF(S16="",E16,S16)*T16,"")</f>
        <v>0.792050044883304</v>
      </c>
      <c r="V16" s="21" t="s">
        <v>91</v>
      </c>
      <c r="W16" s="18" t="n">
        <v>24665</v>
      </c>
      <c r="Y16" s="19" t="n">
        <f aca="false">IFERROR(LOOKUP(IF(X16="",E16,X16),{0,1,10,30,100,500,1000},{0,0.50667,0.37,0.345,0.32,0.30833,0.30333}),"")</f>
        <v>0.50667</v>
      </c>
      <c r="Z16" s="19" t="n">
        <f aca="false">IFERROR(IF(X16="",E16,X16)*Y16,"")</f>
        <v>0.50667</v>
      </c>
      <c r="AA16" s="21" t="s">
        <v>92</v>
      </c>
      <c r="AB16" s="18" t="n">
        <v>39101</v>
      </c>
      <c r="AD16" s="19" t="n">
        <f aca="false">IFERROR(LOOKUP(IF(AC16="",E16,AC16),{0,1,10,100,500,1000,2000},{0,0.95,0.754,0.656,0.59,0.525,0.459}),"")</f>
        <v>0.95</v>
      </c>
      <c r="AE16" s="19" t="n">
        <f aca="false">IFERROR(IF(AC16="",E16,AC16)*AD16,"")</f>
        <v>0.95</v>
      </c>
      <c r="AF16" s="21" t="s">
        <v>93</v>
      </c>
      <c r="AG16" s="18" t="n">
        <v>20841</v>
      </c>
      <c r="AI16" s="19" t="n">
        <f aca="false">IFERROR(LOOKUP(IF(AH16="",E16,AH16),{0,1,25,100,250,500,1000,2000,2500,4000,8000,12000},{0,0.468,0.547,0.505,0.505,0.505,0.505,0.46,0.438,0.451,0.443,0.435}),"")</f>
        <v>0.468</v>
      </c>
      <c r="AJ16" s="19" t="n">
        <f aca="false">IFERROR(IF(AH16="",E16,AH16)*AI16,"")</f>
        <v>0.468</v>
      </c>
      <c r="AK16" s="21" t="s">
        <v>94</v>
      </c>
      <c r="AL16" s="18" t="n">
        <v>8465</v>
      </c>
      <c r="AN16" s="19" t="n">
        <f aca="false">IFERROR(USD_GBP*LOOKUP(IF(AM16="",E16,AM16),{0,1,5,125,375,1000,2000},{0,0.716,0.716,0.548,0.5,0.392,0.382}),"")</f>
        <v>0.907372531418313</v>
      </c>
      <c r="AO16" s="19" t="n">
        <f aca="false">IFERROR(IF(AM16="",E16,AM16)*AN16,"")</f>
        <v>0.907372531418313</v>
      </c>
      <c r="AP16" s="21" t="s">
        <v>95</v>
      </c>
      <c r="AQ16" s="18" t="n">
        <v>6139</v>
      </c>
      <c r="AS16" s="19" t="n">
        <f aca="false">IFERROR(LOOKUP(IF(AR16="",E16,AR16),{0,1,20,100,500},{0,1.02,0.72,0.52,0.42}),"")</f>
        <v>1.02</v>
      </c>
      <c r="AT16" s="19" t="n">
        <f aca="false">IFERROR(IF(AR16="",E16,AR16)*AS16,"")</f>
        <v>1.02</v>
      </c>
      <c r="AU16" s="21" t="s">
        <v>96</v>
      </c>
    </row>
    <row r="17" customFormat="false" ht="13.8" hidden="false" customHeight="false" outlineLevel="0" collapsed="false">
      <c r="A17" s="17" t="s">
        <v>97</v>
      </c>
      <c r="B17" s="17" t="s">
        <v>98</v>
      </c>
      <c r="C17" s="17" t="s">
        <v>98</v>
      </c>
      <c r="D17" s="17" t="s">
        <v>99</v>
      </c>
      <c r="E17" s="18" t="n">
        <v>1</v>
      </c>
      <c r="F1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0.634</v>
      </c>
      <c r="G17" s="19" t="n">
        <f aca="false">IFERROR(E17*F17,"")</f>
        <v>0.634</v>
      </c>
      <c r="R17" s="18" t="n">
        <v>2361</v>
      </c>
      <c r="T17" s="19" t="n">
        <f aca="false">IFERROR(USD_GBP*LOOKUP(IF(S17="",E17,S17),{0,1,10,100,250,500,1000,2500},{0,0.511,0.511,0.436,0.406,0.376,0.355,0.339}),"")</f>
        <v>0.647580116696589</v>
      </c>
      <c r="U17" s="19" t="n">
        <f aca="false">IFERROR(IF(S17="",E17,S17)*T17,"")</f>
        <v>0.647580116696589</v>
      </c>
      <c r="V17" s="21" t="s">
        <v>100</v>
      </c>
      <c r="AG17" s="20" t="s">
        <v>32</v>
      </c>
      <c r="AI17" s="19" t="n">
        <f aca="false">IFERROR(LOOKUP(IF(AH17="",E17,AH17),{0,1,100,250,500,1000,2500},{0,0.634,0.541,0.504,0.467,0.441,0.421}),"")</f>
        <v>0.634</v>
      </c>
      <c r="AJ17" s="19" t="n">
        <f aca="false">IFERROR(IF(AH17="",E17,AH17)*AI17,"")</f>
        <v>0.634</v>
      </c>
      <c r="AK17" s="21" t="s">
        <v>101</v>
      </c>
    </row>
    <row r="18" customFormat="false" ht="13.8" hidden="false" customHeight="false" outlineLevel="0" collapsed="false">
      <c r="A18" s="17" t="s">
        <v>102</v>
      </c>
      <c r="B18" s="17" t="s">
        <v>103</v>
      </c>
      <c r="C18" s="17" t="s">
        <v>103</v>
      </c>
      <c r="D18" s="17" t="s">
        <v>104</v>
      </c>
      <c r="E18" s="18" t="n">
        <v>2</v>
      </c>
      <c r="F1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0.140668087971275</v>
      </c>
      <c r="G18" s="19" t="n">
        <f aca="false">IFERROR(E18*F18,"")</f>
        <v>0.281336175942549</v>
      </c>
      <c r="R18" s="18" t="n">
        <v>2439</v>
      </c>
      <c r="T18" s="19" t="n">
        <f aca="false">IFERROR(USD_GBP*LOOKUP(IF(S18="",E18,S18),{0,1,10,100,150,500,1000,2000,4000,20000},{0,0.111,0.111,0.0824,0.0824,0.0669,0.0558,0.0488,0.037,0.0353}),"")</f>
        <v>0.140668087971275</v>
      </c>
      <c r="U18" s="19" t="n">
        <f aca="false">IFERROR(IF(S18="",E18,S18)*T18,"")</f>
        <v>0.281336175942549</v>
      </c>
      <c r="V18" s="21" t="s">
        <v>105</v>
      </c>
      <c r="AG18" s="18" t="n">
        <v>2439</v>
      </c>
      <c r="AI18" s="19" t="n">
        <f aca="false">IFERROR(LOOKUP(IF(AH18="",E18,AH18),{0,1,10,25,50,100,250,500,1000,4000,8000,16000,24000,40000},{0,0.301,0.254,0.231,0.158,0.131,0.109,0.088,0.073,0.065,0.053,0.046,0.043,0.037}),"")</f>
        <v>0.301</v>
      </c>
      <c r="AJ18" s="19" t="n">
        <f aca="false">IFERROR(IF(AH18="",E18,AH18)*AI18,"")</f>
        <v>0.602</v>
      </c>
      <c r="AK18" s="21" t="s">
        <v>106</v>
      </c>
    </row>
    <row r="19" customFormat="false" ht="13.8" hidden="false" customHeight="false" outlineLevel="0" collapsed="false">
      <c r="A19" s="17" t="s">
        <v>107</v>
      </c>
      <c r="B19" s="17" t="s">
        <v>108</v>
      </c>
      <c r="C19" s="17" t="s">
        <v>108</v>
      </c>
      <c r="D19" s="17" t="s">
        <v>109</v>
      </c>
      <c r="E19" s="18" t="n">
        <v>1</v>
      </c>
      <c r="F1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3.105</v>
      </c>
      <c r="G19" s="19" t="n">
        <f aca="false">IFERROR(E19*F19,"")</f>
        <v>3.105</v>
      </c>
      <c r="W19" s="18" t="n">
        <v>901</v>
      </c>
      <c r="Y19" s="19" t="n">
        <f aca="false">IFERROR(LOOKUP(IF(X19="",E19,X19),{0,1,10,30,100,500,1000},{0,3.105,2.28333,2.13333,1.98167,1.915,1.88167}),"")</f>
        <v>3.105</v>
      </c>
      <c r="Z19" s="19" t="n">
        <f aca="false">IFERROR(IF(X19="",E19,X19)*Y19,"")</f>
        <v>3.105</v>
      </c>
      <c r="AA19" s="21" t="s">
        <v>110</v>
      </c>
      <c r="AB19" s="18" t="n">
        <v>904</v>
      </c>
      <c r="AD19" s="19" t="n">
        <f aca="false">IFERROR(LOOKUP(IF(AC19="",E19,AC19),{0,1,25,50,100,500,1000},{0,4.09,3.64,3.43,3.3,3.05,2.95}),"")</f>
        <v>4.09</v>
      </c>
      <c r="AE19" s="19" t="n">
        <f aca="false">IFERROR(IF(AC19="",E19,AC19)*AD19,"")</f>
        <v>4.09</v>
      </c>
      <c r="AF19" s="21" t="s">
        <v>111</v>
      </c>
      <c r="AL19" s="18" t="n">
        <v>32</v>
      </c>
      <c r="AN19" s="19" t="n">
        <f aca="false">IFERROR(USD_GBP*LOOKUP(IF(AM19="",E19,AM19),{0,1,10,50,100,200},{0,3.89,2.79,2.55,2.38,2.3}),"")</f>
        <v>4.92971947935368</v>
      </c>
      <c r="AO19" s="19" t="n">
        <f aca="false">IFERROR(IF(AM19="",E19,AM19)*AN19,"")</f>
        <v>4.92971947935368</v>
      </c>
      <c r="AP19" s="21" t="s">
        <v>112</v>
      </c>
      <c r="AQ19" s="18" t="n">
        <v>13</v>
      </c>
      <c r="AS19" s="19" t="n">
        <f aca="false">IFERROR(LOOKUP(IF(AR19="",E19,AR19),{0,1,5,20,100},{0,7.39,6.69,5.81,5.28}),"")</f>
        <v>7.39</v>
      </c>
      <c r="AT19" s="19" t="n">
        <f aca="false">IFERROR(IF(AR19="",E19,AR19)*AS19,"")</f>
        <v>7.39</v>
      </c>
      <c r="AU19" s="21" t="s">
        <v>109</v>
      </c>
    </row>
    <row r="20" customFormat="false" ht="13.8" hidden="false" customHeight="false" outlineLevel="0" collapsed="false">
      <c r="A20" s="17" t="s">
        <v>113</v>
      </c>
      <c r="B20" s="17" t="s">
        <v>114</v>
      </c>
      <c r="C20" s="17" t="s">
        <v>114</v>
      </c>
      <c r="D20" s="17" t="s">
        <v>115</v>
      </c>
      <c r="E20" s="18" t="n">
        <v>2</v>
      </c>
      <c r="F2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0.361174820466787</v>
      </c>
      <c r="G20" s="19" t="n">
        <f aca="false">IFERROR(E20*F20,"")</f>
        <v>0.722349640933573</v>
      </c>
      <c r="R20" s="18" t="n">
        <v>320</v>
      </c>
      <c r="T20" s="19" t="n">
        <f aca="false">IFERROR(USD_GBP*LOOKUP(IF(S20="",E20,S20),{0,1,2,3,5,10,20,50},{0,0.319,0.285,0.272,0.259,0.246,0.226,0.21}),"")</f>
        <v>0.361174820466787</v>
      </c>
      <c r="U20" s="19" t="n">
        <f aca="false">IFERROR(IF(S20="",E20,S20)*T20,"")</f>
        <v>0.722349640933573</v>
      </c>
      <c r="V20" s="21" t="s">
        <v>116</v>
      </c>
      <c r="AG20" s="18" t="n">
        <v>320</v>
      </c>
      <c r="AI20" s="19" t="n">
        <f aca="false">IFERROR(LOOKUP(IF(AH20="",E20,AH20),{0,1,10,100,500,1000,5000,10000,25000},{0,0.513,0.458,0.36,0.296,0.257,0.23,0.207,0.2}),"")</f>
        <v>0.513</v>
      </c>
      <c r="AJ20" s="19" t="n">
        <f aca="false">IFERROR(IF(AH20="",E20,AH20)*AI20,"")</f>
        <v>1.026</v>
      </c>
      <c r="AK20" s="21" t="s">
        <v>117</v>
      </c>
    </row>
    <row r="21" customFormat="false" ht="13.8" hidden="false" customHeight="false" outlineLevel="0" collapsed="false">
      <c r="A21" s="17" t="s">
        <v>118</v>
      </c>
      <c r="B21" s="17" t="s">
        <v>119</v>
      </c>
      <c r="C21" s="17" t="s">
        <v>119</v>
      </c>
      <c r="D21" s="17" t="s">
        <v>120</v>
      </c>
      <c r="E21" s="18" t="n">
        <v>2</v>
      </c>
      <c r="F2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0.01717</v>
      </c>
      <c r="G21" s="19" t="n">
        <f aca="false">IFERROR(E21*F21,"")</f>
        <v>0.03434</v>
      </c>
      <c r="M21" s="20" t="s">
        <v>32</v>
      </c>
      <c r="O21" s="19" t="n">
        <f aca="false">IFERROR(LOOKUP(IF(N21="",E21,N21),{0,1,5000},{0,0.01717,0.01717}),"")</f>
        <v>0.01717</v>
      </c>
      <c r="P21" s="19" t="n">
        <f aca="false">IFERROR(IF(N21="",E21,N21)*O21,"")</f>
        <v>0.03434</v>
      </c>
      <c r="Q21" s="21" t="s">
        <v>121</v>
      </c>
      <c r="R21" s="20" t="s">
        <v>32</v>
      </c>
      <c r="T21" s="19" t="n">
        <f aca="false">IFERROR(USD_GBP*LOOKUP(IF(S21="",E21,S21),{0,1,10,100,500,1000,2500,5000,25000},{0,0.0668,0.0668,0.0415,0.0251,0.0175,0.0163,0.016,0.0156}),"")</f>
        <v>0.0846543087971275</v>
      </c>
      <c r="U21" s="19" t="n">
        <f aca="false">IFERROR(IF(S21="",E21,S21)*T21,"")</f>
        <v>0.169308617594255</v>
      </c>
      <c r="V21" s="21" t="s">
        <v>122</v>
      </c>
      <c r="AG21" s="20" t="s">
        <v>32</v>
      </c>
      <c r="AI21" s="19" t="n">
        <f aca="false">IFERROR(LOOKUP(IF(AH21="",E21,AH21),{0,1,5000},{0,0.02,0.02}),"")</f>
        <v>0.02</v>
      </c>
      <c r="AJ21" s="19" t="n">
        <f aca="false">IFERROR(IF(AH21="",E21,AH21)*AI21,"")</f>
        <v>0.04</v>
      </c>
      <c r="AK21" s="21" t="s">
        <v>123</v>
      </c>
      <c r="AL21" s="20" t="s">
        <v>32</v>
      </c>
      <c r="AP21" s="21" t="s">
        <v>124</v>
      </c>
    </row>
    <row r="22" customFormat="false" ht="13.8" hidden="false" customHeight="false" outlineLevel="0" collapsed="false">
      <c r="A22" s="17" t="s">
        <v>125</v>
      </c>
      <c r="B22" s="17" t="s">
        <v>126</v>
      </c>
      <c r="C22" s="17" t="s">
        <v>126</v>
      </c>
      <c r="D22" s="17" t="s">
        <v>120</v>
      </c>
      <c r="E22" s="18" t="n">
        <v>2</v>
      </c>
      <c r="F22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0.01717</v>
      </c>
      <c r="G22" s="19" t="n">
        <f aca="false">IFERROR(E22*F22,"")</f>
        <v>0.03434</v>
      </c>
      <c r="M22" s="20" t="s">
        <v>32</v>
      </c>
      <c r="O22" s="19" t="n">
        <f aca="false">IFERROR(LOOKUP(IF(N22="",E22,N22),{0,1,5000},{0,0.01717,0.01717}),"")</f>
        <v>0.01717</v>
      </c>
      <c r="P22" s="19" t="n">
        <f aca="false">IFERROR(IF(N22="",E22,N22)*O22,"")</f>
        <v>0.03434</v>
      </c>
      <c r="Q22" s="21" t="s">
        <v>121</v>
      </c>
      <c r="R22" s="20" t="s">
        <v>32</v>
      </c>
      <c r="T22" s="19" t="n">
        <f aca="false">IFERROR(USD_GBP*LOOKUP(IF(S22="",E22,S22),{0,1,10,100,500,1000,2500,5000,25000},{0,0.0668,0.0668,0.0415,0.0251,0.0175,0.0163,0.016,0.0156}),"")</f>
        <v>0.0846543087971275</v>
      </c>
      <c r="U22" s="19" t="n">
        <f aca="false">IFERROR(IF(S22="",E22,S22)*T22,"")</f>
        <v>0.169308617594255</v>
      </c>
      <c r="V22" s="21" t="s">
        <v>122</v>
      </c>
      <c r="AG22" s="20" t="s">
        <v>32</v>
      </c>
      <c r="AI22" s="19" t="n">
        <f aca="false">IFERROR(LOOKUP(IF(AH22="",E22,AH22),{0,1,5000},{0,0.02,0.02}),"")</f>
        <v>0.02</v>
      </c>
      <c r="AJ22" s="19" t="n">
        <f aca="false">IFERROR(IF(AH22="",E22,AH22)*AI22,"")</f>
        <v>0.04</v>
      </c>
      <c r="AK22" s="21" t="s">
        <v>123</v>
      </c>
      <c r="AL22" s="20" t="s">
        <v>32</v>
      </c>
      <c r="AP22" s="21" t="s">
        <v>124</v>
      </c>
    </row>
    <row r="23" customFormat="false" ht="13.8" hidden="false" customHeight="false" outlineLevel="0" collapsed="false">
      <c r="A23" s="17" t="s">
        <v>127</v>
      </c>
      <c r="B23" s="17" t="s">
        <v>128</v>
      </c>
      <c r="C23" s="17" t="s">
        <v>128</v>
      </c>
      <c r="D23" s="17" t="s">
        <v>129</v>
      </c>
      <c r="E23" s="18" t="n">
        <v>1</v>
      </c>
      <c r="F23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0.006</v>
      </c>
      <c r="G23" s="19" t="n">
        <f aca="false">IFERROR(E23*F23,"")</f>
        <v>0.006</v>
      </c>
      <c r="M23" s="18" t="n">
        <v>77227</v>
      </c>
      <c r="O23" s="19" t="n">
        <f aca="false">IFERROR(LOOKUP(IF(N23="",E23,N23),{0,1,10,100,1000,2500,5000,10000,25000,50000},{0,0.1,0.072,0.0275,0.0121,0.01045,0.0087,0.00781,0.00717,0.00696}),"")</f>
        <v>0.1</v>
      </c>
      <c r="P23" s="19" t="n">
        <f aca="false">IFERROR(IF(N23="",E23,N23)*O23,"")</f>
        <v>0.1</v>
      </c>
      <c r="Q23" s="21" t="s">
        <v>130</v>
      </c>
      <c r="R23" s="18" t="n">
        <v>90000</v>
      </c>
      <c r="T23" s="19" t="n">
        <f aca="false">IFERROR(USD_GBP*LOOKUP(IF(S23="",E23,S23),{0,1,5000,25000,50000},{0,0.0085,0.0085,0.007,0.0063}),"")</f>
        <v>0.0107718806104129</v>
      </c>
      <c r="U23" s="19" t="n">
        <f aca="false">IFERROR(IF(S23="",E23,S23)*T23,"")</f>
        <v>0.0107718806104129</v>
      </c>
      <c r="V23" s="21" t="s">
        <v>131</v>
      </c>
      <c r="W23" s="18" t="n">
        <v>2600</v>
      </c>
      <c r="Y23" s="19" t="n">
        <f aca="false">IFERROR(LOOKUP(IF(X23="",E23,X23),{0,1,50,500,1500,5000,25000,50000},{0,0.01058,0.01058,0.00773,0.00721,0.00669,0.00646,0.00634}),"")</f>
        <v>0.01058</v>
      </c>
      <c r="Z23" s="19" t="n">
        <f aca="false">IFERROR(IF(X23="",E23,X23)*Y23,"")</f>
        <v>0.01058</v>
      </c>
      <c r="AA23" s="21" t="s">
        <v>132</v>
      </c>
      <c r="AB23" s="18" t="n">
        <v>54362</v>
      </c>
      <c r="AD23" s="19" t="n">
        <f aca="false">IFERROR(LOOKUP(IF(AC23="",E23,AC23),{0,1,10,100,1000,5000,10000},{0,0.1,0.072,0.028,0.013,0.013,0.01}),"")</f>
        <v>0.1</v>
      </c>
      <c r="AE23" s="19" t="n">
        <f aca="false">IFERROR(IF(AC23="",E23,AC23)*AD23,"")</f>
        <v>0.1</v>
      </c>
      <c r="AF23" s="21" t="s">
        <v>133</v>
      </c>
      <c r="AG23" s="18" t="n">
        <v>42986</v>
      </c>
      <c r="AI23" s="19" t="n">
        <f aca="false">IFERROR(LOOKUP(IF(AH23="",E23,AH23),{0,1,25,50,100,250,500,1000,5000,10000},{0,0.006,0.006,0.006,0.006,0.006,0.006,0.006,0.003,0.003}),"")</f>
        <v>0.006</v>
      </c>
      <c r="AJ23" s="19" t="n">
        <f aca="false">IFERROR(IF(AH23="",E23,AH23)*AI23,"")</f>
        <v>0.006</v>
      </c>
      <c r="AK23" s="21" t="s">
        <v>134</v>
      </c>
      <c r="AL23" s="20" t="s">
        <v>32</v>
      </c>
      <c r="AP23" s="21" t="s">
        <v>135</v>
      </c>
    </row>
    <row r="24" customFormat="false" ht="13.8" hidden="false" customHeight="false" outlineLevel="0" collapsed="false">
      <c r="A24" s="17" t="s">
        <v>136</v>
      </c>
      <c r="B24" s="17" t="s">
        <v>137</v>
      </c>
      <c r="C24" s="17" t="s">
        <v>137</v>
      </c>
      <c r="D24" s="17" t="s">
        <v>138</v>
      </c>
      <c r="E24" s="18" t="n">
        <v>1</v>
      </c>
      <c r="F24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0.01717</v>
      </c>
      <c r="G24" s="19" t="n">
        <f aca="false">IFERROR(E24*F24,"")</f>
        <v>0.01717</v>
      </c>
      <c r="M24" s="20" t="s">
        <v>32</v>
      </c>
      <c r="O24" s="19" t="n">
        <f aca="false">IFERROR(LOOKUP(IF(N24="",E24,N24),{0,1,5000},{0,0.01717,0.01717}),"")</f>
        <v>0.01717</v>
      </c>
      <c r="P24" s="19" t="n">
        <f aca="false">IFERROR(IF(N24="",E24,N24)*O24,"")</f>
        <v>0.01717</v>
      </c>
      <c r="Q24" s="21" t="s">
        <v>139</v>
      </c>
      <c r="R24" s="18" t="n">
        <v>2478</v>
      </c>
      <c r="T24" s="19" t="n">
        <f aca="false">IFERROR(USD_GBP*LOOKUP(IF(S24="",E24,S24),{0,1,10,100,150,500,1000,2500,5000,25000,50000},{0,0.0536,0.0536,0.0331,0.0331,0.0207,0.014,0.0136,0.0131,0.0127,0.0126}),"")</f>
        <v>0.0679262118491921</v>
      </c>
      <c r="U24" s="19" t="n">
        <f aca="false">IFERROR(IF(S24="",E24,S24)*T24,"")</f>
        <v>0.0679262118491921</v>
      </c>
      <c r="V24" s="21" t="s">
        <v>140</v>
      </c>
      <c r="W24" s="18" t="n">
        <v>4560</v>
      </c>
      <c r="Y24" s="19" t="n">
        <f aca="false">IFERROR(LOOKUP(IF(X24="",E24,X24),{0,1,20,200,600,2000,10000,20000},{0,0.02129,0.02129,0.01556,0.01451,0.01346,0.01299,0.01276}),"")</f>
        <v>0.02129</v>
      </c>
      <c r="Z24" s="19" t="n">
        <f aca="false">IFERROR(IF(X24="",E24,X24)*Y24,"")</f>
        <v>0.02129</v>
      </c>
      <c r="AA24" s="21" t="s">
        <v>141</v>
      </c>
      <c r="AB24" s="18" t="n">
        <v>7438</v>
      </c>
      <c r="AD24" s="19" t="n">
        <f aca="false">IFERROR(LOOKUP(IF(AC24="",E24,AC24),{0,1,10,50,100,500,1000},{0,0.14,0.077,0.064,0.043,0.029,0.02}),"")</f>
        <v>0.14</v>
      </c>
      <c r="AE24" s="19" t="n">
        <f aca="false">IFERROR(IF(AC24="",E24,AC24)*AD24,"")</f>
        <v>0.14</v>
      </c>
      <c r="AF24" s="21" t="s">
        <v>142</v>
      </c>
      <c r="AG24" s="18" t="n">
        <v>2478</v>
      </c>
      <c r="AI24" s="19" t="n">
        <f aca="false">IFERROR(LOOKUP(IF(AH24="",E24,AH24),{0,1,10,25,50,100,250,500,1000},{0,0.11,0.11,0.102,0.092,0.063,0.054,0.044,0.032}),"")</f>
        <v>0.11</v>
      </c>
      <c r="AJ24" s="19" t="n">
        <f aca="false">IFERROR(IF(AH24="",E24,AH24)*AI24,"")</f>
        <v>0.11</v>
      </c>
      <c r="AK24" s="21" t="s">
        <v>143</v>
      </c>
      <c r="AL24" s="18" t="n">
        <v>3600</v>
      </c>
      <c r="AN24" s="19" t="n">
        <f aca="false">IFERROR(USD_GBP*LOOKUP(IF(AM24="",E24,AM24),{0,1,100,500,1000,1500,2000},{0,0.034,0.034,0.029,0.026,0.022,0.017}),"")</f>
        <v>0.0430875224416517</v>
      </c>
      <c r="AO24" s="19" t="n">
        <f aca="false">IFERROR(IF(AM24="",E24,AM24)*AN24,"")</f>
        <v>0.0430875224416517</v>
      </c>
      <c r="AP24" s="21" t="s">
        <v>144</v>
      </c>
    </row>
    <row r="25" customFormat="false" ht="13.8" hidden="false" customHeight="false" outlineLevel="0" collapsed="false">
      <c r="A25" s="17" t="s">
        <v>145</v>
      </c>
      <c r="B25" s="17" t="s">
        <v>146</v>
      </c>
      <c r="C25" s="17" t="s">
        <v>146</v>
      </c>
      <c r="D25" s="17" t="s">
        <v>147</v>
      </c>
      <c r="E25" s="18" t="n">
        <v>2</v>
      </c>
      <c r="F25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0.0164746409335727</v>
      </c>
      <c r="G25" s="19" t="n">
        <f aca="false">IFERROR(E25*F25,"")</f>
        <v>0.0329492818671454</v>
      </c>
      <c r="M25" s="20" t="s">
        <v>32</v>
      </c>
      <c r="O25" s="19" t="n">
        <f aca="false">IFERROR(LOOKUP(IF(N25="",E25,N25),{0,1,5000},{0,0.01717,0.01717}),"")</f>
        <v>0.01717</v>
      </c>
      <c r="P25" s="19" t="n">
        <f aca="false">IFERROR(IF(N25="",E25,N25)*O25,"")</f>
        <v>0.03434</v>
      </c>
      <c r="Q25" s="21" t="s">
        <v>148</v>
      </c>
      <c r="R25" s="18" t="n">
        <v>788</v>
      </c>
      <c r="T25" s="19" t="n">
        <f aca="false">IFERROR(USD_GBP*LOOKUP(IF(S25="",E25,S25),{0,1,10,100,150,500,1000,2500},{0,0.101,0.101,0.0597,0.0597,0.0377,0.0236,0.0215}),"")</f>
        <v>0.127995287253142</v>
      </c>
      <c r="U25" s="19" t="n">
        <f aca="false">IFERROR(IF(S25="",E25,S25)*T25,"")</f>
        <v>0.255990574506284</v>
      </c>
      <c r="V25" s="21" t="s">
        <v>149</v>
      </c>
      <c r="W25" s="18" t="n">
        <v>8560</v>
      </c>
      <c r="Y25" s="19" t="n">
        <f aca="false">IFERROR(LOOKUP(IF(X25="",E25,X25),{0,1,20,200,600,2000,10000,20000},{0,0.02421,0.02421,0.01841,0.01735,0.01628,0.01581,0.01558}),"")</f>
        <v>0.02421</v>
      </c>
      <c r="Z25" s="19" t="n">
        <f aca="false">IFERROR(IF(X25="",E25,X25)*Y25,"")</f>
        <v>0.04842</v>
      </c>
      <c r="AA25" s="21" t="s">
        <v>150</v>
      </c>
      <c r="AB25" s="18" t="n">
        <v>6711</v>
      </c>
      <c r="AD25" s="19" t="n">
        <f aca="false">IFERROR(LOOKUP(IF(AC25="",E25,AC25),{0,1,10,50,100,500,1000},{0,0.21,0.115,0.095,0.064,0.042,0.029}),"")</f>
        <v>0.21</v>
      </c>
      <c r="AE25" s="19" t="n">
        <f aca="false">IFERROR(IF(AC25="",E25,AC25)*AD25,"")</f>
        <v>0.42</v>
      </c>
      <c r="AF25" s="21" t="s">
        <v>151</v>
      </c>
      <c r="AG25" s="18" t="n">
        <v>788</v>
      </c>
      <c r="AI25" s="19" t="n">
        <f aca="false">IFERROR(LOOKUP(IF(AH25="",E25,AH25),{0,1,10,25,50,100,250,500,1000},{0,0.163,0.163,0.149,0.135,0.092,0.077,0.062,0.044}),"")</f>
        <v>0.163</v>
      </c>
      <c r="AJ25" s="19" t="n">
        <f aca="false">IFERROR(IF(AH25="",E25,AH25)*AI25,"")</f>
        <v>0.326</v>
      </c>
      <c r="AK25" s="21" t="s">
        <v>152</v>
      </c>
      <c r="AL25" s="18" t="n">
        <v>45400</v>
      </c>
      <c r="AN25" s="19" t="n">
        <f aca="false">IFERROR(USD_GBP*LOOKUP(IF(AM25="",E25,AM25),{0,1,100},{0,0.013,0.013}),"")</f>
        <v>0.0164746409335727</v>
      </c>
      <c r="AO25" s="19" t="n">
        <f aca="false">IFERROR(IF(AM25="",E25,AM25)*AN25,"")</f>
        <v>0.0329492818671454</v>
      </c>
      <c r="AP25" s="21" t="s">
        <v>153</v>
      </c>
    </row>
    <row r="26" customFormat="false" ht="13.8" hidden="false" customHeight="false" outlineLevel="0" collapsed="false">
      <c r="A26" s="17" t="s">
        <v>154</v>
      </c>
      <c r="B26" s="17" t="s">
        <v>155</v>
      </c>
      <c r="C26" s="17" t="s">
        <v>155</v>
      </c>
      <c r="D26" s="17" t="s">
        <v>156</v>
      </c>
      <c r="E26" s="18" t="n">
        <v>2</v>
      </c>
      <c r="F26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0.02129</v>
      </c>
      <c r="G26" s="19" t="n">
        <f aca="false">IFERROR(E26*F26,"")</f>
        <v>0.04258</v>
      </c>
      <c r="R26" s="18" t="n">
        <v>6946</v>
      </c>
      <c r="T26" s="19" t="n">
        <f aca="false">IFERROR(USD_GBP*LOOKUP(IF(S26="",E26,S26),{0,1,10,100,150,500,1000,2500,5000,25000,50000},{0,0.0623,0.0623,0.0401,0.0401,0.0239,0.0166,0.0153,0.0141,0.0129,0.0126}),"")</f>
        <v>0.0789515484739677</v>
      </c>
      <c r="U26" s="19" t="n">
        <f aca="false">IFERROR(IF(S26="",E26,S26)*T26,"")</f>
        <v>0.157903096947935</v>
      </c>
      <c r="V26" s="21" t="s">
        <v>157</v>
      </c>
      <c r="W26" s="18" t="n">
        <v>2580</v>
      </c>
      <c r="Y26" s="19" t="n">
        <f aca="false">IFERROR(LOOKUP(IF(X26="",E26,X26),{0,1,20,200,600,2000,10000,20000},{0,0.02129,0.02129,0.01556,0.01451,0.01346,0.01299,0.01276}),"")</f>
        <v>0.02129</v>
      </c>
      <c r="Z26" s="19" t="n">
        <f aca="false">IFERROR(IF(X26="",E26,X26)*Y26,"")</f>
        <v>0.04258</v>
      </c>
      <c r="AA26" s="21" t="s">
        <v>158</v>
      </c>
      <c r="AB26" s="18" t="n">
        <v>22222</v>
      </c>
      <c r="AD26" s="19" t="n">
        <f aca="false">IFERROR(LOOKUP(IF(AC26="",E26,AC26),{0,1,10,50,100,500,1000},{0,0.19,0.1,0.083,0.056,0.037,0.026}),"")</f>
        <v>0.19</v>
      </c>
      <c r="AE26" s="19" t="n">
        <f aca="false">IFERROR(IF(AC26="",E26,AC26)*AD26,"")</f>
        <v>0.38</v>
      </c>
      <c r="AF26" s="21" t="s">
        <v>159</v>
      </c>
      <c r="AG26" s="18" t="n">
        <v>6946</v>
      </c>
      <c r="AI26" s="19" t="n">
        <f aca="false">IFERROR(LOOKUP(IF(AH26="",E26,AH26),{0,1,10,25,50,100,250,500,1000,5000,10000,20000,30000},{0,0.1,0.1,0.092,0.083,0.056,0.047,0.037,0.026,0.031,0.027,0.023,0.02}),"")</f>
        <v>0.1</v>
      </c>
      <c r="AJ26" s="19" t="n">
        <f aca="false">IFERROR(IF(AH26="",E26,AH26)*AI26,"")</f>
        <v>0.2</v>
      </c>
      <c r="AK26" s="21" t="s">
        <v>160</v>
      </c>
      <c r="AL26" s="18" t="n">
        <v>9000</v>
      </c>
      <c r="AN26" s="19" t="n">
        <f aca="false">IFERROR(USD_GBP*LOOKUP(IF(AM26="",E26,AM26),{0,1,100,1000},{0,0.043,0.043,0.041}),"")</f>
        <v>0.0544930430879713</v>
      </c>
      <c r="AO26" s="19" t="n">
        <f aca="false">IFERROR(IF(AM26="",E26,AM26)*AN26,"")</f>
        <v>0.108986086175943</v>
      </c>
      <c r="AP26" s="21" t="s">
        <v>161</v>
      </c>
    </row>
    <row r="27" customFormat="false" ht="13.8" hidden="false" customHeight="false" outlineLevel="0" collapsed="false">
      <c r="A27" s="17" t="s">
        <v>162</v>
      </c>
      <c r="B27" s="17" t="s">
        <v>163</v>
      </c>
      <c r="C27" s="17" t="s">
        <v>163</v>
      </c>
      <c r="D27" s="17" t="s">
        <v>164</v>
      </c>
      <c r="E27" s="18" t="n">
        <v>2</v>
      </c>
      <c r="F27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0.01717</v>
      </c>
      <c r="G27" s="19" t="n">
        <f aca="false">IFERROR(E27*F27,"")</f>
        <v>0.03434</v>
      </c>
      <c r="M27" s="20" t="s">
        <v>32</v>
      </c>
      <c r="O27" s="19" t="n">
        <f aca="false">IFERROR(LOOKUP(IF(N27="",E27,N27),{0,1,5000},{0,0.01717,0.01717}),"")</f>
        <v>0.01717</v>
      </c>
      <c r="P27" s="19" t="n">
        <f aca="false">IFERROR(IF(N27="",E27,N27)*O27,"")</f>
        <v>0.03434</v>
      </c>
      <c r="Q27" s="21" t="s">
        <v>165</v>
      </c>
      <c r="R27" s="18" t="n">
        <v>10430</v>
      </c>
      <c r="T27" s="19" t="n">
        <f aca="false">IFERROR(USD_GBP*LOOKUP(IF(S27="",E27,S27),{0,1,10,100,150,500,1000,2500},{0,0.0879,0.0879,0.0533,0.0533,0.0317,0.0208,0.0196}),"")</f>
        <v>0.111393918312388</v>
      </c>
      <c r="U27" s="19" t="n">
        <f aca="false">IFERROR(IF(S27="",E27,S27)*T27,"")</f>
        <v>0.222787836624776</v>
      </c>
      <c r="V27" s="21" t="s">
        <v>166</v>
      </c>
      <c r="W27" s="18" t="n">
        <v>2240</v>
      </c>
      <c r="Y27" s="19" t="n">
        <f aca="false">IFERROR(LOOKUP(IF(X27="",E27,X27),{0,1,20,200,600,2000,10000,20000},{0,0.02456,0.02456,0.01868,0.0176,0.01652,0.01604,0.0158}),"")</f>
        <v>0.02456</v>
      </c>
      <c r="Z27" s="19" t="n">
        <f aca="false">IFERROR(IF(X27="",E27,X27)*Y27,"")</f>
        <v>0.04912</v>
      </c>
      <c r="AA27" s="21" t="s">
        <v>167</v>
      </c>
      <c r="AB27" s="18" t="n">
        <v>6235</v>
      </c>
      <c r="AD27" s="19" t="n">
        <f aca="false">IFERROR(LOOKUP(IF(AC27="",E27,AC27),{0,1,10,50,100,500,1000},{0,0.19,0.1,0.083,0.056,0.037,0.026}),"")</f>
        <v>0.19</v>
      </c>
      <c r="AE27" s="19" t="n">
        <f aca="false">IFERROR(IF(AC27="",E27,AC27)*AD27,"")</f>
        <v>0.38</v>
      </c>
      <c r="AF27" s="21" t="s">
        <v>168</v>
      </c>
      <c r="AG27" s="18" t="n">
        <v>10180</v>
      </c>
      <c r="AI27" s="19" t="n">
        <f aca="false">IFERROR(LOOKUP(IF(AH27="",E27,AH27),{0,1,10,25,50,100,250,500,1000},{0,0.1,0.1,0.092,0.083,0.056,0.047,0.037,0.026}),"")</f>
        <v>0.1</v>
      </c>
      <c r="AJ27" s="19" t="n">
        <f aca="false">IFERROR(IF(AH27="",E27,AH27)*AI27,"")</f>
        <v>0.2</v>
      </c>
      <c r="AK27" s="21" t="s">
        <v>169</v>
      </c>
      <c r="AL27" s="18" t="n">
        <v>3700</v>
      </c>
      <c r="AN27" s="19" t="n">
        <f aca="false">IFERROR(USD_GBP*LOOKUP(IF(AM27="",E27,AM27),{0,1,100,500,1000,5000},{0,0.035,0.035,0.024,0.016,0.013}),"")</f>
        <v>0.044354802513465</v>
      </c>
      <c r="AO27" s="19" t="n">
        <f aca="false">IFERROR(IF(AM27="",E27,AM27)*AN27,"")</f>
        <v>0.08870960502693</v>
      </c>
      <c r="AP27" s="21" t="s">
        <v>170</v>
      </c>
    </row>
    <row r="28" customFormat="false" ht="13.8" hidden="false" customHeight="false" outlineLevel="0" collapsed="false">
      <c r="A28" s="17" t="s">
        <v>171</v>
      </c>
      <c r="B28" s="17" t="s">
        <v>172</v>
      </c>
      <c r="C28" s="17" t="s">
        <v>172</v>
      </c>
      <c r="D28" s="17" t="s">
        <v>173</v>
      </c>
      <c r="E28" s="18" t="n">
        <v>1</v>
      </c>
      <c r="F28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0.01717</v>
      </c>
      <c r="G28" s="19" t="n">
        <f aca="false">IFERROR(E28*F28,"")</f>
        <v>0.01717</v>
      </c>
      <c r="M28" s="20" t="s">
        <v>32</v>
      </c>
      <c r="O28" s="19" t="n">
        <f aca="false">IFERROR(LOOKUP(IF(N28="",E28,N28),{0,1,5000},{0,0.01717,0.01717}),"")</f>
        <v>0.01717</v>
      </c>
      <c r="P28" s="19" t="n">
        <f aca="false">IFERROR(IF(N28="",E28,N28)*O28,"")</f>
        <v>0.01717</v>
      </c>
      <c r="Q28" s="21" t="s">
        <v>174</v>
      </c>
      <c r="R28" s="20" t="s">
        <v>32</v>
      </c>
      <c r="T28" s="19" t="n">
        <f aca="false">IFERROR(USD_GBP*LOOKUP(IF(S28="",E28,S28),{0,1,10,100,150,500,1000,2500,5000,25000},{0,0.0906,0.0906,0.0566,0.0566,0.0332,0.0241,0.0224,0.0186,0.0147}),"")</f>
        <v>0.114815574506284</v>
      </c>
      <c r="U28" s="19" t="n">
        <f aca="false">IFERROR(IF(S28="",E28,S28)*T28,"")</f>
        <v>0.114815574506284</v>
      </c>
      <c r="V28" s="21" t="s">
        <v>175</v>
      </c>
      <c r="W28" s="18" t="n">
        <v>1340</v>
      </c>
      <c r="Y28" s="19" t="n">
        <f aca="false">IFERROR(LOOKUP(IF(X28="",E28,X28),{0,1,20,200,600,2000,10000,20000},{0,0.02129,0.02129,0.01556,0.01451,0.01346,0.01299,0.01276}),"")</f>
        <v>0.02129</v>
      </c>
      <c r="Z28" s="19" t="n">
        <f aca="false">IFERROR(IF(X28="",E28,X28)*Y28,"")</f>
        <v>0.02129</v>
      </c>
      <c r="AA28" s="21" t="s">
        <v>176</v>
      </c>
      <c r="AB28" s="18" t="n">
        <v>9471</v>
      </c>
      <c r="AD28" s="19" t="n">
        <f aca="false">IFERROR(LOOKUP(IF(AC28="",E28,AC28),{0,1,10,50,100,500,1000},{0,0.21,0.115,0.095,0.064,0.042,0.029}),"")</f>
        <v>0.21</v>
      </c>
      <c r="AE28" s="19" t="n">
        <f aca="false">IFERROR(IF(AC28="",E28,AC28)*AD28,"")</f>
        <v>0.21</v>
      </c>
      <c r="AF28" s="21" t="s">
        <v>177</v>
      </c>
      <c r="AG28" s="20" t="s">
        <v>32</v>
      </c>
      <c r="AI28" s="19" t="n">
        <f aca="false">IFERROR(LOOKUP(IF(AH28="",E28,AH28),{0,1,10,25,50,100,500,1000,2500,5000},{0,0.166,0.089,0.073,0.058,0.04,0.031,0.025,0.02,0.02}),"")</f>
        <v>0.166</v>
      </c>
      <c r="AJ28" s="19" t="n">
        <f aca="false">IFERROR(IF(AH28="",E28,AH28)*AI28,"")</f>
        <v>0.166</v>
      </c>
      <c r="AK28" s="21" t="s">
        <v>178</v>
      </c>
      <c r="AL28" s="18" t="n">
        <v>3500</v>
      </c>
      <c r="AN28" s="19" t="n">
        <f aca="false">IFERROR(USD_GBP*LOOKUP(IF(AM28="",E28,AM28),{0,1,100,1000},{0,0.039,0.039,0.037}),"")</f>
        <v>0.0494239228007182</v>
      </c>
      <c r="AO28" s="19" t="n">
        <f aca="false">IFERROR(IF(AM28="",E28,AM28)*AN28,"")</f>
        <v>0.0494239228007182</v>
      </c>
      <c r="AP28" s="21" t="s">
        <v>179</v>
      </c>
    </row>
    <row r="29" customFormat="false" ht="13.8" hidden="false" customHeight="false" outlineLevel="0" collapsed="false">
      <c r="A29" s="17" t="s">
        <v>180</v>
      </c>
      <c r="B29" s="17" t="s">
        <v>181</v>
      </c>
      <c r="C29" s="17" t="s">
        <v>181</v>
      </c>
      <c r="D29" s="17" t="s">
        <v>182</v>
      </c>
      <c r="E29" s="18" t="n">
        <v>2</v>
      </c>
      <c r="F29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0.02</v>
      </c>
      <c r="G29" s="19" t="n">
        <f aca="false">IFERROR(E29*F29,"")</f>
        <v>0.04</v>
      </c>
      <c r="R29" s="20" t="s">
        <v>32</v>
      </c>
      <c r="T29" s="19" t="n">
        <f aca="false">IFERROR(USD_GBP*LOOKUP(IF(S29="",E29,S29),{0,1,10,100,150,500,1000,2500,5000,25000},{0,0.0687,0.0687,0.0435,0.0435,0.0253,0.0173,0.0161,0.0145,0.0141}),"")</f>
        <v>0.0870621409335728</v>
      </c>
      <c r="U29" s="19" t="n">
        <f aca="false">IFERROR(IF(S29="",E29,S29)*T29,"")</f>
        <v>0.174124281867145</v>
      </c>
      <c r="V29" s="21" t="s">
        <v>183</v>
      </c>
      <c r="W29" s="18" t="n">
        <v>6500</v>
      </c>
      <c r="Y29" s="19" t="n">
        <f aca="false">IFERROR(LOOKUP(IF(X29="",E29,X29),{0,1,20,200,600,2000,10000,20000},{0,0.02164,0.02164,0.0159,0.01485,0.0138,0.01333,0.0131}),"")</f>
        <v>0.02164</v>
      </c>
      <c r="Z29" s="19" t="n">
        <f aca="false">IFERROR(IF(X29="",E29,X29)*Y29,"")</f>
        <v>0.04328</v>
      </c>
      <c r="AA29" s="21" t="s">
        <v>184</v>
      </c>
      <c r="AB29" s="18" t="n">
        <v>24283</v>
      </c>
      <c r="AD29" s="19" t="n">
        <f aca="false">IFERROR(LOOKUP(IF(AC29="",E29,AC29),{0,1,10,50,100,500,1000},{0,0.13,0.077,0.064,0.043,0.029,0.02}),"")</f>
        <v>0.13</v>
      </c>
      <c r="AE29" s="19" t="n">
        <f aca="false">IFERROR(IF(AC29="",E29,AC29)*AD29,"")</f>
        <v>0.26</v>
      </c>
      <c r="AF29" s="21" t="s">
        <v>185</v>
      </c>
      <c r="AG29" s="20" t="s">
        <v>32</v>
      </c>
      <c r="AI29" s="19" t="n">
        <f aca="false">IFERROR(LOOKUP(IF(AH29="",E29,AH29),{0,1,5000},{0,0.02,0.02}),"")</f>
        <v>0.02</v>
      </c>
      <c r="AJ29" s="19" t="n">
        <f aca="false">IFERROR(IF(AH29="",E29,AH29)*AI29,"")</f>
        <v>0.04</v>
      </c>
      <c r="AK29" s="21" t="s">
        <v>186</v>
      </c>
      <c r="AL29" s="18" t="n">
        <v>7700</v>
      </c>
      <c r="AN29" s="19" t="n">
        <f aca="false">IFERROR(USD_GBP*LOOKUP(IF(AM29="",E29,AM29),{0,1,100,1000,2500},{0,0.033,0.033,0.016,0.016}),"")</f>
        <v>0.0418202423698384</v>
      </c>
      <c r="AO29" s="19" t="n">
        <f aca="false">IFERROR(IF(AM29="",E29,AM29)*AN29,"")</f>
        <v>0.0836404847396769</v>
      </c>
      <c r="AP29" s="21" t="s">
        <v>187</v>
      </c>
    </row>
    <row r="30" customFormat="false" ht="13.8" hidden="false" customHeight="false" outlineLevel="0" collapsed="false">
      <c r="A30" s="17" t="s">
        <v>188</v>
      </c>
      <c r="B30" s="17" t="s">
        <v>189</v>
      </c>
      <c r="C30" s="17" t="s">
        <v>189</v>
      </c>
      <c r="D30" s="17" t="s">
        <v>190</v>
      </c>
      <c r="E30" s="18" t="n">
        <v>2</v>
      </c>
      <c r="F30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0.01717</v>
      </c>
      <c r="G30" s="19" t="n">
        <f aca="false">IFERROR(E30*F30,"")</f>
        <v>0.03434</v>
      </c>
      <c r="M30" s="20" t="s">
        <v>32</v>
      </c>
      <c r="O30" s="19" t="n">
        <f aca="false">IFERROR(LOOKUP(IF(N30="",E30,N30),{0,1,5000},{0,0.01717,0.01717}),"")</f>
        <v>0.01717</v>
      </c>
      <c r="P30" s="19" t="n">
        <f aca="false">IFERROR(IF(N30="",E30,N30)*O30,"")</f>
        <v>0.03434</v>
      </c>
      <c r="Q30" s="21" t="s">
        <v>191</v>
      </c>
      <c r="R30" s="18" t="n">
        <v>4700</v>
      </c>
      <c r="T30" s="19" t="n">
        <f aca="false">IFERROR(USD_GBP*LOOKUP(IF(S30="",E30,S30),{0,1,10,100,150,500,1000,2500},{0,0.0674,0.0674,0.0426,0.0426,0.0248,0.017,0.0158}),"")</f>
        <v>0.0854146768402155</v>
      </c>
      <c r="U30" s="19" t="n">
        <f aca="false">IFERROR(IF(S30="",E30,S30)*T30,"")</f>
        <v>0.170829353680431</v>
      </c>
      <c r="V30" s="21" t="s">
        <v>192</v>
      </c>
      <c r="W30" s="18" t="n">
        <v>12820</v>
      </c>
      <c r="Y30" s="19" t="n">
        <f aca="false">IFERROR(LOOKUP(IF(X30="",E30,X30),{0,1,20,200,600,2000,10000,20000},{0,0.02289,0.02289,0.01714,0.01608,0.01502,0.01455,0.01432}),"")</f>
        <v>0.02289</v>
      </c>
      <c r="Z30" s="19" t="n">
        <f aca="false">IFERROR(IF(X30="",E30,X30)*Y30,"")</f>
        <v>0.04578</v>
      </c>
      <c r="AA30" s="21" t="s">
        <v>193</v>
      </c>
      <c r="AB30" s="18" t="n">
        <v>12048</v>
      </c>
      <c r="AD30" s="19" t="n">
        <f aca="false">IFERROR(LOOKUP(IF(AC30="",E30,AC30),{0,1,10,50,100,500,1000},{0,0.13,0.077,0.064,0.043,0.029,0.02}),"")</f>
        <v>0.13</v>
      </c>
      <c r="AE30" s="19" t="n">
        <f aca="false">IFERROR(IF(AC30="",E30,AC30)*AD30,"")</f>
        <v>0.26</v>
      </c>
      <c r="AF30" s="21" t="s">
        <v>194</v>
      </c>
      <c r="AG30" s="18" t="n">
        <v>4700</v>
      </c>
      <c r="AI30" s="19" t="n">
        <f aca="false">IFERROR(LOOKUP(IF(AH30="",E30,AH30),{0,1,10,25,50,100,250,500,1000},{0,0.11,0.11,0.102,0.092,0.063,0.054,0.044,0.032}),"")</f>
        <v>0.11</v>
      </c>
      <c r="AJ30" s="19" t="n">
        <f aca="false">IFERROR(IF(AH30="",E30,AH30)*AI30,"")</f>
        <v>0.22</v>
      </c>
      <c r="AK30" s="21" t="s">
        <v>195</v>
      </c>
      <c r="AL30" s="18" t="n">
        <v>27800</v>
      </c>
      <c r="AN30" s="19" t="n">
        <f aca="false">IFERROR(USD_GBP*LOOKUP(IF(AM30="",E30,AM30),{0,1,100,500,1000,2500,4000},{0,0.034,0.034,0.029,0.025,0.022,0.018}),"")</f>
        <v>0.0430875224416517</v>
      </c>
      <c r="AO30" s="19" t="n">
        <f aca="false">IFERROR(IF(AM30="",E30,AM30)*AN30,"")</f>
        <v>0.0861750448833035</v>
      </c>
      <c r="AP30" s="21" t="s">
        <v>196</v>
      </c>
    </row>
    <row r="31" customFormat="false" ht="13.8" hidden="false" customHeight="false" outlineLevel="0" collapsed="false">
      <c r="A31" s="17" t="s">
        <v>197</v>
      </c>
      <c r="B31" s="17" t="s">
        <v>198</v>
      </c>
      <c r="C31" s="17" t="s">
        <v>198</v>
      </c>
      <c r="D31" s="17" t="s">
        <v>199</v>
      </c>
      <c r="E31" s="18" t="n">
        <v>4</v>
      </c>
      <c r="F31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0.01717</v>
      </c>
      <c r="G31" s="19" t="n">
        <f aca="false">IFERROR(E31*F31,"")</f>
        <v>0.06868</v>
      </c>
      <c r="M31" s="20" t="s">
        <v>32</v>
      </c>
      <c r="O31" s="19" t="n">
        <f aca="false">IFERROR(LOOKUP(IF(N31="",E31,N31),{0,1,5000},{0,0.01717,0.01717}),"")</f>
        <v>0.01717</v>
      </c>
      <c r="P31" s="19" t="n">
        <f aca="false">IFERROR(IF(N31="",E31,N31)*O31,"")</f>
        <v>0.06868</v>
      </c>
      <c r="Q31" s="21" t="s">
        <v>200</v>
      </c>
      <c r="R31" s="18" t="n">
        <v>184</v>
      </c>
      <c r="T31" s="19" t="n">
        <f aca="false">IFERROR(USD_GBP*LOOKUP(IF(S31="",E31,S31),{0,1,10,100,150,500,1000,2500,5000,25000},{0,0.0874,0.0874,0.0526,0.0526,0.0309,0.021,0.0195,0.018,0.0164}),"")</f>
        <v>0.110760278276481</v>
      </c>
      <c r="U31" s="19" t="n">
        <f aca="false">IFERROR(IF(S31="",E31,S31)*T31,"")</f>
        <v>0.443041113105925</v>
      </c>
      <c r="V31" s="21" t="s">
        <v>201</v>
      </c>
      <c r="W31" s="18" t="n">
        <v>2820</v>
      </c>
      <c r="Y31" s="19" t="n">
        <f aca="false">IFERROR(LOOKUP(IF(X31="",E31,X31),{0,1,20,200,600,2000,10000,20000},{0,0.02129,0.02129,0.01556,0.01451,0.01346,0.01299,0.01276}),"")</f>
        <v>0.02129</v>
      </c>
      <c r="Z31" s="19" t="n">
        <f aca="false">IFERROR(IF(X31="",E31,X31)*Y31,"")</f>
        <v>0.08516</v>
      </c>
      <c r="AA31" s="21" t="s">
        <v>202</v>
      </c>
      <c r="AB31" s="18" t="n">
        <v>6850</v>
      </c>
      <c r="AD31" s="19" t="n">
        <f aca="false">IFERROR(LOOKUP(IF(AC31="",E31,AC31),{0,1,10,50,100,500,1000},{0,0.19,0.1,0.083,0.056,0.037,0.026}),"")</f>
        <v>0.19</v>
      </c>
      <c r="AE31" s="19" t="n">
        <f aca="false">IFERROR(IF(AC31="",E31,AC31)*AD31,"")</f>
        <v>0.76</v>
      </c>
      <c r="AF31" s="21" t="s">
        <v>203</v>
      </c>
      <c r="AG31" s="18" t="n">
        <v>184</v>
      </c>
      <c r="AI31" s="19" t="n">
        <f aca="false">IFERROR(LOOKUP(IF(AH31="",E31,AH31),{0,1,10,25,50,100,250,500,1000},{0,0.142,0.142,0.131,0.119,0.081,0.069,0.055,0.04}),"")</f>
        <v>0.142</v>
      </c>
      <c r="AJ31" s="19" t="n">
        <f aca="false">IFERROR(IF(AH31="",E31,AH31)*AI31,"")</f>
        <v>0.568</v>
      </c>
      <c r="AK31" s="21" t="s">
        <v>204</v>
      </c>
      <c r="AL31" s="18" t="n">
        <v>6400</v>
      </c>
      <c r="AN31" s="19" t="n">
        <f aca="false">IFERROR(USD_GBP*LOOKUP(IF(AM31="",E31,AM31),{0,1,100,1000},{0,0.042,0.042,0.039}),"")</f>
        <v>0.053225763016158</v>
      </c>
      <c r="AO31" s="19" t="n">
        <f aca="false">IFERROR(IF(AM31="",E31,AM31)*AN31,"")</f>
        <v>0.212903052064632</v>
      </c>
      <c r="AP31" s="21" t="s">
        <v>205</v>
      </c>
    </row>
    <row r="32" customFormat="false" ht="13.8" hidden="false" customHeight="false" outlineLevel="0" collapsed="false">
      <c r="A32" s="17" t="s">
        <v>206</v>
      </c>
      <c r="B32" s="17" t="s">
        <v>207</v>
      </c>
      <c r="C32" s="17" t="s">
        <v>207</v>
      </c>
      <c r="D32" s="17" t="s">
        <v>207</v>
      </c>
      <c r="E32" s="18" t="n">
        <v>1</v>
      </c>
      <c r="F32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5.08</v>
      </c>
      <c r="G32" s="19" t="n">
        <f aca="false">IFERROR(E32*F32,"")</f>
        <v>5.08</v>
      </c>
      <c r="M32" s="18" t="n">
        <v>224</v>
      </c>
      <c r="O32" s="19" t="n">
        <f aca="false">IFERROR(LOOKUP(IF(N32="",E32,N32),{0,1,5,10,25,50,100,250,500,1000},{0,5.08,5.05,5.02,4.96,4.84,4.6,4.30004,4.01002,3.99}),"")</f>
        <v>5.08</v>
      </c>
      <c r="P32" s="19" t="n">
        <f aca="false">IFERROR(IF(N32="",E32,N32)*O32,"")</f>
        <v>5.08</v>
      </c>
      <c r="Q32" s="21" t="s">
        <v>208</v>
      </c>
      <c r="R32" s="18" t="n">
        <v>141</v>
      </c>
      <c r="T32" s="19" t="n">
        <f aca="false">IFERROR(USD_GBP*LOOKUP(IF(S32="",E32,S32),{0,1,10,25,100,150},{0,4.23,4.2,4.05,3.86,3.36}),"")</f>
        <v>5.3605947037702</v>
      </c>
      <c r="U32" s="19" t="n">
        <f aca="false">IFERROR(IF(S32="",E32,S32)*T32,"")</f>
        <v>5.3605947037702</v>
      </c>
      <c r="V32" s="21" t="s">
        <v>209</v>
      </c>
      <c r="AB32" s="18" t="n">
        <v>332</v>
      </c>
      <c r="AD32" s="19" t="n">
        <f aca="false">IFERROR(LOOKUP(IF(AC32="",E32,AC32),{0,1,5,10,25,50,100},{0,8.05,7.75,7.54,7.35,7.35,7.35}),"")</f>
        <v>8.05</v>
      </c>
      <c r="AE32" s="19" t="n">
        <f aca="false">IFERROR(IF(AC32="",E32,AC32)*AD32,"")</f>
        <v>8.05</v>
      </c>
      <c r="AF32" s="21" t="s">
        <v>210</v>
      </c>
      <c r="AG32" s="18" t="n">
        <v>19</v>
      </c>
      <c r="AI32" s="19" t="n">
        <f aca="false">IFERROR(LOOKUP(IF(AH32="",E32,AH32),{0,1,5,10,25,50,100,250},{0,5.37,5.34,5.32,5.26,5.14,4.9,4.6}),"")</f>
        <v>5.37</v>
      </c>
      <c r="AJ32" s="19" t="n">
        <f aca="false">IFERROR(IF(AH32="",E32,AH32)*AI32,"")</f>
        <v>5.37</v>
      </c>
      <c r="AK32" s="21" t="s">
        <v>211</v>
      </c>
      <c r="AL32" s="18" t="n">
        <v>143</v>
      </c>
      <c r="AN32" s="19" t="n">
        <f aca="false">IFERROR(USD_GBP*LOOKUP(IF(AM32="",E32,AM32),{0,1,5,10,25,50},{0,7.17,6.89,6.75,6.59,6.44}),"")</f>
        <v>9.08639811490126</v>
      </c>
      <c r="AO32" s="19" t="n">
        <f aca="false">IFERROR(IF(AM32="",E32,AM32)*AN32,"")</f>
        <v>9.08639811490126</v>
      </c>
      <c r="AP32" s="21" t="s">
        <v>212</v>
      </c>
    </row>
    <row r="33" customFormat="false" ht="13.8" hidden="false" customHeight="false" outlineLevel="0" collapsed="false">
      <c r="A33" s="17" t="s">
        <v>213</v>
      </c>
      <c r="B33" s="17" t="s">
        <v>214</v>
      </c>
      <c r="C33" s="17" t="s">
        <v>214</v>
      </c>
      <c r="D33" s="17" t="s">
        <v>215</v>
      </c>
      <c r="E33" s="18" t="n">
        <v>1</v>
      </c>
      <c r="F33" s="19" t="n">
        <f aca="true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12.1912342908438</v>
      </c>
      <c r="G33" s="19" t="n">
        <f aca="false">IFERROR(E33*F33,"")</f>
        <v>12.1912342908438</v>
      </c>
      <c r="M33" s="18" t="n">
        <v>230</v>
      </c>
      <c r="O33" s="19" t="n">
        <f aca="false">IFERROR(LOOKUP(IF(N33="",E33,N33),{0,1,10,25,100},{0,13.52,12.423,11.9084,9.9774}),"")</f>
        <v>13.52</v>
      </c>
      <c r="P33" s="19" t="n">
        <f aca="false">IFERROR(IF(N33="",E33,N33)*O33,"")</f>
        <v>13.52</v>
      </c>
      <c r="Q33" s="21" t="s">
        <v>216</v>
      </c>
      <c r="R33" s="20" t="s">
        <v>32</v>
      </c>
      <c r="T33" s="19" t="n">
        <f aca="false">IFERROR(USD_GBP*LOOKUP(IF(S33="",E33,S33),{0,1},{0,9.62}),"")</f>
        <v>12.1912342908438</v>
      </c>
      <c r="U33" s="19" t="n">
        <f aca="false">IFERROR(IF(S33="",E33,S33)*T33,"")</f>
        <v>12.1912342908438</v>
      </c>
      <c r="V33" s="21" t="s">
        <v>217</v>
      </c>
      <c r="AL33" s="20" t="s">
        <v>32</v>
      </c>
      <c r="AP33" s="21" t="s">
        <v>218</v>
      </c>
    </row>
    <row r="35" customFormat="false" ht="15" hidden="false" customHeight="false" outlineLevel="0" collapsed="false">
      <c r="B35" s="22" t="s">
        <v>219</v>
      </c>
      <c r="F35" s="1" t="s">
        <v>220</v>
      </c>
      <c r="G35" s="5" t="n">
        <f aca="true"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35" s="6" t="n">
        <f aca="false">IFERROR(IF(OR(I7:I33),COUNTIFS(I7:I33,"&gt;0",K7:K33,"&lt;&gt;")&amp;" of "&amp;(ROWS(K7:K33)-COUNTBLANK(K7:K33))&amp;" parts purchased",""),"")</f>
        <v>0</v>
      </c>
      <c r="K35" s="5" t="n">
        <f aca="false">SUMIF(I7:I33,"&gt;0",K7:K33)</f>
        <v>0</v>
      </c>
      <c r="N35" s="6" t="str">
        <f aca="false">IFERROR(IF(OR(N7:N33),COUNTIFS(N7:N33,"&gt;0",P7:P33,"&lt;&gt;")&amp;" of "&amp;(ROWS(P7:P33)-COUNTBLANK(P7:P33))&amp;" parts purchased",""),"")</f>
        <v/>
      </c>
      <c r="P35" s="5" t="n">
        <f aca="false">SUMIF(N7:N33,"&gt;0",P7:P33)</f>
        <v>0</v>
      </c>
      <c r="S35" s="6" t="str">
        <f aca="false">IFERROR(IF(OR(S7:S33),COUNTIFS(S7:S33,"&gt;0",U7:U33,"&lt;&gt;")&amp;" of "&amp;(ROWS(U7:U33)-COUNTBLANK(U7:U33))&amp;" parts purchased",""),"")</f>
        <v/>
      </c>
      <c r="U35" s="5" t="n">
        <f aca="false">SUMIF(S7:S33,"&gt;0",U7:U33)</f>
        <v>0</v>
      </c>
      <c r="X35" s="6" t="str">
        <f aca="false">IFERROR(IF(OR(X7:X33),COUNTIFS(X7:X33,"&gt;0",Z7:Z33,"&lt;&gt;")&amp;" of "&amp;(ROWS(Z7:Z33)-COUNTBLANK(Z7:Z33))&amp;" parts purchased",""),"")</f>
        <v/>
      </c>
      <c r="Z35" s="5" t="n">
        <f aca="false">SUMIF(X7:X33,"&gt;0",Z7:Z33)</f>
        <v>0</v>
      </c>
      <c r="AC35" s="6" t="str">
        <f aca="false">IFERROR(IF(OR(AC7:AC33),COUNTIFS(AC7:AC33,"&gt;0",AE7:AE33,"&lt;&gt;")&amp;" of "&amp;(ROWS(AE7:AE33)-COUNTBLANK(AE7:AE33))&amp;" parts purchased",""),"")</f>
        <v/>
      </c>
      <c r="AE35" s="5" t="n">
        <f aca="false">SUMIF(AC7:AC33,"&gt;0",AE7:AE33)</f>
        <v>0</v>
      </c>
      <c r="AH35" s="6" t="str">
        <f aca="false">IFERROR(IF(OR(AH7:AH33),COUNTIFS(AH7:AH33,"&gt;0",AJ7:AJ33,"&lt;&gt;")&amp;" of "&amp;(ROWS(AJ7:AJ33)-COUNTBLANK(AJ7:AJ33))&amp;" parts purchased",""),"")</f>
        <v/>
      </c>
      <c r="AJ35" s="5" t="n">
        <f aca="false">SUMIF(AH7:AH33,"&gt;0",AJ7:AJ33)</f>
        <v>0</v>
      </c>
      <c r="AM35" s="6" t="str">
        <f aca="false">IFERROR(IF(OR(AM7:AM33),COUNTIFS(AM7:AM33,"&gt;0",AO7:AO33,"&lt;&gt;")&amp;" of "&amp;(ROWS(AO7:AO33)-COUNTBLANK(AO7:AO33))&amp;" parts purchased",""),"")</f>
        <v/>
      </c>
      <c r="AO35" s="5" t="n">
        <f aca="false">SUMIF(AM7:AM33,"&gt;0",AO7:AO33)</f>
        <v>0</v>
      </c>
      <c r="AR35" s="6" t="str">
        <f aca="false">IFERROR(IF(OR(AR7:AR33),COUNTIFS(AR7:AR33,"&gt;0",AT7:AT33,"&lt;&gt;")&amp;" of "&amp;(ROWS(AT7:AT33)-COUNTBLANK(AT7:AT33))&amp;" parts purchased",""),"")</f>
        <v/>
      </c>
      <c r="AT35" s="5" t="n">
        <f aca="false">SUMIF(AR7:AR33,"&gt;0",AT7:AT33)</f>
        <v>0</v>
      </c>
    </row>
    <row r="36" customFormat="false" ht="15" hidden="false" customHeight="false" outlineLevel="0" collapsed="false">
      <c r="B36" s="22" t="s">
        <v>221</v>
      </c>
      <c r="C36" s="0" t="n">
        <v>1.26728007181329</v>
      </c>
      <c r="F36" s="22" t="s">
        <v>222</v>
      </c>
      <c r="I36" s="0" t="str">
        <f aca="false" t="array" ref="I36:I36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36" s="0" t="str">
        <f aca="false" t="array" ref="N36:N36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36" s="0" t="str">
        <f aca="false" t="array" ref="S36:S36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36" s="6" t="str">
        <f aca="false">IFERROR(IF(COUNTIFS(X7:X33,"&gt;0",Z7:Z33,"&lt;&gt;")&gt;0,"Quantity,Comment,Designator,Footprint,LCSC Part #(optional)",""),"")</f>
        <v/>
      </c>
      <c r="AC36" s="0" t="str">
        <f aca="false" t="array" ref="AC36:AC36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36" s="0" t="str">
        <f aca="false" t="array" ref="AH36:AH36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36" s="0" t="str">
        <f aca="false" t="array" ref="AM36:AM36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36" s="0" t="str">
        <f aca="false" t="array" ref="AR36:AR36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37" customFormat="false" ht="15" hidden="false" customHeight="false" outlineLevel="0" collapsed="false">
      <c r="I37" s="0" t="str">
        <f aca="false" t="array" ref="I37:I37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37" s="0" t="str">
        <f aca="false" t="array" ref="N37:N37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37" s="0" t="str">
        <f aca="false" t="array" ref="S37:S37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37" s="0" t="str">
        <f aca="false" t="array" ref="X37:X37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37" s="0" t="str">
        <f aca="false" t="array" ref="AC37:AC37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37" s="0" t="str">
        <f aca="false" t="array" ref="AH37:AH37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37" s="0" t="str">
        <f aca="false" t="array" ref="AM37:AM37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37" s="0" t="str">
        <f aca="false" t="array" ref="AR37:AR37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38" customFormat="false" ht="15" hidden="false" customHeight="false" outlineLevel="0" collapsed="false">
      <c r="A38" s="2" t="s">
        <v>223</v>
      </c>
      <c r="I38" s="0" t="str">
        <f aca="false" t="array" ref="I38:I38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38" s="0" t="str">
        <f aca="false" t="array" ref="N38:N38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38" s="0" t="str">
        <f aca="false" t="array" ref="S38:S38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38" s="0" t="str">
        <f aca="false" t="array" ref="X38:X38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38" s="0" t="str">
        <f aca="false" t="array" ref="AC38:AC38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38" s="0" t="str">
        <f aca="false" t="array" ref="AH38:AH38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38" s="0" t="str">
        <f aca="false" t="array" ref="AM38:AM38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38" s="0" t="str">
        <f aca="false" t="array" ref="AR38:AR38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39" customFormat="false" ht="15" hidden="false" customHeight="false" outlineLevel="0" collapsed="false">
      <c r="I39" s="0" t="str">
        <f aca="false" t="array" ref="I39:I39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39" s="0" t="str">
        <f aca="false" t="array" ref="N39:N39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39" s="0" t="str">
        <f aca="false" t="array" ref="S39:S39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39" s="0" t="str">
        <f aca="false" t="array" ref="X39:X39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39" s="0" t="str">
        <f aca="false" t="array" ref="AC39:AC39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39" s="0" t="str">
        <f aca="false" t="array" ref="AH39:AH39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39" s="0" t="str">
        <f aca="false" t="array" ref="AM39:AM39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39" s="0" t="str">
        <f aca="false" t="array" ref="AR39:AR39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40" customFormat="false" ht="15" hidden="false" customHeight="false" outlineLevel="0" collapsed="false">
      <c r="I40" s="0" t="str">
        <f aca="false" t="array" ref="I40:I40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40" s="0" t="str">
        <f aca="false" t="array" ref="N40:N40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40" s="0" t="str">
        <f aca="false" t="array" ref="S40:S40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40" s="0" t="str">
        <f aca="false" t="array" ref="X40:X40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40" s="0" t="str">
        <f aca="false" t="array" ref="AC40:AC40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40" s="0" t="str">
        <f aca="false" t="array" ref="AH40:AH40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40" s="0" t="str">
        <f aca="false" t="array" ref="AM40:AM40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40" s="0" t="str">
        <f aca="false" t="array" ref="AR40:AR40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41" customFormat="false" ht="15" hidden="false" customHeight="false" outlineLevel="0" collapsed="false">
      <c r="I41" s="0" t="str">
        <f aca="false" t="array" ref="I41:I41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41" s="0" t="str">
        <f aca="false" t="array" ref="N41:N41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41" s="0" t="str">
        <f aca="false" t="array" ref="S41:S41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41" s="0" t="str">
        <f aca="false" t="array" ref="X41:X41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41" s="0" t="str">
        <f aca="false" t="array" ref="AC41:AC41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41" s="0" t="str">
        <f aca="false" t="array" ref="AH41:AH41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41" s="0" t="str">
        <f aca="false" t="array" ref="AM41:AM41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41" s="0" t="str">
        <f aca="false" t="array" ref="AR41:AR41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42" customFormat="false" ht="15" hidden="false" customHeight="false" outlineLevel="0" collapsed="false">
      <c r="I42" s="0" t="str">
        <f aca="false" t="array" ref="I42:I42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42" s="0" t="str">
        <f aca="false" t="array" ref="N42:N42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42" s="0" t="str">
        <f aca="false" t="array" ref="S42:S42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42" s="0" t="str">
        <f aca="false" t="array" ref="X42:X42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42" s="0" t="str">
        <f aca="false" t="array" ref="AC42:AC42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42" s="0" t="str">
        <f aca="false" t="array" ref="AH42:AH42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42" s="0" t="str">
        <f aca="false" t="array" ref="AM42:AM42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42" s="0" t="str">
        <f aca="false" t="array" ref="AR42:AR42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43" customFormat="false" ht="15" hidden="false" customHeight="false" outlineLevel="0" collapsed="false">
      <c r="I43" s="0" t="str">
        <f aca="false" t="array" ref="I43:I43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43" s="0" t="str">
        <f aca="false" t="array" ref="N43:N43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43" s="0" t="str">
        <f aca="false" t="array" ref="S43:S43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43" s="0" t="str">
        <f aca="false" t="array" ref="X43:X43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43" s="0" t="str">
        <f aca="false" t="array" ref="AC43:AC43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43" s="0" t="str">
        <f aca="false" t="array" ref="AH43:AH43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43" s="0" t="str">
        <f aca="false" t="array" ref="AM43:AM43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43" s="0" t="str">
        <f aca="false" t="array" ref="AR43:AR43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44" customFormat="false" ht="15" hidden="false" customHeight="false" outlineLevel="0" collapsed="false">
      <c r="I44" s="0" t="str">
        <f aca="false" t="array" ref="I44:I44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44" s="0" t="str">
        <f aca="false" t="array" ref="N44:N44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44" s="0" t="str">
        <f aca="false" t="array" ref="S44:S44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44" s="0" t="str">
        <f aca="false" t="array" ref="X44:X44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44" s="0" t="str">
        <f aca="false" t="array" ref="AC44:AC44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44" s="0" t="str">
        <f aca="false" t="array" ref="AH44:AH44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44" s="0" t="str">
        <f aca="false" t="array" ref="AM44:AM44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44" s="0" t="str">
        <f aca="false" t="array" ref="AR44:AR44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45" customFormat="false" ht="15" hidden="false" customHeight="false" outlineLevel="0" collapsed="false">
      <c r="I45" s="0" t="str">
        <f aca="false" t="array" ref="I45:I45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45" s="0" t="str">
        <f aca="false" t="array" ref="N45:N45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45" s="0" t="str">
        <f aca="false" t="array" ref="S45:S45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45" s="0" t="str">
        <f aca="false" t="array" ref="X45:X45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45" s="0" t="str">
        <f aca="false" t="array" ref="AC45:AC45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45" s="0" t="str">
        <f aca="false" t="array" ref="AH45:AH45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45" s="0" t="str">
        <f aca="false" t="array" ref="AM45:AM45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45" s="0" t="str">
        <f aca="false" t="array" ref="AR45:AR45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46" customFormat="false" ht="15" hidden="false" customHeight="false" outlineLevel="0" collapsed="false">
      <c r="I46" s="0" t="str">
        <f aca="false" t="array" ref="I46:I46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46" s="0" t="str">
        <f aca="false" t="array" ref="N46:N46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46" s="0" t="str">
        <f aca="false" t="array" ref="S46:S46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46" s="0" t="str">
        <f aca="false" t="array" ref="X46:X46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46" s="0" t="str">
        <f aca="false" t="array" ref="AC46:AC46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46" s="0" t="str">
        <f aca="false" t="array" ref="AH46:AH46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46" s="0" t="str">
        <f aca="false" t="array" ref="AM46:AM46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46" s="0" t="str">
        <f aca="false" t="array" ref="AR46:AR46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47" customFormat="false" ht="15" hidden="false" customHeight="false" outlineLevel="0" collapsed="false">
      <c r="I47" s="0" t="str">
        <f aca="false" t="array" ref="I47:I47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47" s="0" t="str">
        <f aca="false" t="array" ref="N47:N47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47" s="0" t="str">
        <f aca="false" t="array" ref="S47:S47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47" s="0" t="str">
        <f aca="false" t="array" ref="X47:X47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47" s="0" t="str">
        <f aca="false" t="array" ref="AC47:AC47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47" s="0" t="str">
        <f aca="false" t="array" ref="AH47:AH47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47" s="0" t="str">
        <f aca="false" t="array" ref="AM47:AM47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47" s="0" t="str">
        <f aca="false" t="array" ref="AR47:AR47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48" customFormat="false" ht="15" hidden="false" customHeight="false" outlineLevel="0" collapsed="false">
      <c r="I48" s="0" t="str">
        <f aca="false" t="array" ref="I48:I48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48" s="0" t="str">
        <f aca="false" t="array" ref="N48:N48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48" s="0" t="str">
        <f aca="false" t="array" ref="S48:S48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48" s="0" t="str">
        <f aca="false" t="array" ref="X48:X48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48" s="0" t="str">
        <f aca="false" t="array" ref="AC48:AC48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48" s="0" t="str">
        <f aca="false" t="array" ref="AH48:AH48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48" s="0" t="str">
        <f aca="false" t="array" ref="AM48:AM48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48" s="0" t="str">
        <f aca="false" t="array" ref="AR48:AR48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49" customFormat="false" ht="15" hidden="false" customHeight="false" outlineLevel="0" collapsed="false">
      <c r="I49" s="0" t="str">
        <f aca="false" t="array" ref="I49:I49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49" s="0" t="str">
        <f aca="false" t="array" ref="N49:N49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49" s="0" t="str">
        <f aca="false" t="array" ref="S49:S49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49" s="0" t="str">
        <f aca="false" t="array" ref="X49:X49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49" s="0" t="str">
        <f aca="false" t="array" ref="AC49:AC49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49" s="0" t="str">
        <f aca="false" t="array" ref="AH49:AH49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49" s="0" t="str">
        <f aca="false" t="array" ref="AM49:AM49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49" s="0" t="str">
        <f aca="false" t="array" ref="AR49:AR49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50" customFormat="false" ht="15" hidden="false" customHeight="false" outlineLevel="0" collapsed="false">
      <c r="I50" s="0" t="str">
        <f aca="false" t="array" ref="I50:I50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50" s="0" t="str">
        <f aca="false" t="array" ref="N50:N50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50" s="0" t="str">
        <f aca="false" t="array" ref="S50:S50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50" s="0" t="str">
        <f aca="false" t="array" ref="X50:X50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50" s="0" t="str">
        <f aca="false" t="array" ref="AC50:AC50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50" s="0" t="str">
        <f aca="false" t="array" ref="AH50:AH50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50" s="0" t="str">
        <f aca="false" t="array" ref="AM50:AM50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50" s="0" t="str">
        <f aca="false" t="array" ref="AR50:AR50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51" customFormat="false" ht="15" hidden="false" customHeight="false" outlineLevel="0" collapsed="false">
      <c r="I51" s="0" t="str">
        <f aca="false" t="array" ref="I51:I51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51" s="0" t="str">
        <f aca="false" t="array" ref="N51:N51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51" s="0" t="str">
        <f aca="false" t="array" ref="S51:S51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51" s="0" t="str">
        <f aca="false" t="array" ref="X51:X51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51" s="0" t="str">
        <f aca="false" t="array" ref="AC51:AC51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51" s="0" t="str">
        <f aca="false" t="array" ref="AH51:AH51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51" s="0" t="str">
        <f aca="false" t="array" ref="AM51:AM51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51" s="0" t="str">
        <f aca="false" t="array" ref="AR51:AR51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52" customFormat="false" ht="15" hidden="false" customHeight="false" outlineLevel="0" collapsed="false">
      <c r="I52" s="0" t="str">
        <f aca="false" t="array" ref="I52:I52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52" s="0" t="str">
        <f aca="false" t="array" ref="N52:N52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52" s="0" t="str">
        <f aca="false" t="array" ref="S52:S52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52" s="0" t="str">
        <f aca="false" t="array" ref="X52:X52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52" s="0" t="str">
        <f aca="false" t="array" ref="AC52:AC52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52" s="0" t="str">
        <f aca="false" t="array" ref="AH52:AH52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52" s="0" t="str">
        <f aca="false" t="array" ref="AM52:AM52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52" s="0" t="str">
        <f aca="false" t="array" ref="AR52:AR52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53" customFormat="false" ht="15" hidden="false" customHeight="false" outlineLevel="0" collapsed="false">
      <c r="I53" s="0" t="str">
        <f aca="false" t="array" ref="I53:I53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53" s="0" t="str">
        <f aca="false" t="array" ref="N53:N53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53" s="0" t="str">
        <f aca="false" t="array" ref="S53:S53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53" s="0" t="str">
        <f aca="false" t="array" ref="X53:X53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53" s="0" t="str">
        <f aca="false" t="array" ref="AC53:AC53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53" s="0" t="str">
        <f aca="false" t="array" ref="AH53:AH53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53" s="0" t="str">
        <f aca="false" t="array" ref="AM53:AM53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53" s="0" t="str">
        <f aca="false" t="array" ref="AR53:AR53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54" customFormat="false" ht="15" hidden="false" customHeight="false" outlineLevel="0" collapsed="false">
      <c r="I54" s="0" t="str">
        <f aca="false" t="array" ref="I54:I54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54" s="0" t="str">
        <f aca="false" t="array" ref="N54:N54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54" s="0" t="str">
        <f aca="false" t="array" ref="S54:S54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54" s="0" t="str">
        <f aca="false" t="array" ref="X54:X54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54" s="0" t="str">
        <f aca="false" t="array" ref="AC54:AC54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54" s="0" t="str">
        <f aca="false" t="array" ref="AH54:AH54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54" s="0" t="str">
        <f aca="false" t="array" ref="AM54:AM54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54" s="0" t="str">
        <f aca="false" t="array" ref="AR54:AR54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55" customFormat="false" ht="15" hidden="false" customHeight="false" outlineLevel="0" collapsed="false">
      <c r="I55" s="0" t="str">
        <f aca="false" t="array" ref="I55:I55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55" s="0" t="str">
        <f aca="false" t="array" ref="N55:N55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55" s="0" t="str">
        <f aca="false" t="array" ref="S55:S55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55" s="0" t="str">
        <f aca="false" t="array" ref="X55:X55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55" s="0" t="str">
        <f aca="false" t="array" ref="AC55:AC55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55" s="0" t="str">
        <f aca="false" t="array" ref="AH55:AH55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55" s="0" t="str">
        <f aca="false" t="array" ref="AM55:AM55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55" s="0" t="str">
        <f aca="false" t="array" ref="AR55:AR55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56" customFormat="false" ht="15" hidden="false" customHeight="false" outlineLevel="0" collapsed="false">
      <c r="I56" s="0" t="str">
        <f aca="false" t="array" ref="I56:I56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56" s="0" t="str">
        <f aca="false" t="array" ref="N56:N56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56" s="0" t="str">
        <f aca="false" t="array" ref="S56:S56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56" s="0" t="str">
        <f aca="false" t="array" ref="X56:X56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56" s="0" t="str">
        <f aca="false" t="array" ref="AC56:AC56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56" s="0" t="str">
        <f aca="false" t="array" ref="AH56:AH56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56" s="0" t="str">
        <f aca="false" t="array" ref="AM56:AM56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56" s="0" t="str">
        <f aca="false" t="array" ref="AR56:AR56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57" customFormat="false" ht="15" hidden="false" customHeight="false" outlineLevel="0" collapsed="false">
      <c r="I57" s="0" t="str">
        <f aca="false" t="array" ref="I57:I57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57" s="0" t="str">
        <f aca="false" t="array" ref="N57:N57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57" s="0" t="str">
        <f aca="false" t="array" ref="S57:S57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57" s="0" t="str">
        <f aca="false" t="array" ref="X57:X57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57" s="0" t="str">
        <f aca="false" t="array" ref="AC57:AC57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57" s="0" t="str">
        <f aca="false" t="array" ref="AH57:AH57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57" s="0" t="str">
        <f aca="false" t="array" ref="AM57:AM57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57" s="0" t="str">
        <f aca="false" t="array" ref="AR57:AR57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58" customFormat="false" ht="15" hidden="false" customHeight="false" outlineLevel="0" collapsed="false">
      <c r="I58" s="0" t="str">
        <f aca="false" t="array" ref="I58:I58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58" s="0" t="str">
        <f aca="false" t="array" ref="N58:N58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58" s="0" t="str">
        <f aca="false" t="array" ref="S58:S58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58" s="0" t="str">
        <f aca="false" t="array" ref="X58:X58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58" s="0" t="str">
        <f aca="false" t="array" ref="AC58:AC58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58" s="0" t="str">
        <f aca="false" t="array" ref="AH58:AH58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58" s="0" t="str">
        <f aca="false" t="array" ref="AM58:AM58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58" s="0" t="str">
        <f aca="false" t="array" ref="AR58:AR58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59" customFormat="false" ht="15" hidden="false" customHeight="false" outlineLevel="0" collapsed="false">
      <c r="I59" s="0" t="str">
        <f aca="false" t="array" ref="I59:I59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59" s="0" t="str">
        <f aca="false" t="array" ref="N59:N59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59" s="0" t="str">
        <f aca="false" t="array" ref="S59:S59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59" s="0" t="str">
        <f aca="false" t="array" ref="X59:X59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59" s="0" t="str">
        <f aca="false" t="array" ref="AC59:AC59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59" s="0" t="str">
        <f aca="false" t="array" ref="AH59:AH59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59" s="0" t="str">
        <f aca="false" t="array" ref="AM59:AM59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59" s="0" t="str">
        <f aca="false" t="array" ref="AR59:AR59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60" customFormat="false" ht="15" hidden="false" customHeight="false" outlineLevel="0" collapsed="false">
      <c r="I60" s="0" t="str">
        <f aca="false" t="array" ref="I60:I60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60" s="0" t="str">
        <f aca="false" t="array" ref="N60:N60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60" s="0" t="str">
        <f aca="false" t="array" ref="S60:S60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60" s="0" t="str">
        <f aca="false" t="array" ref="X60:X60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60" s="0" t="str">
        <f aca="false" t="array" ref="AC60:AC60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60" s="0" t="str">
        <f aca="false" t="array" ref="AH60:AH60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60" s="0" t="str">
        <f aca="false" t="array" ref="AM60:AM60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60" s="0" t="str">
        <f aca="false" t="array" ref="AR60:AR60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61" customFormat="false" ht="15" hidden="false" customHeight="false" outlineLevel="0" collapsed="false">
      <c r="I61" s="0" t="str">
        <f aca="false" t="array" ref="I61:I61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61" s="0" t="str">
        <f aca="false" t="array" ref="N61:N61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61" s="0" t="str">
        <f aca="false" t="array" ref="S61:S61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61" s="0" t="str">
        <f aca="false" t="array" ref="X61:X61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61" s="0" t="str">
        <f aca="false" t="array" ref="AC61:AC61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61" s="0" t="str">
        <f aca="false" t="array" ref="AH61:AH61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61" s="0" t="str">
        <f aca="false" t="array" ref="AM61:AM61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61" s="0" t="str">
        <f aca="false" t="array" ref="AR61:AR61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62" customFormat="false" ht="15" hidden="false" customHeight="false" outlineLevel="0" collapsed="false">
      <c r="I62" s="0" t="str">
        <f aca="false" t="array" ref="I62:I62">IFERROR(CONCATENATE(INDEX(L7:L33,SMALL(IF(ISNUMBER(I7:I33),IF(I7:I33&gt;0,IF(L7:L33&lt;&gt;"",ROW(I7:I33)-MIN(ROW(I7:I33))+1))),ROW()-ROW(A$36)+1)),",",TEXT(INDEX(I7:I33,SMALL(IF(ISNUMBER(I7:I33),IF(I7:I33&gt;0,IF(L7:L33&lt;&gt;"",ROW(I7:I33)-MIN(ROW(I7:I33))+1))),ROW()-ROW(A$36)+1)),"##0"),",",SUBSTITUTE(INDEX(IF(PURCHASE_DESCRIPTION&lt;&gt;"",PURCHASE_DESCRIPTION&amp;":","")&amp;A7:A33,SMALL(IF(ISNUMBER(I7:I33),IF(I7:I33&gt;0,IF(L7:L33&lt;&gt;"",ROW(I7:I33)-MIN(ROW(I7:I33))+1))),ROW()-ROW(A$36)+1)),",",";")),"")</f>
        <v/>
      </c>
      <c r="N62" s="0" t="str">
        <f aca="false" t="array" ref="N62:N62">IFERROR(CONCATENATE(TEXT(INDEX(N7:N33,SMALL(IF(ISNUMBER(N7:N33),IF(N7:N33&gt;0,IF(Q7:Q33&lt;&gt;"",ROW(N7:N33)-MIN(ROW(N7:N33))+1))),ROW()-ROW(A$36)+1)),"##0"),",",INDEX(Q7:Q33,SMALL(IF(ISNUMBER(N7:N33),IF(N7:N33&gt;0,IF(Q7:Q33&lt;&gt;"",ROW(N7:N33)-MIN(ROW(N7:N33))+1))),ROW()-ROW(A$36)+1)),",",SUBSTITUTE(INDEX(IF(PURCHASE_DESCRIPTION&lt;&gt;"",PURCHASE_DESCRIPTION&amp;":","")&amp;A7:A33,SMALL(IF(ISNUMBER(N7:N33),IF(N7:N33&gt;0,IF(Q7:Q33&lt;&gt;"",ROW(N7:N33)-MIN(ROW(N7:N33))+1))),ROW()-ROW(A$36)+1)),",",";")),"")</f>
        <v/>
      </c>
      <c r="S62" s="0" t="str">
        <f aca="false" t="array" ref="S62:S62">IFERROR(CONCATENATE(INDEX(V7:V33,SMALL(IF(ISNUMBER(S7:S33),IF(S7:S33&gt;0,IF(V7:V33&lt;&gt;"",ROW(S7:S33)-MIN(ROW(S7:S33))+1))),ROW()-ROW(A$36)+1))," ",TEXT(INDEX(S7:S33,SMALL(IF(ISNUMBER(S7:S33),IF(S7:S33&gt;0,IF(V7:V33&lt;&gt;"",ROW(S7:S33)-MIN(ROW(S7:S33))+1))),ROW()-ROW(A$36)+1)),"##0")," ",SUBSTITUTE(INDEX(IF(PURCHASE_DESCRIPTION&lt;&gt;"",PURCHASE_DESCRIPTION&amp;":","")&amp;A7:A33,SMALL(IF(ISNUMBER(S7:S33),IF(S7:S33&gt;0,IF(V7:V33&lt;&gt;"",ROW(S7:S33)-MIN(ROW(S7:S33))+1))),ROW()-ROW(A$36)+1))," ",";")),"")</f>
        <v/>
      </c>
      <c r="X62" s="0" t="str">
        <f aca="false" t="array" ref="X62:X62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  <c r="AC62" s="0" t="str">
        <f aca="false" t="array" ref="AC62:AC62">IFERROR(CONCATENATE(INDEX(AF7:AF33,SMALL(IF(ISNUMBER(AC7:AC33),IF(AC7:AC33&gt;0,IF(AF7:AF33&lt;&gt;"",ROW(AC7:AC33)-MIN(ROW(AC7:AC33))+1))),ROW()-ROW(A$36)+1)),"|",TEXT(INDEX(AC7:AC33,SMALL(IF(ISNUMBER(AC7:AC33),IF(AC7:AC33&gt;0,IF(AF7:AF33&lt;&gt;"",ROW(AC7:AC33)-MIN(ROW(AC7:AC33))+1))),ROW()-ROW(A$36)+1)),"##0"),"|",SUBSTITUTE(SUBSTITUTE(INDEX(IF(PURCHASE_DESCRIPTION&lt;&gt;"",PURCHASE_DESCRIPTION&amp;":","")&amp;A7:A33,SMALL(IF(ISNUMBER(AC7:AC33),IF(AC7:AC33&gt;0,IF(AF7:AF33&lt;&gt;"",ROW(AC7:AC33)-MIN(ROW(AC7:AC33))+1))),ROW()-ROW(A$36)+1)),"|",";")," ","_")),"")</f>
        <v/>
      </c>
      <c r="AH62" s="0" t="str">
        <f aca="false" t="array" ref="AH62:AH62">IFERROR(CONCATENATE(INDEX(AK7:AK33,SMALL(IF(ISNUMBER(AH7:AH33),IF(AH7:AH33&gt;0,IF(AK7:AK33&lt;&gt;"",ROW(AH7:AH33)-MIN(ROW(AH7:AH33))+1))),ROW()-ROW(A$36)+1)),",",TEXT(INDEX(AH7:AH33,SMALL(IF(ISNUMBER(AH7:AH33),IF(AH7:AH33&gt;0,IF(AK7:AK33&lt;&gt;"",ROW(AH7:AH33)-MIN(ROW(AH7:AH33))+1))),ROW()-ROW(A$36)+1)),"##0"),",",SUBSTITUTE(INDEX(IF(PURCHASE_DESCRIPTION&lt;&gt;"",PURCHASE_DESCRIPTION&amp;":","")&amp;A7:A33,SMALL(IF(ISNUMBER(AH7:AH33),IF(AH7:AH33&gt;0,IF(AK7:AK33&lt;&gt;"",ROW(AH7:AH33)-MIN(ROW(AH7:AH33))+1))),ROW()-ROW(A$36)+1)),",",";")),"")</f>
        <v/>
      </c>
      <c r="AM62" s="0" t="str">
        <f aca="false" t="array" ref="AM62:AM62">IFERROR(CONCATENATE(INDEX(AP7:AP33,SMALL(IF(ISNUMBER(AM7:AM33),IF(AM7:AM33&gt;0,IF(AP7:AP33&lt;&gt;"",ROW(AM7:AM33)-MIN(ROW(AM7:AM33))+1))),ROW()-ROW(A$36)+1))," ",TEXT(INDEX(AM7:AM33,SMALL(IF(ISNUMBER(AM7:AM33),IF(AM7:AM33&gt;0,IF(AP7:AP33&lt;&gt;"",ROW(AM7:AM33)-MIN(ROW(AM7:AM33))+1))),ROW()-ROW(A$36)+1)),"##0")," ",SUBSTITUTE(INDEX(IF(PURCHASE_DESCRIPTION&lt;&gt;"",PURCHASE_DESCRIPTION&amp;":","")&amp;A7:A33,SMALL(IF(ISNUMBER(AM7:AM33),IF(AM7:AM33&gt;0,IF(AP7:AP33&lt;&gt;"",ROW(AM7:AM33)-MIN(ROW(AM7:AM33))+1))),ROW()-ROW(A$36)+1))," ",";")),"")</f>
        <v/>
      </c>
      <c r="AR62" s="0" t="str">
        <f aca="false" t="array" ref="AR62:AR62">IFERROR(CONCATENATE(INDEX(AU7:AU33,SMALL(IF(ISNUMBER(AR7:AR33),IF(AR7:AR33&gt;0,IF(AU7:AU33&lt;&gt;"",ROW(AR7:AR33)-MIN(ROW(AR7:AR33))+1))),ROW()-ROW(A$36)+1))," ",TEXT(INDEX(AR7:AR33,SMALL(IF(ISNUMBER(AR7:AR33),IF(AR7:AR33&gt;0,IF(AU7:AU33&lt;&gt;"",ROW(AR7:AR33)-MIN(ROW(AR7:AR33))+1))),ROW()-ROW(A$36)+1)),"##0")," ",SUBSTITUTE(INDEX(IF(PURCHASE_DESCRIPTION&lt;&gt;"",PURCHASE_DESCRIPTION&amp;":","")&amp;A7:A33,SMALL(IF(ISNUMBER(AR7:AR33),IF(AR7:AR33&gt;0,IF(AU7:AU33&lt;&gt;"",ROW(AR7:AR33)-MIN(ROW(AR7:AR33))+1))),ROW()-ROW(A$36)+1))," ",";")),"")</f>
        <v/>
      </c>
    </row>
    <row r="63" customFormat="false" ht="15" hidden="false" customHeight="false" outlineLevel="0" collapsed="false">
      <c r="X63" s="0" t="str">
        <f aca="false" t="array" ref="X63:X63">IFERROR(CONCATENATE(TEXT(INDEX(X7:X33,SMALL(IF(ISNUMBER(X7:X33),IF(X7:X33&gt;0,IF(AA7:AA33&lt;&gt;"",ROW(X7:X33)-MIN(ROW(X7:X33))+1))),ROW()-ROW(A$37)+1)),"##0"),",",SUBSTITUTE(INDEX(IF(PURCHASE_DESCRIPTION&lt;&gt;"",PURCHASE_DESCRIPTION&amp;":","")&amp;A7:A33,SMALL(IF(ISNUMBER(X7:X33),IF(X7:X33&gt;0,IF(AA7:AA33&lt;&gt;"",ROW(X7:X33)-MIN(ROW(X7:X33))+1))),ROW()-ROW(A$37)+1)),",",";"),",",SUBSTITUTE(INDEX(IF(PURCHASE_DESCRIPTION&lt;&gt;"",PURCHASE_DESCRIPTION&amp;":","")&amp;C7:C33,SMALL(IF(ISNUMBER(X7:X33),IF(X7:X33&gt;0,IF(AA7:AA33&lt;&gt;"",ROW(X7:X33)-MIN(ROW(X7:X33))+1))),ROW()-ROW(A$37)+1)),",",";"),",",INDEX(AA7:AA33,SMALL(IF(ISNUMBER(X7:X33),IF(X7:X33&gt;0,IF(AA7:AA33&lt;&gt;"",ROW(X7:X33)-MIN(ROW(X7:X33))+1))),ROW()-ROW(A$37)+1))),"")</f>
        <v/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B11">
    <cfRule type="cellIs" priority="2" operator="equal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E11</formula>
    </cfRule>
  </conditionalFormatting>
  <conditionalFormatting sqref="AB13">
    <cfRule type="cellIs" priority="4" operator="equal" aboveAverage="0" equalAverage="0" bottom="0" percent="0" rank="0" text="" dxfId="0">
      <formula>0</formula>
    </cfRule>
    <cfRule type="cellIs" priority="5" operator="lessThan" aboveAverage="0" equalAverage="0" bottom="0" percent="0" rank="0" text="" dxfId="1">
      <formula>E13</formula>
    </cfRule>
  </conditionalFormatting>
  <conditionalFormatting sqref="AB15">
    <cfRule type="cellIs" priority="6" operator="equal" aboveAverage="0" equalAverage="0" bottom="0" percent="0" rank="0" text="" dxfId="0">
      <formula>0</formula>
    </cfRule>
    <cfRule type="cellIs" priority="7" operator="lessThan" aboveAverage="0" equalAverage="0" bottom="0" percent="0" rank="0" text="" dxfId="1">
      <formula>E15</formula>
    </cfRule>
  </conditionalFormatting>
  <conditionalFormatting sqref="AB16">
    <cfRule type="cellIs" priority="8" operator="equal" aboveAverage="0" equalAverage="0" bottom="0" percent="0" rank="0" text="" dxfId="0">
      <formula>0</formula>
    </cfRule>
    <cfRule type="cellIs" priority="9" operator="lessThan" aboveAverage="0" equalAverage="0" bottom="0" percent="0" rank="0" text="" dxfId="1">
      <formula>E16</formula>
    </cfRule>
  </conditionalFormatting>
  <conditionalFormatting sqref="AB19">
    <cfRule type="cellIs" priority="10" operator="equal" aboveAverage="0" equalAverage="0" bottom="0" percent="0" rank="0" text="" dxfId="0">
      <formula>0</formula>
    </cfRule>
    <cfRule type="cellIs" priority="11" operator="lessThan" aboveAverage="0" equalAverage="0" bottom="0" percent="0" rank="0" text="" dxfId="1">
      <formula>E19</formula>
    </cfRule>
  </conditionalFormatting>
  <conditionalFormatting sqref="AB23">
    <cfRule type="cellIs" priority="12" operator="equal" aboveAverage="0" equalAverage="0" bottom="0" percent="0" rank="0" text="" dxfId="0">
      <formula>0</formula>
    </cfRule>
    <cfRule type="cellIs" priority="13" operator="lessThan" aboveAverage="0" equalAverage="0" bottom="0" percent="0" rank="0" text="" dxfId="1">
      <formula>E23</formula>
    </cfRule>
  </conditionalFormatting>
  <conditionalFormatting sqref="AB24">
    <cfRule type="cellIs" priority="14" operator="equal" aboveAverage="0" equalAverage="0" bottom="0" percent="0" rank="0" text="" dxfId="0">
      <formula>0</formula>
    </cfRule>
    <cfRule type="cellIs" priority="15" operator="lessThan" aboveAverage="0" equalAverage="0" bottom="0" percent="0" rank="0" text="" dxfId="1">
      <formula>E24</formula>
    </cfRule>
  </conditionalFormatting>
  <conditionalFormatting sqref="AB25">
    <cfRule type="cellIs" priority="16" operator="equal" aboveAverage="0" equalAverage="0" bottom="0" percent="0" rank="0" text="" dxfId="0">
      <formula>0</formula>
    </cfRule>
    <cfRule type="cellIs" priority="17" operator="lessThan" aboveAverage="0" equalAverage="0" bottom="0" percent="0" rank="0" text="" dxfId="1">
      <formula>E25</formula>
    </cfRule>
  </conditionalFormatting>
  <conditionalFormatting sqref="AB26">
    <cfRule type="cellIs" priority="18" operator="equal" aboveAverage="0" equalAverage="0" bottom="0" percent="0" rank="0" text="" dxfId="0">
      <formula>0</formula>
    </cfRule>
    <cfRule type="cellIs" priority="19" operator="lessThan" aboveAverage="0" equalAverage="0" bottom="0" percent="0" rank="0" text="" dxfId="1">
      <formula>E26</formula>
    </cfRule>
  </conditionalFormatting>
  <conditionalFormatting sqref="AB27">
    <cfRule type="cellIs" priority="20" operator="equal" aboveAverage="0" equalAverage="0" bottom="0" percent="0" rank="0" text="" dxfId="0">
      <formula>0</formula>
    </cfRule>
    <cfRule type="cellIs" priority="21" operator="lessThan" aboveAverage="0" equalAverage="0" bottom="0" percent="0" rank="0" text="" dxfId="1">
      <formula>E27</formula>
    </cfRule>
  </conditionalFormatting>
  <conditionalFormatting sqref="AB28">
    <cfRule type="cellIs" priority="22" operator="equal" aboveAverage="0" equalAverage="0" bottom="0" percent="0" rank="0" text="" dxfId="0">
      <formula>0</formula>
    </cfRule>
    <cfRule type="cellIs" priority="23" operator="lessThan" aboveAverage="0" equalAverage="0" bottom="0" percent="0" rank="0" text="" dxfId="1">
      <formula>E28</formula>
    </cfRule>
  </conditionalFormatting>
  <conditionalFormatting sqref="AB29">
    <cfRule type="cellIs" priority="24" operator="equal" aboveAverage="0" equalAverage="0" bottom="0" percent="0" rank="0" text="" dxfId="0">
      <formula>0</formula>
    </cfRule>
    <cfRule type="cellIs" priority="25" operator="lessThan" aboveAverage="0" equalAverage="0" bottom="0" percent="0" rank="0" text="" dxfId="1">
      <formula>E29</formula>
    </cfRule>
  </conditionalFormatting>
  <conditionalFormatting sqref="AB30">
    <cfRule type="cellIs" priority="26" operator="equal" aboveAverage="0" equalAverage="0" bottom="0" percent="0" rank="0" text="" dxfId="0">
      <formula>0</formula>
    </cfRule>
    <cfRule type="cellIs" priority="27" operator="lessThan" aboveAverage="0" equalAverage="0" bottom="0" percent="0" rank="0" text="" dxfId="1">
      <formula>E30</formula>
    </cfRule>
  </conditionalFormatting>
  <conditionalFormatting sqref="AB31">
    <cfRule type="cellIs" priority="28" operator="equal" aboveAverage="0" equalAverage="0" bottom="0" percent="0" rank="0" text="" dxfId="0">
      <formula>0</formula>
    </cfRule>
    <cfRule type="cellIs" priority="29" operator="lessThan" aboveAverage="0" equalAverage="0" bottom="0" percent="0" rank="0" text="" dxfId="1">
      <formula>E31</formula>
    </cfRule>
  </conditionalFormatting>
  <conditionalFormatting sqref="AB32">
    <cfRule type="cellIs" priority="30" operator="equal" aboveAverage="0" equalAverage="0" bottom="0" percent="0" rank="0" text="" dxfId="0">
      <formula>0</formula>
    </cfRule>
    <cfRule type="cellIs" priority="31" operator="lessThan" aboveAverage="0" equalAverage="0" bottom="0" percent="0" rank="0" text="" dxfId="1">
      <formula>E32</formula>
    </cfRule>
  </conditionalFormatting>
  <conditionalFormatting sqref="AB7">
    <cfRule type="cellIs" priority="32" operator="equal" aboveAverage="0" equalAverage="0" bottom="0" percent="0" rank="0" text="" dxfId="0">
      <formula>0</formula>
    </cfRule>
    <cfRule type="cellIs" priority="33" operator="lessThan" aboveAverage="0" equalAverage="0" bottom="0" percent="0" rank="0" text="" dxfId="1">
      <formula>E7</formula>
    </cfRule>
  </conditionalFormatting>
  <conditionalFormatting sqref="AB9">
    <cfRule type="cellIs" priority="34" operator="equal" aboveAverage="0" equalAverage="0" bottom="0" percent="0" rank="0" text="" dxfId="0">
      <formula>0</formula>
    </cfRule>
    <cfRule type="cellIs" priority="35" operator="lessThan" aboveAverage="0" equalAverage="0" bottom="0" percent="0" rank="0" text="" dxfId="1">
      <formula>E9</formula>
    </cfRule>
  </conditionalFormatting>
  <conditionalFormatting sqref="AC11">
    <cfRule type="cellIs" priority="36" operator="greaterThan" aboveAverage="0" equalAverage="0" bottom="0" percent="0" rank="0" text="" dxfId="0">
      <formula>AB11</formula>
    </cfRule>
  </conditionalFormatting>
  <conditionalFormatting sqref="AC13">
    <cfRule type="cellIs" priority="37" operator="greaterThan" aboveAverage="0" equalAverage="0" bottom="0" percent="0" rank="0" text="" dxfId="0">
      <formula>AB13</formula>
    </cfRule>
  </conditionalFormatting>
  <conditionalFormatting sqref="AC15">
    <cfRule type="cellIs" priority="38" operator="greaterThan" aboveAverage="0" equalAverage="0" bottom="0" percent="0" rank="0" text="" dxfId="0">
      <formula>AB15</formula>
    </cfRule>
  </conditionalFormatting>
  <conditionalFormatting sqref="AC16">
    <cfRule type="cellIs" priority="39" operator="greaterThan" aboveAverage="0" equalAverage="0" bottom="0" percent="0" rank="0" text="" dxfId="0">
      <formula>AB16</formula>
    </cfRule>
  </conditionalFormatting>
  <conditionalFormatting sqref="AC19">
    <cfRule type="cellIs" priority="40" operator="greaterThan" aboveAverage="0" equalAverage="0" bottom="0" percent="0" rank="0" text="" dxfId="0">
      <formula>AB19</formula>
    </cfRule>
  </conditionalFormatting>
  <conditionalFormatting sqref="AC23">
    <cfRule type="cellIs" priority="41" operator="greaterThan" aboveAverage="0" equalAverage="0" bottom="0" percent="0" rank="0" text="" dxfId="0">
      <formula>AB23</formula>
    </cfRule>
  </conditionalFormatting>
  <conditionalFormatting sqref="AC24">
    <cfRule type="cellIs" priority="42" operator="greaterThan" aboveAverage="0" equalAverage="0" bottom="0" percent="0" rank="0" text="" dxfId="0">
      <formula>AB24</formula>
    </cfRule>
  </conditionalFormatting>
  <conditionalFormatting sqref="AC25">
    <cfRule type="cellIs" priority="43" operator="greaterThan" aboveAverage="0" equalAverage="0" bottom="0" percent="0" rank="0" text="" dxfId="0">
      <formula>AB25</formula>
    </cfRule>
  </conditionalFormatting>
  <conditionalFormatting sqref="AC26">
    <cfRule type="cellIs" priority="44" operator="greaterThan" aboveAverage="0" equalAverage="0" bottom="0" percent="0" rank="0" text="" dxfId="0">
      <formula>AB26</formula>
    </cfRule>
  </conditionalFormatting>
  <conditionalFormatting sqref="AC27">
    <cfRule type="cellIs" priority="45" operator="greaterThan" aboveAverage="0" equalAverage="0" bottom="0" percent="0" rank="0" text="" dxfId="0">
      <formula>AB27</formula>
    </cfRule>
  </conditionalFormatting>
  <conditionalFormatting sqref="AC28">
    <cfRule type="cellIs" priority="46" operator="greaterThan" aboveAverage="0" equalAverage="0" bottom="0" percent="0" rank="0" text="" dxfId="0">
      <formula>AB28</formula>
    </cfRule>
  </conditionalFormatting>
  <conditionalFormatting sqref="AC29">
    <cfRule type="cellIs" priority="47" operator="greaterThan" aboveAverage="0" equalAverage="0" bottom="0" percent="0" rank="0" text="" dxfId="0">
      <formula>AB29</formula>
    </cfRule>
  </conditionalFormatting>
  <conditionalFormatting sqref="AC30">
    <cfRule type="cellIs" priority="48" operator="greaterThan" aboveAverage="0" equalAverage="0" bottom="0" percent="0" rank="0" text="" dxfId="0">
      <formula>AB30</formula>
    </cfRule>
  </conditionalFormatting>
  <conditionalFormatting sqref="AC31">
    <cfRule type="cellIs" priority="49" operator="greaterThan" aboveAverage="0" equalAverage="0" bottom="0" percent="0" rank="0" text="" dxfId="0">
      <formula>AB31</formula>
    </cfRule>
  </conditionalFormatting>
  <conditionalFormatting sqref="AC32">
    <cfRule type="cellIs" priority="50" operator="greaterThan" aboveAverage="0" equalAverage="0" bottom="0" percent="0" rank="0" text="" dxfId="0">
      <formula>AB32</formula>
    </cfRule>
  </conditionalFormatting>
  <conditionalFormatting sqref="AC7">
    <cfRule type="cellIs" priority="51" operator="greaterThan" aboveAverage="0" equalAverage="0" bottom="0" percent="0" rank="0" text="" dxfId="0">
      <formula>AB7</formula>
    </cfRule>
  </conditionalFormatting>
  <conditionalFormatting sqref="AC9">
    <cfRule type="cellIs" priority="52" operator="greaterThan" aboveAverage="0" equalAverage="0" bottom="0" percent="0" rank="0" text="" dxfId="0">
      <formula>AB9</formula>
    </cfRule>
  </conditionalFormatting>
  <conditionalFormatting sqref="AD11">
    <cfRule type="cellIs" priority="53" operator="lessThanOrEqual" aboveAverage="0" equalAverage="0" bottom="0" percent="0" rank="0" text="" dxfId="2">
      <formula>F11</formula>
    </cfRule>
  </conditionalFormatting>
  <conditionalFormatting sqref="AD13">
    <cfRule type="cellIs" priority="54" operator="lessThanOrEqual" aboveAverage="0" equalAverage="0" bottom="0" percent="0" rank="0" text="" dxfId="2">
      <formula>F13</formula>
    </cfRule>
  </conditionalFormatting>
  <conditionalFormatting sqref="AD15">
    <cfRule type="cellIs" priority="55" operator="lessThanOrEqual" aboveAverage="0" equalAverage="0" bottom="0" percent="0" rank="0" text="" dxfId="2">
      <formula>F15</formula>
    </cfRule>
  </conditionalFormatting>
  <conditionalFormatting sqref="AD16">
    <cfRule type="cellIs" priority="56" operator="lessThanOrEqual" aboveAverage="0" equalAverage="0" bottom="0" percent="0" rank="0" text="" dxfId="2">
      <formula>F16</formula>
    </cfRule>
  </conditionalFormatting>
  <conditionalFormatting sqref="AD19">
    <cfRule type="cellIs" priority="57" operator="lessThanOrEqual" aboveAverage="0" equalAverage="0" bottom="0" percent="0" rank="0" text="" dxfId="2">
      <formula>F19</formula>
    </cfRule>
  </conditionalFormatting>
  <conditionalFormatting sqref="AD23">
    <cfRule type="cellIs" priority="58" operator="lessThanOrEqual" aboveAverage="0" equalAverage="0" bottom="0" percent="0" rank="0" text="" dxfId="2">
      <formula>F23</formula>
    </cfRule>
  </conditionalFormatting>
  <conditionalFormatting sqref="AD24">
    <cfRule type="cellIs" priority="59" operator="lessThanOrEqual" aboveAverage="0" equalAverage="0" bottom="0" percent="0" rank="0" text="" dxfId="2">
      <formula>F24</formula>
    </cfRule>
  </conditionalFormatting>
  <conditionalFormatting sqref="AD25">
    <cfRule type="cellIs" priority="60" operator="lessThanOrEqual" aboveAverage="0" equalAverage="0" bottom="0" percent="0" rank="0" text="" dxfId="2">
      <formula>F25</formula>
    </cfRule>
  </conditionalFormatting>
  <conditionalFormatting sqref="AD26">
    <cfRule type="cellIs" priority="61" operator="lessThanOrEqual" aboveAverage="0" equalAverage="0" bottom="0" percent="0" rank="0" text="" dxfId="2">
      <formula>F26</formula>
    </cfRule>
  </conditionalFormatting>
  <conditionalFormatting sqref="AD27">
    <cfRule type="cellIs" priority="62" operator="lessThanOrEqual" aboveAverage="0" equalAverage="0" bottom="0" percent="0" rank="0" text="" dxfId="2">
      <formula>F27</formula>
    </cfRule>
  </conditionalFormatting>
  <conditionalFormatting sqref="AD28">
    <cfRule type="cellIs" priority="63" operator="lessThanOrEqual" aboveAverage="0" equalAverage="0" bottom="0" percent="0" rank="0" text="" dxfId="2">
      <formula>F28</formula>
    </cfRule>
  </conditionalFormatting>
  <conditionalFormatting sqref="AD29">
    <cfRule type="cellIs" priority="64" operator="lessThanOrEqual" aboveAverage="0" equalAverage="0" bottom="0" percent="0" rank="0" text="" dxfId="2">
      <formula>F29</formula>
    </cfRule>
  </conditionalFormatting>
  <conditionalFormatting sqref="AD30">
    <cfRule type="cellIs" priority="65" operator="lessThanOrEqual" aboveAverage="0" equalAverage="0" bottom="0" percent="0" rank="0" text="" dxfId="2">
      <formula>F30</formula>
    </cfRule>
  </conditionalFormatting>
  <conditionalFormatting sqref="AD31">
    <cfRule type="cellIs" priority="66" operator="lessThanOrEqual" aboveAverage="0" equalAverage="0" bottom="0" percent="0" rank="0" text="" dxfId="2">
      <formula>F31</formula>
    </cfRule>
  </conditionalFormatting>
  <conditionalFormatting sqref="AD32">
    <cfRule type="cellIs" priority="67" operator="lessThanOrEqual" aboveAverage="0" equalAverage="0" bottom="0" percent="0" rank="0" text="" dxfId="2">
      <formula>F32</formula>
    </cfRule>
  </conditionalFormatting>
  <conditionalFormatting sqref="AD7">
    <cfRule type="cellIs" priority="68" operator="lessThanOrEqual" aboveAverage="0" equalAverage="0" bottom="0" percent="0" rank="0" text="" dxfId="2">
      <formula>F7</formula>
    </cfRule>
  </conditionalFormatting>
  <conditionalFormatting sqref="AD9">
    <cfRule type="cellIs" priority="69" operator="lessThanOrEqual" aboveAverage="0" equalAverage="0" bottom="0" percent="0" rank="0" text="" dxfId="2">
      <formula>F9</formula>
    </cfRule>
  </conditionalFormatting>
  <conditionalFormatting sqref="AE11">
    <cfRule type="cellIs" priority="70" operator="lessThanOrEqual" aboveAverage="0" equalAverage="0" bottom="0" percent="0" rank="0" text="" dxfId="2">
      <formula>G11</formula>
    </cfRule>
  </conditionalFormatting>
  <conditionalFormatting sqref="AE13">
    <cfRule type="cellIs" priority="71" operator="lessThanOrEqual" aboveAverage="0" equalAverage="0" bottom="0" percent="0" rank="0" text="" dxfId="2">
      <formula>G13</formula>
    </cfRule>
  </conditionalFormatting>
  <conditionalFormatting sqref="AE15">
    <cfRule type="cellIs" priority="72" operator="lessThanOrEqual" aboveAverage="0" equalAverage="0" bottom="0" percent="0" rank="0" text="" dxfId="2">
      <formula>G15</formula>
    </cfRule>
  </conditionalFormatting>
  <conditionalFormatting sqref="AE16">
    <cfRule type="cellIs" priority="73" operator="lessThanOrEqual" aboveAverage="0" equalAverage="0" bottom="0" percent="0" rank="0" text="" dxfId="2">
      <formula>G16</formula>
    </cfRule>
  </conditionalFormatting>
  <conditionalFormatting sqref="AE19">
    <cfRule type="cellIs" priority="74" operator="lessThanOrEqual" aboveAverage="0" equalAverage="0" bottom="0" percent="0" rank="0" text="" dxfId="2">
      <formula>G19</formula>
    </cfRule>
  </conditionalFormatting>
  <conditionalFormatting sqref="AE23">
    <cfRule type="cellIs" priority="75" operator="lessThanOrEqual" aboveAverage="0" equalAverage="0" bottom="0" percent="0" rank="0" text="" dxfId="2">
      <formula>G23</formula>
    </cfRule>
  </conditionalFormatting>
  <conditionalFormatting sqref="AE24">
    <cfRule type="cellIs" priority="76" operator="lessThanOrEqual" aboveAverage="0" equalAverage="0" bottom="0" percent="0" rank="0" text="" dxfId="2">
      <formula>G24</formula>
    </cfRule>
  </conditionalFormatting>
  <conditionalFormatting sqref="AE25">
    <cfRule type="cellIs" priority="77" operator="lessThanOrEqual" aboveAverage="0" equalAverage="0" bottom="0" percent="0" rank="0" text="" dxfId="2">
      <formula>G25</formula>
    </cfRule>
  </conditionalFormatting>
  <conditionalFormatting sqref="AE26">
    <cfRule type="cellIs" priority="78" operator="lessThanOrEqual" aboveAverage="0" equalAverage="0" bottom="0" percent="0" rank="0" text="" dxfId="2">
      <formula>G26</formula>
    </cfRule>
  </conditionalFormatting>
  <conditionalFormatting sqref="AE27">
    <cfRule type="cellIs" priority="79" operator="lessThanOrEqual" aboveAverage="0" equalAverage="0" bottom="0" percent="0" rank="0" text="" dxfId="2">
      <formula>G27</formula>
    </cfRule>
  </conditionalFormatting>
  <conditionalFormatting sqref="AE28">
    <cfRule type="cellIs" priority="80" operator="lessThanOrEqual" aboveAverage="0" equalAverage="0" bottom="0" percent="0" rank="0" text="" dxfId="2">
      <formula>G28</formula>
    </cfRule>
  </conditionalFormatting>
  <conditionalFormatting sqref="AE29">
    <cfRule type="cellIs" priority="81" operator="lessThanOrEqual" aboveAverage="0" equalAverage="0" bottom="0" percent="0" rank="0" text="" dxfId="2">
      <formula>G29</formula>
    </cfRule>
  </conditionalFormatting>
  <conditionalFormatting sqref="AE30">
    <cfRule type="cellIs" priority="82" operator="lessThanOrEqual" aboveAverage="0" equalAverage="0" bottom="0" percent="0" rank="0" text="" dxfId="2">
      <formula>G30</formula>
    </cfRule>
  </conditionalFormatting>
  <conditionalFormatting sqref="AE31">
    <cfRule type="cellIs" priority="83" operator="lessThanOrEqual" aboveAverage="0" equalAverage="0" bottom="0" percent="0" rank="0" text="" dxfId="2">
      <formula>G31</formula>
    </cfRule>
  </conditionalFormatting>
  <conditionalFormatting sqref="AE32">
    <cfRule type="cellIs" priority="84" operator="lessThanOrEqual" aboveAverage="0" equalAverage="0" bottom="0" percent="0" rank="0" text="" dxfId="2">
      <formula>G32</formula>
    </cfRule>
  </conditionalFormatting>
  <conditionalFormatting sqref="AE7">
    <cfRule type="cellIs" priority="85" operator="lessThanOrEqual" aboveAverage="0" equalAverage="0" bottom="0" percent="0" rank="0" text="" dxfId="2">
      <formula>G7</formula>
    </cfRule>
  </conditionalFormatting>
  <conditionalFormatting sqref="AE9">
    <cfRule type="cellIs" priority="86" operator="lessThanOrEqual" aboveAverage="0" equalAverage="0" bottom="0" percent="0" rank="0" text="" dxfId="2">
      <formula>G9</formula>
    </cfRule>
  </conditionalFormatting>
  <conditionalFormatting sqref="AG10">
    <cfRule type="cellIs" priority="87" operator="equal" aboveAverage="0" equalAverage="0" bottom="0" percent="0" rank="0" text="" dxfId="0">
      <formula>0</formula>
    </cfRule>
    <cfRule type="cellIs" priority="88" operator="lessThan" aboveAverage="0" equalAverage="0" bottom="0" percent="0" rank="0" text="" dxfId="1">
      <formula>E10</formula>
    </cfRule>
  </conditionalFormatting>
  <conditionalFormatting sqref="AG11">
    <cfRule type="cellIs" priority="89" operator="equal" aboveAverage="0" equalAverage="0" bottom="0" percent="0" rank="0" text="" dxfId="0">
      <formula>0</formula>
    </cfRule>
    <cfRule type="cellIs" priority="90" operator="lessThan" aboveAverage="0" equalAverage="0" bottom="0" percent="0" rank="0" text="" dxfId="1">
      <formula>E11</formula>
    </cfRule>
  </conditionalFormatting>
  <conditionalFormatting sqref="AG13">
    <cfRule type="cellIs" priority="91" operator="equal" aboveAverage="0" equalAverage="0" bottom="0" percent="0" rank="0" text="" dxfId="0">
      <formula>0</formula>
    </cfRule>
    <cfRule type="cellIs" priority="92" operator="lessThan" aboveAverage="0" equalAverage="0" bottom="0" percent="0" rank="0" text="" dxfId="1">
      <formula>E13</formula>
    </cfRule>
  </conditionalFormatting>
  <conditionalFormatting sqref="AG14">
    <cfRule type="cellIs" priority="93" operator="equal" aboveAverage="0" equalAverage="0" bottom="0" percent="0" rank="0" text="" dxfId="0">
      <formula>0</formula>
    </cfRule>
    <cfRule type="cellIs" priority="94" operator="lessThan" aboveAverage="0" equalAverage="0" bottom="0" percent="0" rank="0" text="" dxfId="1">
      <formula>E14</formula>
    </cfRule>
  </conditionalFormatting>
  <conditionalFormatting sqref="AG15">
    <cfRule type="cellIs" priority="95" operator="equal" aboveAverage="0" equalAverage="0" bottom="0" percent="0" rank="0" text="" dxfId="0">
      <formula>0</formula>
    </cfRule>
    <cfRule type="cellIs" priority="96" operator="lessThan" aboveAverage="0" equalAverage="0" bottom="0" percent="0" rank="0" text="" dxfId="1">
      <formula>E15</formula>
    </cfRule>
  </conditionalFormatting>
  <conditionalFormatting sqref="AG16">
    <cfRule type="cellIs" priority="97" operator="equal" aboveAverage="0" equalAverage="0" bottom="0" percent="0" rank="0" text="" dxfId="0">
      <formula>0</formula>
    </cfRule>
    <cfRule type="cellIs" priority="98" operator="lessThan" aboveAverage="0" equalAverage="0" bottom="0" percent="0" rank="0" text="" dxfId="1">
      <formula>E16</formula>
    </cfRule>
  </conditionalFormatting>
  <conditionalFormatting sqref="AG17">
    <cfRule type="cellIs" priority="99" operator="equal" aboveAverage="0" equalAverage="0" bottom="0" percent="0" rank="0" text="" dxfId="0">
      <formula>0</formula>
    </cfRule>
    <cfRule type="cellIs" priority="100" operator="lessThan" aboveAverage="0" equalAverage="0" bottom="0" percent="0" rank="0" text="" dxfId="1">
      <formula>E17</formula>
    </cfRule>
  </conditionalFormatting>
  <conditionalFormatting sqref="AG18">
    <cfRule type="cellIs" priority="101" operator="equal" aboveAverage="0" equalAverage="0" bottom="0" percent="0" rank="0" text="" dxfId="0">
      <formula>0</formula>
    </cfRule>
    <cfRule type="cellIs" priority="102" operator="lessThan" aboveAverage="0" equalAverage="0" bottom="0" percent="0" rank="0" text="" dxfId="1">
      <formula>E18</formula>
    </cfRule>
  </conditionalFormatting>
  <conditionalFormatting sqref="AG20">
    <cfRule type="cellIs" priority="103" operator="equal" aboveAverage="0" equalAverage="0" bottom="0" percent="0" rank="0" text="" dxfId="0">
      <formula>0</formula>
    </cfRule>
    <cfRule type="cellIs" priority="104" operator="lessThan" aboveAverage="0" equalAverage="0" bottom="0" percent="0" rank="0" text="" dxfId="1">
      <formula>E20</formula>
    </cfRule>
  </conditionalFormatting>
  <conditionalFormatting sqref="AG21">
    <cfRule type="cellIs" priority="105" operator="equal" aboveAverage="0" equalAverage="0" bottom="0" percent="0" rank="0" text="" dxfId="0">
      <formula>0</formula>
    </cfRule>
    <cfRule type="cellIs" priority="106" operator="lessThan" aboveAverage="0" equalAverage="0" bottom="0" percent="0" rank="0" text="" dxfId="1">
      <formula>E21</formula>
    </cfRule>
  </conditionalFormatting>
  <conditionalFormatting sqref="AG22">
    <cfRule type="cellIs" priority="107" operator="equal" aboveAverage="0" equalAverage="0" bottom="0" percent="0" rank="0" text="" dxfId="0">
      <formula>0</formula>
    </cfRule>
    <cfRule type="cellIs" priority="108" operator="lessThan" aboveAverage="0" equalAverage="0" bottom="0" percent="0" rank="0" text="" dxfId="1">
      <formula>E22</formula>
    </cfRule>
  </conditionalFormatting>
  <conditionalFormatting sqref="AG23">
    <cfRule type="cellIs" priority="109" operator="equal" aboveAverage="0" equalAverage="0" bottom="0" percent="0" rank="0" text="" dxfId="0">
      <formula>0</formula>
    </cfRule>
    <cfRule type="cellIs" priority="110" operator="lessThan" aboveAverage="0" equalAverage="0" bottom="0" percent="0" rank="0" text="" dxfId="1">
      <formula>E23</formula>
    </cfRule>
  </conditionalFormatting>
  <conditionalFormatting sqref="AG24">
    <cfRule type="cellIs" priority="111" operator="equal" aboveAverage="0" equalAverage="0" bottom="0" percent="0" rank="0" text="" dxfId="0">
      <formula>0</formula>
    </cfRule>
    <cfRule type="cellIs" priority="112" operator="lessThan" aboveAverage="0" equalAverage="0" bottom="0" percent="0" rank="0" text="" dxfId="1">
      <formula>E24</formula>
    </cfRule>
  </conditionalFormatting>
  <conditionalFormatting sqref="AG25">
    <cfRule type="cellIs" priority="113" operator="equal" aboveAverage="0" equalAverage="0" bottom="0" percent="0" rank="0" text="" dxfId="0">
      <formula>0</formula>
    </cfRule>
    <cfRule type="cellIs" priority="114" operator="lessThan" aboveAverage="0" equalAverage="0" bottom="0" percent="0" rank="0" text="" dxfId="1">
      <formula>E25</formula>
    </cfRule>
  </conditionalFormatting>
  <conditionalFormatting sqref="AG26">
    <cfRule type="cellIs" priority="115" operator="equal" aboveAverage="0" equalAverage="0" bottom="0" percent="0" rank="0" text="" dxfId="0">
      <formula>0</formula>
    </cfRule>
    <cfRule type="cellIs" priority="116" operator="lessThan" aboveAverage="0" equalAverage="0" bottom="0" percent="0" rank="0" text="" dxfId="1">
      <formula>E26</formula>
    </cfRule>
  </conditionalFormatting>
  <conditionalFormatting sqref="AG27">
    <cfRule type="cellIs" priority="117" operator="equal" aboveAverage="0" equalAverage="0" bottom="0" percent="0" rank="0" text="" dxfId="0">
      <formula>0</formula>
    </cfRule>
    <cfRule type="cellIs" priority="118" operator="lessThan" aboveAverage="0" equalAverage="0" bottom="0" percent="0" rank="0" text="" dxfId="1">
      <formula>E27</formula>
    </cfRule>
  </conditionalFormatting>
  <conditionalFormatting sqref="AG28">
    <cfRule type="cellIs" priority="119" operator="equal" aboveAverage="0" equalAverage="0" bottom="0" percent="0" rank="0" text="" dxfId="0">
      <formula>0</formula>
    </cfRule>
    <cfRule type="cellIs" priority="120" operator="lessThan" aboveAverage="0" equalAverage="0" bottom="0" percent="0" rank="0" text="" dxfId="1">
      <formula>E28</formula>
    </cfRule>
  </conditionalFormatting>
  <conditionalFormatting sqref="AG29">
    <cfRule type="cellIs" priority="121" operator="equal" aboveAverage="0" equalAverage="0" bottom="0" percent="0" rank="0" text="" dxfId="0">
      <formula>0</formula>
    </cfRule>
    <cfRule type="cellIs" priority="122" operator="lessThan" aboveAverage="0" equalAverage="0" bottom="0" percent="0" rank="0" text="" dxfId="1">
      <formula>E29</formula>
    </cfRule>
  </conditionalFormatting>
  <conditionalFormatting sqref="AG30">
    <cfRule type="cellIs" priority="123" operator="equal" aboveAverage="0" equalAverage="0" bottom="0" percent="0" rank="0" text="" dxfId="0">
      <formula>0</formula>
    </cfRule>
    <cfRule type="cellIs" priority="124" operator="lessThan" aboveAverage="0" equalAverage="0" bottom="0" percent="0" rank="0" text="" dxfId="1">
      <formula>E30</formula>
    </cfRule>
  </conditionalFormatting>
  <conditionalFormatting sqref="AG31">
    <cfRule type="cellIs" priority="125" operator="equal" aboveAverage="0" equalAverage="0" bottom="0" percent="0" rank="0" text="" dxfId="0">
      <formula>0</formula>
    </cfRule>
    <cfRule type="cellIs" priority="126" operator="lessThan" aboveAverage="0" equalAverage="0" bottom="0" percent="0" rank="0" text="" dxfId="1">
      <formula>E31</formula>
    </cfRule>
  </conditionalFormatting>
  <conditionalFormatting sqref="AG32">
    <cfRule type="cellIs" priority="127" operator="equal" aboveAverage="0" equalAverage="0" bottom="0" percent="0" rank="0" text="" dxfId="0">
      <formula>0</formula>
    </cfRule>
    <cfRule type="cellIs" priority="128" operator="lessThan" aboveAverage="0" equalAverage="0" bottom="0" percent="0" rank="0" text="" dxfId="1">
      <formula>E32</formula>
    </cfRule>
  </conditionalFormatting>
  <conditionalFormatting sqref="AG8">
    <cfRule type="cellIs" priority="129" operator="equal" aboveAverage="0" equalAverage="0" bottom="0" percent="0" rank="0" text="" dxfId="0">
      <formula>0</formula>
    </cfRule>
    <cfRule type="cellIs" priority="130" operator="lessThan" aboveAverage="0" equalAverage="0" bottom="0" percent="0" rank="0" text="" dxfId="1">
      <formula>E8</formula>
    </cfRule>
  </conditionalFormatting>
  <conditionalFormatting sqref="AG9">
    <cfRule type="cellIs" priority="131" operator="equal" aboveAverage="0" equalAverage="0" bottom="0" percent="0" rank="0" text="" dxfId="0">
      <formula>0</formula>
    </cfRule>
    <cfRule type="cellIs" priority="132" operator="lessThan" aboveAverage="0" equalAverage="0" bottom="0" percent="0" rank="0" text="" dxfId="1">
      <formula>E9</formula>
    </cfRule>
  </conditionalFormatting>
  <conditionalFormatting sqref="AH10">
    <cfRule type="cellIs" priority="133" operator="greaterThan" aboveAverage="0" equalAverage="0" bottom="0" percent="0" rank="0" text="" dxfId="0">
      <formula>AG10</formula>
    </cfRule>
  </conditionalFormatting>
  <conditionalFormatting sqref="AH11">
    <cfRule type="cellIs" priority="134" operator="greaterThan" aboveAverage="0" equalAverage="0" bottom="0" percent="0" rank="0" text="" dxfId="0">
      <formula>AG11</formula>
    </cfRule>
  </conditionalFormatting>
  <conditionalFormatting sqref="AH13">
    <cfRule type="cellIs" priority="135" operator="greaterThan" aboveAverage="0" equalAverage="0" bottom="0" percent="0" rank="0" text="" dxfId="0">
      <formula>AG13</formula>
    </cfRule>
  </conditionalFormatting>
  <conditionalFormatting sqref="AH14">
    <cfRule type="cellIs" priority="136" operator="greaterThan" aboveAverage="0" equalAverage="0" bottom="0" percent="0" rank="0" text="" dxfId="0">
      <formula>AG14</formula>
    </cfRule>
  </conditionalFormatting>
  <conditionalFormatting sqref="AH15">
    <cfRule type="cellIs" priority="137" operator="greaterThan" aboveAverage="0" equalAverage="0" bottom="0" percent="0" rank="0" text="" dxfId="0">
      <formula>AG15</formula>
    </cfRule>
  </conditionalFormatting>
  <conditionalFormatting sqref="AH16">
    <cfRule type="cellIs" priority="138" operator="greaterThan" aboveAverage="0" equalAverage="0" bottom="0" percent="0" rank="0" text="" dxfId="0">
      <formula>AG16</formula>
    </cfRule>
  </conditionalFormatting>
  <conditionalFormatting sqref="AH17">
    <cfRule type="cellIs" priority="139" operator="greaterThan" aboveAverage="0" equalAverage="0" bottom="0" percent="0" rank="0" text="" dxfId="0">
      <formula>AG17</formula>
    </cfRule>
  </conditionalFormatting>
  <conditionalFormatting sqref="AH18">
    <cfRule type="cellIs" priority="140" operator="greaterThan" aboveAverage="0" equalAverage="0" bottom="0" percent="0" rank="0" text="" dxfId="0">
      <formula>AG18</formula>
    </cfRule>
  </conditionalFormatting>
  <conditionalFormatting sqref="AH20">
    <cfRule type="cellIs" priority="141" operator="greaterThan" aboveAverage="0" equalAverage="0" bottom="0" percent="0" rank="0" text="" dxfId="0">
      <formula>AG20</formula>
    </cfRule>
  </conditionalFormatting>
  <conditionalFormatting sqref="AH21">
    <cfRule type="expression" priority="142" aboveAverage="0" equalAverage="0" bottom="0" percent="0" rank="0" text="" dxfId="3">
      <formula>AND(AH21&gt;0,AH21&lt;5000)</formula>
    </cfRule>
    <cfRule type="cellIs" priority="143" operator="greaterThan" aboveAverage="0" equalAverage="0" bottom="0" percent="0" rank="0" text="" dxfId="0">
      <formula>AG21</formula>
    </cfRule>
  </conditionalFormatting>
  <conditionalFormatting sqref="AH22">
    <cfRule type="expression" priority="144" aboveAverage="0" equalAverage="0" bottom="0" percent="0" rank="0" text="" dxfId="3">
      <formula>AND(AH22&gt;0,AH22&lt;5000)</formula>
    </cfRule>
    <cfRule type="cellIs" priority="145" operator="greaterThan" aboveAverage="0" equalAverage="0" bottom="0" percent="0" rank="0" text="" dxfId="0">
      <formula>AG22</formula>
    </cfRule>
  </conditionalFormatting>
  <conditionalFormatting sqref="AH23">
    <cfRule type="cellIs" priority="146" operator="greaterThan" aboveAverage="0" equalAverage="0" bottom="0" percent="0" rank="0" text="" dxfId="0">
      <formula>AG23</formula>
    </cfRule>
  </conditionalFormatting>
  <conditionalFormatting sqref="AH24">
    <cfRule type="expression" priority="147" aboveAverage="0" equalAverage="0" bottom="0" percent="0" rank="0" text="" dxfId="3">
      <formula>AND(AH24&gt;0,AH24&lt;10)</formula>
    </cfRule>
    <cfRule type="cellIs" priority="148" operator="greaterThan" aboveAverage="0" equalAverage="0" bottom="0" percent="0" rank="0" text="" dxfId="0">
      <formula>AG24</formula>
    </cfRule>
  </conditionalFormatting>
  <conditionalFormatting sqref="AH25">
    <cfRule type="expression" priority="149" aboveAverage="0" equalAverage="0" bottom="0" percent="0" rank="0" text="" dxfId="3">
      <formula>AND(AH25&gt;0,AH25&lt;10)</formula>
    </cfRule>
    <cfRule type="cellIs" priority="150" operator="greaterThan" aboveAverage="0" equalAverage="0" bottom="0" percent="0" rank="0" text="" dxfId="0">
      <formula>AG25</formula>
    </cfRule>
  </conditionalFormatting>
  <conditionalFormatting sqref="AH26">
    <cfRule type="expression" priority="151" aboveAverage="0" equalAverage="0" bottom="0" percent="0" rank="0" text="" dxfId="3">
      <formula>AND(AH26&gt;0,AH26&lt;10)</formula>
    </cfRule>
    <cfRule type="cellIs" priority="152" operator="greaterThan" aboveAverage="0" equalAverage="0" bottom="0" percent="0" rank="0" text="" dxfId="0">
      <formula>AG26</formula>
    </cfRule>
  </conditionalFormatting>
  <conditionalFormatting sqref="AH27">
    <cfRule type="expression" priority="153" aboveAverage="0" equalAverage="0" bottom="0" percent="0" rank="0" text="" dxfId="3">
      <formula>AND(AH27&gt;0,AH27&lt;10)</formula>
    </cfRule>
    <cfRule type="cellIs" priority="154" operator="greaterThan" aboveAverage="0" equalAverage="0" bottom="0" percent="0" rank="0" text="" dxfId="0">
      <formula>AG27</formula>
    </cfRule>
  </conditionalFormatting>
  <conditionalFormatting sqref="AH28">
    <cfRule type="cellIs" priority="155" operator="greaterThan" aboveAverage="0" equalAverage="0" bottom="0" percent="0" rank="0" text="" dxfId="0">
      <formula>AG28</formula>
    </cfRule>
  </conditionalFormatting>
  <conditionalFormatting sqref="AH29">
    <cfRule type="expression" priority="156" aboveAverage="0" equalAverage="0" bottom="0" percent="0" rank="0" text="" dxfId="3">
      <formula>AND(AH29&gt;0,AH29&lt;5000)</formula>
    </cfRule>
    <cfRule type="cellIs" priority="157" operator="greaterThan" aboveAverage="0" equalAverage="0" bottom="0" percent="0" rank="0" text="" dxfId="0">
      <formula>AG29</formula>
    </cfRule>
  </conditionalFormatting>
  <conditionalFormatting sqref="AH30">
    <cfRule type="expression" priority="158" aboveAverage="0" equalAverage="0" bottom="0" percent="0" rank="0" text="" dxfId="3">
      <formula>AND(AH30&gt;0,AH30&lt;10)</formula>
    </cfRule>
    <cfRule type="cellIs" priority="159" operator="greaterThan" aboveAverage="0" equalAverage="0" bottom="0" percent="0" rank="0" text="" dxfId="0">
      <formula>AG30</formula>
    </cfRule>
  </conditionalFormatting>
  <conditionalFormatting sqref="AH31">
    <cfRule type="expression" priority="160" aboveAverage="0" equalAverage="0" bottom="0" percent="0" rank="0" text="" dxfId="3">
      <formula>AND(AH31&gt;0,AH31&lt;10)</formula>
    </cfRule>
    <cfRule type="cellIs" priority="161" operator="greaterThan" aboveAverage="0" equalAverage="0" bottom="0" percent="0" rank="0" text="" dxfId="0">
      <formula>AG31</formula>
    </cfRule>
  </conditionalFormatting>
  <conditionalFormatting sqref="AH32">
    <cfRule type="cellIs" priority="162" operator="greaterThan" aboveAverage="0" equalAverage="0" bottom="0" percent="0" rank="0" text="" dxfId="0">
      <formula>AG32</formula>
    </cfRule>
  </conditionalFormatting>
  <conditionalFormatting sqref="AH8">
    <cfRule type="cellIs" priority="163" operator="greaterThan" aboveAverage="0" equalAverage="0" bottom="0" percent="0" rank="0" text="" dxfId="0">
      <formula>AG8</formula>
    </cfRule>
  </conditionalFormatting>
  <conditionalFormatting sqref="AH9">
    <cfRule type="cellIs" priority="164" operator="greaterThan" aboveAverage="0" equalAverage="0" bottom="0" percent="0" rank="0" text="" dxfId="0">
      <formula>AG9</formula>
    </cfRule>
  </conditionalFormatting>
  <conditionalFormatting sqref="AI10">
    <cfRule type="cellIs" priority="165" operator="lessThanOrEqual" aboveAverage="0" equalAverage="0" bottom="0" percent="0" rank="0" text="" dxfId="2">
      <formula>F10</formula>
    </cfRule>
  </conditionalFormatting>
  <conditionalFormatting sqref="AI11">
    <cfRule type="cellIs" priority="166" operator="lessThanOrEqual" aboveAverage="0" equalAverage="0" bottom="0" percent="0" rank="0" text="" dxfId="2">
      <formula>F11</formula>
    </cfRule>
  </conditionalFormatting>
  <conditionalFormatting sqref="AI13">
    <cfRule type="cellIs" priority="167" operator="lessThanOrEqual" aboveAverage="0" equalAverage="0" bottom="0" percent="0" rank="0" text="" dxfId="2">
      <formula>F13</formula>
    </cfRule>
  </conditionalFormatting>
  <conditionalFormatting sqref="AI14">
    <cfRule type="cellIs" priority="168" operator="lessThanOrEqual" aboveAverage="0" equalAverage="0" bottom="0" percent="0" rank="0" text="" dxfId="2">
      <formula>F14</formula>
    </cfRule>
  </conditionalFormatting>
  <conditionalFormatting sqref="AI15">
    <cfRule type="cellIs" priority="169" operator="lessThanOrEqual" aboveAverage="0" equalAverage="0" bottom="0" percent="0" rank="0" text="" dxfId="2">
      <formula>F15</formula>
    </cfRule>
  </conditionalFormatting>
  <conditionalFormatting sqref="AI16">
    <cfRule type="cellIs" priority="170" operator="lessThanOrEqual" aboveAverage="0" equalAverage="0" bottom="0" percent="0" rank="0" text="" dxfId="2">
      <formula>F16</formula>
    </cfRule>
  </conditionalFormatting>
  <conditionalFormatting sqref="AI17">
    <cfRule type="cellIs" priority="171" operator="lessThanOrEqual" aboveAverage="0" equalAverage="0" bottom="0" percent="0" rank="0" text="" dxfId="2">
      <formula>F17</formula>
    </cfRule>
  </conditionalFormatting>
  <conditionalFormatting sqref="AI18">
    <cfRule type="cellIs" priority="172" operator="lessThanOrEqual" aboveAverage="0" equalAverage="0" bottom="0" percent="0" rank="0" text="" dxfId="2">
      <formula>F18</formula>
    </cfRule>
  </conditionalFormatting>
  <conditionalFormatting sqref="AI20">
    <cfRule type="cellIs" priority="173" operator="lessThanOrEqual" aboveAverage="0" equalAverage="0" bottom="0" percent="0" rank="0" text="" dxfId="2">
      <formula>F20</formula>
    </cfRule>
  </conditionalFormatting>
  <conditionalFormatting sqref="AI21">
    <cfRule type="cellIs" priority="174" operator="lessThanOrEqual" aboveAverage="0" equalAverage="0" bottom="0" percent="0" rank="0" text="" dxfId="2">
      <formula>F21</formula>
    </cfRule>
  </conditionalFormatting>
  <conditionalFormatting sqref="AI22">
    <cfRule type="cellIs" priority="175" operator="lessThanOrEqual" aboveAverage="0" equalAverage="0" bottom="0" percent="0" rank="0" text="" dxfId="2">
      <formula>F22</formula>
    </cfRule>
  </conditionalFormatting>
  <conditionalFormatting sqref="AI23">
    <cfRule type="cellIs" priority="176" operator="lessThanOrEqual" aboveAverage="0" equalAverage="0" bottom="0" percent="0" rank="0" text="" dxfId="2">
      <formula>F23</formula>
    </cfRule>
  </conditionalFormatting>
  <conditionalFormatting sqref="AI24">
    <cfRule type="cellIs" priority="177" operator="lessThanOrEqual" aboveAverage="0" equalAverage="0" bottom="0" percent="0" rank="0" text="" dxfId="2">
      <formula>F24</formula>
    </cfRule>
  </conditionalFormatting>
  <conditionalFormatting sqref="AI25">
    <cfRule type="cellIs" priority="178" operator="lessThanOrEqual" aboveAverage="0" equalAverage="0" bottom="0" percent="0" rank="0" text="" dxfId="2">
      <formula>F25</formula>
    </cfRule>
  </conditionalFormatting>
  <conditionalFormatting sqref="AI26">
    <cfRule type="cellIs" priority="179" operator="lessThanOrEqual" aboveAverage="0" equalAverage="0" bottom="0" percent="0" rank="0" text="" dxfId="2">
      <formula>F26</formula>
    </cfRule>
  </conditionalFormatting>
  <conditionalFormatting sqref="AI27">
    <cfRule type="cellIs" priority="180" operator="lessThanOrEqual" aboveAverage="0" equalAverage="0" bottom="0" percent="0" rank="0" text="" dxfId="2">
      <formula>F27</formula>
    </cfRule>
  </conditionalFormatting>
  <conditionalFormatting sqref="AI28">
    <cfRule type="cellIs" priority="181" operator="lessThanOrEqual" aboveAverage="0" equalAverage="0" bottom="0" percent="0" rank="0" text="" dxfId="2">
      <formula>F28</formula>
    </cfRule>
  </conditionalFormatting>
  <conditionalFormatting sqref="AI29">
    <cfRule type="cellIs" priority="182" operator="lessThanOrEqual" aboveAverage="0" equalAverage="0" bottom="0" percent="0" rank="0" text="" dxfId="2">
      <formula>F29</formula>
    </cfRule>
  </conditionalFormatting>
  <conditionalFormatting sqref="AI30">
    <cfRule type="cellIs" priority="183" operator="lessThanOrEqual" aboveAverage="0" equalAverage="0" bottom="0" percent="0" rank="0" text="" dxfId="2">
      <formula>F30</formula>
    </cfRule>
  </conditionalFormatting>
  <conditionalFormatting sqref="AI31">
    <cfRule type="cellIs" priority="184" operator="lessThanOrEqual" aboveAverage="0" equalAverage="0" bottom="0" percent="0" rank="0" text="" dxfId="2">
      <formula>F31</formula>
    </cfRule>
  </conditionalFormatting>
  <conditionalFormatting sqref="AI32">
    <cfRule type="cellIs" priority="185" operator="lessThanOrEqual" aboveAverage="0" equalAverage="0" bottom="0" percent="0" rank="0" text="" dxfId="2">
      <formula>F32</formula>
    </cfRule>
  </conditionalFormatting>
  <conditionalFormatting sqref="AI8">
    <cfRule type="cellIs" priority="186" operator="lessThanOrEqual" aboveAverage="0" equalAverage="0" bottom="0" percent="0" rank="0" text="" dxfId="2">
      <formula>F8</formula>
    </cfRule>
  </conditionalFormatting>
  <conditionalFormatting sqref="AI9">
    <cfRule type="cellIs" priority="187" operator="lessThanOrEqual" aboveAverage="0" equalAverage="0" bottom="0" percent="0" rank="0" text="" dxfId="2">
      <formula>F9</formula>
    </cfRule>
  </conditionalFormatting>
  <conditionalFormatting sqref="AJ10">
    <cfRule type="cellIs" priority="188" operator="lessThanOrEqual" aboveAverage="0" equalAverage="0" bottom="0" percent="0" rank="0" text="" dxfId="2">
      <formula>G10</formula>
    </cfRule>
  </conditionalFormatting>
  <conditionalFormatting sqref="AJ11">
    <cfRule type="cellIs" priority="189" operator="lessThanOrEqual" aboveAverage="0" equalAverage="0" bottom="0" percent="0" rank="0" text="" dxfId="2">
      <formula>G11</formula>
    </cfRule>
  </conditionalFormatting>
  <conditionalFormatting sqref="AJ13">
    <cfRule type="cellIs" priority="190" operator="lessThanOrEqual" aboveAverage="0" equalAverage="0" bottom="0" percent="0" rank="0" text="" dxfId="2">
      <formula>G13</formula>
    </cfRule>
  </conditionalFormatting>
  <conditionalFormatting sqref="AJ14">
    <cfRule type="cellIs" priority="191" operator="lessThanOrEqual" aboveAverage="0" equalAverage="0" bottom="0" percent="0" rank="0" text="" dxfId="2">
      <formula>G14</formula>
    </cfRule>
  </conditionalFormatting>
  <conditionalFormatting sqref="AJ15">
    <cfRule type="cellIs" priority="192" operator="lessThanOrEqual" aboveAverage="0" equalAverage="0" bottom="0" percent="0" rank="0" text="" dxfId="2">
      <formula>G15</formula>
    </cfRule>
  </conditionalFormatting>
  <conditionalFormatting sqref="AJ16">
    <cfRule type="cellIs" priority="193" operator="lessThanOrEqual" aboveAverage="0" equalAverage="0" bottom="0" percent="0" rank="0" text="" dxfId="2">
      <formula>G16</formula>
    </cfRule>
  </conditionalFormatting>
  <conditionalFormatting sqref="AJ17">
    <cfRule type="cellIs" priority="194" operator="lessThanOrEqual" aboveAverage="0" equalAverage="0" bottom="0" percent="0" rank="0" text="" dxfId="2">
      <formula>G17</formula>
    </cfRule>
  </conditionalFormatting>
  <conditionalFormatting sqref="AJ18">
    <cfRule type="cellIs" priority="195" operator="lessThanOrEqual" aboveAverage="0" equalAverage="0" bottom="0" percent="0" rank="0" text="" dxfId="2">
      <formula>G18</formula>
    </cfRule>
  </conditionalFormatting>
  <conditionalFormatting sqref="AJ20">
    <cfRule type="cellIs" priority="196" operator="lessThanOrEqual" aboveAverage="0" equalAverage="0" bottom="0" percent="0" rank="0" text="" dxfId="2">
      <formula>G20</formula>
    </cfRule>
  </conditionalFormatting>
  <conditionalFormatting sqref="AJ21">
    <cfRule type="cellIs" priority="197" operator="lessThanOrEqual" aboveAverage="0" equalAverage="0" bottom="0" percent="0" rank="0" text="" dxfId="2">
      <formula>G21</formula>
    </cfRule>
  </conditionalFormatting>
  <conditionalFormatting sqref="AJ22">
    <cfRule type="cellIs" priority="198" operator="lessThanOrEqual" aboveAverage="0" equalAverage="0" bottom="0" percent="0" rank="0" text="" dxfId="2">
      <formula>G22</formula>
    </cfRule>
  </conditionalFormatting>
  <conditionalFormatting sqref="AJ23">
    <cfRule type="cellIs" priority="199" operator="lessThanOrEqual" aboveAverage="0" equalAverage="0" bottom="0" percent="0" rank="0" text="" dxfId="2">
      <formula>G23</formula>
    </cfRule>
  </conditionalFormatting>
  <conditionalFormatting sqref="AJ24">
    <cfRule type="cellIs" priority="200" operator="lessThanOrEqual" aboveAverage="0" equalAverage="0" bottom="0" percent="0" rank="0" text="" dxfId="2">
      <formula>G24</formula>
    </cfRule>
  </conditionalFormatting>
  <conditionalFormatting sqref="AJ25">
    <cfRule type="cellIs" priority="201" operator="lessThanOrEqual" aboveAverage="0" equalAverage="0" bottom="0" percent="0" rank="0" text="" dxfId="2">
      <formula>G25</formula>
    </cfRule>
  </conditionalFormatting>
  <conditionalFormatting sqref="AJ26">
    <cfRule type="cellIs" priority="202" operator="lessThanOrEqual" aboveAverage="0" equalAverage="0" bottom="0" percent="0" rank="0" text="" dxfId="2">
      <formula>G26</formula>
    </cfRule>
  </conditionalFormatting>
  <conditionalFormatting sqref="AJ27">
    <cfRule type="cellIs" priority="203" operator="lessThanOrEqual" aboveAverage="0" equalAverage="0" bottom="0" percent="0" rank="0" text="" dxfId="2">
      <formula>G27</formula>
    </cfRule>
  </conditionalFormatting>
  <conditionalFormatting sqref="AJ28">
    <cfRule type="cellIs" priority="204" operator="lessThanOrEqual" aboveAverage="0" equalAverage="0" bottom="0" percent="0" rank="0" text="" dxfId="2">
      <formula>G28</formula>
    </cfRule>
  </conditionalFormatting>
  <conditionalFormatting sqref="AJ29">
    <cfRule type="cellIs" priority="205" operator="lessThanOrEqual" aboveAverage="0" equalAverage="0" bottom="0" percent="0" rank="0" text="" dxfId="2">
      <formula>G29</formula>
    </cfRule>
  </conditionalFormatting>
  <conditionalFormatting sqref="AJ30">
    <cfRule type="cellIs" priority="206" operator="lessThanOrEqual" aboveAverage="0" equalAverage="0" bottom="0" percent="0" rank="0" text="" dxfId="2">
      <formula>G30</formula>
    </cfRule>
  </conditionalFormatting>
  <conditionalFormatting sqref="AJ31">
    <cfRule type="cellIs" priority="207" operator="lessThanOrEqual" aboveAverage="0" equalAverage="0" bottom="0" percent="0" rank="0" text="" dxfId="2">
      <formula>G31</formula>
    </cfRule>
  </conditionalFormatting>
  <conditionalFormatting sqref="AJ32">
    <cfRule type="cellIs" priority="208" operator="lessThanOrEqual" aboveAverage="0" equalAverage="0" bottom="0" percent="0" rank="0" text="" dxfId="2">
      <formula>G32</formula>
    </cfRule>
  </conditionalFormatting>
  <conditionalFormatting sqref="AJ8">
    <cfRule type="cellIs" priority="209" operator="lessThanOrEqual" aboveAverage="0" equalAverage="0" bottom="0" percent="0" rank="0" text="" dxfId="2">
      <formula>G8</formula>
    </cfRule>
  </conditionalFormatting>
  <conditionalFormatting sqref="AJ9">
    <cfRule type="cellIs" priority="210" operator="lessThanOrEqual" aboveAverage="0" equalAverage="0" bottom="0" percent="0" rank="0" text="" dxfId="2">
      <formula>G9</formula>
    </cfRule>
  </conditionalFormatting>
  <conditionalFormatting sqref="AL11">
    <cfRule type="cellIs" priority="211" operator="equal" aboveAverage="0" equalAverage="0" bottom="0" percent="0" rank="0" text="" dxfId="0">
      <formula>0</formula>
    </cfRule>
    <cfRule type="cellIs" priority="212" operator="lessThan" aboveAverage="0" equalAverage="0" bottom="0" percent="0" rank="0" text="" dxfId="1">
      <formula>E11</formula>
    </cfRule>
  </conditionalFormatting>
  <conditionalFormatting sqref="AL13">
    <cfRule type="cellIs" priority="213" operator="equal" aboveAverage="0" equalAverage="0" bottom="0" percent="0" rank="0" text="" dxfId="0">
      <formula>0</formula>
    </cfRule>
    <cfRule type="cellIs" priority="214" operator="lessThan" aboveAverage="0" equalAverage="0" bottom="0" percent="0" rank="0" text="" dxfId="1">
      <formula>E13</formula>
    </cfRule>
  </conditionalFormatting>
  <conditionalFormatting sqref="AL15">
    <cfRule type="cellIs" priority="215" operator="equal" aboveAverage="0" equalAverage="0" bottom="0" percent="0" rank="0" text="" dxfId="0">
      <formula>0</formula>
    </cfRule>
    <cfRule type="cellIs" priority="216" operator="lessThan" aboveAverage="0" equalAverage="0" bottom="0" percent="0" rank="0" text="" dxfId="1">
      <formula>E15</formula>
    </cfRule>
  </conditionalFormatting>
  <conditionalFormatting sqref="AL16">
    <cfRule type="cellIs" priority="217" operator="equal" aboveAverage="0" equalAverage="0" bottom="0" percent="0" rank="0" text="" dxfId="0">
      <formula>0</formula>
    </cfRule>
    <cfRule type="cellIs" priority="218" operator="lessThan" aboveAverage="0" equalAverage="0" bottom="0" percent="0" rank="0" text="" dxfId="1">
      <formula>E16</formula>
    </cfRule>
  </conditionalFormatting>
  <conditionalFormatting sqref="AL19">
    <cfRule type="cellIs" priority="219" operator="equal" aboveAverage="0" equalAverage="0" bottom="0" percent="0" rank="0" text="" dxfId="0">
      <formula>0</formula>
    </cfRule>
    <cfRule type="cellIs" priority="220" operator="lessThan" aboveAverage="0" equalAverage="0" bottom="0" percent="0" rank="0" text="" dxfId="1">
      <formula>E19</formula>
    </cfRule>
  </conditionalFormatting>
  <conditionalFormatting sqref="AL24">
    <cfRule type="cellIs" priority="221" operator="equal" aboveAverage="0" equalAverage="0" bottom="0" percent="0" rank="0" text="" dxfId="0">
      <formula>0</formula>
    </cfRule>
    <cfRule type="cellIs" priority="222" operator="lessThan" aboveAverage="0" equalAverage="0" bottom="0" percent="0" rank="0" text="" dxfId="1">
      <formula>E24</formula>
    </cfRule>
  </conditionalFormatting>
  <conditionalFormatting sqref="AL25">
    <cfRule type="cellIs" priority="223" operator="equal" aboveAverage="0" equalAverage="0" bottom="0" percent="0" rank="0" text="" dxfId="0">
      <formula>0</formula>
    </cfRule>
    <cfRule type="cellIs" priority="224" operator="lessThan" aboveAverage="0" equalAverage="0" bottom="0" percent="0" rank="0" text="" dxfId="1">
      <formula>E25</formula>
    </cfRule>
  </conditionalFormatting>
  <conditionalFormatting sqref="AL26">
    <cfRule type="cellIs" priority="225" operator="equal" aboveAverage="0" equalAverage="0" bottom="0" percent="0" rank="0" text="" dxfId="0">
      <formula>0</formula>
    </cfRule>
    <cfRule type="cellIs" priority="226" operator="lessThan" aboveAverage="0" equalAverage="0" bottom="0" percent="0" rank="0" text="" dxfId="1">
      <formula>E26</formula>
    </cfRule>
  </conditionalFormatting>
  <conditionalFormatting sqref="AL27">
    <cfRule type="cellIs" priority="227" operator="equal" aboveAverage="0" equalAverage="0" bottom="0" percent="0" rank="0" text="" dxfId="0">
      <formula>0</formula>
    </cfRule>
    <cfRule type="cellIs" priority="228" operator="lessThan" aboveAverage="0" equalAverage="0" bottom="0" percent="0" rank="0" text="" dxfId="1">
      <formula>E27</formula>
    </cfRule>
  </conditionalFormatting>
  <conditionalFormatting sqref="AL28">
    <cfRule type="cellIs" priority="229" operator="equal" aboveAverage="0" equalAverage="0" bottom="0" percent="0" rank="0" text="" dxfId="0">
      <formula>0</formula>
    </cfRule>
    <cfRule type="cellIs" priority="230" operator="lessThan" aboveAverage="0" equalAverage="0" bottom="0" percent="0" rank="0" text="" dxfId="1">
      <formula>E28</formula>
    </cfRule>
  </conditionalFormatting>
  <conditionalFormatting sqref="AL29">
    <cfRule type="cellIs" priority="231" operator="equal" aboveAverage="0" equalAverage="0" bottom="0" percent="0" rank="0" text="" dxfId="0">
      <formula>0</formula>
    </cfRule>
    <cfRule type="cellIs" priority="232" operator="lessThan" aboveAverage="0" equalAverage="0" bottom="0" percent="0" rank="0" text="" dxfId="1">
      <formula>E29</formula>
    </cfRule>
  </conditionalFormatting>
  <conditionalFormatting sqref="AL30">
    <cfRule type="cellIs" priority="233" operator="equal" aboveAverage="0" equalAverage="0" bottom="0" percent="0" rank="0" text="" dxfId="0">
      <formula>0</formula>
    </cfRule>
    <cfRule type="cellIs" priority="234" operator="lessThan" aboveAverage="0" equalAverage="0" bottom="0" percent="0" rank="0" text="" dxfId="1">
      <formula>E30</formula>
    </cfRule>
  </conditionalFormatting>
  <conditionalFormatting sqref="AL31">
    <cfRule type="cellIs" priority="235" operator="equal" aboveAverage="0" equalAverage="0" bottom="0" percent="0" rank="0" text="" dxfId="0">
      <formula>0</formula>
    </cfRule>
    <cfRule type="cellIs" priority="236" operator="lessThan" aboveAverage="0" equalAverage="0" bottom="0" percent="0" rank="0" text="" dxfId="1">
      <formula>E31</formula>
    </cfRule>
  </conditionalFormatting>
  <conditionalFormatting sqref="AL32">
    <cfRule type="cellIs" priority="237" operator="equal" aboveAverage="0" equalAverage="0" bottom="0" percent="0" rank="0" text="" dxfId="0">
      <formula>0</formula>
    </cfRule>
    <cfRule type="cellIs" priority="238" operator="lessThan" aboveAverage="0" equalAverage="0" bottom="0" percent="0" rank="0" text="" dxfId="1">
      <formula>E32</formula>
    </cfRule>
  </conditionalFormatting>
  <conditionalFormatting sqref="AL7">
    <cfRule type="cellIs" priority="239" operator="equal" aboveAverage="0" equalAverage="0" bottom="0" percent="0" rank="0" text="" dxfId="0">
      <formula>0</formula>
    </cfRule>
    <cfRule type="cellIs" priority="240" operator="lessThan" aboveAverage="0" equalAverage="0" bottom="0" percent="0" rank="0" text="" dxfId="1">
      <formula>E7</formula>
    </cfRule>
  </conditionalFormatting>
  <conditionalFormatting sqref="AL9">
    <cfRule type="cellIs" priority="241" operator="equal" aboveAverage="0" equalAverage="0" bottom="0" percent="0" rank="0" text="" dxfId="0">
      <formula>0</formula>
    </cfRule>
    <cfRule type="cellIs" priority="242" operator="lessThan" aboveAverage="0" equalAverage="0" bottom="0" percent="0" rank="0" text="" dxfId="1">
      <formula>E9</formula>
    </cfRule>
  </conditionalFormatting>
  <conditionalFormatting sqref="AM11">
    <cfRule type="expression" priority="243" aboveAverage="0" equalAverage="0" bottom="0" percent="0" rank="0" text="" dxfId="3">
      <formula>AND(AM11&gt;0,AM11&lt;10)</formula>
    </cfRule>
    <cfRule type="cellIs" priority="244" operator="greaterThan" aboveAverage="0" equalAverage="0" bottom="0" percent="0" rank="0" text="" dxfId="0">
      <formula>AL11</formula>
    </cfRule>
  </conditionalFormatting>
  <conditionalFormatting sqref="AM13">
    <cfRule type="expression" priority="245" aboveAverage="0" equalAverage="0" bottom="0" percent="0" rank="0" text="" dxfId="3">
      <formula>AND(AM13&gt;0,AM13&lt;5)</formula>
    </cfRule>
    <cfRule type="cellIs" priority="246" operator="greaterThan" aboveAverage="0" equalAverage="0" bottom="0" percent="0" rank="0" text="" dxfId="0">
      <formula>AL13</formula>
    </cfRule>
  </conditionalFormatting>
  <conditionalFormatting sqref="AM15">
    <cfRule type="cellIs" priority="247" operator="greaterThan" aboveAverage="0" equalAverage="0" bottom="0" percent="0" rank="0" text="" dxfId="0">
      <formula>AL15</formula>
    </cfRule>
  </conditionalFormatting>
  <conditionalFormatting sqref="AM16">
    <cfRule type="expression" priority="248" aboveAverage="0" equalAverage="0" bottom="0" percent="0" rank="0" text="" dxfId="3">
      <formula>AND(AM16&gt;0,AM16&lt;5)</formula>
    </cfRule>
    <cfRule type="cellIs" priority="249" operator="greaterThan" aboveAverage="0" equalAverage="0" bottom="0" percent="0" rank="0" text="" dxfId="0">
      <formula>AL16</formula>
    </cfRule>
  </conditionalFormatting>
  <conditionalFormatting sqref="AM19">
    <cfRule type="cellIs" priority="250" operator="greaterThan" aboveAverage="0" equalAverage="0" bottom="0" percent="0" rank="0" text="" dxfId="0">
      <formula>AL19</formula>
    </cfRule>
  </conditionalFormatting>
  <conditionalFormatting sqref="AM24">
    <cfRule type="expression" priority="251" aboveAverage="0" equalAverage="0" bottom="0" percent="0" rank="0" text="" dxfId="3">
      <formula>AND(AM24&gt;0,AM24&lt;100)</formula>
    </cfRule>
    <cfRule type="cellIs" priority="252" operator="greaterThan" aboveAverage="0" equalAverage="0" bottom="0" percent="0" rank="0" text="" dxfId="0">
      <formula>AL24</formula>
    </cfRule>
  </conditionalFormatting>
  <conditionalFormatting sqref="AM25">
    <cfRule type="expression" priority="253" aboveAverage="0" equalAverage="0" bottom="0" percent="0" rank="0" text="" dxfId="3">
      <formula>AND(AM25&gt;0,AM25&lt;100)</formula>
    </cfRule>
    <cfRule type="cellIs" priority="254" operator="greaterThan" aboveAverage="0" equalAverage="0" bottom="0" percent="0" rank="0" text="" dxfId="0">
      <formula>AL25</formula>
    </cfRule>
  </conditionalFormatting>
  <conditionalFormatting sqref="AM26">
    <cfRule type="expression" priority="255" aboveAverage="0" equalAverage="0" bottom="0" percent="0" rank="0" text="" dxfId="3">
      <formula>AND(AM26&gt;0,AM26&lt;100)</formula>
    </cfRule>
    <cfRule type="cellIs" priority="256" operator="greaterThan" aboveAverage="0" equalAverage="0" bottom="0" percent="0" rank="0" text="" dxfId="0">
      <formula>AL26</formula>
    </cfRule>
  </conditionalFormatting>
  <conditionalFormatting sqref="AM27">
    <cfRule type="expression" priority="257" aboveAverage="0" equalAverage="0" bottom="0" percent="0" rank="0" text="" dxfId="3">
      <formula>AND(AM27&gt;0,AM27&lt;100)</formula>
    </cfRule>
    <cfRule type="cellIs" priority="258" operator="greaterThan" aboveAverage="0" equalAverage="0" bottom="0" percent="0" rank="0" text="" dxfId="0">
      <formula>AL27</formula>
    </cfRule>
  </conditionalFormatting>
  <conditionalFormatting sqref="AM28">
    <cfRule type="expression" priority="259" aboveAverage="0" equalAverage="0" bottom="0" percent="0" rank="0" text="" dxfId="3">
      <formula>AND(AM28&gt;0,AM28&lt;100)</formula>
    </cfRule>
    <cfRule type="cellIs" priority="260" operator="greaterThan" aboveAverage="0" equalAverage="0" bottom="0" percent="0" rank="0" text="" dxfId="0">
      <formula>AL28</formula>
    </cfRule>
  </conditionalFormatting>
  <conditionalFormatting sqref="AM29">
    <cfRule type="expression" priority="261" aboveAverage="0" equalAverage="0" bottom="0" percent="0" rank="0" text="" dxfId="3">
      <formula>AND(AM29&gt;0,AM29&lt;100)</formula>
    </cfRule>
    <cfRule type="cellIs" priority="262" operator="greaterThan" aboveAverage="0" equalAverage="0" bottom="0" percent="0" rank="0" text="" dxfId="0">
      <formula>AL29</formula>
    </cfRule>
  </conditionalFormatting>
  <conditionalFormatting sqref="AM30">
    <cfRule type="expression" priority="263" aboveAverage="0" equalAverage="0" bottom="0" percent="0" rank="0" text="" dxfId="3">
      <formula>AND(AM30&gt;0,AM30&lt;100)</formula>
    </cfRule>
    <cfRule type="cellIs" priority="264" operator="greaterThan" aboveAverage="0" equalAverage="0" bottom="0" percent="0" rank="0" text="" dxfId="0">
      <formula>AL30</formula>
    </cfRule>
  </conditionalFormatting>
  <conditionalFormatting sqref="AM31">
    <cfRule type="expression" priority="265" aboveAverage="0" equalAverage="0" bottom="0" percent="0" rank="0" text="" dxfId="3">
      <formula>AND(AM31&gt;0,AM31&lt;100)</formula>
    </cfRule>
    <cfRule type="cellIs" priority="266" operator="greaterThan" aboveAverage="0" equalAverage="0" bottom="0" percent="0" rank="0" text="" dxfId="0">
      <formula>AL31</formula>
    </cfRule>
  </conditionalFormatting>
  <conditionalFormatting sqref="AM32">
    <cfRule type="cellIs" priority="267" operator="greaterThan" aboveAverage="0" equalAverage="0" bottom="0" percent="0" rank="0" text="" dxfId="0">
      <formula>AL32</formula>
    </cfRule>
  </conditionalFormatting>
  <conditionalFormatting sqref="AM7">
    <cfRule type="expression" priority="268" aboveAverage="0" equalAverage="0" bottom="0" percent="0" rank="0" text="" dxfId="3">
      <formula>AND(AM7&gt;0,AM7&lt;5)</formula>
    </cfRule>
    <cfRule type="cellIs" priority="269" operator="greaterThan" aboveAverage="0" equalAverage="0" bottom="0" percent="0" rank="0" text="" dxfId="0">
      <formula>AL7</formula>
    </cfRule>
  </conditionalFormatting>
  <conditionalFormatting sqref="AM9">
    <cfRule type="expression" priority="270" aboveAverage="0" equalAverage="0" bottom="0" percent="0" rank="0" text="" dxfId="3">
      <formula>AND(AM9&gt;0,AM9&lt;5)</formula>
    </cfRule>
    <cfRule type="cellIs" priority="271" operator="greaterThan" aboveAverage="0" equalAverage="0" bottom="0" percent="0" rank="0" text="" dxfId="0">
      <formula>AL9</formula>
    </cfRule>
  </conditionalFormatting>
  <conditionalFormatting sqref="AN11">
    <cfRule type="cellIs" priority="272" operator="lessThanOrEqual" aboveAverage="0" equalAverage="0" bottom="0" percent="0" rank="0" text="" dxfId="2">
      <formula>F11</formula>
    </cfRule>
  </conditionalFormatting>
  <conditionalFormatting sqref="AN13">
    <cfRule type="cellIs" priority="273" operator="lessThanOrEqual" aboveAverage="0" equalAverage="0" bottom="0" percent="0" rank="0" text="" dxfId="2">
      <formula>F13</formula>
    </cfRule>
  </conditionalFormatting>
  <conditionalFormatting sqref="AN15">
    <cfRule type="cellIs" priority="274" operator="lessThanOrEqual" aboveAverage="0" equalAverage="0" bottom="0" percent="0" rank="0" text="" dxfId="2">
      <formula>F15</formula>
    </cfRule>
  </conditionalFormatting>
  <conditionalFormatting sqref="AN16">
    <cfRule type="cellIs" priority="275" operator="lessThanOrEqual" aboveAverage="0" equalAverage="0" bottom="0" percent="0" rank="0" text="" dxfId="2">
      <formula>F16</formula>
    </cfRule>
  </conditionalFormatting>
  <conditionalFormatting sqref="AN19">
    <cfRule type="cellIs" priority="276" operator="lessThanOrEqual" aboveAverage="0" equalAverage="0" bottom="0" percent="0" rank="0" text="" dxfId="2">
      <formula>F19</formula>
    </cfRule>
  </conditionalFormatting>
  <conditionalFormatting sqref="AN24">
    <cfRule type="cellIs" priority="277" operator="lessThanOrEqual" aboveAverage="0" equalAverage="0" bottom="0" percent="0" rank="0" text="" dxfId="2">
      <formula>F24</formula>
    </cfRule>
  </conditionalFormatting>
  <conditionalFormatting sqref="AN25">
    <cfRule type="cellIs" priority="278" operator="lessThanOrEqual" aboveAverage="0" equalAverage="0" bottom="0" percent="0" rank="0" text="" dxfId="2">
      <formula>F25</formula>
    </cfRule>
  </conditionalFormatting>
  <conditionalFormatting sqref="AN26">
    <cfRule type="cellIs" priority="279" operator="lessThanOrEqual" aboveAverage="0" equalAverage="0" bottom="0" percent="0" rank="0" text="" dxfId="2">
      <formula>F26</formula>
    </cfRule>
  </conditionalFormatting>
  <conditionalFormatting sqref="AN27">
    <cfRule type="cellIs" priority="280" operator="lessThanOrEqual" aboveAverage="0" equalAverage="0" bottom="0" percent="0" rank="0" text="" dxfId="2">
      <formula>F27</formula>
    </cfRule>
  </conditionalFormatting>
  <conditionalFormatting sqref="AN28">
    <cfRule type="cellIs" priority="281" operator="lessThanOrEqual" aboveAverage="0" equalAverage="0" bottom="0" percent="0" rank="0" text="" dxfId="2">
      <formula>F28</formula>
    </cfRule>
  </conditionalFormatting>
  <conditionalFormatting sqref="AN29">
    <cfRule type="cellIs" priority="282" operator="lessThanOrEqual" aboveAverage="0" equalAverage="0" bottom="0" percent="0" rank="0" text="" dxfId="2">
      <formula>F29</formula>
    </cfRule>
  </conditionalFormatting>
  <conditionalFormatting sqref="AN30">
    <cfRule type="cellIs" priority="283" operator="lessThanOrEqual" aboveAverage="0" equalAverage="0" bottom="0" percent="0" rank="0" text="" dxfId="2">
      <formula>F30</formula>
    </cfRule>
  </conditionalFormatting>
  <conditionalFormatting sqref="AN31">
    <cfRule type="cellIs" priority="284" operator="lessThanOrEqual" aboveAverage="0" equalAverage="0" bottom="0" percent="0" rank="0" text="" dxfId="2">
      <formula>F31</formula>
    </cfRule>
  </conditionalFormatting>
  <conditionalFormatting sqref="AN32">
    <cfRule type="cellIs" priority="285" operator="lessThanOrEqual" aboveAverage="0" equalAverage="0" bottom="0" percent="0" rank="0" text="" dxfId="2">
      <formula>F32</formula>
    </cfRule>
  </conditionalFormatting>
  <conditionalFormatting sqref="AN7">
    <cfRule type="cellIs" priority="286" operator="lessThanOrEqual" aboveAverage="0" equalAverage="0" bottom="0" percent="0" rank="0" text="" dxfId="2">
      <formula>F7</formula>
    </cfRule>
  </conditionalFormatting>
  <conditionalFormatting sqref="AN9">
    <cfRule type="cellIs" priority="287" operator="lessThanOrEqual" aboveAverage="0" equalAverage="0" bottom="0" percent="0" rank="0" text="" dxfId="2">
      <formula>F9</formula>
    </cfRule>
  </conditionalFormatting>
  <conditionalFormatting sqref="AO11">
    <cfRule type="cellIs" priority="288" operator="lessThanOrEqual" aboveAverage="0" equalAverage="0" bottom="0" percent="0" rank="0" text="" dxfId="2">
      <formula>G11</formula>
    </cfRule>
  </conditionalFormatting>
  <conditionalFormatting sqref="AO13">
    <cfRule type="cellIs" priority="289" operator="lessThanOrEqual" aboveAverage="0" equalAverage="0" bottom="0" percent="0" rank="0" text="" dxfId="2">
      <formula>G13</formula>
    </cfRule>
  </conditionalFormatting>
  <conditionalFormatting sqref="AO15">
    <cfRule type="cellIs" priority="290" operator="lessThanOrEqual" aboveAverage="0" equalAverage="0" bottom="0" percent="0" rank="0" text="" dxfId="2">
      <formula>G15</formula>
    </cfRule>
  </conditionalFormatting>
  <conditionalFormatting sqref="AO16">
    <cfRule type="cellIs" priority="291" operator="lessThanOrEqual" aboveAverage="0" equalAverage="0" bottom="0" percent="0" rank="0" text="" dxfId="2">
      <formula>G16</formula>
    </cfRule>
  </conditionalFormatting>
  <conditionalFormatting sqref="AO19">
    <cfRule type="cellIs" priority="292" operator="lessThanOrEqual" aboveAverage="0" equalAverage="0" bottom="0" percent="0" rank="0" text="" dxfId="2">
      <formula>G19</formula>
    </cfRule>
  </conditionalFormatting>
  <conditionalFormatting sqref="AO24">
    <cfRule type="cellIs" priority="293" operator="lessThanOrEqual" aboveAverage="0" equalAverage="0" bottom="0" percent="0" rank="0" text="" dxfId="2">
      <formula>G24</formula>
    </cfRule>
  </conditionalFormatting>
  <conditionalFormatting sqref="AO25">
    <cfRule type="cellIs" priority="294" operator="lessThanOrEqual" aboveAverage="0" equalAverage="0" bottom="0" percent="0" rank="0" text="" dxfId="2">
      <formula>G25</formula>
    </cfRule>
  </conditionalFormatting>
  <conditionalFormatting sqref="AO26">
    <cfRule type="cellIs" priority="295" operator="lessThanOrEqual" aboveAverage="0" equalAverage="0" bottom="0" percent="0" rank="0" text="" dxfId="2">
      <formula>G26</formula>
    </cfRule>
  </conditionalFormatting>
  <conditionalFormatting sqref="AO27">
    <cfRule type="cellIs" priority="296" operator="lessThanOrEqual" aboveAverage="0" equalAverage="0" bottom="0" percent="0" rank="0" text="" dxfId="2">
      <formula>G27</formula>
    </cfRule>
  </conditionalFormatting>
  <conditionalFormatting sqref="AO28">
    <cfRule type="cellIs" priority="297" operator="lessThanOrEqual" aboveAverage="0" equalAverage="0" bottom="0" percent="0" rank="0" text="" dxfId="2">
      <formula>G28</formula>
    </cfRule>
  </conditionalFormatting>
  <conditionalFormatting sqref="AO29">
    <cfRule type="cellIs" priority="298" operator="lessThanOrEqual" aboveAverage="0" equalAverage="0" bottom="0" percent="0" rank="0" text="" dxfId="2">
      <formula>G29</formula>
    </cfRule>
  </conditionalFormatting>
  <conditionalFormatting sqref="AO30">
    <cfRule type="cellIs" priority="299" operator="lessThanOrEqual" aboveAverage="0" equalAverage="0" bottom="0" percent="0" rank="0" text="" dxfId="2">
      <formula>G30</formula>
    </cfRule>
  </conditionalFormatting>
  <conditionalFormatting sqref="AO31">
    <cfRule type="cellIs" priority="300" operator="lessThanOrEqual" aboveAverage="0" equalAverage="0" bottom="0" percent="0" rank="0" text="" dxfId="2">
      <formula>G31</formula>
    </cfRule>
  </conditionalFormatting>
  <conditionalFormatting sqref="AO32">
    <cfRule type="cellIs" priority="301" operator="lessThanOrEqual" aboveAverage="0" equalAverage="0" bottom="0" percent="0" rank="0" text="" dxfId="2">
      <formula>G32</formula>
    </cfRule>
  </conditionalFormatting>
  <conditionalFormatting sqref="AO7">
    <cfRule type="cellIs" priority="302" operator="lessThanOrEqual" aboveAverage="0" equalAverage="0" bottom="0" percent="0" rank="0" text="" dxfId="2">
      <formula>G7</formula>
    </cfRule>
  </conditionalFormatting>
  <conditionalFormatting sqref="AO9">
    <cfRule type="cellIs" priority="303" operator="lessThanOrEqual" aboveAverage="0" equalAverage="0" bottom="0" percent="0" rank="0" text="" dxfId="2">
      <formula>G9</formula>
    </cfRule>
  </conditionalFormatting>
  <conditionalFormatting sqref="AQ15">
    <cfRule type="cellIs" priority="304" operator="equal" aboveAverage="0" equalAverage="0" bottom="0" percent="0" rank="0" text="" dxfId="0">
      <formula>0</formula>
    </cfRule>
    <cfRule type="cellIs" priority="305" operator="lessThan" aboveAverage="0" equalAverage="0" bottom="0" percent="0" rank="0" text="" dxfId="1">
      <formula>E15</formula>
    </cfRule>
  </conditionalFormatting>
  <conditionalFormatting sqref="AQ16">
    <cfRule type="cellIs" priority="306" operator="equal" aboveAverage="0" equalAverage="0" bottom="0" percent="0" rank="0" text="" dxfId="0">
      <formula>0</formula>
    </cfRule>
    <cfRule type="cellIs" priority="307" operator="lessThan" aboveAverage="0" equalAverage="0" bottom="0" percent="0" rank="0" text="" dxfId="1">
      <formula>E16</formula>
    </cfRule>
  </conditionalFormatting>
  <conditionalFormatting sqref="AQ19">
    <cfRule type="cellIs" priority="308" operator="equal" aboveAverage="0" equalAverage="0" bottom="0" percent="0" rank="0" text="" dxfId="0">
      <formula>0</formula>
    </cfRule>
    <cfRule type="cellIs" priority="309" operator="lessThan" aboveAverage="0" equalAverage="0" bottom="0" percent="0" rank="0" text="" dxfId="1">
      <formula>E19</formula>
    </cfRule>
  </conditionalFormatting>
  <conditionalFormatting sqref="AR15">
    <cfRule type="cellIs" priority="310" operator="greaterThan" aboveAverage="0" equalAverage="0" bottom="0" percent="0" rank="0" text="" dxfId="0">
      <formula>AQ15</formula>
    </cfRule>
  </conditionalFormatting>
  <conditionalFormatting sqref="AR16">
    <cfRule type="cellIs" priority="311" operator="greaterThan" aboveAverage="0" equalAverage="0" bottom="0" percent="0" rank="0" text="" dxfId="0">
      <formula>AQ16</formula>
    </cfRule>
  </conditionalFormatting>
  <conditionalFormatting sqref="AR19">
    <cfRule type="cellIs" priority="312" operator="greaterThan" aboveAverage="0" equalAverage="0" bottom="0" percent="0" rank="0" text="" dxfId="0">
      <formula>AQ19</formula>
    </cfRule>
  </conditionalFormatting>
  <conditionalFormatting sqref="AS15">
    <cfRule type="cellIs" priority="313" operator="lessThanOrEqual" aboveAverage="0" equalAverage="0" bottom="0" percent="0" rank="0" text="" dxfId="2">
      <formula>F15</formula>
    </cfRule>
  </conditionalFormatting>
  <conditionalFormatting sqref="AS16">
    <cfRule type="cellIs" priority="314" operator="lessThanOrEqual" aboveAverage="0" equalAverage="0" bottom="0" percent="0" rank="0" text="" dxfId="2">
      <formula>F16</formula>
    </cfRule>
  </conditionalFormatting>
  <conditionalFormatting sqref="AS19">
    <cfRule type="cellIs" priority="315" operator="lessThanOrEqual" aboveAverage="0" equalAverage="0" bottom="0" percent="0" rank="0" text="" dxfId="2">
      <formula>F19</formula>
    </cfRule>
  </conditionalFormatting>
  <conditionalFormatting sqref="AT15">
    <cfRule type="cellIs" priority="316" operator="lessThanOrEqual" aboveAverage="0" equalAverage="0" bottom="0" percent="0" rank="0" text="" dxfId="2">
      <formula>G15</formula>
    </cfRule>
  </conditionalFormatting>
  <conditionalFormatting sqref="AT16">
    <cfRule type="cellIs" priority="317" operator="lessThanOrEqual" aboveAverage="0" equalAverage="0" bottom="0" percent="0" rank="0" text="" dxfId="2">
      <formula>G16</formula>
    </cfRule>
  </conditionalFormatting>
  <conditionalFormatting sqref="AT19">
    <cfRule type="cellIs" priority="318" operator="lessThanOrEqual" aboveAverage="0" equalAverage="0" bottom="0" percent="0" rank="0" text="" dxfId="2">
      <formula>G19</formula>
    </cfRule>
  </conditionalFormatting>
  <conditionalFormatting sqref="E10">
    <cfRule type="expression" priority="319" aboveAverage="0" equalAverage="0" bottom="0" percent="0" rank="0" text="" dxfId="4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2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2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2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priority="323" aboveAverage="0" equalAverage="0" bottom="0" percent="0" rank="0" text="" dxfId="4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2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2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2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priority="327" aboveAverage="0" equalAverage="0" bottom="0" percent="0" rank="0" text="" dxfId="4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2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2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3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priority="331" aboveAverage="0" equalAverage="0" bottom="0" percent="0" rank="0" text="" dxfId="4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3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3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3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priority="335" aboveAverage="0" equalAverage="0" bottom="0" percent="0" rank="0" text="" dxfId="4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3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3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3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priority="339" aboveAverage="0" equalAverage="0" bottom="0" percent="0" rank="0" text="" dxfId="4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4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4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4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priority="343" aboveAverage="0" equalAverage="0" bottom="0" percent="0" rank="0" text="" dxfId="4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4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4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4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priority="347" aboveAverage="0" equalAverage="0" bottom="0" percent="0" rank="0" text="" dxfId="4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4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4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5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priority="351" aboveAverage="0" equalAverage="0" bottom="0" percent="0" rank="0" text="" dxfId="4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5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5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5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priority="355" aboveAverage="0" equalAverage="0" bottom="0" percent="0" rank="0" text="" dxfId="4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5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5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5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priority="359" aboveAverage="0" equalAverage="0" bottom="0" percent="0" rank="0" text="" dxfId="4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6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6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6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priority="363" aboveAverage="0" equalAverage="0" bottom="0" percent="0" rank="0" text="" dxfId="4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6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6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6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2">
    <cfRule type="expression" priority="367" aboveAverage="0" equalAverage="0" bottom="0" percent="0" rank="0" text="" dxfId="4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6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6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7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3">
    <cfRule type="expression" priority="371" aboveAverage="0" equalAverage="0" bottom="0" percent="0" rank="0" text="" dxfId="4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7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7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7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4">
    <cfRule type="expression" priority="375" aboveAverage="0" equalAverage="0" bottom="0" percent="0" rank="0" text="" dxfId="4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7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7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7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5">
    <cfRule type="expression" priority="379" aboveAverage="0" equalAverage="0" bottom="0" percent="0" rank="0" text="" dxfId="4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8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8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8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6">
    <cfRule type="expression" priority="383" aboveAverage="0" equalAverage="0" bottom="0" percent="0" rank="0" text="" dxfId="4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8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8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8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7">
    <cfRule type="expression" priority="387" aboveAverage="0" equalAverage="0" bottom="0" percent="0" rank="0" text="" dxfId="4">
      <formula>AND(ISBLANK(D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8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8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9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8">
    <cfRule type="expression" priority="391" aboveAverage="0" equalAverage="0" bottom="0" percent="0" rank="0" text="" dxfId="4">
      <formula>AND(ISBLANK(D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9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9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9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9">
    <cfRule type="expression" priority="395" aboveAverage="0" equalAverage="0" bottom="0" percent="0" rank="0" text="" dxfId="4">
      <formula>AND(ISBLANK(D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39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39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39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0">
    <cfRule type="expression" priority="399" aboveAverage="0" equalAverage="0" bottom="0" percent="0" rank="0" text="" dxfId="4">
      <formula>AND(ISBLANK(D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0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0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0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1">
    <cfRule type="expression" priority="403" aboveAverage="0" equalAverage="0" bottom="0" percent="0" rank="0" text="" dxfId="4">
      <formula>AND(ISBLANK(D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0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0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0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2">
    <cfRule type="expression" priority="407" aboveAverage="0" equalAverage="0" bottom="0" percent="0" rank="0" text="" dxfId="4">
      <formula>AND(ISBLANK(D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08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09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10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3">
    <cfRule type="expression" priority="411" aboveAverage="0" equalAverage="0" bottom="0" percent="0" rank="0" text="" dxfId="4">
      <formula>AND(ISBLANK(D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12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13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14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priority="415" aboveAverage="0" equalAverage="0" bottom="0" percent="0" rank="0" text="" dxfId="4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16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17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18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priority="419" aboveAverage="0" equalAverage="0" bottom="0" percent="0" rank="0" text="" dxfId="4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20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21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22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priority="423" aboveAverage="0" equalAverage="0" bottom="0" percent="0" rank="0" text="" dxfId="4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priority="424" aboveAverage="0" equalAverage="0" bottom="0" percent="0" rank="0" text="" dxfId="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priority="425" operator="greaterThan" aboveAverage="0" equalAverage="0" bottom="0" percent="0" rank="0" text="" dxfId="1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priority="426" operator="greaterThan" aboveAverage="0" equalAverage="0" bottom="0" percent="0" rank="0" text="" dxfId="3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1">
    <cfRule type="cellIs" priority="427" operator="equal" aboveAverage="0" equalAverage="0" bottom="0" percent="0" rank="0" text="" dxfId="0">
      <formula>0</formula>
    </cfRule>
    <cfRule type="cellIs" priority="428" operator="lessThan" aboveAverage="0" equalAverage="0" bottom="0" percent="0" rank="0" text="" dxfId="1">
      <formula>E11</formula>
    </cfRule>
  </conditionalFormatting>
  <conditionalFormatting sqref="M13">
    <cfRule type="cellIs" priority="429" operator="equal" aboveAverage="0" equalAverage="0" bottom="0" percent="0" rank="0" text="" dxfId="0">
      <formula>0</formula>
    </cfRule>
    <cfRule type="cellIs" priority="430" operator="lessThan" aboveAverage="0" equalAverage="0" bottom="0" percent="0" rank="0" text="" dxfId="1">
      <formula>E13</formula>
    </cfRule>
  </conditionalFormatting>
  <conditionalFormatting sqref="M15">
    <cfRule type="cellIs" priority="431" operator="equal" aboveAverage="0" equalAverage="0" bottom="0" percent="0" rank="0" text="" dxfId="0">
      <formula>0</formula>
    </cfRule>
    <cfRule type="cellIs" priority="432" operator="lessThan" aboveAverage="0" equalAverage="0" bottom="0" percent="0" rank="0" text="" dxfId="1">
      <formula>E15</formula>
    </cfRule>
  </conditionalFormatting>
  <conditionalFormatting sqref="M16">
    <cfRule type="cellIs" priority="433" operator="equal" aboveAverage="0" equalAverage="0" bottom="0" percent="0" rank="0" text="" dxfId="0">
      <formula>0</formula>
    </cfRule>
    <cfRule type="cellIs" priority="434" operator="lessThan" aboveAverage="0" equalAverage="0" bottom="0" percent="0" rank="0" text="" dxfId="1">
      <formula>E16</formula>
    </cfRule>
  </conditionalFormatting>
  <conditionalFormatting sqref="M21">
    <cfRule type="cellIs" priority="435" operator="equal" aboveAverage="0" equalAverage="0" bottom="0" percent="0" rank="0" text="" dxfId="0">
      <formula>0</formula>
    </cfRule>
    <cfRule type="cellIs" priority="436" operator="lessThan" aboveAverage="0" equalAverage="0" bottom="0" percent="0" rank="0" text="" dxfId="1">
      <formula>E21</formula>
    </cfRule>
  </conditionalFormatting>
  <conditionalFormatting sqref="M22">
    <cfRule type="cellIs" priority="437" operator="equal" aboveAverage="0" equalAverage="0" bottom="0" percent="0" rank="0" text="" dxfId="0">
      <formula>0</formula>
    </cfRule>
    <cfRule type="cellIs" priority="438" operator="lessThan" aboveAverage="0" equalAverage="0" bottom="0" percent="0" rank="0" text="" dxfId="1">
      <formula>E22</formula>
    </cfRule>
  </conditionalFormatting>
  <conditionalFormatting sqref="M23">
    <cfRule type="cellIs" priority="439" operator="equal" aboveAverage="0" equalAverage="0" bottom="0" percent="0" rank="0" text="" dxfId="0">
      <formula>0</formula>
    </cfRule>
    <cfRule type="cellIs" priority="440" operator="lessThan" aboveAverage="0" equalAverage="0" bottom="0" percent="0" rank="0" text="" dxfId="1">
      <formula>E23</formula>
    </cfRule>
  </conditionalFormatting>
  <conditionalFormatting sqref="M24">
    <cfRule type="cellIs" priority="441" operator="equal" aboveAverage="0" equalAverage="0" bottom="0" percent="0" rank="0" text="" dxfId="0">
      <formula>0</formula>
    </cfRule>
    <cfRule type="cellIs" priority="442" operator="lessThan" aboveAverage="0" equalAverage="0" bottom="0" percent="0" rank="0" text="" dxfId="1">
      <formula>E24</formula>
    </cfRule>
  </conditionalFormatting>
  <conditionalFormatting sqref="M25">
    <cfRule type="cellIs" priority="443" operator="equal" aboveAverage="0" equalAverage="0" bottom="0" percent="0" rank="0" text="" dxfId="0">
      <formula>0</formula>
    </cfRule>
    <cfRule type="cellIs" priority="444" operator="lessThan" aboveAverage="0" equalAverage="0" bottom="0" percent="0" rank="0" text="" dxfId="1">
      <formula>E25</formula>
    </cfRule>
  </conditionalFormatting>
  <conditionalFormatting sqref="M27">
    <cfRule type="cellIs" priority="445" operator="equal" aboveAverage="0" equalAverage="0" bottom="0" percent="0" rank="0" text="" dxfId="0">
      <formula>0</formula>
    </cfRule>
    <cfRule type="cellIs" priority="446" operator="lessThan" aboveAverage="0" equalAverage="0" bottom="0" percent="0" rank="0" text="" dxfId="1">
      <formula>E27</formula>
    </cfRule>
  </conditionalFormatting>
  <conditionalFormatting sqref="M28">
    <cfRule type="cellIs" priority="447" operator="equal" aboveAverage="0" equalAverage="0" bottom="0" percent="0" rank="0" text="" dxfId="0">
      <formula>0</formula>
    </cfRule>
    <cfRule type="cellIs" priority="448" operator="lessThan" aboveAverage="0" equalAverage="0" bottom="0" percent="0" rank="0" text="" dxfId="1">
      <formula>E28</formula>
    </cfRule>
  </conditionalFormatting>
  <conditionalFormatting sqref="M30">
    <cfRule type="cellIs" priority="449" operator="equal" aboveAverage="0" equalAverage="0" bottom="0" percent="0" rank="0" text="" dxfId="0">
      <formula>0</formula>
    </cfRule>
    <cfRule type="cellIs" priority="450" operator="lessThan" aboveAverage="0" equalAverage="0" bottom="0" percent="0" rank="0" text="" dxfId="1">
      <formula>E30</formula>
    </cfRule>
  </conditionalFormatting>
  <conditionalFormatting sqref="M31">
    <cfRule type="cellIs" priority="451" operator="equal" aboveAverage="0" equalAverage="0" bottom="0" percent="0" rank="0" text="" dxfId="0">
      <formula>0</formula>
    </cfRule>
    <cfRule type="cellIs" priority="452" operator="lessThan" aboveAverage="0" equalAverage="0" bottom="0" percent="0" rank="0" text="" dxfId="1">
      <formula>E31</formula>
    </cfRule>
  </conditionalFormatting>
  <conditionalFormatting sqref="M32">
    <cfRule type="cellIs" priority="453" operator="equal" aboveAverage="0" equalAverage="0" bottom="0" percent="0" rank="0" text="" dxfId="0">
      <formula>0</formula>
    </cfRule>
    <cfRule type="cellIs" priority="454" operator="lessThan" aboveAverage="0" equalAverage="0" bottom="0" percent="0" rank="0" text="" dxfId="1">
      <formula>E32</formula>
    </cfRule>
  </conditionalFormatting>
  <conditionalFormatting sqref="M33">
    <cfRule type="cellIs" priority="455" operator="equal" aboveAverage="0" equalAverage="0" bottom="0" percent="0" rank="0" text="" dxfId="0">
      <formula>0</formula>
    </cfRule>
    <cfRule type="cellIs" priority="456" operator="lessThan" aboveAverage="0" equalAverage="0" bottom="0" percent="0" rank="0" text="" dxfId="1">
      <formula>E33</formula>
    </cfRule>
  </conditionalFormatting>
  <conditionalFormatting sqref="M9">
    <cfRule type="cellIs" priority="457" operator="equal" aboveAverage="0" equalAverage="0" bottom="0" percent="0" rank="0" text="" dxfId="0">
      <formula>0</formula>
    </cfRule>
    <cfRule type="cellIs" priority="458" operator="lessThan" aboveAverage="0" equalAverage="0" bottom="0" percent="0" rank="0" text="" dxfId="1">
      <formula>E9</formula>
    </cfRule>
  </conditionalFormatting>
  <conditionalFormatting sqref="N11">
    <cfRule type="cellIs" priority="459" operator="greaterThan" aboveAverage="0" equalAverage="0" bottom="0" percent="0" rank="0" text="" dxfId="0">
      <formula>M11</formula>
    </cfRule>
  </conditionalFormatting>
  <conditionalFormatting sqref="N13">
    <cfRule type="cellIs" priority="460" operator="greaterThan" aboveAverage="0" equalAverage="0" bottom="0" percent="0" rank="0" text="" dxfId="0">
      <formula>M13</formula>
    </cfRule>
  </conditionalFormatting>
  <conditionalFormatting sqref="N15">
    <cfRule type="cellIs" priority="461" operator="greaterThan" aboveAverage="0" equalAverage="0" bottom="0" percent="0" rank="0" text="" dxfId="0">
      <formula>M15</formula>
    </cfRule>
  </conditionalFormatting>
  <conditionalFormatting sqref="N16">
    <cfRule type="cellIs" priority="462" operator="greaterThan" aboveAverage="0" equalAverage="0" bottom="0" percent="0" rank="0" text="" dxfId="0">
      <formula>M16</formula>
    </cfRule>
  </conditionalFormatting>
  <conditionalFormatting sqref="N21">
    <cfRule type="expression" priority="463" aboveAverage="0" equalAverage="0" bottom="0" percent="0" rank="0" text="" dxfId="3">
      <formula>AND(N21&gt;0,N21&lt;5000)</formula>
    </cfRule>
    <cfRule type="cellIs" priority="464" operator="greaterThan" aboveAverage="0" equalAverage="0" bottom="0" percent="0" rank="0" text="" dxfId="0">
      <formula>M21</formula>
    </cfRule>
  </conditionalFormatting>
  <conditionalFormatting sqref="N22">
    <cfRule type="expression" priority="465" aboveAverage="0" equalAverage="0" bottom="0" percent="0" rank="0" text="" dxfId="3">
      <formula>AND(N22&gt;0,N22&lt;5000)</formula>
    </cfRule>
    <cfRule type="cellIs" priority="466" operator="greaterThan" aboveAverage="0" equalAverage="0" bottom="0" percent="0" rank="0" text="" dxfId="0">
      <formula>M22</formula>
    </cfRule>
  </conditionalFormatting>
  <conditionalFormatting sqref="N23">
    <cfRule type="cellIs" priority="467" operator="greaterThan" aboveAverage="0" equalAverage="0" bottom="0" percent="0" rank="0" text="" dxfId="0">
      <formula>M23</formula>
    </cfRule>
  </conditionalFormatting>
  <conditionalFormatting sqref="N24">
    <cfRule type="expression" priority="468" aboveAverage="0" equalAverage="0" bottom="0" percent="0" rank="0" text="" dxfId="3">
      <formula>AND(N24&gt;0,N24&lt;5000)</formula>
    </cfRule>
    <cfRule type="cellIs" priority="469" operator="greaterThan" aboveAverage="0" equalAverage="0" bottom="0" percent="0" rank="0" text="" dxfId="0">
      <formula>M24</formula>
    </cfRule>
  </conditionalFormatting>
  <conditionalFormatting sqref="N25">
    <cfRule type="expression" priority="470" aboveAverage="0" equalAverage="0" bottom="0" percent="0" rank="0" text="" dxfId="3">
      <formula>AND(N25&gt;0,N25&lt;5000)</formula>
    </cfRule>
    <cfRule type="cellIs" priority="471" operator="greaterThan" aboveAverage="0" equalAverage="0" bottom="0" percent="0" rank="0" text="" dxfId="0">
      <formula>M25</formula>
    </cfRule>
  </conditionalFormatting>
  <conditionalFormatting sqref="N27">
    <cfRule type="expression" priority="472" aboveAverage="0" equalAverage="0" bottom="0" percent="0" rank="0" text="" dxfId="3">
      <formula>AND(N27&gt;0,N27&lt;5000)</formula>
    </cfRule>
    <cfRule type="cellIs" priority="473" operator="greaterThan" aboveAverage="0" equalAverage="0" bottom="0" percent="0" rank="0" text="" dxfId="0">
      <formula>M27</formula>
    </cfRule>
  </conditionalFormatting>
  <conditionalFormatting sqref="N28">
    <cfRule type="expression" priority="474" aboveAverage="0" equalAverage="0" bottom="0" percent="0" rank="0" text="" dxfId="3">
      <formula>AND(N28&gt;0,N28&lt;5000)</formula>
    </cfRule>
    <cfRule type="cellIs" priority="475" operator="greaterThan" aboveAverage="0" equalAverage="0" bottom="0" percent="0" rank="0" text="" dxfId="0">
      <formula>M28</formula>
    </cfRule>
  </conditionalFormatting>
  <conditionalFormatting sqref="N30">
    <cfRule type="expression" priority="476" aboveAverage="0" equalAverage="0" bottom="0" percent="0" rank="0" text="" dxfId="3">
      <formula>AND(N30&gt;0,N30&lt;5000)</formula>
    </cfRule>
    <cfRule type="cellIs" priority="477" operator="greaterThan" aboveAverage="0" equalAverage="0" bottom="0" percent="0" rank="0" text="" dxfId="0">
      <formula>M30</formula>
    </cfRule>
  </conditionalFormatting>
  <conditionalFormatting sqref="N31">
    <cfRule type="expression" priority="478" aboveAverage="0" equalAverage="0" bottom="0" percent="0" rank="0" text="" dxfId="3">
      <formula>AND(N31&gt;0,N31&lt;5000)</formula>
    </cfRule>
    <cfRule type="cellIs" priority="479" operator="greaterThan" aboveAverage="0" equalAverage="0" bottom="0" percent="0" rank="0" text="" dxfId="0">
      <formula>M31</formula>
    </cfRule>
  </conditionalFormatting>
  <conditionalFormatting sqref="N32">
    <cfRule type="cellIs" priority="480" operator="greaterThan" aboveAverage="0" equalAverage="0" bottom="0" percent="0" rank="0" text="" dxfId="0">
      <formula>M32</formula>
    </cfRule>
  </conditionalFormatting>
  <conditionalFormatting sqref="N33">
    <cfRule type="cellIs" priority="481" operator="greaterThan" aboveAverage="0" equalAverage="0" bottom="0" percent="0" rank="0" text="" dxfId="0">
      <formula>M33</formula>
    </cfRule>
  </conditionalFormatting>
  <conditionalFormatting sqref="N9">
    <cfRule type="cellIs" priority="482" operator="greaterThan" aboveAverage="0" equalAverage="0" bottom="0" percent="0" rank="0" text="" dxfId="0">
      <formula>M9</formula>
    </cfRule>
  </conditionalFormatting>
  <conditionalFormatting sqref="O11">
    <cfRule type="cellIs" priority="483" operator="lessThanOrEqual" aboveAverage="0" equalAverage="0" bottom="0" percent="0" rank="0" text="" dxfId="2">
      <formula>F11</formula>
    </cfRule>
  </conditionalFormatting>
  <conditionalFormatting sqref="O13">
    <cfRule type="cellIs" priority="484" operator="lessThanOrEqual" aboveAverage="0" equalAverage="0" bottom="0" percent="0" rank="0" text="" dxfId="2">
      <formula>F13</formula>
    </cfRule>
  </conditionalFormatting>
  <conditionalFormatting sqref="O15">
    <cfRule type="cellIs" priority="485" operator="lessThanOrEqual" aboveAverage="0" equalAverage="0" bottom="0" percent="0" rank="0" text="" dxfId="2">
      <formula>F15</formula>
    </cfRule>
  </conditionalFormatting>
  <conditionalFormatting sqref="O16">
    <cfRule type="cellIs" priority="486" operator="lessThanOrEqual" aboveAverage="0" equalAverage="0" bottom="0" percent="0" rank="0" text="" dxfId="2">
      <formula>F16</formula>
    </cfRule>
  </conditionalFormatting>
  <conditionalFormatting sqref="O21">
    <cfRule type="cellIs" priority="487" operator="lessThanOrEqual" aboveAverage="0" equalAverage="0" bottom="0" percent="0" rank="0" text="" dxfId="2">
      <formula>F21</formula>
    </cfRule>
  </conditionalFormatting>
  <conditionalFormatting sqref="O22">
    <cfRule type="cellIs" priority="488" operator="lessThanOrEqual" aboveAverage="0" equalAverage="0" bottom="0" percent="0" rank="0" text="" dxfId="2">
      <formula>F22</formula>
    </cfRule>
  </conditionalFormatting>
  <conditionalFormatting sqref="O23">
    <cfRule type="cellIs" priority="489" operator="lessThanOrEqual" aboveAverage="0" equalAverage="0" bottom="0" percent="0" rank="0" text="" dxfId="2">
      <formula>F23</formula>
    </cfRule>
  </conditionalFormatting>
  <conditionalFormatting sqref="O24">
    <cfRule type="cellIs" priority="490" operator="lessThanOrEqual" aboveAverage="0" equalAverage="0" bottom="0" percent="0" rank="0" text="" dxfId="2">
      <formula>F24</formula>
    </cfRule>
  </conditionalFormatting>
  <conditionalFormatting sqref="O25">
    <cfRule type="cellIs" priority="491" operator="lessThanOrEqual" aboveAverage="0" equalAverage="0" bottom="0" percent="0" rank="0" text="" dxfId="2">
      <formula>F25</formula>
    </cfRule>
  </conditionalFormatting>
  <conditionalFormatting sqref="O27">
    <cfRule type="cellIs" priority="492" operator="lessThanOrEqual" aboveAverage="0" equalAverage="0" bottom="0" percent="0" rank="0" text="" dxfId="2">
      <formula>F27</formula>
    </cfRule>
  </conditionalFormatting>
  <conditionalFormatting sqref="O28">
    <cfRule type="cellIs" priority="493" operator="lessThanOrEqual" aboveAverage="0" equalAverage="0" bottom="0" percent="0" rank="0" text="" dxfId="2">
      <formula>F28</formula>
    </cfRule>
  </conditionalFormatting>
  <conditionalFormatting sqref="O30">
    <cfRule type="cellIs" priority="494" operator="lessThanOrEqual" aboveAverage="0" equalAverage="0" bottom="0" percent="0" rank="0" text="" dxfId="2">
      <formula>F30</formula>
    </cfRule>
  </conditionalFormatting>
  <conditionalFormatting sqref="O31">
    <cfRule type="cellIs" priority="495" operator="lessThanOrEqual" aboveAverage="0" equalAverage="0" bottom="0" percent="0" rank="0" text="" dxfId="2">
      <formula>F31</formula>
    </cfRule>
  </conditionalFormatting>
  <conditionalFormatting sqref="O32">
    <cfRule type="cellIs" priority="496" operator="lessThanOrEqual" aboveAverage="0" equalAverage="0" bottom="0" percent="0" rank="0" text="" dxfId="2">
      <formula>F32</formula>
    </cfRule>
  </conditionalFormatting>
  <conditionalFormatting sqref="O33">
    <cfRule type="cellIs" priority="497" operator="lessThanOrEqual" aboveAverage="0" equalAverage="0" bottom="0" percent="0" rank="0" text="" dxfId="2">
      <formula>F33</formula>
    </cfRule>
  </conditionalFormatting>
  <conditionalFormatting sqref="O9">
    <cfRule type="cellIs" priority="498" operator="lessThanOrEqual" aboveAverage="0" equalAverage="0" bottom="0" percent="0" rank="0" text="" dxfId="2">
      <formula>F9</formula>
    </cfRule>
  </conditionalFormatting>
  <conditionalFormatting sqref="P11">
    <cfRule type="cellIs" priority="499" operator="lessThanOrEqual" aboveAverage="0" equalAverage="0" bottom="0" percent="0" rank="0" text="" dxfId="2">
      <formula>G11</formula>
    </cfRule>
  </conditionalFormatting>
  <conditionalFormatting sqref="P13">
    <cfRule type="cellIs" priority="500" operator="lessThanOrEqual" aboveAverage="0" equalAverage="0" bottom="0" percent="0" rank="0" text="" dxfId="2">
      <formula>G13</formula>
    </cfRule>
  </conditionalFormatting>
  <conditionalFormatting sqref="P15">
    <cfRule type="cellIs" priority="501" operator="lessThanOrEqual" aboveAverage="0" equalAverage="0" bottom="0" percent="0" rank="0" text="" dxfId="2">
      <formula>G15</formula>
    </cfRule>
  </conditionalFormatting>
  <conditionalFormatting sqref="P16">
    <cfRule type="cellIs" priority="502" operator="lessThanOrEqual" aboveAverage="0" equalAverage="0" bottom="0" percent="0" rank="0" text="" dxfId="2">
      <formula>G16</formula>
    </cfRule>
  </conditionalFormatting>
  <conditionalFormatting sqref="P21">
    <cfRule type="cellIs" priority="503" operator="lessThanOrEqual" aboveAverage="0" equalAverage="0" bottom="0" percent="0" rank="0" text="" dxfId="2">
      <formula>G21</formula>
    </cfRule>
  </conditionalFormatting>
  <conditionalFormatting sqref="P22">
    <cfRule type="cellIs" priority="504" operator="lessThanOrEqual" aboveAverage="0" equalAverage="0" bottom="0" percent="0" rank="0" text="" dxfId="2">
      <formula>G22</formula>
    </cfRule>
  </conditionalFormatting>
  <conditionalFormatting sqref="P23">
    <cfRule type="cellIs" priority="505" operator="lessThanOrEqual" aboveAverage="0" equalAverage="0" bottom="0" percent="0" rank="0" text="" dxfId="2">
      <formula>G23</formula>
    </cfRule>
  </conditionalFormatting>
  <conditionalFormatting sqref="P24">
    <cfRule type="cellIs" priority="506" operator="lessThanOrEqual" aboveAverage="0" equalAverage="0" bottom="0" percent="0" rank="0" text="" dxfId="2">
      <formula>G24</formula>
    </cfRule>
  </conditionalFormatting>
  <conditionalFormatting sqref="P25">
    <cfRule type="cellIs" priority="507" operator="lessThanOrEqual" aboveAverage="0" equalAverage="0" bottom="0" percent="0" rank="0" text="" dxfId="2">
      <formula>G25</formula>
    </cfRule>
  </conditionalFormatting>
  <conditionalFormatting sqref="P27">
    <cfRule type="cellIs" priority="508" operator="lessThanOrEqual" aboveAverage="0" equalAverage="0" bottom="0" percent="0" rank="0" text="" dxfId="2">
      <formula>G27</formula>
    </cfRule>
  </conditionalFormatting>
  <conditionalFormatting sqref="P28">
    <cfRule type="cellIs" priority="509" operator="lessThanOrEqual" aboveAverage="0" equalAverage="0" bottom="0" percent="0" rank="0" text="" dxfId="2">
      <formula>G28</formula>
    </cfRule>
  </conditionalFormatting>
  <conditionalFormatting sqref="P30">
    <cfRule type="cellIs" priority="510" operator="lessThanOrEqual" aboveAverage="0" equalAverage="0" bottom="0" percent="0" rank="0" text="" dxfId="2">
      <formula>G30</formula>
    </cfRule>
  </conditionalFormatting>
  <conditionalFormatting sqref="P31">
    <cfRule type="cellIs" priority="511" operator="lessThanOrEqual" aboveAverage="0" equalAverage="0" bottom="0" percent="0" rank="0" text="" dxfId="2">
      <formula>G31</formula>
    </cfRule>
  </conditionalFormatting>
  <conditionalFormatting sqref="P32">
    <cfRule type="cellIs" priority="512" operator="lessThanOrEqual" aboveAverage="0" equalAverage="0" bottom="0" percent="0" rank="0" text="" dxfId="2">
      <formula>G32</formula>
    </cfRule>
  </conditionalFormatting>
  <conditionalFormatting sqref="P33">
    <cfRule type="cellIs" priority="513" operator="lessThanOrEqual" aboveAverage="0" equalAverage="0" bottom="0" percent="0" rank="0" text="" dxfId="2">
      <formula>G33</formula>
    </cfRule>
  </conditionalFormatting>
  <conditionalFormatting sqref="P9">
    <cfRule type="cellIs" priority="514" operator="lessThanOrEqual" aboveAverage="0" equalAverage="0" bottom="0" percent="0" rank="0" text="" dxfId="2">
      <formula>G9</formula>
    </cfRule>
  </conditionalFormatting>
  <conditionalFormatting sqref="R10">
    <cfRule type="cellIs" priority="515" operator="equal" aboveAverage="0" equalAverage="0" bottom="0" percent="0" rank="0" text="" dxfId="0">
      <formula>0</formula>
    </cfRule>
    <cfRule type="cellIs" priority="516" operator="lessThan" aboveAverage="0" equalAverage="0" bottom="0" percent="0" rank="0" text="" dxfId="1">
      <formula>E10</formula>
    </cfRule>
  </conditionalFormatting>
  <conditionalFormatting sqref="R11">
    <cfRule type="cellIs" priority="517" operator="equal" aboveAverage="0" equalAverage="0" bottom="0" percent="0" rank="0" text="" dxfId="0">
      <formula>0</formula>
    </cfRule>
    <cfRule type="cellIs" priority="518" operator="lessThan" aboveAverage="0" equalAverage="0" bottom="0" percent="0" rank="0" text="" dxfId="1">
      <formula>E11</formula>
    </cfRule>
  </conditionalFormatting>
  <conditionalFormatting sqref="R13">
    <cfRule type="cellIs" priority="519" operator="equal" aboveAverage="0" equalAverage="0" bottom="0" percent="0" rank="0" text="" dxfId="0">
      <formula>0</formula>
    </cfRule>
    <cfRule type="cellIs" priority="520" operator="lessThan" aboveAverage="0" equalAverage="0" bottom="0" percent="0" rank="0" text="" dxfId="1">
      <formula>E13</formula>
    </cfRule>
  </conditionalFormatting>
  <conditionalFormatting sqref="R14">
    <cfRule type="cellIs" priority="521" operator="equal" aboveAverage="0" equalAverage="0" bottom="0" percent="0" rank="0" text="" dxfId="0">
      <formula>0</formula>
    </cfRule>
    <cfRule type="cellIs" priority="522" operator="lessThan" aboveAverage="0" equalAverage="0" bottom="0" percent="0" rank="0" text="" dxfId="1">
      <formula>E14</formula>
    </cfRule>
  </conditionalFormatting>
  <conditionalFormatting sqref="R15">
    <cfRule type="cellIs" priority="523" operator="equal" aboveAverage="0" equalAverage="0" bottom="0" percent="0" rank="0" text="" dxfId="0">
      <formula>0</formula>
    </cfRule>
    <cfRule type="cellIs" priority="524" operator="lessThan" aboveAverage="0" equalAverage="0" bottom="0" percent="0" rank="0" text="" dxfId="1">
      <formula>E15</formula>
    </cfRule>
  </conditionalFormatting>
  <conditionalFormatting sqref="R16">
    <cfRule type="cellIs" priority="525" operator="equal" aboveAverage="0" equalAverage="0" bottom="0" percent="0" rank="0" text="" dxfId="0">
      <formula>0</formula>
    </cfRule>
    <cfRule type="cellIs" priority="526" operator="lessThan" aboveAverage="0" equalAverage="0" bottom="0" percent="0" rank="0" text="" dxfId="1">
      <formula>E16</formula>
    </cfRule>
  </conditionalFormatting>
  <conditionalFormatting sqref="R17">
    <cfRule type="cellIs" priority="527" operator="equal" aboveAverage="0" equalAverage="0" bottom="0" percent="0" rank="0" text="" dxfId="0">
      <formula>0</formula>
    </cfRule>
    <cfRule type="cellIs" priority="528" operator="lessThan" aboveAverage="0" equalAverage="0" bottom="0" percent="0" rank="0" text="" dxfId="1">
      <formula>E17</formula>
    </cfRule>
  </conditionalFormatting>
  <conditionalFormatting sqref="R18">
    <cfRule type="cellIs" priority="529" operator="equal" aboveAverage="0" equalAverage="0" bottom="0" percent="0" rank="0" text="" dxfId="0">
      <formula>0</formula>
    </cfRule>
    <cfRule type="cellIs" priority="530" operator="lessThan" aboveAverage="0" equalAverage="0" bottom="0" percent="0" rank="0" text="" dxfId="1">
      <formula>E18</formula>
    </cfRule>
  </conditionalFormatting>
  <conditionalFormatting sqref="R20">
    <cfRule type="cellIs" priority="531" operator="equal" aboveAverage="0" equalAverage="0" bottom="0" percent="0" rank="0" text="" dxfId="0">
      <formula>0</formula>
    </cfRule>
    <cfRule type="cellIs" priority="532" operator="lessThan" aboveAverage="0" equalAverage="0" bottom="0" percent="0" rank="0" text="" dxfId="1">
      <formula>E20</formula>
    </cfRule>
  </conditionalFormatting>
  <conditionalFormatting sqref="R21">
    <cfRule type="cellIs" priority="533" operator="equal" aboveAverage="0" equalAverage="0" bottom="0" percent="0" rank="0" text="" dxfId="0">
      <formula>0</formula>
    </cfRule>
    <cfRule type="cellIs" priority="534" operator="lessThan" aboveAverage="0" equalAverage="0" bottom="0" percent="0" rank="0" text="" dxfId="1">
      <formula>E21</formula>
    </cfRule>
  </conditionalFormatting>
  <conditionalFormatting sqref="R22">
    <cfRule type="cellIs" priority="535" operator="equal" aboveAverage="0" equalAverage="0" bottom="0" percent="0" rank="0" text="" dxfId="0">
      <formula>0</formula>
    </cfRule>
    <cfRule type="cellIs" priority="536" operator="lessThan" aboveAverage="0" equalAverage="0" bottom="0" percent="0" rank="0" text="" dxfId="1">
      <formula>E22</formula>
    </cfRule>
  </conditionalFormatting>
  <conditionalFormatting sqref="R23">
    <cfRule type="cellIs" priority="537" operator="equal" aboveAverage="0" equalAverage="0" bottom="0" percent="0" rank="0" text="" dxfId="0">
      <formula>0</formula>
    </cfRule>
    <cfRule type="cellIs" priority="538" operator="lessThan" aboveAverage="0" equalAverage="0" bottom="0" percent="0" rank="0" text="" dxfId="1">
      <formula>E23</formula>
    </cfRule>
  </conditionalFormatting>
  <conditionalFormatting sqref="R24">
    <cfRule type="cellIs" priority="539" operator="equal" aboveAverage="0" equalAverage="0" bottom="0" percent="0" rank="0" text="" dxfId="0">
      <formula>0</formula>
    </cfRule>
    <cfRule type="cellIs" priority="540" operator="lessThan" aboveAverage="0" equalAverage="0" bottom="0" percent="0" rank="0" text="" dxfId="1">
      <formula>E24</formula>
    </cfRule>
  </conditionalFormatting>
  <conditionalFormatting sqref="R25">
    <cfRule type="cellIs" priority="541" operator="equal" aboveAverage="0" equalAverage="0" bottom="0" percent="0" rank="0" text="" dxfId="0">
      <formula>0</formula>
    </cfRule>
    <cfRule type="cellIs" priority="542" operator="lessThan" aboveAverage="0" equalAverage="0" bottom="0" percent="0" rank="0" text="" dxfId="1">
      <formula>E25</formula>
    </cfRule>
  </conditionalFormatting>
  <conditionalFormatting sqref="R26">
    <cfRule type="cellIs" priority="543" operator="equal" aboveAverage="0" equalAverage="0" bottom="0" percent="0" rank="0" text="" dxfId="0">
      <formula>0</formula>
    </cfRule>
    <cfRule type="cellIs" priority="544" operator="lessThan" aboveAverage="0" equalAverage="0" bottom="0" percent="0" rank="0" text="" dxfId="1">
      <formula>E26</formula>
    </cfRule>
  </conditionalFormatting>
  <conditionalFormatting sqref="R27">
    <cfRule type="cellIs" priority="545" operator="equal" aboveAverage="0" equalAverage="0" bottom="0" percent="0" rank="0" text="" dxfId="0">
      <formula>0</formula>
    </cfRule>
    <cfRule type="cellIs" priority="546" operator="lessThan" aboveAverage="0" equalAverage="0" bottom="0" percent="0" rank="0" text="" dxfId="1">
      <formula>E27</formula>
    </cfRule>
  </conditionalFormatting>
  <conditionalFormatting sqref="R28">
    <cfRule type="cellIs" priority="547" operator="equal" aboveAverage="0" equalAverage="0" bottom="0" percent="0" rank="0" text="" dxfId="0">
      <formula>0</formula>
    </cfRule>
    <cfRule type="cellIs" priority="548" operator="lessThan" aboveAverage="0" equalAverage="0" bottom="0" percent="0" rank="0" text="" dxfId="1">
      <formula>E28</formula>
    </cfRule>
  </conditionalFormatting>
  <conditionalFormatting sqref="R29">
    <cfRule type="cellIs" priority="549" operator="equal" aboveAverage="0" equalAverage="0" bottom="0" percent="0" rank="0" text="" dxfId="0">
      <formula>0</formula>
    </cfRule>
    <cfRule type="cellIs" priority="550" operator="lessThan" aboveAverage="0" equalAverage="0" bottom="0" percent="0" rank="0" text="" dxfId="1">
      <formula>E29</formula>
    </cfRule>
  </conditionalFormatting>
  <conditionalFormatting sqref="R30">
    <cfRule type="cellIs" priority="551" operator="equal" aboveAverage="0" equalAverage="0" bottom="0" percent="0" rank="0" text="" dxfId="0">
      <formula>0</formula>
    </cfRule>
    <cfRule type="cellIs" priority="552" operator="lessThan" aboveAverage="0" equalAverage="0" bottom="0" percent="0" rank="0" text="" dxfId="1">
      <formula>E30</formula>
    </cfRule>
  </conditionalFormatting>
  <conditionalFormatting sqref="R31">
    <cfRule type="cellIs" priority="553" operator="equal" aboveAverage="0" equalAverage="0" bottom="0" percent="0" rank="0" text="" dxfId="0">
      <formula>0</formula>
    </cfRule>
    <cfRule type="cellIs" priority="554" operator="lessThan" aboveAverage="0" equalAverage="0" bottom="0" percent="0" rank="0" text="" dxfId="1">
      <formula>E31</formula>
    </cfRule>
  </conditionalFormatting>
  <conditionalFormatting sqref="R32">
    <cfRule type="cellIs" priority="555" operator="equal" aboveAverage="0" equalAverage="0" bottom="0" percent="0" rank="0" text="" dxfId="0">
      <formula>0</formula>
    </cfRule>
    <cfRule type="cellIs" priority="556" operator="lessThan" aboveAverage="0" equalAverage="0" bottom="0" percent="0" rank="0" text="" dxfId="1">
      <formula>E32</formula>
    </cfRule>
  </conditionalFormatting>
  <conditionalFormatting sqref="R33">
    <cfRule type="cellIs" priority="557" operator="equal" aboveAverage="0" equalAverage="0" bottom="0" percent="0" rank="0" text="" dxfId="0">
      <formula>0</formula>
    </cfRule>
    <cfRule type="cellIs" priority="558" operator="lessThan" aboveAverage="0" equalAverage="0" bottom="0" percent="0" rank="0" text="" dxfId="1">
      <formula>E33</formula>
    </cfRule>
  </conditionalFormatting>
  <conditionalFormatting sqref="R8">
    <cfRule type="cellIs" priority="559" operator="equal" aboveAverage="0" equalAverage="0" bottom="0" percent="0" rank="0" text="" dxfId="0">
      <formula>0</formula>
    </cfRule>
    <cfRule type="cellIs" priority="560" operator="lessThan" aboveAverage="0" equalAverage="0" bottom="0" percent="0" rank="0" text="" dxfId="1">
      <formula>E8</formula>
    </cfRule>
  </conditionalFormatting>
  <conditionalFormatting sqref="R9">
    <cfRule type="cellIs" priority="561" operator="equal" aboveAverage="0" equalAverage="0" bottom="0" percent="0" rank="0" text="" dxfId="0">
      <formula>0</formula>
    </cfRule>
    <cfRule type="cellIs" priority="562" operator="lessThan" aboveAverage="0" equalAverage="0" bottom="0" percent="0" rank="0" text="" dxfId="1">
      <formula>E9</formula>
    </cfRule>
  </conditionalFormatting>
  <conditionalFormatting sqref="S10">
    <cfRule type="expression" priority="563" aboveAverage="0" equalAverage="0" bottom="0" percent="0" rank="0" text="" dxfId="3">
      <formula>AND(S10&gt;0,S10&lt;10)</formula>
    </cfRule>
    <cfRule type="cellIs" priority="564" operator="greaterThan" aboveAverage="0" equalAverage="0" bottom="0" percent="0" rank="0" text="" dxfId="0">
      <formula>R10</formula>
    </cfRule>
  </conditionalFormatting>
  <conditionalFormatting sqref="S11">
    <cfRule type="cellIs" priority="565" operator="greaterThan" aboveAverage="0" equalAverage="0" bottom="0" percent="0" rank="0" text="" dxfId="0">
      <formula>R11</formula>
    </cfRule>
  </conditionalFormatting>
  <conditionalFormatting sqref="S13">
    <cfRule type="cellIs" priority="566" operator="greaterThan" aboveAverage="0" equalAverage="0" bottom="0" percent="0" rank="0" text="" dxfId="0">
      <formula>R13</formula>
    </cfRule>
  </conditionalFormatting>
  <conditionalFormatting sqref="S14">
    <cfRule type="expression" priority="567" aboveAverage="0" equalAverage="0" bottom="0" percent="0" rank="0" text="" dxfId="3">
      <formula>AND(S14&gt;0,S14&lt;5)</formula>
    </cfRule>
    <cfRule type="cellIs" priority="568" operator="greaterThan" aboveAverage="0" equalAverage="0" bottom="0" percent="0" rank="0" text="" dxfId="0">
      <formula>R14</formula>
    </cfRule>
  </conditionalFormatting>
  <conditionalFormatting sqref="S15">
    <cfRule type="cellIs" priority="569" operator="greaterThan" aboveAverage="0" equalAverage="0" bottom="0" percent="0" rank="0" text="" dxfId="0">
      <formula>R15</formula>
    </cfRule>
  </conditionalFormatting>
  <conditionalFormatting sqref="S16">
    <cfRule type="cellIs" priority="570" operator="greaterThan" aboveAverage="0" equalAverage="0" bottom="0" percent="0" rank="0" text="" dxfId="0">
      <formula>R16</formula>
    </cfRule>
  </conditionalFormatting>
  <conditionalFormatting sqref="S17">
    <cfRule type="expression" priority="571" aboveAverage="0" equalAverage="0" bottom="0" percent="0" rank="0" text="" dxfId="3">
      <formula>AND(S17&gt;0,S17&lt;10)</formula>
    </cfRule>
    <cfRule type="cellIs" priority="572" operator="greaterThan" aboveAverage="0" equalAverage="0" bottom="0" percent="0" rank="0" text="" dxfId="0">
      <formula>R17</formula>
    </cfRule>
  </conditionalFormatting>
  <conditionalFormatting sqref="S18">
    <cfRule type="expression" priority="573" aboveAverage="0" equalAverage="0" bottom="0" percent="0" rank="0" text="" dxfId="3">
      <formula>AND(S18&gt;0,S18&lt;10)</formula>
    </cfRule>
    <cfRule type="cellIs" priority="574" operator="greaterThan" aboveAverage="0" equalAverage="0" bottom="0" percent="0" rank="0" text="" dxfId="0">
      <formula>R18</formula>
    </cfRule>
  </conditionalFormatting>
  <conditionalFormatting sqref="S20">
    <cfRule type="cellIs" priority="575" operator="greaterThan" aboveAverage="0" equalAverage="0" bottom="0" percent="0" rank="0" text="" dxfId="0">
      <formula>R20</formula>
    </cfRule>
  </conditionalFormatting>
  <conditionalFormatting sqref="S21">
    <cfRule type="expression" priority="576" aboveAverage="0" equalAverage="0" bottom="0" percent="0" rank="0" text="" dxfId="3">
      <formula>AND(S21&gt;0,S21&lt;10)</formula>
    </cfRule>
    <cfRule type="cellIs" priority="577" operator="greaterThan" aboveAverage="0" equalAverage="0" bottom="0" percent="0" rank="0" text="" dxfId="0">
      <formula>R21</formula>
    </cfRule>
  </conditionalFormatting>
  <conditionalFormatting sqref="S22">
    <cfRule type="expression" priority="578" aboveAverage="0" equalAverage="0" bottom="0" percent="0" rank="0" text="" dxfId="3">
      <formula>AND(S22&gt;0,S22&lt;10)</formula>
    </cfRule>
    <cfRule type="cellIs" priority="579" operator="greaterThan" aboveAverage="0" equalAverage="0" bottom="0" percent="0" rank="0" text="" dxfId="0">
      <formula>R22</formula>
    </cfRule>
  </conditionalFormatting>
  <conditionalFormatting sqref="S23">
    <cfRule type="expression" priority="580" aboveAverage="0" equalAverage="0" bottom="0" percent="0" rank="0" text="" dxfId="3">
      <formula>AND(S23&gt;0,S23&lt;5000)</formula>
    </cfRule>
    <cfRule type="cellIs" priority="581" operator="greaterThan" aboveAverage="0" equalAverage="0" bottom="0" percent="0" rank="0" text="" dxfId="0">
      <formula>R23</formula>
    </cfRule>
  </conditionalFormatting>
  <conditionalFormatting sqref="S24">
    <cfRule type="expression" priority="582" aboveAverage="0" equalAverage="0" bottom="0" percent="0" rank="0" text="" dxfId="3">
      <formula>AND(S24&gt;0,S24&lt;10)</formula>
    </cfRule>
    <cfRule type="cellIs" priority="583" operator="greaterThan" aboveAverage="0" equalAverage="0" bottom="0" percent="0" rank="0" text="" dxfId="0">
      <formula>R24</formula>
    </cfRule>
  </conditionalFormatting>
  <conditionalFormatting sqref="S25">
    <cfRule type="expression" priority="584" aboveAverage="0" equalAverage="0" bottom="0" percent="0" rank="0" text="" dxfId="3">
      <formula>AND(S25&gt;0,S25&lt;10)</formula>
    </cfRule>
    <cfRule type="cellIs" priority="585" operator="greaterThan" aboveAverage="0" equalAverage="0" bottom="0" percent="0" rank="0" text="" dxfId="0">
      <formula>R25</formula>
    </cfRule>
  </conditionalFormatting>
  <conditionalFormatting sqref="S26">
    <cfRule type="expression" priority="586" aboveAverage="0" equalAverage="0" bottom="0" percent="0" rank="0" text="" dxfId="3">
      <formula>AND(S26&gt;0,S26&lt;10)</formula>
    </cfRule>
    <cfRule type="cellIs" priority="587" operator="greaterThan" aboveAverage="0" equalAverage="0" bottom="0" percent="0" rank="0" text="" dxfId="0">
      <formula>R26</formula>
    </cfRule>
  </conditionalFormatting>
  <conditionalFormatting sqref="S27">
    <cfRule type="expression" priority="588" aboveAverage="0" equalAverage="0" bottom="0" percent="0" rank="0" text="" dxfId="3">
      <formula>AND(S27&gt;0,S27&lt;10)</formula>
    </cfRule>
    <cfRule type="cellIs" priority="589" operator="greaterThan" aboveAverage="0" equalAverage="0" bottom="0" percent="0" rank="0" text="" dxfId="0">
      <formula>R27</formula>
    </cfRule>
  </conditionalFormatting>
  <conditionalFormatting sqref="S28">
    <cfRule type="expression" priority="590" aboveAverage="0" equalAverage="0" bottom="0" percent="0" rank="0" text="" dxfId="3">
      <formula>AND(S28&gt;0,S28&lt;10)</formula>
    </cfRule>
    <cfRule type="cellIs" priority="591" operator="greaterThan" aboveAverage="0" equalAverage="0" bottom="0" percent="0" rank="0" text="" dxfId="0">
      <formula>R28</formula>
    </cfRule>
  </conditionalFormatting>
  <conditionalFormatting sqref="S29">
    <cfRule type="expression" priority="592" aboveAverage="0" equalAverage="0" bottom="0" percent="0" rank="0" text="" dxfId="3">
      <formula>AND(S29&gt;0,S29&lt;10)</formula>
    </cfRule>
    <cfRule type="cellIs" priority="593" operator="greaterThan" aboveAverage="0" equalAverage="0" bottom="0" percent="0" rank="0" text="" dxfId="0">
      <formula>R29</formula>
    </cfRule>
  </conditionalFormatting>
  <conditionalFormatting sqref="S30">
    <cfRule type="expression" priority="594" aboveAverage="0" equalAverage="0" bottom="0" percent="0" rank="0" text="" dxfId="3">
      <formula>AND(S30&gt;0,S30&lt;10)</formula>
    </cfRule>
    <cfRule type="cellIs" priority="595" operator="greaterThan" aboveAverage="0" equalAverage="0" bottom="0" percent="0" rank="0" text="" dxfId="0">
      <formula>R30</formula>
    </cfRule>
  </conditionalFormatting>
  <conditionalFormatting sqref="S31">
    <cfRule type="expression" priority="596" aboveAverage="0" equalAverage="0" bottom="0" percent="0" rank="0" text="" dxfId="3">
      <formula>AND(S31&gt;0,S31&lt;10)</formula>
    </cfRule>
    <cfRule type="cellIs" priority="597" operator="greaterThan" aboveAverage="0" equalAverage="0" bottom="0" percent="0" rank="0" text="" dxfId="0">
      <formula>R31</formula>
    </cfRule>
  </conditionalFormatting>
  <conditionalFormatting sqref="S32">
    <cfRule type="cellIs" priority="598" operator="greaterThan" aboveAverage="0" equalAverage="0" bottom="0" percent="0" rank="0" text="" dxfId="0">
      <formula>R32</formula>
    </cfRule>
  </conditionalFormatting>
  <conditionalFormatting sqref="S33">
    <cfRule type="cellIs" priority="599" operator="greaterThan" aboveAverage="0" equalAverage="0" bottom="0" percent="0" rank="0" text="" dxfId="0">
      <formula>R33</formula>
    </cfRule>
  </conditionalFormatting>
  <conditionalFormatting sqref="S8">
    <cfRule type="expression" priority="600" aboveAverage="0" equalAverage="0" bottom="0" percent="0" rank="0" text="" dxfId="3">
      <formula>AND(S8&gt;0,S8&lt;10)</formula>
    </cfRule>
    <cfRule type="cellIs" priority="601" operator="greaterThan" aboveAverage="0" equalAverage="0" bottom="0" percent="0" rank="0" text="" dxfId="0">
      <formula>R8</formula>
    </cfRule>
  </conditionalFormatting>
  <conditionalFormatting sqref="S9">
    <cfRule type="cellIs" priority="602" operator="greaterThan" aboveAverage="0" equalAverage="0" bottom="0" percent="0" rank="0" text="" dxfId="0">
      <formula>R9</formula>
    </cfRule>
  </conditionalFormatting>
  <conditionalFormatting sqref="T10">
    <cfRule type="cellIs" priority="603" operator="lessThanOrEqual" aboveAverage="0" equalAverage="0" bottom="0" percent="0" rank="0" text="" dxfId="2">
      <formula>F10</formula>
    </cfRule>
  </conditionalFormatting>
  <conditionalFormatting sqref="T11">
    <cfRule type="cellIs" priority="604" operator="lessThanOrEqual" aboveAverage="0" equalAverage="0" bottom="0" percent="0" rank="0" text="" dxfId="2">
      <formula>F11</formula>
    </cfRule>
  </conditionalFormatting>
  <conditionalFormatting sqref="T13">
    <cfRule type="cellIs" priority="605" operator="lessThanOrEqual" aboveAverage="0" equalAverage="0" bottom="0" percent="0" rank="0" text="" dxfId="2">
      <formula>F13</formula>
    </cfRule>
  </conditionalFormatting>
  <conditionalFormatting sqref="T14">
    <cfRule type="cellIs" priority="606" operator="lessThanOrEqual" aboveAverage="0" equalAverage="0" bottom="0" percent="0" rank="0" text="" dxfId="2">
      <formula>F14</formula>
    </cfRule>
  </conditionalFormatting>
  <conditionalFormatting sqref="T15">
    <cfRule type="cellIs" priority="607" operator="lessThanOrEqual" aboveAverage="0" equalAverage="0" bottom="0" percent="0" rank="0" text="" dxfId="2">
      <formula>F15</formula>
    </cfRule>
  </conditionalFormatting>
  <conditionalFormatting sqref="T16">
    <cfRule type="cellIs" priority="608" operator="lessThanOrEqual" aboveAverage="0" equalAverage="0" bottom="0" percent="0" rank="0" text="" dxfId="2">
      <formula>F16</formula>
    </cfRule>
  </conditionalFormatting>
  <conditionalFormatting sqref="T17">
    <cfRule type="cellIs" priority="609" operator="lessThanOrEqual" aboveAverage="0" equalAverage="0" bottom="0" percent="0" rank="0" text="" dxfId="2">
      <formula>F17</formula>
    </cfRule>
  </conditionalFormatting>
  <conditionalFormatting sqref="T18">
    <cfRule type="cellIs" priority="610" operator="lessThanOrEqual" aboveAverage="0" equalAverage="0" bottom="0" percent="0" rank="0" text="" dxfId="2">
      <formula>F18</formula>
    </cfRule>
  </conditionalFormatting>
  <conditionalFormatting sqref="T20">
    <cfRule type="cellIs" priority="611" operator="lessThanOrEqual" aboveAverage="0" equalAverage="0" bottom="0" percent="0" rank="0" text="" dxfId="2">
      <formula>F20</formula>
    </cfRule>
  </conditionalFormatting>
  <conditionalFormatting sqref="T21">
    <cfRule type="cellIs" priority="612" operator="lessThanOrEqual" aboveAverage="0" equalAverage="0" bottom="0" percent="0" rank="0" text="" dxfId="2">
      <formula>F21</formula>
    </cfRule>
  </conditionalFormatting>
  <conditionalFormatting sqref="T22">
    <cfRule type="cellIs" priority="613" operator="lessThanOrEqual" aboveAverage="0" equalAverage="0" bottom="0" percent="0" rank="0" text="" dxfId="2">
      <formula>F22</formula>
    </cfRule>
  </conditionalFormatting>
  <conditionalFormatting sqref="T23">
    <cfRule type="cellIs" priority="614" operator="lessThanOrEqual" aboveAverage="0" equalAverage="0" bottom="0" percent="0" rank="0" text="" dxfId="2">
      <formula>F23</formula>
    </cfRule>
  </conditionalFormatting>
  <conditionalFormatting sqref="T24">
    <cfRule type="cellIs" priority="615" operator="lessThanOrEqual" aboveAverage="0" equalAverage="0" bottom="0" percent="0" rank="0" text="" dxfId="2">
      <formula>F24</formula>
    </cfRule>
  </conditionalFormatting>
  <conditionalFormatting sqref="T25">
    <cfRule type="cellIs" priority="616" operator="lessThanOrEqual" aboveAverage="0" equalAverage="0" bottom="0" percent="0" rank="0" text="" dxfId="2">
      <formula>F25</formula>
    </cfRule>
  </conditionalFormatting>
  <conditionalFormatting sqref="T26">
    <cfRule type="cellIs" priority="617" operator="lessThanOrEqual" aboveAverage="0" equalAverage="0" bottom="0" percent="0" rank="0" text="" dxfId="2">
      <formula>F26</formula>
    </cfRule>
  </conditionalFormatting>
  <conditionalFormatting sqref="T27">
    <cfRule type="cellIs" priority="618" operator="lessThanOrEqual" aboveAverage="0" equalAverage="0" bottom="0" percent="0" rank="0" text="" dxfId="2">
      <formula>F27</formula>
    </cfRule>
  </conditionalFormatting>
  <conditionalFormatting sqref="T28">
    <cfRule type="cellIs" priority="619" operator="lessThanOrEqual" aboveAverage="0" equalAverage="0" bottom="0" percent="0" rank="0" text="" dxfId="2">
      <formula>F28</formula>
    </cfRule>
  </conditionalFormatting>
  <conditionalFormatting sqref="T29">
    <cfRule type="cellIs" priority="620" operator="lessThanOrEqual" aboveAverage="0" equalAverage="0" bottom="0" percent="0" rank="0" text="" dxfId="2">
      <formula>F29</formula>
    </cfRule>
  </conditionalFormatting>
  <conditionalFormatting sqref="T30">
    <cfRule type="cellIs" priority="621" operator="lessThanOrEqual" aboveAverage="0" equalAverage="0" bottom="0" percent="0" rank="0" text="" dxfId="2">
      <formula>F30</formula>
    </cfRule>
  </conditionalFormatting>
  <conditionalFormatting sqref="T31">
    <cfRule type="cellIs" priority="622" operator="lessThanOrEqual" aboveAverage="0" equalAverage="0" bottom="0" percent="0" rank="0" text="" dxfId="2">
      <formula>F31</formula>
    </cfRule>
  </conditionalFormatting>
  <conditionalFormatting sqref="T32">
    <cfRule type="cellIs" priority="623" operator="lessThanOrEqual" aboveAverage="0" equalAverage="0" bottom="0" percent="0" rank="0" text="" dxfId="2">
      <formula>F32</formula>
    </cfRule>
  </conditionalFormatting>
  <conditionalFormatting sqref="T33">
    <cfRule type="cellIs" priority="624" operator="lessThanOrEqual" aboveAverage="0" equalAverage="0" bottom="0" percent="0" rank="0" text="" dxfId="2">
      <formula>F33</formula>
    </cfRule>
  </conditionalFormatting>
  <conditionalFormatting sqref="T8">
    <cfRule type="cellIs" priority="625" operator="lessThanOrEqual" aboveAverage="0" equalAverage="0" bottom="0" percent="0" rank="0" text="" dxfId="2">
      <formula>F8</formula>
    </cfRule>
  </conditionalFormatting>
  <conditionalFormatting sqref="T9">
    <cfRule type="cellIs" priority="626" operator="lessThanOrEqual" aboveAverage="0" equalAverage="0" bottom="0" percent="0" rank="0" text="" dxfId="2">
      <formula>F9</formula>
    </cfRule>
  </conditionalFormatting>
  <conditionalFormatting sqref="U10">
    <cfRule type="cellIs" priority="627" operator="lessThanOrEqual" aboveAverage="0" equalAverage="0" bottom="0" percent="0" rank="0" text="" dxfId="2">
      <formula>G10</formula>
    </cfRule>
  </conditionalFormatting>
  <conditionalFormatting sqref="U11">
    <cfRule type="cellIs" priority="628" operator="lessThanOrEqual" aboveAverage="0" equalAverage="0" bottom="0" percent="0" rank="0" text="" dxfId="2">
      <formula>G11</formula>
    </cfRule>
  </conditionalFormatting>
  <conditionalFormatting sqref="U13">
    <cfRule type="cellIs" priority="629" operator="lessThanOrEqual" aboveAverage="0" equalAverage="0" bottom="0" percent="0" rank="0" text="" dxfId="2">
      <formula>G13</formula>
    </cfRule>
  </conditionalFormatting>
  <conditionalFormatting sqref="U14">
    <cfRule type="cellIs" priority="630" operator="lessThanOrEqual" aboveAverage="0" equalAverage="0" bottom="0" percent="0" rank="0" text="" dxfId="2">
      <formula>G14</formula>
    </cfRule>
  </conditionalFormatting>
  <conditionalFormatting sqref="U15">
    <cfRule type="cellIs" priority="631" operator="lessThanOrEqual" aboveAverage="0" equalAverage="0" bottom="0" percent="0" rank="0" text="" dxfId="2">
      <formula>G15</formula>
    </cfRule>
  </conditionalFormatting>
  <conditionalFormatting sqref="U16">
    <cfRule type="cellIs" priority="632" operator="lessThanOrEqual" aboveAverage="0" equalAverage="0" bottom="0" percent="0" rank="0" text="" dxfId="2">
      <formula>G16</formula>
    </cfRule>
  </conditionalFormatting>
  <conditionalFormatting sqref="U17">
    <cfRule type="cellIs" priority="633" operator="lessThanOrEqual" aboveAverage="0" equalAverage="0" bottom="0" percent="0" rank="0" text="" dxfId="2">
      <formula>G17</formula>
    </cfRule>
  </conditionalFormatting>
  <conditionalFormatting sqref="U18">
    <cfRule type="cellIs" priority="634" operator="lessThanOrEqual" aboveAverage="0" equalAverage="0" bottom="0" percent="0" rank="0" text="" dxfId="2">
      <formula>G18</formula>
    </cfRule>
  </conditionalFormatting>
  <conditionalFormatting sqref="U20">
    <cfRule type="cellIs" priority="635" operator="lessThanOrEqual" aboveAverage="0" equalAverage="0" bottom="0" percent="0" rank="0" text="" dxfId="2">
      <formula>G20</formula>
    </cfRule>
  </conditionalFormatting>
  <conditionalFormatting sqref="U21">
    <cfRule type="cellIs" priority="636" operator="lessThanOrEqual" aboveAverage="0" equalAverage="0" bottom="0" percent="0" rank="0" text="" dxfId="2">
      <formula>G21</formula>
    </cfRule>
  </conditionalFormatting>
  <conditionalFormatting sqref="U22">
    <cfRule type="cellIs" priority="637" operator="lessThanOrEqual" aboveAverage="0" equalAverage="0" bottom="0" percent="0" rank="0" text="" dxfId="2">
      <formula>G22</formula>
    </cfRule>
  </conditionalFormatting>
  <conditionalFormatting sqref="U23">
    <cfRule type="cellIs" priority="638" operator="lessThanOrEqual" aboveAverage="0" equalAverage="0" bottom="0" percent="0" rank="0" text="" dxfId="2">
      <formula>G23</formula>
    </cfRule>
  </conditionalFormatting>
  <conditionalFormatting sqref="U24">
    <cfRule type="cellIs" priority="639" operator="lessThanOrEqual" aboveAverage="0" equalAverage="0" bottom="0" percent="0" rank="0" text="" dxfId="2">
      <formula>G24</formula>
    </cfRule>
  </conditionalFormatting>
  <conditionalFormatting sqref="U25">
    <cfRule type="cellIs" priority="640" operator="lessThanOrEqual" aboveAverage="0" equalAverage="0" bottom="0" percent="0" rank="0" text="" dxfId="2">
      <formula>G25</formula>
    </cfRule>
  </conditionalFormatting>
  <conditionalFormatting sqref="U26">
    <cfRule type="cellIs" priority="641" operator="lessThanOrEqual" aboveAverage="0" equalAverage="0" bottom="0" percent="0" rank="0" text="" dxfId="2">
      <formula>G26</formula>
    </cfRule>
  </conditionalFormatting>
  <conditionalFormatting sqref="U27">
    <cfRule type="cellIs" priority="642" operator="lessThanOrEqual" aboveAverage="0" equalAverage="0" bottom="0" percent="0" rank="0" text="" dxfId="2">
      <formula>G27</formula>
    </cfRule>
  </conditionalFormatting>
  <conditionalFormatting sqref="U28">
    <cfRule type="cellIs" priority="643" operator="lessThanOrEqual" aboveAverage="0" equalAverage="0" bottom="0" percent="0" rank="0" text="" dxfId="2">
      <formula>G28</formula>
    </cfRule>
  </conditionalFormatting>
  <conditionalFormatting sqref="U29">
    <cfRule type="cellIs" priority="644" operator="lessThanOrEqual" aboveAverage="0" equalAverage="0" bottom="0" percent="0" rank="0" text="" dxfId="2">
      <formula>G29</formula>
    </cfRule>
  </conditionalFormatting>
  <conditionalFormatting sqref="U30">
    <cfRule type="cellIs" priority="645" operator="lessThanOrEqual" aboveAverage="0" equalAverage="0" bottom="0" percent="0" rank="0" text="" dxfId="2">
      <formula>G30</formula>
    </cfRule>
  </conditionalFormatting>
  <conditionalFormatting sqref="U31">
    <cfRule type="cellIs" priority="646" operator="lessThanOrEqual" aboveAverage="0" equalAverage="0" bottom="0" percent="0" rank="0" text="" dxfId="2">
      <formula>G31</formula>
    </cfRule>
  </conditionalFormatting>
  <conditionalFormatting sqref="U32">
    <cfRule type="cellIs" priority="647" operator="lessThanOrEqual" aboveAverage="0" equalAverage="0" bottom="0" percent="0" rank="0" text="" dxfId="2">
      <formula>G32</formula>
    </cfRule>
  </conditionalFormatting>
  <conditionalFormatting sqref="U33">
    <cfRule type="cellIs" priority="648" operator="lessThanOrEqual" aboveAverage="0" equalAverage="0" bottom="0" percent="0" rank="0" text="" dxfId="2">
      <formula>G33</formula>
    </cfRule>
  </conditionalFormatting>
  <conditionalFormatting sqref="U8">
    <cfRule type="cellIs" priority="649" operator="lessThanOrEqual" aboveAverage="0" equalAverage="0" bottom="0" percent="0" rank="0" text="" dxfId="2">
      <formula>G8</formula>
    </cfRule>
  </conditionalFormatting>
  <conditionalFormatting sqref="U9">
    <cfRule type="cellIs" priority="650" operator="lessThanOrEqual" aboveAverage="0" equalAverage="0" bottom="0" percent="0" rank="0" text="" dxfId="2">
      <formula>G9</formula>
    </cfRule>
  </conditionalFormatting>
  <conditionalFormatting sqref="W13">
    <cfRule type="cellIs" priority="651" operator="equal" aboveAverage="0" equalAverage="0" bottom="0" percent="0" rank="0" text="" dxfId="0">
      <formula>0</formula>
    </cfRule>
    <cfRule type="cellIs" priority="652" operator="lessThan" aboveAverage="0" equalAverage="0" bottom="0" percent="0" rank="0" text="" dxfId="1">
      <formula>E13</formula>
    </cfRule>
  </conditionalFormatting>
  <conditionalFormatting sqref="W16">
    <cfRule type="cellIs" priority="653" operator="equal" aboveAverage="0" equalAverage="0" bottom="0" percent="0" rank="0" text="" dxfId="0">
      <formula>0</formula>
    </cfRule>
    <cfRule type="cellIs" priority="654" operator="lessThan" aboveAverage="0" equalAverage="0" bottom="0" percent="0" rank="0" text="" dxfId="1">
      <formula>E16</formula>
    </cfRule>
  </conditionalFormatting>
  <conditionalFormatting sqref="W19">
    <cfRule type="cellIs" priority="655" operator="equal" aboveAverage="0" equalAverage="0" bottom="0" percent="0" rank="0" text="" dxfId="0">
      <formula>0</formula>
    </cfRule>
    <cfRule type="cellIs" priority="656" operator="lessThan" aboveAverage="0" equalAverage="0" bottom="0" percent="0" rank="0" text="" dxfId="1">
      <formula>E19</formula>
    </cfRule>
  </conditionalFormatting>
  <conditionalFormatting sqref="W23">
    <cfRule type="cellIs" priority="657" operator="equal" aboveAverage="0" equalAverage="0" bottom="0" percent="0" rank="0" text="" dxfId="0">
      <formula>0</formula>
    </cfRule>
    <cfRule type="cellIs" priority="658" operator="lessThan" aboveAverage="0" equalAverage="0" bottom="0" percent="0" rank="0" text="" dxfId="1">
      <formula>E23</formula>
    </cfRule>
  </conditionalFormatting>
  <conditionalFormatting sqref="W24">
    <cfRule type="cellIs" priority="659" operator="equal" aboveAverage="0" equalAverage="0" bottom="0" percent="0" rank="0" text="" dxfId="0">
      <formula>0</formula>
    </cfRule>
    <cfRule type="cellIs" priority="660" operator="lessThan" aboveAverage="0" equalAverage="0" bottom="0" percent="0" rank="0" text="" dxfId="1">
      <formula>E24</formula>
    </cfRule>
  </conditionalFormatting>
  <conditionalFormatting sqref="W25">
    <cfRule type="cellIs" priority="661" operator="equal" aboveAverage="0" equalAverage="0" bottom="0" percent="0" rank="0" text="" dxfId="0">
      <formula>0</formula>
    </cfRule>
    <cfRule type="cellIs" priority="662" operator="lessThan" aboveAverage="0" equalAverage="0" bottom="0" percent="0" rank="0" text="" dxfId="1">
      <formula>E25</formula>
    </cfRule>
  </conditionalFormatting>
  <conditionalFormatting sqref="W26">
    <cfRule type="cellIs" priority="663" operator="equal" aboveAverage="0" equalAverage="0" bottom="0" percent="0" rank="0" text="" dxfId="0">
      <formula>0</formula>
    </cfRule>
    <cfRule type="cellIs" priority="664" operator="lessThan" aboveAverage="0" equalAverage="0" bottom="0" percent="0" rank="0" text="" dxfId="1">
      <formula>E26</formula>
    </cfRule>
  </conditionalFormatting>
  <conditionalFormatting sqref="W27">
    <cfRule type="cellIs" priority="665" operator="equal" aboveAverage="0" equalAverage="0" bottom="0" percent="0" rank="0" text="" dxfId="0">
      <formula>0</formula>
    </cfRule>
    <cfRule type="cellIs" priority="666" operator="lessThan" aboveAverage="0" equalAverage="0" bottom="0" percent="0" rank="0" text="" dxfId="1">
      <formula>E27</formula>
    </cfRule>
  </conditionalFormatting>
  <conditionalFormatting sqref="W28">
    <cfRule type="cellIs" priority="667" operator="equal" aboveAverage="0" equalAverage="0" bottom="0" percent="0" rank="0" text="" dxfId="0">
      <formula>0</formula>
    </cfRule>
    <cfRule type="cellIs" priority="668" operator="lessThan" aboveAverage="0" equalAverage="0" bottom="0" percent="0" rank="0" text="" dxfId="1">
      <formula>E28</formula>
    </cfRule>
  </conditionalFormatting>
  <conditionalFormatting sqref="W29">
    <cfRule type="cellIs" priority="669" operator="equal" aboveAverage="0" equalAverage="0" bottom="0" percent="0" rank="0" text="" dxfId="0">
      <formula>0</formula>
    </cfRule>
    <cfRule type="cellIs" priority="670" operator="lessThan" aboveAverage="0" equalAverage="0" bottom="0" percent="0" rank="0" text="" dxfId="1">
      <formula>E29</formula>
    </cfRule>
  </conditionalFormatting>
  <conditionalFormatting sqref="W30">
    <cfRule type="cellIs" priority="671" operator="equal" aboveAverage="0" equalAverage="0" bottom="0" percent="0" rank="0" text="" dxfId="0">
      <formula>0</formula>
    </cfRule>
    <cfRule type="cellIs" priority="672" operator="lessThan" aboveAverage="0" equalAverage="0" bottom="0" percent="0" rank="0" text="" dxfId="1">
      <formula>E30</formula>
    </cfRule>
  </conditionalFormatting>
  <conditionalFormatting sqref="W31">
    <cfRule type="cellIs" priority="673" operator="equal" aboveAverage="0" equalAverage="0" bottom="0" percent="0" rank="0" text="" dxfId="0">
      <formula>0</formula>
    </cfRule>
    <cfRule type="cellIs" priority="674" operator="lessThan" aboveAverage="0" equalAverage="0" bottom="0" percent="0" rank="0" text="" dxfId="1">
      <formula>E31</formula>
    </cfRule>
  </conditionalFormatting>
  <conditionalFormatting sqref="W9">
    <cfRule type="cellIs" priority="675" operator="equal" aboveAverage="0" equalAverage="0" bottom="0" percent="0" rank="0" text="" dxfId="0">
      <formula>0</formula>
    </cfRule>
    <cfRule type="cellIs" priority="676" operator="lessThan" aboveAverage="0" equalAverage="0" bottom="0" percent="0" rank="0" text="" dxfId="1">
      <formula>E9</formula>
    </cfRule>
  </conditionalFormatting>
  <conditionalFormatting sqref="X13">
    <cfRule type="cellIs" priority="677" operator="greaterThan" aboveAverage="0" equalAverage="0" bottom="0" percent="0" rank="0" text="" dxfId="0">
      <formula>W13</formula>
    </cfRule>
  </conditionalFormatting>
  <conditionalFormatting sqref="X16">
    <cfRule type="cellIs" priority="678" operator="greaterThan" aboveAverage="0" equalAverage="0" bottom="0" percent="0" rank="0" text="" dxfId="0">
      <formula>W16</formula>
    </cfRule>
  </conditionalFormatting>
  <conditionalFormatting sqref="X19">
    <cfRule type="cellIs" priority="679" operator="greaterThan" aboveAverage="0" equalAverage="0" bottom="0" percent="0" rank="0" text="" dxfId="0">
      <formula>W19</formula>
    </cfRule>
  </conditionalFormatting>
  <conditionalFormatting sqref="X23">
    <cfRule type="expression" priority="680" aboveAverage="0" equalAverage="0" bottom="0" percent="0" rank="0" text="" dxfId="3">
      <formula>AND(X23&gt;0,X23&lt;50)</formula>
    </cfRule>
    <cfRule type="cellIs" priority="681" operator="greaterThan" aboveAverage="0" equalAverage="0" bottom="0" percent="0" rank="0" text="" dxfId="0">
      <formula>W23</formula>
    </cfRule>
  </conditionalFormatting>
  <conditionalFormatting sqref="X24">
    <cfRule type="expression" priority="682" aboveAverage="0" equalAverage="0" bottom="0" percent="0" rank="0" text="" dxfId="3">
      <formula>AND(X24&gt;0,X24&lt;20)</formula>
    </cfRule>
    <cfRule type="cellIs" priority="683" operator="greaterThan" aboveAverage="0" equalAverage="0" bottom="0" percent="0" rank="0" text="" dxfId="0">
      <formula>W24</formula>
    </cfRule>
  </conditionalFormatting>
  <conditionalFormatting sqref="X25">
    <cfRule type="expression" priority="684" aboveAverage="0" equalAverage="0" bottom="0" percent="0" rank="0" text="" dxfId="3">
      <formula>AND(X25&gt;0,X25&lt;20)</formula>
    </cfRule>
    <cfRule type="cellIs" priority="685" operator="greaterThan" aboveAverage="0" equalAverage="0" bottom="0" percent="0" rank="0" text="" dxfId="0">
      <formula>W25</formula>
    </cfRule>
  </conditionalFormatting>
  <conditionalFormatting sqref="X26">
    <cfRule type="expression" priority="686" aboveAverage="0" equalAverage="0" bottom="0" percent="0" rank="0" text="" dxfId="3">
      <formula>AND(X26&gt;0,X26&lt;20)</formula>
    </cfRule>
    <cfRule type="cellIs" priority="687" operator="greaterThan" aboveAverage="0" equalAverage="0" bottom="0" percent="0" rank="0" text="" dxfId="0">
      <formula>W26</formula>
    </cfRule>
  </conditionalFormatting>
  <conditionalFormatting sqref="X27">
    <cfRule type="expression" priority="688" aboveAverage="0" equalAverage="0" bottom="0" percent="0" rank="0" text="" dxfId="3">
      <formula>AND(X27&gt;0,X27&lt;20)</formula>
    </cfRule>
    <cfRule type="cellIs" priority="689" operator="greaterThan" aboveAverage="0" equalAverage="0" bottom="0" percent="0" rank="0" text="" dxfId="0">
      <formula>W27</formula>
    </cfRule>
  </conditionalFormatting>
  <conditionalFormatting sqref="X28">
    <cfRule type="expression" priority="690" aboveAverage="0" equalAverage="0" bottom="0" percent="0" rank="0" text="" dxfId="3">
      <formula>AND(X28&gt;0,X28&lt;20)</formula>
    </cfRule>
    <cfRule type="cellIs" priority="691" operator="greaterThan" aboveAverage="0" equalAverage="0" bottom="0" percent="0" rank="0" text="" dxfId="0">
      <formula>W28</formula>
    </cfRule>
  </conditionalFormatting>
  <conditionalFormatting sqref="X29">
    <cfRule type="expression" priority="692" aboveAverage="0" equalAverage="0" bottom="0" percent="0" rank="0" text="" dxfId="3">
      <formula>AND(X29&gt;0,X29&lt;20)</formula>
    </cfRule>
    <cfRule type="cellIs" priority="693" operator="greaterThan" aboveAverage="0" equalAverage="0" bottom="0" percent="0" rank="0" text="" dxfId="0">
      <formula>W29</formula>
    </cfRule>
  </conditionalFormatting>
  <conditionalFormatting sqref="X30">
    <cfRule type="expression" priority="694" aboveAverage="0" equalAverage="0" bottom="0" percent="0" rank="0" text="" dxfId="3">
      <formula>AND(X30&gt;0,X30&lt;20)</formula>
    </cfRule>
    <cfRule type="cellIs" priority="695" operator="greaterThan" aboveAverage="0" equalAverage="0" bottom="0" percent="0" rank="0" text="" dxfId="0">
      <formula>W30</formula>
    </cfRule>
  </conditionalFormatting>
  <conditionalFormatting sqref="X31">
    <cfRule type="expression" priority="696" aboveAverage="0" equalAverage="0" bottom="0" percent="0" rank="0" text="" dxfId="3">
      <formula>AND(X31&gt;0,X31&lt;20)</formula>
    </cfRule>
    <cfRule type="cellIs" priority="697" operator="greaterThan" aboveAverage="0" equalAverage="0" bottom="0" percent="0" rank="0" text="" dxfId="0">
      <formula>W31</formula>
    </cfRule>
  </conditionalFormatting>
  <conditionalFormatting sqref="X9">
    <cfRule type="expression" priority="698" aboveAverage="0" equalAverage="0" bottom="0" percent="0" rank="0" text="" dxfId="3">
      <formula>AND(X9&gt;0,X9&lt;5)</formula>
    </cfRule>
    <cfRule type="cellIs" priority="699" operator="greaterThan" aboveAverage="0" equalAverage="0" bottom="0" percent="0" rank="0" text="" dxfId="0">
      <formula>W9</formula>
    </cfRule>
  </conditionalFormatting>
  <conditionalFormatting sqref="Y13">
    <cfRule type="cellIs" priority="700" operator="lessThanOrEqual" aboveAverage="0" equalAverage="0" bottom="0" percent="0" rank="0" text="" dxfId="2">
      <formula>F13</formula>
    </cfRule>
  </conditionalFormatting>
  <conditionalFormatting sqref="Y16">
    <cfRule type="cellIs" priority="701" operator="lessThanOrEqual" aboveAverage="0" equalAverage="0" bottom="0" percent="0" rank="0" text="" dxfId="2">
      <formula>F16</formula>
    </cfRule>
  </conditionalFormatting>
  <conditionalFormatting sqref="Y19">
    <cfRule type="cellIs" priority="702" operator="lessThanOrEqual" aboveAverage="0" equalAverage="0" bottom="0" percent="0" rank="0" text="" dxfId="2">
      <formula>F19</formula>
    </cfRule>
  </conditionalFormatting>
  <conditionalFormatting sqref="Y23">
    <cfRule type="cellIs" priority="703" operator="lessThanOrEqual" aboveAverage="0" equalAverage="0" bottom="0" percent="0" rank="0" text="" dxfId="2">
      <formula>F23</formula>
    </cfRule>
  </conditionalFormatting>
  <conditionalFormatting sqref="Y24">
    <cfRule type="cellIs" priority="704" operator="lessThanOrEqual" aboveAverage="0" equalAverage="0" bottom="0" percent="0" rank="0" text="" dxfId="2">
      <formula>F24</formula>
    </cfRule>
  </conditionalFormatting>
  <conditionalFormatting sqref="Y25">
    <cfRule type="cellIs" priority="705" operator="lessThanOrEqual" aboveAverage="0" equalAverage="0" bottom="0" percent="0" rank="0" text="" dxfId="2">
      <formula>F25</formula>
    </cfRule>
  </conditionalFormatting>
  <conditionalFormatting sqref="Y26">
    <cfRule type="cellIs" priority="706" operator="lessThanOrEqual" aboveAverage="0" equalAverage="0" bottom="0" percent="0" rank="0" text="" dxfId="2">
      <formula>F26</formula>
    </cfRule>
  </conditionalFormatting>
  <conditionalFormatting sqref="Y27">
    <cfRule type="cellIs" priority="707" operator="lessThanOrEqual" aboveAverage="0" equalAverage="0" bottom="0" percent="0" rank="0" text="" dxfId="2">
      <formula>F27</formula>
    </cfRule>
  </conditionalFormatting>
  <conditionalFormatting sqref="Y28">
    <cfRule type="cellIs" priority="708" operator="lessThanOrEqual" aboveAverage="0" equalAverage="0" bottom="0" percent="0" rank="0" text="" dxfId="2">
      <formula>F28</formula>
    </cfRule>
  </conditionalFormatting>
  <conditionalFormatting sqref="Y29">
    <cfRule type="cellIs" priority="709" operator="lessThanOrEqual" aboveAverage="0" equalAverage="0" bottom="0" percent="0" rank="0" text="" dxfId="2">
      <formula>F29</formula>
    </cfRule>
  </conditionalFormatting>
  <conditionalFormatting sqref="Y30">
    <cfRule type="cellIs" priority="710" operator="lessThanOrEqual" aboveAverage="0" equalAverage="0" bottom="0" percent="0" rank="0" text="" dxfId="2">
      <formula>F30</formula>
    </cfRule>
  </conditionalFormatting>
  <conditionalFormatting sqref="Y31">
    <cfRule type="cellIs" priority="711" operator="lessThanOrEqual" aboveAverage="0" equalAverage="0" bottom="0" percent="0" rank="0" text="" dxfId="2">
      <formula>F31</formula>
    </cfRule>
  </conditionalFormatting>
  <conditionalFormatting sqref="Y9">
    <cfRule type="cellIs" priority="712" operator="lessThanOrEqual" aboveAverage="0" equalAverage="0" bottom="0" percent="0" rank="0" text="" dxfId="2">
      <formula>F9</formula>
    </cfRule>
  </conditionalFormatting>
  <conditionalFormatting sqref="Z13">
    <cfRule type="cellIs" priority="713" operator="lessThanOrEqual" aboveAverage="0" equalAverage="0" bottom="0" percent="0" rank="0" text="" dxfId="2">
      <formula>G13</formula>
    </cfRule>
  </conditionalFormatting>
  <conditionalFormatting sqref="Z16">
    <cfRule type="cellIs" priority="714" operator="lessThanOrEqual" aboveAverage="0" equalAverage="0" bottom="0" percent="0" rank="0" text="" dxfId="2">
      <formula>G16</formula>
    </cfRule>
  </conditionalFormatting>
  <conditionalFormatting sqref="Z19">
    <cfRule type="cellIs" priority="715" operator="lessThanOrEqual" aboveAverage="0" equalAverage="0" bottom="0" percent="0" rank="0" text="" dxfId="2">
      <formula>G19</formula>
    </cfRule>
  </conditionalFormatting>
  <conditionalFormatting sqref="Z23">
    <cfRule type="cellIs" priority="716" operator="lessThanOrEqual" aboveAverage="0" equalAverage="0" bottom="0" percent="0" rank="0" text="" dxfId="2">
      <formula>G23</formula>
    </cfRule>
  </conditionalFormatting>
  <conditionalFormatting sqref="Z24">
    <cfRule type="cellIs" priority="717" operator="lessThanOrEqual" aboveAverage="0" equalAverage="0" bottom="0" percent="0" rank="0" text="" dxfId="2">
      <formula>G24</formula>
    </cfRule>
  </conditionalFormatting>
  <conditionalFormatting sqref="Z25">
    <cfRule type="cellIs" priority="718" operator="lessThanOrEqual" aboveAverage="0" equalAverage="0" bottom="0" percent="0" rank="0" text="" dxfId="2">
      <formula>G25</formula>
    </cfRule>
  </conditionalFormatting>
  <conditionalFormatting sqref="Z26">
    <cfRule type="cellIs" priority="719" operator="lessThanOrEqual" aboveAverage="0" equalAverage="0" bottom="0" percent="0" rank="0" text="" dxfId="2">
      <formula>G26</formula>
    </cfRule>
  </conditionalFormatting>
  <conditionalFormatting sqref="Z27">
    <cfRule type="cellIs" priority="720" operator="lessThanOrEqual" aboveAverage="0" equalAverage="0" bottom="0" percent="0" rank="0" text="" dxfId="2">
      <formula>G27</formula>
    </cfRule>
  </conditionalFormatting>
  <conditionalFormatting sqref="Z28">
    <cfRule type="cellIs" priority="721" operator="lessThanOrEqual" aboveAverage="0" equalAverage="0" bottom="0" percent="0" rank="0" text="" dxfId="2">
      <formula>G28</formula>
    </cfRule>
  </conditionalFormatting>
  <conditionalFormatting sqref="Z29">
    <cfRule type="cellIs" priority="722" operator="lessThanOrEqual" aboveAverage="0" equalAverage="0" bottom="0" percent="0" rank="0" text="" dxfId="2">
      <formula>G29</formula>
    </cfRule>
  </conditionalFormatting>
  <conditionalFormatting sqref="Z30">
    <cfRule type="cellIs" priority="723" operator="lessThanOrEqual" aboveAverage="0" equalAverage="0" bottom="0" percent="0" rank="0" text="" dxfId="2">
      <formula>G30</formula>
    </cfRule>
  </conditionalFormatting>
  <conditionalFormatting sqref="Z31">
    <cfRule type="cellIs" priority="724" operator="lessThanOrEqual" aboveAverage="0" equalAverage="0" bottom="0" percent="0" rank="0" text="" dxfId="2">
      <formula>G31</formula>
    </cfRule>
  </conditionalFormatting>
  <conditionalFormatting sqref="Z9">
    <cfRule type="cellIs" priority="725" operator="lessThanOrEqual" aboveAverage="0" equalAverage="0" bottom="0" percent="0" rank="0" text="" dxfId="2">
      <formula>G9</formula>
    </cfRule>
  </conditionalFormatting>
  <hyperlinks>
    <hyperlink ref="AF7" r:id="rId2" display="505MKS2D031001A00KI"/>
    <hyperlink ref="AP7" r:id="rId3" display="1082700"/>
    <hyperlink ref="D8" r:id="rId4" display="MC0805F105Z160CT"/>
    <hyperlink ref="V8" r:id="rId5" display="1759422"/>
    <hyperlink ref="AK8" r:id="rId6" display="33R0750"/>
    <hyperlink ref="D9" r:id="rId7" display="EEEFC1V100R"/>
    <hyperlink ref="Q9" r:id="rId8" display="PCE4022CT-ND"/>
    <hyperlink ref="V9" r:id="rId9" display="9694471"/>
    <hyperlink ref="AA9" r:id="rId10" display="C336586"/>
    <hyperlink ref="AF9" r:id="rId11" display="667EEEFC1V100R"/>
    <hyperlink ref="AK9" r:id="rId12" display="91K9624"/>
    <hyperlink ref="AP9" r:id="rId13" display="5370332"/>
    <hyperlink ref="D10" r:id="rId14" display="MC0805N220J500CT"/>
    <hyperlink ref="V10" r:id="rId15" display="1759195"/>
    <hyperlink ref="AK10" r:id="rId16" display="33R0545"/>
    <hyperlink ref="D11" r:id="rId17" display="865080345012"/>
    <hyperlink ref="Q11" r:id="rId18" display="732-8422-1-ND"/>
    <hyperlink ref="V11" r:id="rId19" display="2466285"/>
    <hyperlink ref="AF11" r:id="rId20" display="710865080345012"/>
    <hyperlink ref="AK11" r:id="rId21" display="40Y4000"/>
    <hyperlink ref="AP11" r:id="rId22" display="8391770"/>
    <hyperlink ref="D13" r:id="rId23" display="EEEFC0J101P"/>
    <hyperlink ref="Q13" r:id="rId24" display="PCE3981CT-ND"/>
    <hyperlink ref="V13" r:id="rId25" display="9694331"/>
    <hyperlink ref="AA13" r:id="rId26" display="C336303"/>
    <hyperlink ref="AF13" r:id="rId27" display="667EEEFC0J101P"/>
    <hyperlink ref="AK13" r:id="rId28" display="91K9600"/>
    <hyperlink ref="AP13" r:id="rId29" display="5370051"/>
    <hyperlink ref="D14" r:id="rId30" display="MC1210B223K501CT"/>
    <hyperlink ref="V14" r:id="rId31" display="2320947"/>
    <hyperlink ref="AK14" r:id="rId32" display="06X6304"/>
    <hyperlink ref="Q15" r:id="rId33" display="OPA2134UA-ND"/>
    <hyperlink ref="V15" r:id="rId34" display="3116899"/>
    <hyperlink ref="AF15" r:id="rId35" display="595OPA2134UA"/>
    <hyperlink ref="AK15" r:id="rId36" display="35C1847"/>
    <hyperlink ref="AP15" r:id="rId37" display="2858233"/>
    <hyperlink ref="AU15" r:id="rId38" display="OPA2134UA"/>
    <hyperlink ref="D16" r:id="rId39" display="47346-0001"/>
    <hyperlink ref="Q16" r:id="rId40" display="WM17141CT-ND"/>
    <hyperlink ref="V16" r:id="rId41" display="1568026"/>
    <hyperlink ref="AA16" r:id="rId42" display="C132560"/>
    <hyperlink ref="AF16" r:id="rId43" display="538473460001"/>
    <hyperlink ref="AK16" r:id="rId44" display="96M8533"/>
    <hyperlink ref="AP16" r:id="rId45" display="7025475"/>
    <hyperlink ref="AU16" r:id="rId46" display="MX473460001"/>
    <hyperlink ref="D17" r:id="rId47" display="FC68131"/>
    <hyperlink ref="V17" r:id="rId48" display="2518188"/>
    <hyperlink ref="AK17" r:id="rId49" display="75Y0812"/>
    <hyperlink ref="D18" r:id="rId50" display="MLZ1608M100WT"/>
    <hyperlink ref="V18" r:id="rId51" display="2215635"/>
    <hyperlink ref="AK18" r:id="rId52" display="46W4779"/>
    <hyperlink ref="D19" r:id="rId53" display="RK0971221Z05"/>
    <hyperlink ref="AA19" r:id="rId54" display="C336003"/>
    <hyperlink ref="AF19" r:id="rId55" display="688RK0971221Z05"/>
    <hyperlink ref="AP19" r:id="rId56" display="7293521"/>
    <hyperlink ref="AU19" r:id="rId57" display="RK0971221Z05"/>
    <hyperlink ref="D20" r:id="rId58" display="HC49S-12-30-50-70-30-ATF"/>
    <hyperlink ref="V20" r:id="rId59" display="1667001"/>
    <hyperlink ref="AK20" r:id="rId60" display="33P6958"/>
    <hyperlink ref="D21" r:id="rId61" display="ERJ6RED16R0V"/>
    <hyperlink ref="Q21" r:id="rId62" display="ERJ-6RED16R0V-ND"/>
    <hyperlink ref="V21" r:id="rId63" display="2380496"/>
    <hyperlink ref="AK21" r:id="rId64" display="79AC6863"/>
    <hyperlink ref="AP21" r:id="rId65" display="8101965"/>
    <hyperlink ref="D22" r:id="rId66" display="ERJ6RED16R0V"/>
    <hyperlink ref="Q22" r:id="rId67" display="ERJ-6RED16R0V-ND"/>
    <hyperlink ref="V22" r:id="rId68" display="2380496"/>
    <hyperlink ref="AK22" r:id="rId69" display="79AC6863"/>
    <hyperlink ref="AP22" r:id="rId70" display="8101965"/>
    <hyperlink ref="D23" r:id="rId71" display="ERJ6ENF5600V"/>
    <hyperlink ref="Q23" r:id="rId72" display="P560CCT-ND"/>
    <hyperlink ref="V23" r:id="rId73" display="2398068"/>
    <hyperlink ref="AA23" r:id="rId74" display="C413276"/>
    <hyperlink ref="AF23" r:id="rId75" display="667ERJ6ENF5600V"/>
    <hyperlink ref="AK23" r:id="rId76" display="64R5414"/>
    <hyperlink ref="AP23" r:id="rId77" display="8127204"/>
    <hyperlink ref="D24" r:id="rId78" display="ERJ6RBD3300V"/>
    <hyperlink ref="Q24" r:id="rId79" display="ERJ-6RBD3300V-ND"/>
    <hyperlink ref="V24" r:id="rId80" display="2380369"/>
    <hyperlink ref="AA24" r:id="rId81" display="C416921"/>
    <hyperlink ref="AF24" r:id="rId82" display="667ERJ6RBD3300V"/>
    <hyperlink ref="AK24" r:id="rId83" display="01AC1817"/>
    <hyperlink ref="AP24" r:id="rId84" display="8101808"/>
    <hyperlink ref="D25" r:id="rId85" display="ERJ6RBD1501V"/>
    <hyperlink ref="Q25" r:id="rId86" display="ERJ-6RBD1501V-ND"/>
    <hyperlink ref="V25" r:id="rId87" display="2380317"/>
    <hyperlink ref="AA25" r:id="rId88" display="C336856"/>
    <hyperlink ref="AF25" r:id="rId89" display="667ERJ6RBD1501V"/>
    <hyperlink ref="AK25" r:id="rId90" display="85Y9506"/>
    <hyperlink ref="AP25" r:id="rId91" display="8101716"/>
    <hyperlink ref="D26" r:id="rId92" display="ERJ6RED22R0V"/>
    <hyperlink ref="V26" r:id="rId93" display="2380519"/>
    <hyperlink ref="AA26" r:id="rId94" display="C416949"/>
    <hyperlink ref="AF26" r:id="rId95" display="667ERJ6RED22R0V"/>
    <hyperlink ref="AK26" r:id="rId96" display="92Y2964"/>
    <hyperlink ref="AP26" r:id="rId97" display="8101987"/>
    <hyperlink ref="D27" r:id="rId98" display="ERJ6RBD1003V"/>
    <hyperlink ref="Q27" r:id="rId99" display="ERJ-6RBD1003V-ND"/>
    <hyperlink ref="V27" r:id="rId100" display="2380290"/>
    <hyperlink ref="AA27" r:id="rId101" display="C336855"/>
    <hyperlink ref="AF27" r:id="rId102" display="667ERJ6RBD1003V"/>
    <hyperlink ref="AK27" r:id="rId103" display="85Y9502"/>
    <hyperlink ref="AP27" r:id="rId104" display="8101675"/>
    <hyperlink ref="D28" r:id="rId105" display="ERJ6RED1004V"/>
    <hyperlink ref="Q28" r:id="rId106" display="ERJ-6RED1004V-ND"/>
    <hyperlink ref="V28" r:id="rId107" display="2380449"/>
    <hyperlink ref="AA28" r:id="rId108" display="C416941"/>
    <hyperlink ref="AF28" r:id="rId109" display="667ERJ6RED1004V"/>
    <hyperlink ref="AK28" r:id="rId110" display="79AC6826"/>
    <hyperlink ref="AP28" r:id="rId111" display="8101921"/>
    <hyperlink ref="D29" r:id="rId112" display="ERJ6RBD1002V"/>
    <hyperlink ref="V29" r:id="rId113" display="2380289"/>
    <hyperlink ref="AA29" r:id="rId114" display="C191557"/>
    <hyperlink ref="AF29" r:id="rId115" display="667ERJ6RBD1002V"/>
    <hyperlink ref="AK29" r:id="rId116" display="52W0364"/>
    <hyperlink ref="AP29" r:id="rId117" display="8101671"/>
    <hyperlink ref="D30" r:id="rId118" display="ERJ6RBD2001V"/>
    <hyperlink ref="Q30" r:id="rId119" display="ERJ-6RBD2001V-ND"/>
    <hyperlink ref="V30" r:id="rId120" display="2380337"/>
    <hyperlink ref="AA30" r:id="rId121" display="C336837"/>
    <hyperlink ref="AF30" r:id="rId122" display="667ERJ6RBD2001V"/>
    <hyperlink ref="AK30" r:id="rId123" display="85Y9511"/>
    <hyperlink ref="AP30" r:id="rId124" display="8101744"/>
    <hyperlink ref="D31" r:id="rId125" display="ERJ6RBD3301V"/>
    <hyperlink ref="Q31" r:id="rId126" display="ERJ-6RBD3301V-ND"/>
    <hyperlink ref="V31" r:id="rId127" display="2380370"/>
    <hyperlink ref="AA31" r:id="rId128" display="C416922"/>
    <hyperlink ref="AF31" r:id="rId129" display="667ERJ6RBD3301V"/>
    <hyperlink ref="AK31" r:id="rId130" display="85Y9522"/>
    <hyperlink ref="AP31" r:id="rId131" display="8101801"/>
    <hyperlink ref="D32" r:id="rId132" display="NMA0512SC"/>
    <hyperlink ref="Q32" r:id="rId133" display="811-1451-5-ND"/>
    <hyperlink ref="V32" r:id="rId134" display="1021431"/>
    <hyperlink ref="AF32" r:id="rId135" display="580NMA0512SC"/>
    <hyperlink ref="AK32" r:id="rId136" display="61K3062"/>
    <hyperlink ref="AP32" r:id="rId137" display="5442522"/>
    <hyperlink ref="Q33" r:id="rId138" display="296-15276-5-ND"/>
    <hyperlink ref="V33" r:id="rId139" display="1755016"/>
    <hyperlink ref="AP33" r:id="rId140" display="662551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LibreOffice/6.2.1.2$MacOSX_X86_64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2020-07-05T21:00:31Z</dcterms:created>
  <dc:creator/>
  <dc:description/>
  <dc:language>en-GB</dc:language>
  <cp:lastModifiedBy/>
  <dcterms:modified xsi:type="dcterms:W3CDTF">2020-07-05T22:02:48Z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