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nsa\Documents\burns_bog\BB1_interannual\df\"/>
    </mc:Choice>
  </mc:AlternateContent>
  <xr:revisionPtr revIDLastSave="0" documentId="13_ncr:1_{50DDED27-0D5B-43CB-BBF1-2ABC46E3BF83}" xr6:coauthVersionLast="47" xr6:coauthVersionMax="47" xr10:uidLastSave="{00000000-0000-0000-0000-000000000000}"/>
  <bookViews>
    <workbookView xWindow="9240" yWindow="-14700" windowWidth="16770" windowHeight="13125" activeTab="1" xr2:uid="{00000000-000D-0000-FFFF-FFFF00000000}"/>
  </bookViews>
  <sheets>
    <sheet name="C_budget" sheetId="3" r:id="rId1"/>
    <sheet name="Flux_monthly" sheetId="7" r:id="rId2"/>
    <sheet name="GHG budget" sheetId="4" r:id="rId3"/>
    <sheet name="Met_annual" sheetId="5" r:id="rId4"/>
    <sheet name="Met_monthly" sheetId="6" r:id="rId5"/>
    <sheet name="sheet" sheetId="2" r:id="rId6"/>
    <sheet name="Sheet1" sheetId="8" r:id="rId7"/>
    <sheet name="Sheet2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C_budget!$B$1:$T$23</definedName>
    <definedName name="_xlnm._FilterDatabase" localSheetId="3" hidden="1">Met_annual!$A$2:$X$23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E3" i="4"/>
  <c r="F3" i="4"/>
  <c r="H3" i="4"/>
  <c r="I3" i="4"/>
  <c r="K3" i="4"/>
  <c r="L3" i="4"/>
  <c r="N3" i="4"/>
  <c r="N18" i="5"/>
  <c r="AV3" i="6"/>
  <c r="AV4" i="6"/>
  <c r="AV5" i="6"/>
  <c r="AV6" i="6"/>
  <c r="AV7" i="6"/>
  <c r="AV8" i="6"/>
  <c r="AV9" i="6"/>
  <c r="AV10" i="6"/>
  <c r="AV11" i="6"/>
  <c r="AV12" i="6"/>
  <c r="AV13" i="6"/>
  <c r="AT3" i="6"/>
  <c r="AT4" i="6"/>
  <c r="AT5" i="6"/>
  <c r="AT6" i="6"/>
  <c r="AT7" i="6"/>
  <c r="AT8" i="6"/>
  <c r="AT9" i="6"/>
  <c r="AT10" i="6"/>
  <c r="AT11" i="6"/>
  <c r="AT12" i="6"/>
  <c r="AT13" i="6"/>
  <c r="AV2" i="6"/>
  <c r="AT2" i="6"/>
  <c r="AS6" i="6"/>
  <c r="AS7" i="6"/>
  <c r="AS8" i="6"/>
  <c r="AS9" i="6"/>
  <c r="AS10" i="6"/>
  <c r="AS11" i="6"/>
  <c r="AS12" i="6"/>
  <c r="AS13" i="6"/>
  <c r="AS5" i="6"/>
  <c r="AS3" i="6"/>
  <c r="AS4" i="6"/>
  <c r="AS2" i="6"/>
  <c r="AQ6" i="6"/>
  <c r="AQ7" i="6"/>
  <c r="AQ8" i="6"/>
  <c r="AQ9" i="6"/>
  <c r="AQ10" i="6"/>
  <c r="AQ11" i="6"/>
  <c r="AQ12" i="6"/>
  <c r="AQ13" i="6"/>
  <c r="AQ5" i="6"/>
  <c r="AQ3" i="6"/>
  <c r="AQ4" i="6"/>
  <c r="AQ2" i="6"/>
  <c r="J5" i="6"/>
  <c r="AP8" i="6"/>
  <c r="AP9" i="6"/>
  <c r="AP10" i="6"/>
  <c r="AP11" i="6"/>
  <c r="AP12" i="6"/>
  <c r="AP13" i="6"/>
  <c r="AP7" i="6"/>
  <c r="AP6" i="6"/>
  <c r="AP5" i="6"/>
  <c r="AP4" i="6"/>
  <c r="AP3" i="6"/>
  <c r="AP2" i="6"/>
  <c r="AN8" i="6"/>
  <c r="AN9" i="6"/>
  <c r="AN10" i="6"/>
  <c r="AN11" i="6"/>
  <c r="AN12" i="6"/>
  <c r="AN13" i="6"/>
  <c r="AN7" i="6"/>
  <c r="AN6" i="6"/>
  <c r="AN5" i="6"/>
  <c r="AN4" i="6"/>
  <c r="AN3" i="6"/>
  <c r="AN2" i="6"/>
  <c r="J3" i="6"/>
  <c r="J4" i="6"/>
  <c r="J6" i="6"/>
  <c r="J7" i="6"/>
  <c r="J8" i="6"/>
  <c r="J9" i="6"/>
  <c r="J10" i="6"/>
  <c r="J11" i="6"/>
  <c r="J12" i="6"/>
  <c r="J13" i="6"/>
  <c r="AN1" i="6"/>
  <c r="AB1" i="6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3" i="5"/>
  <c r="AD2" i="5"/>
  <c r="AE2" i="5"/>
  <c r="AD3" i="5"/>
  <c r="AE3" i="5"/>
  <c r="AD4" i="5"/>
  <c r="AE4" i="5"/>
  <c r="AD5" i="5"/>
  <c r="AE5" i="5"/>
  <c r="AD6" i="5"/>
  <c r="AE6" i="5"/>
  <c r="AD7" i="5"/>
  <c r="AE7" i="5"/>
  <c r="AD8" i="5"/>
  <c r="AE8" i="5"/>
  <c r="AD9" i="5"/>
  <c r="AE9" i="5"/>
  <c r="AE18" i="5" s="1"/>
  <c r="AD10" i="5"/>
  <c r="AE10" i="5"/>
  <c r="AD11" i="5"/>
  <c r="AE11" i="5"/>
  <c r="AD12" i="5"/>
  <c r="AE12" i="5"/>
  <c r="AD13" i="5"/>
  <c r="AE13" i="5"/>
  <c r="AD14" i="5"/>
  <c r="AE14" i="5"/>
  <c r="AD15" i="5"/>
  <c r="AE15" i="5"/>
  <c r="AD16" i="5"/>
  <c r="AE16" i="5"/>
  <c r="AD17" i="5"/>
  <c r="AE17" i="5"/>
  <c r="F7" i="9"/>
  <c r="I7" i="9"/>
  <c r="L7" i="9"/>
  <c r="O7" i="9"/>
  <c r="C7" i="9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D3" i="5"/>
  <c r="E3" i="5"/>
  <c r="F3" i="5"/>
  <c r="G3" i="5"/>
  <c r="G21" i="5" s="1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Y3" i="5"/>
  <c r="Z3" i="5"/>
  <c r="AA3" i="5"/>
  <c r="AB3" i="5"/>
  <c r="AC3" i="5"/>
  <c r="D4" i="5"/>
  <c r="E4" i="5"/>
  <c r="F4" i="5"/>
  <c r="F22" i="5" s="1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Y4" i="5"/>
  <c r="Z4" i="5"/>
  <c r="AA4" i="5"/>
  <c r="AB4" i="5"/>
  <c r="AC4" i="5"/>
  <c r="D5" i="5"/>
  <c r="E5" i="5"/>
  <c r="E23" i="5" s="1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Y5" i="5"/>
  <c r="Z5" i="5"/>
  <c r="AA5" i="5"/>
  <c r="AB5" i="5"/>
  <c r="AC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Y6" i="5"/>
  <c r="Z6" i="5"/>
  <c r="AA6" i="5"/>
  <c r="AB6" i="5"/>
  <c r="AC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Y7" i="5"/>
  <c r="Z7" i="5"/>
  <c r="AA7" i="5"/>
  <c r="AB7" i="5"/>
  <c r="AC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Y8" i="5"/>
  <c r="Z8" i="5"/>
  <c r="AA8" i="5"/>
  <c r="AB8" i="5"/>
  <c r="AC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Y9" i="5"/>
  <c r="Z9" i="5"/>
  <c r="AA9" i="5"/>
  <c r="AB9" i="5"/>
  <c r="AC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Y10" i="5"/>
  <c r="Z10" i="5"/>
  <c r="AA10" i="5"/>
  <c r="AB10" i="5"/>
  <c r="AC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Y11" i="5"/>
  <c r="Z11" i="5"/>
  <c r="AA11" i="5"/>
  <c r="AB11" i="5"/>
  <c r="AC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Y12" i="5"/>
  <c r="Z12" i="5"/>
  <c r="AA12" i="5"/>
  <c r="AB12" i="5"/>
  <c r="AC12" i="5"/>
  <c r="D13" i="5"/>
  <c r="E13" i="5"/>
  <c r="E19" i="5" s="1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Y13" i="5"/>
  <c r="Z13" i="5"/>
  <c r="AA13" i="5"/>
  <c r="AB13" i="5"/>
  <c r="AC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Y14" i="5"/>
  <c r="Z14" i="5"/>
  <c r="AA14" i="5"/>
  <c r="AB14" i="5"/>
  <c r="AC14" i="5"/>
  <c r="D15" i="5"/>
  <c r="E15" i="5"/>
  <c r="F15" i="5"/>
  <c r="G15" i="5"/>
  <c r="H15" i="5"/>
  <c r="I15" i="5"/>
  <c r="J15" i="5"/>
  <c r="J18" i="5" s="1"/>
  <c r="K15" i="5"/>
  <c r="K18" i="5" s="1"/>
  <c r="L15" i="5"/>
  <c r="M15" i="5"/>
  <c r="N15" i="5"/>
  <c r="O15" i="5"/>
  <c r="P15" i="5"/>
  <c r="Q15" i="5"/>
  <c r="R15" i="5"/>
  <c r="S15" i="5"/>
  <c r="T15" i="5"/>
  <c r="U15" i="5"/>
  <c r="V15" i="5"/>
  <c r="W15" i="5"/>
  <c r="Y15" i="5"/>
  <c r="Z15" i="5"/>
  <c r="AA15" i="5"/>
  <c r="AB15" i="5"/>
  <c r="AC15" i="5"/>
  <c r="D16" i="5"/>
  <c r="D19" i="5" s="1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Y16" i="5"/>
  <c r="Z16" i="5"/>
  <c r="AA16" i="5"/>
  <c r="AB16" i="5"/>
  <c r="AC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Y17" i="5"/>
  <c r="Z17" i="5"/>
  <c r="AA17" i="5"/>
  <c r="AB17" i="5"/>
  <c r="AC17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C8" i="5"/>
  <c r="C23" i="5" s="1"/>
  <c r="C15" i="5"/>
  <c r="C14" i="5"/>
  <c r="C12" i="5"/>
  <c r="C9" i="5"/>
  <c r="C6" i="5"/>
  <c r="B6" i="7"/>
  <c r="D6" i="7"/>
  <c r="E6" i="7"/>
  <c r="G6" i="7"/>
  <c r="H6" i="7"/>
  <c r="J6" i="7"/>
  <c r="K6" i="7"/>
  <c r="M6" i="7"/>
  <c r="B7" i="7"/>
  <c r="D7" i="7"/>
  <c r="E7" i="7"/>
  <c r="G7" i="7"/>
  <c r="H7" i="7"/>
  <c r="J7" i="7"/>
  <c r="K7" i="7"/>
  <c r="M7" i="7"/>
  <c r="B8" i="7"/>
  <c r="D8" i="7"/>
  <c r="E8" i="7"/>
  <c r="G8" i="7"/>
  <c r="H8" i="7"/>
  <c r="J8" i="7"/>
  <c r="K8" i="7"/>
  <c r="M8" i="7"/>
  <c r="B9" i="7"/>
  <c r="D9" i="7"/>
  <c r="E9" i="7"/>
  <c r="G9" i="7"/>
  <c r="H9" i="7"/>
  <c r="J9" i="7"/>
  <c r="K9" i="7"/>
  <c r="M9" i="7"/>
  <c r="B10" i="7"/>
  <c r="D10" i="7"/>
  <c r="E10" i="7"/>
  <c r="G10" i="7"/>
  <c r="H10" i="7"/>
  <c r="J10" i="7"/>
  <c r="K10" i="7"/>
  <c r="M10" i="7"/>
  <c r="B11" i="7"/>
  <c r="D11" i="7"/>
  <c r="E11" i="7"/>
  <c r="G11" i="7"/>
  <c r="H11" i="7"/>
  <c r="J11" i="7"/>
  <c r="K11" i="7"/>
  <c r="M11" i="7"/>
  <c r="B12" i="7"/>
  <c r="D12" i="7"/>
  <c r="E12" i="7"/>
  <c r="G12" i="7"/>
  <c r="H12" i="7"/>
  <c r="J12" i="7"/>
  <c r="K12" i="7"/>
  <c r="M12" i="7"/>
  <c r="B13" i="7"/>
  <c r="D13" i="7"/>
  <c r="E13" i="7"/>
  <c r="G13" i="7"/>
  <c r="H13" i="7"/>
  <c r="J13" i="7"/>
  <c r="K13" i="7"/>
  <c r="M13" i="7"/>
  <c r="B2" i="7"/>
  <c r="D2" i="7"/>
  <c r="E2" i="7"/>
  <c r="G2" i="7"/>
  <c r="H2" i="7"/>
  <c r="J2" i="7"/>
  <c r="K2" i="7"/>
  <c r="M2" i="7"/>
  <c r="B3" i="7"/>
  <c r="D3" i="7"/>
  <c r="E3" i="7"/>
  <c r="G3" i="7"/>
  <c r="H3" i="7"/>
  <c r="J3" i="7"/>
  <c r="K3" i="7"/>
  <c r="M3" i="7"/>
  <c r="B4" i="7"/>
  <c r="D4" i="7"/>
  <c r="E4" i="7"/>
  <c r="G4" i="7"/>
  <c r="H4" i="7"/>
  <c r="J4" i="7"/>
  <c r="K4" i="7"/>
  <c r="M4" i="7"/>
  <c r="M5" i="7"/>
  <c r="J5" i="7"/>
  <c r="G5" i="7"/>
  <c r="D5" i="7"/>
  <c r="K1" i="7"/>
  <c r="K5" i="7"/>
  <c r="B1" i="7"/>
  <c r="E1" i="7"/>
  <c r="H1" i="7"/>
  <c r="B5" i="7"/>
  <c r="E5" i="7"/>
  <c r="H5" i="7"/>
  <c r="A4" i="7"/>
  <c r="A5" i="7"/>
  <c r="A6" i="7"/>
  <c r="A7" i="7"/>
  <c r="A8" i="7"/>
  <c r="A9" i="7"/>
  <c r="A10" i="7"/>
  <c r="A11" i="7"/>
  <c r="A12" i="7"/>
  <c r="A13" i="7"/>
  <c r="A2" i="7"/>
  <c r="A3" i="7"/>
  <c r="A1" i="7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2" i="6"/>
  <c r="F2" i="6"/>
  <c r="E3" i="6"/>
  <c r="F3" i="6"/>
  <c r="E4" i="6"/>
  <c r="F4" i="6"/>
  <c r="F5" i="6"/>
  <c r="E5" i="6"/>
  <c r="G6" i="6"/>
  <c r="I6" i="6"/>
  <c r="L6" i="6"/>
  <c r="M6" i="6"/>
  <c r="O6" i="6"/>
  <c r="P6" i="6"/>
  <c r="R6" i="6"/>
  <c r="S6" i="6"/>
  <c r="U6" i="6"/>
  <c r="V6" i="6"/>
  <c r="X6" i="6"/>
  <c r="Y6" i="6"/>
  <c r="AA6" i="6"/>
  <c r="AB6" i="6"/>
  <c r="AD6" i="6"/>
  <c r="AE6" i="6"/>
  <c r="AG6" i="6"/>
  <c r="AH6" i="6"/>
  <c r="AJ6" i="6"/>
  <c r="AK6" i="6"/>
  <c r="AM6" i="6"/>
  <c r="G7" i="6"/>
  <c r="I7" i="6"/>
  <c r="L7" i="6"/>
  <c r="M7" i="6"/>
  <c r="O7" i="6"/>
  <c r="P7" i="6"/>
  <c r="R7" i="6"/>
  <c r="S7" i="6"/>
  <c r="U7" i="6"/>
  <c r="V7" i="6"/>
  <c r="X7" i="6"/>
  <c r="Y7" i="6"/>
  <c r="AA7" i="6"/>
  <c r="AB7" i="6"/>
  <c r="AD7" i="6"/>
  <c r="AE7" i="6"/>
  <c r="AG7" i="6"/>
  <c r="AH7" i="6"/>
  <c r="AJ7" i="6"/>
  <c r="AK7" i="6"/>
  <c r="AM7" i="6"/>
  <c r="G8" i="6"/>
  <c r="I8" i="6"/>
  <c r="L8" i="6"/>
  <c r="M8" i="6"/>
  <c r="O8" i="6"/>
  <c r="P8" i="6"/>
  <c r="R8" i="6"/>
  <c r="S8" i="6"/>
  <c r="U8" i="6"/>
  <c r="V8" i="6"/>
  <c r="X8" i="6"/>
  <c r="Y8" i="6"/>
  <c r="AA8" i="6"/>
  <c r="AB8" i="6"/>
  <c r="AD8" i="6"/>
  <c r="AE8" i="6"/>
  <c r="AG8" i="6"/>
  <c r="AH8" i="6"/>
  <c r="AJ8" i="6"/>
  <c r="AK8" i="6"/>
  <c r="AM8" i="6"/>
  <c r="G9" i="6"/>
  <c r="I9" i="6"/>
  <c r="L9" i="6"/>
  <c r="M9" i="6"/>
  <c r="O9" i="6"/>
  <c r="P9" i="6"/>
  <c r="R9" i="6"/>
  <c r="S9" i="6"/>
  <c r="U9" i="6"/>
  <c r="V9" i="6"/>
  <c r="X9" i="6"/>
  <c r="Y9" i="6"/>
  <c r="AA9" i="6"/>
  <c r="AB9" i="6"/>
  <c r="AD9" i="6"/>
  <c r="AE9" i="6"/>
  <c r="AG9" i="6"/>
  <c r="AH9" i="6"/>
  <c r="AJ9" i="6"/>
  <c r="AK9" i="6"/>
  <c r="AM9" i="6"/>
  <c r="G10" i="6"/>
  <c r="I10" i="6"/>
  <c r="L10" i="6"/>
  <c r="M10" i="6"/>
  <c r="O10" i="6"/>
  <c r="P10" i="6"/>
  <c r="R10" i="6"/>
  <c r="S10" i="6"/>
  <c r="U10" i="6"/>
  <c r="V10" i="6"/>
  <c r="X10" i="6"/>
  <c r="Y10" i="6"/>
  <c r="AA10" i="6"/>
  <c r="AB10" i="6"/>
  <c r="AD10" i="6"/>
  <c r="AE10" i="6"/>
  <c r="AG10" i="6"/>
  <c r="AH10" i="6"/>
  <c r="AJ10" i="6"/>
  <c r="AK10" i="6"/>
  <c r="AM10" i="6"/>
  <c r="G11" i="6"/>
  <c r="I11" i="6"/>
  <c r="L11" i="6"/>
  <c r="M11" i="6"/>
  <c r="O11" i="6"/>
  <c r="P11" i="6"/>
  <c r="R11" i="6"/>
  <c r="S11" i="6"/>
  <c r="U11" i="6"/>
  <c r="V11" i="6"/>
  <c r="X11" i="6"/>
  <c r="Y11" i="6"/>
  <c r="AA11" i="6"/>
  <c r="AB11" i="6"/>
  <c r="AD11" i="6"/>
  <c r="AE11" i="6"/>
  <c r="AG11" i="6"/>
  <c r="AH11" i="6"/>
  <c r="AJ11" i="6"/>
  <c r="AK11" i="6"/>
  <c r="AM11" i="6"/>
  <c r="G12" i="6"/>
  <c r="I12" i="6"/>
  <c r="L12" i="6"/>
  <c r="M12" i="6"/>
  <c r="O12" i="6"/>
  <c r="P12" i="6"/>
  <c r="R12" i="6"/>
  <c r="S12" i="6"/>
  <c r="U12" i="6"/>
  <c r="V12" i="6"/>
  <c r="X12" i="6"/>
  <c r="Y12" i="6"/>
  <c r="AA12" i="6"/>
  <c r="AB12" i="6"/>
  <c r="AD12" i="6"/>
  <c r="AE12" i="6"/>
  <c r="AG12" i="6"/>
  <c r="AH12" i="6"/>
  <c r="AJ12" i="6"/>
  <c r="AK12" i="6"/>
  <c r="AM12" i="6"/>
  <c r="G13" i="6"/>
  <c r="I13" i="6"/>
  <c r="L13" i="6"/>
  <c r="M13" i="6"/>
  <c r="O13" i="6"/>
  <c r="P13" i="6"/>
  <c r="R13" i="6"/>
  <c r="S13" i="6"/>
  <c r="U13" i="6"/>
  <c r="V13" i="6"/>
  <c r="X13" i="6"/>
  <c r="Y13" i="6"/>
  <c r="AA13" i="6"/>
  <c r="AB13" i="6"/>
  <c r="AD13" i="6"/>
  <c r="AE13" i="6"/>
  <c r="AG13" i="6"/>
  <c r="AH13" i="6"/>
  <c r="AJ13" i="6"/>
  <c r="AK13" i="6"/>
  <c r="AM13" i="6"/>
  <c r="G2" i="6"/>
  <c r="I2" i="6"/>
  <c r="J2" i="6"/>
  <c r="L2" i="6"/>
  <c r="M2" i="6"/>
  <c r="O2" i="6"/>
  <c r="P2" i="6"/>
  <c r="R2" i="6"/>
  <c r="S2" i="6"/>
  <c r="U2" i="6"/>
  <c r="V2" i="6"/>
  <c r="X2" i="6"/>
  <c r="Y2" i="6"/>
  <c r="AA2" i="6"/>
  <c r="AB2" i="6"/>
  <c r="AD2" i="6"/>
  <c r="AE2" i="6"/>
  <c r="AG2" i="6"/>
  <c r="AH2" i="6"/>
  <c r="AJ2" i="6"/>
  <c r="AK2" i="6"/>
  <c r="AM2" i="6"/>
  <c r="G3" i="6"/>
  <c r="I3" i="6"/>
  <c r="L3" i="6"/>
  <c r="M3" i="6"/>
  <c r="O3" i="6"/>
  <c r="P3" i="6"/>
  <c r="R3" i="6"/>
  <c r="S3" i="6"/>
  <c r="U3" i="6"/>
  <c r="V3" i="6"/>
  <c r="X3" i="6"/>
  <c r="Y3" i="6"/>
  <c r="AA3" i="6"/>
  <c r="AB3" i="6"/>
  <c r="AD3" i="6"/>
  <c r="AE3" i="6"/>
  <c r="AG3" i="6"/>
  <c r="AH3" i="6"/>
  <c r="AJ3" i="6"/>
  <c r="AK3" i="6"/>
  <c r="AM3" i="6"/>
  <c r="G4" i="6"/>
  <c r="I4" i="6"/>
  <c r="L4" i="6"/>
  <c r="M4" i="6"/>
  <c r="O4" i="6"/>
  <c r="P4" i="6"/>
  <c r="R4" i="6"/>
  <c r="S4" i="6"/>
  <c r="U4" i="6"/>
  <c r="V4" i="6"/>
  <c r="X4" i="6"/>
  <c r="Y4" i="6"/>
  <c r="AA4" i="6"/>
  <c r="AB4" i="6"/>
  <c r="AD4" i="6"/>
  <c r="AE4" i="6"/>
  <c r="AG4" i="6"/>
  <c r="AH4" i="6"/>
  <c r="AJ4" i="6"/>
  <c r="AK4" i="6"/>
  <c r="AM4" i="6"/>
  <c r="AM5" i="6"/>
  <c r="AJ5" i="6"/>
  <c r="AG5" i="6"/>
  <c r="AD5" i="6"/>
  <c r="AA5" i="6"/>
  <c r="X5" i="6"/>
  <c r="U5" i="6"/>
  <c r="R5" i="6"/>
  <c r="O5" i="6"/>
  <c r="I5" i="6"/>
  <c r="L5" i="6"/>
  <c r="C1" i="6"/>
  <c r="D1" i="6"/>
  <c r="E1" i="6"/>
  <c r="F1" i="6"/>
  <c r="G1" i="6"/>
  <c r="J1" i="6"/>
  <c r="M1" i="6"/>
  <c r="P1" i="6"/>
  <c r="S1" i="6"/>
  <c r="V1" i="6"/>
  <c r="Y1" i="6"/>
  <c r="AE1" i="6"/>
  <c r="AH1" i="6"/>
  <c r="AK1" i="6"/>
  <c r="C5" i="6"/>
  <c r="D5" i="6"/>
  <c r="G5" i="6"/>
  <c r="M5" i="6"/>
  <c r="P5" i="6"/>
  <c r="S5" i="6"/>
  <c r="V5" i="6"/>
  <c r="Y5" i="6"/>
  <c r="AB5" i="6"/>
  <c r="AE5" i="6"/>
  <c r="AH5" i="6"/>
  <c r="AK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2" i="6"/>
  <c r="D2" i="6"/>
  <c r="C3" i="6"/>
  <c r="D3" i="6"/>
  <c r="C4" i="6"/>
  <c r="D4" i="6"/>
  <c r="B5" i="6"/>
  <c r="B6" i="6"/>
  <c r="B7" i="6"/>
  <c r="B8" i="6"/>
  <c r="B9" i="6"/>
  <c r="B10" i="6"/>
  <c r="B11" i="6"/>
  <c r="B12" i="6"/>
  <c r="B13" i="6"/>
  <c r="B2" i="6"/>
  <c r="B3" i="6"/>
  <c r="B4" i="6"/>
  <c r="B1" i="6"/>
  <c r="C17" i="5"/>
  <c r="C16" i="5"/>
  <c r="C13" i="5"/>
  <c r="C11" i="5"/>
  <c r="C10" i="5"/>
  <c r="C7" i="5"/>
  <c r="C5" i="5"/>
  <c r="C4" i="5"/>
  <c r="C3" i="5"/>
  <c r="K20" i="5" l="1"/>
  <c r="D23" i="5"/>
  <c r="D22" i="5"/>
  <c r="D20" i="5"/>
  <c r="H23" i="5"/>
  <c r="I22" i="5"/>
  <c r="J21" i="5"/>
  <c r="C22" i="5"/>
  <c r="H19" i="5"/>
  <c r="AE19" i="5"/>
  <c r="AE20" i="5"/>
  <c r="C20" i="5"/>
  <c r="E18" i="5"/>
  <c r="F20" i="5"/>
  <c r="G19" i="5"/>
  <c r="G23" i="5"/>
  <c r="H22" i="5"/>
  <c r="I21" i="5"/>
  <c r="AD20" i="5"/>
  <c r="AD22" i="5"/>
  <c r="AD18" i="5"/>
  <c r="AD23" i="5"/>
  <c r="F18" i="5"/>
  <c r="G20" i="5"/>
  <c r="D18" i="5"/>
  <c r="C18" i="5"/>
  <c r="E20" i="5"/>
  <c r="F19" i="5"/>
  <c r="F23" i="5"/>
  <c r="G22" i="5"/>
  <c r="H21" i="5"/>
  <c r="E22" i="5"/>
  <c r="C19" i="5"/>
  <c r="I18" i="5"/>
  <c r="J20" i="5"/>
  <c r="K19" i="5"/>
  <c r="K23" i="5"/>
  <c r="E21" i="5"/>
  <c r="F21" i="5"/>
  <c r="H18" i="5"/>
  <c r="I20" i="5"/>
  <c r="J19" i="5"/>
  <c r="J23" i="5"/>
  <c r="K22" i="5"/>
  <c r="C21" i="5"/>
  <c r="G18" i="5"/>
  <c r="H20" i="5"/>
  <c r="I19" i="5"/>
  <c r="I23" i="5"/>
  <c r="J22" i="5"/>
  <c r="K21" i="5"/>
  <c r="D21" i="5"/>
  <c r="AE23" i="5"/>
  <c r="AE22" i="5"/>
  <c r="AE21" i="5"/>
  <c r="AD21" i="5"/>
  <c r="AD19" i="5"/>
  <c r="Y21" i="5"/>
  <c r="P21" i="5"/>
  <c r="Z18" i="5"/>
  <c r="AF18" i="5" s="1"/>
  <c r="V18" i="5"/>
  <c r="L20" i="5"/>
  <c r="M19" i="5"/>
  <c r="X22" i="5"/>
  <c r="T20" i="5"/>
  <c r="U19" i="5"/>
  <c r="AB18" i="5"/>
  <c r="AA18" i="5"/>
  <c r="R21" i="5"/>
  <c r="V22" i="5"/>
  <c r="W18" i="5"/>
  <c r="O18" i="5"/>
  <c r="P20" i="5"/>
  <c r="R18" i="5"/>
  <c r="Q23" i="5"/>
  <c r="R22" i="5"/>
  <c r="U18" i="5"/>
  <c r="M18" i="5"/>
  <c r="AA20" i="5"/>
  <c r="R20" i="5"/>
  <c r="AB19" i="5"/>
  <c r="S19" i="5"/>
  <c r="AC18" i="5"/>
  <c r="T18" i="5"/>
  <c r="L21" i="5"/>
  <c r="S18" i="5"/>
  <c r="U23" i="5"/>
  <c r="M23" i="5"/>
  <c r="N22" i="5"/>
  <c r="X21" i="5"/>
  <c r="AB21" i="5"/>
  <c r="Q19" i="5"/>
  <c r="Z21" i="5"/>
  <c r="AF21" i="5" s="1"/>
  <c r="Q21" i="5"/>
  <c r="W21" i="5"/>
  <c r="O21" i="5"/>
  <c r="Y23" i="5"/>
  <c r="P23" i="5"/>
  <c r="Z22" i="5"/>
  <c r="AF22" i="5" s="1"/>
  <c r="Q22" i="5"/>
  <c r="V21" i="5"/>
  <c r="N21" i="5"/>
  <c r="Y18" i="5"/>
  <c r="Q18" i="5"/>
  <c r="AB20" i="5"/>
  <c r="S20" i="5"/>
  <c r="AC19" i="5"/>
  <c r="T19" i="5"/>
  <c r="L19" i="5"/>
  <c r="V20" i="5"/>
  <c r="N20" i="5"/>
  <c r="W19" i="5"/>
  <c r="AC23" i="5"/>
  <c r="W23" i="5"/>
  <c r="O23" i="5"/>
  <c r="Y19" i="5"/>
  <c r="P22" i="5"/>
  <c r="X23" i="5"/>
  <c r="AC21" i="5"/>
  <c r="U21" i="5"/>
  <c r="M21" i="5"/>
  <c r="X18" i="5"/>
  <c r="P18" i="5"/>
  <c r="U20" i="5"/>
  <c r="V19" i="5"/>
  <c r="V23" i="5"/>
  <c r="Z23" i="5"/>
  <c r="AF23" i="5" s="1"/>
  <c r="Q20" i="5"/>
  <c r="AA19" i="5"/>
  <c r="R19" i="5"/>
  <c r="AC20" i="5"/>
  <c r="W20" i="5"/>
  <c r="O20" i="5"/>
  <c r="L18" i="5"/>
  <c r="AA21" i="5"/>
  <c r="S21" i="5"/>
  <c r="M20" i="5"/>
  <c r="O22" i="5"/>
  <c r="Y20" i="5"/>
  <c r="Z19" i="5"/>
  <c r="AF19" i="5" s="1"/>
  <c r="T23" i="5"/>
  <c r="L23" i="5"/>
  <c r="U22" i="5"/>
  <c r="M22" i="5"/>
  <c r="X19" i="5"/>
  <c r="N19" i="5"/>
  <c r="N23" i="5"/>
  <c r="T21" i="5"/>
  <c r="P19" i="5"/>
  <c r="L22" i="5"/>
  <c r="W22" i="5"/>
  <c r="O19" i="5"/>
  <c r="AB23" i="5"/>
  <c r="AC22" i="5"/>
  <c r="X20" i="5"/>
  <c r="AA23" i="5"/>
  <c r="S23" i="5"/>
  <c r="AB22" i="5"/>
  <c r="T22" i="5"/>
  <c r="AA22" i="5"/>
  <c r="S22" i="5"/>
  <c r="Y22" i="5"/>
  <c r="R23" i="5"/>
  <c r="Z20" i="5"/>
  <c r="AF20" i="5" s="1"/>
  <c r="C5" i="4"/>
  <c r="N4" i="4" l="1"/>
  <c r="N5" i="4"/>
  <c r="N6" i="4"/>
  <c r="N7" i="4"/>
  <c r="N8" i="4"/>
  <c r="C4" i="4"/>
  <c r="E4" i="4"/>
  <c r="F4" i="4"/>
  <c r="H4" i="4"/>
  <c r="I4" i="4"/>
  <c r="K4" i="4"/>
  <c r="L4" i="4"/>
  <c r="E5" i="4"/>
  <c r="F5" i="4"/>
  <c r="H5" i="4"/>
  <c r="I5" i="4"/>
  <c r="K5" i="4"/>
  <c r="L5" i="4"/>
  <c r="C6" i="4"/>
  <c r="E6" i="4"/>
  <c r="F6" i="4"/>
  <c r="H6" i="4"/>
  <c r="I6" i="4"/>
  <c r="K6" i="4"/>
  <c r="L6" i="4"/>
  <c r="C7" i="4"/>
  <c r="E7" i="4"/>
  <c r="F7" i="4"/>
  <c r="H7" i="4"/>
  <c r="I7" i="4"/>
  <c r="K7" i="4"/>
  <c r="L7" i="4"/>
  <c r="C8" i="4"/>
  <c r="E8" i="4"/>
  <c r="F8" i="4"/>
  <c r="H8" i="4"/>
  <c r="I8" i="4"/>
  <c r="K8" i="4"/>
  <c r="L8" i="4"/>
  <c r="F15" i="3"/>
  <c r="G15" i="3"/>
  <c r="I15" i="3"/>
  <c r="J15" i="3"/>
  <c r="L15" i="3"/>
  <c r="M15" i="3"/>
  <c r="O15" i="3"/>
  <c r="F12" i="3"/>
  <c r="G12" i="3"/>
  <c r="I12" i="3"/>
  <c r="J12" i="3"/>
  <c r="L12" i="3"/>
  <c r="M12" i="3"/>
  <c r="O12" i="3"/>
  <c r="F9" i="3"/>
  <c r="G9" i="3"/>
  <c r="I9" i="3"/>
  <c r="J9" i="3"/>
  <c r="L9" i="3"/>
  <c r="M9" i="3"/>
  <c r="O9" i="3"/>
  <c r="F6" i="3"/>
  <c r="G6" i="3"/>
  <c r="I6" i="3"/>
  <c r="J6" i="3"/>
  <c r="L6" i="3"/>
  <c r="M6" i="3"/>
  <c r="O6" i="3"/>
  <c r="F3" i="3"/>
  <c r="G3" i="3"/>
  <c r="I3" i="3"/>
  <c r="J3" i="3"/>
  <c r="L3" i="3"/>
  <c r="M3" i="3"/>
  <c r="O3" i="3"/>
  <c r="D15" i="3"/>
  <c r="D12" i="3"/>
  <c r="D9" i="3"/>
  <c r="D6" i="3"/>
  <c r="D3" i="3"/>
  <c r="F16" i="3"/>
  <c r="G16" i="3"/>
  <c r="I16" i="3"/>
  <c r="J16" i="3"/>
  <c r="L16" i="3"/>
  <c r="M16" i="3"/>
  <c r="O16" i="3"/>
  <c r="D16" i="3"/>
  <c r="F13" i="3"/>
  <c r="G13" i="3"/>
  <c r="I13" i="3"/>
  <c r="J13" i="3"/>
  <c r="L13" i="3"/>
  <c r="M13" i="3"/>
  <c r="O13" i="3"/>
  <c r="D13" i="3"/>
  <c r="F10" i="3"/>
  <c r="G10" i="3"/>
  <c r="I10" i="3"/>
  <c r="J10" i="3"/>
  <c r="L10" i="3"/>
  <c r="M10" i="3"/>
  <c r="O10" i="3"/>
  <c r="D10" i="3"/>
  <c r="F7" i="3"/>
  <c r="G7" i="3"/>
  <c r="I7" i="3"/>
  <c r="J7" i="3"/>
  <c r="L7" i="3"/>
  <c r="M7" i="3"/>
  <c r="O7" i="3"/>
  <c r="D7" i="3"/>
  <c r="F4" i="3"/>
  <c r="G4" i="3"/>
  <c r="I4" i="3"/>
  <c r="J4" i="3"/>
  <c r="L4" i="3"/>
  <c r="M4" i="3"/>
  <c r="O4" i="3"/>
  <c r="D4" i="3"/>
  <c r="M5" i="3"/>
  <c r="O5" i="3"/>
  <c r="M8" i="3"/>
  <c r="O8" i="3"/>
  <c r="M11" i="3"/>
  <c r="O11" i="3"/>
  <c r="M14" i="3"/>
  <c r="O14" i="3"/>
  <c r="M17" i="3"/>
  <c r="O17" i="3"/>
  <c r="F17" i="3"/>
  <c r="G17" i="3"/>
  <c r="I17" i="3"/>
  <c r="J17" i="3"/>
  <c r="L17" i="3"/>
  <c r="D17" i="3"/>
  <c r="F14" i="3"/>
  <c r="G14" i="3"/>
  <c r="I14" i="3"/>
  <c r="J14" i="3"/>
  <c r="L14" i="3"/>
  <c r="D14" i="3"/>
  <c r="F11" i="3"/>
  <c r="G11" i="3"/>
  <c r="I11" i="3"/>
  <c r="J11" i="3"/>
  <c r="L11" i="3"/>
  <c r="D11" i="3"/>
  <c r="F8" i="3"/>
  <c r="G8" i="3"/>
  <c r="I8" i="3"/>
  <c r="J8" i="3"/>
  <c r="L8" i="3"/>
  <c r="D8" i="3"/>
  <c r="F5" i="3"/>
  <c r="G5" i="3"/>
  <c r="I5" i="3"/>
  <c r="J5" i="3"/>
  <c r="L5" i="3"/>
  <c r="D5" i="3"/>
  <c r="G19" i="3" l="1"/>
  <c r="G22" i="3"/>
  <c r="G18" i="3"/>
  <c r="G21" i="3"/>
  <c r="F19" i="3"/>
  <c r="F22" i="3"/>
  <c r="F18" i="3"/>
  <c r="F21" i="3"/>
  <c r="D23" i="3"/>
  <c r="D20" i="3"/>
  <c r="D19" i="3"/>
  <c r="D22" i="3"/>
  <c r="L20" i="3"/>
  <c r="L23" i="3"/>
  <c r="J23" i="3"/>
  <c r="J20" i="3"/>
  <c r="M21" i="3"/>
  <c r="M18" i="3"/>
  <c r="L22" i="3"/>
  <c r="L19" i="3"/>
  <c r="G23" i="3"/>
  <c r="G20" i="3"/>
  <c r="J19" i="3"/>
  <c r="J22" i="3"/>
  <c r="D21" i="3"/>
  <c r="D18" i="3"/>
  <c r="J21" i="3"/>
  <c r="J18" i="3"/>
  <c r="M23" i="3"/>
  <c r="M20" i="3"/>
  <c r="M22" i="3"/>
  <c r="M19" i="3"/>
  <c r="I20" i="3"/>
  <c r="I23" i="3"/>
  <c r="L21" i="3"/>
  <c r="L18" i="3"/>
  <c r="F23" i="3"/>
  <c r="F20" i="3"/>
  <c r="I19" i="3"/>
  <c r="I22" i="3"/>
  <c r="I18" i="3"/>
  <c r="I21" i="3"/>
  <c r="R16" i="3"/>
  <c r="R17" i="3"/>
  <c r="T14" i="3"/>
  <c r="P16" i="3"/>
  <c r="R8" i="3"/>
  <c r="T17" i="3"/>
  <c r="R14" i="3"/>
  <c r="S17" i="3"/>
  <c r="S11" i="3"/>
  <c r="S16" i="3"/>
  <c r="R3" i="3"/>
  <c r="P17" i="3"/>
  <c r="R9" i="3"/>
  <c r="P8" i="3"/>
  <c r="P15" i="3"/>
  <c r="S4" i="3"/>
  <c r="P7" i="3"/>
  <c r="P10" i="3"/>
  <c r="P12" i="3"/>
  <c r="S5" i="3"/>
  <c r="S6" i="3"/>
  <c r="R13" i="3"/>
  <c r="R15" i="3"/>
  <c r="P13" i="3"/>
  <c r="R12" i="3"/>
  <c r="P11" i="3"/>
  <c r="S7" i="3"/>
  <c r="S13" i="3"/>
  <c r="R6" i="3"/>
  <c r="R5" i="3"/>
  <c r="P9" i="3"/>
  <c r="P5" i="3"/>
  <c r="R11" i="3"/>
  <c r="S14" i="3"/>
  <c r="R4" i="3"/>
  <c r="R7" i="3"/>
  <c r="R10" i="3"/>
  <c r="P3" i="3"/>
  <c r="S8" i="3"/>
  <c r="P14" i="3"/>
  <c r="T5" i="3"/>
  <c r="T8" i="3"/>
  <c r="S10" i="3"/>
  <c r="P6" i="3"/>
  <c r="T11" i="3"/>
  <c r="S12" i="3"/>
  <c r="S9" i="3"/>
  <c r="P4" i="3"/>
  <c r="S15" i="3"/>
  <c r="S3" i="3"/>
  <c r="P23" i="3" l="1"/>
  <c r="P20" i="3"/>
  <c r="P22" i="3"/>
  <c r="P19" i="3"/>
  <c r="P21" i="3"/>
  <c r="P18" i="3"/>
  <c r="U9" i="3"/>
  <c r="V9" i="3"/>
  <c r="V15" i="3"/>
  <c r="U15" i="3"/>
  <c r="V12" i="3"/>
  <c r="U12" i="3"/>
  <c r="U3" i="3"/>
  <c r="V3" i="3"/>
  <c r="V6" i="3"/>
  <c r="U6" i="3"/>
</calcChain>
</file>

<file path=xl/sharedStrings.xml><?xml version="1.0" encoding="utf-8"?>
<sst xmlns="http://schemas.openxmlformats.org/spreadsheetml/2006/main" count="612" uniqueCount="54">
  <si>
    <t>NEE</t>
  </si>
  <si>
    <t>GS</t>
  </si>
  <si>
    <t>NGS</t>
  </si>
  <si>
    <t>GPP</t>
  </si>
  <si>
    <t>Reco</t>
  </si>
  <si>
    <t>Annual</t>
  </si>
  <si>
    <t>±</t>
  </si>
  <si>
    <t>Period</t>
  </si>
  <si>
    <t>FCH4</t>
  </si>
  <si>
    <t>FCH4 contribution</t>
  </si>
  <si>
    <t>SGWP100</t>
  </si>
  <si>
    <t>GWP20</t>
  </si>
  <si>
    <t>GWP100</t>
  </si>
  <si>
    <t>(gC m-2 y-1)</t>
  </si>
  <si>
    <t xml:space="preserve">NEE </t>
  </si>
  <si>
    <t>Net C Budget</t>
  </si>
  <si>
    <t>SGWP20</t>
  </si>
  <si>
    <t>PARin</t>
  </si>
  <si>
    <t>PA</t>
  </si>
  <si>
    <t>Ta</t>
  </si>
  <si>
    <t>NEE GS contribution to annual</t>
  </si>
  <si>
    <t xml:space="preserve">Mean </t>
  </si>
  <si>
    <t>SD</t>
  </si>
  <si>
    <t>Oct</t>
  </si>
  <si>
    <t>Nov</t>
  </si>
  <si>
    <t>Dec</t>
  </si>
  <si>
    <t>Jan</t>
  </si>
  <si>
    <t>Feb</t>
  </si>
  <si>
    <t>Apr</t>
  </si>
  <si>
    <t>May</t>
  </si>
  <si>
    <t>Jun</t>
  </si>
  <si>
    <t>Jul</t>
  </si>
  <si>
    <t>Aug</t>
  </si>
  <si>
    <t>Sept</t>
  </si>
  <si>
    <t>Mar</t>
  </si>
  <si>
    <t>2015-2016</t>
  </si>
  <si>
    <t>2016-2017</t>
  </si>
  <si>
    <t>2017-2018</t>
  </si>
  <si>
    <t>2018-2019</t>
  </si>
  <si>
    <t>2019-2020</t>
  </si>
  <si>
    <t>2020-2021</t>
  </si>
  <si>
    <t>Precipitation (mm)</t>
  </si>
  <si>
    <t>Evapotranspiration (mm)</t>
  </si>
  <si>
    <t>WTD (cm)</t>
  </si>
  <si>
    <t xml:space="preserve">Period </t>
  </si>
  <si>
    <t>TS,5cm</t>
  </si>
  <si>
    <t>period</t>
  </si>
  <si>
    <t>mean</t>
  </si>
  <si>
    <t>RECO</t>
  </si>
  <si>
    <t>CH4</t>
  </si>
  <si>
    <t>net C</t>
  </si>
  <si>
    <t>wtd_cm</t>
  </si>
  <si>
    <t>wtd (m)</t>
  </si>
  <si>
    <t>wtd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</si>
</sst>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left"/>
    </xf>
    <xf numFmtId="2" fontId="0" fillId="2" borderId="0" xfId="0" applyNumberFormat="1" applyFill="1"/>
    <xf numFmtId="2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3" borderId="0" xfId="0" applyFill="1"/>
    <xf numFmtId="2" fontId="0" fillId="2" borderId="0" xfId="0" applyNumberFormat="1" applyFill="1" applyAlignment="1">
      <alignment horizontal="left" indent="2"/>
    </xf>
    <xf numFmtId="2" fontId="0" fillId="3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GPP Reco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C_budget!$B$3:$B$17</c:f>
              <c:strCache>
                <c:ptCount val="15"/>
                <c:pt idx="0">
                  <c:v>2016-2017</c:v>
                </c:pt>
                <c:pt idx="1">
                  <c:v>2016</c:v>
                </c:pt>
                <c:pt idx="2">
                  <c:v>2017</c:v>
                </c:pt>
                <c:pt idx="3">
                  <c:v>2017-2018</c:v>
                </c:pt>
                <c:pt idx="4">
                  <c:v>2017</c:v>
                </c:pt>
                <c:pt idx="5">
                  <c:v>2018</c:v>
                </c:pt>
                <c:pt idx="6">
                  <c:v>2018-2019</c:v>
                </c:pt>
                <c:pt idx="7">
                  <c:v>2018</c:v>
                </c:pt>
                <c:pt idx="8">
                  <c:v>2019</c:v>
                </c:pt>
                <c:pt idx="9">
                  <c:v>2019-2020</c:v>
                </c:pt>
                <c:pt idx="10">
                  <c:v>2019</c:v>
                </c:pt>
                <c:pt idx="11">
                  <c:v>2020</c:v>
                </c:pt>
                <c:pt idx="12">
                  <c:v>2020-2021</c:v>
                </c:pt>
                <c:pt idx="13">
                  <c:v>2020</c:v>
                </c:pt>
                <c:pt idx="14">
                  <c:v>2021</c:v>
                </c:pt>
              </c:strCache>
            </c:strRef>
          </c:xVal>
          <c:yVal>
            <c:numRef>
              <c:f>C_budget!$G$3:$G$17</c:f>
              <c:numCache>
                <c:formatCode>0.0</c:formatCode>
                <c:ptCount val="15"/>
                <c:pt idx="0">
                  <c:v>458.65576070392302</c:v>
                </c:pt>
                <c:pt idx="1">
                  <c:v>71.227287307031602</c:v>
                </c:pt>
                <c:pt idx="2">
                  <c:v>387.42847339689098</c:v>
                </c:pt>
                <c:pt idx="3">
                  <c:v>454.63420162837002</c:v>
                </c:pt>
                <c:pt idx="4">
                  <c:v>71.350915796528497</c:v>
                </c:pt>
                <c:pt idx="5">
                  <c:v>383.28328583184202</c:v>
                </c:pt>
                <c:pt idx="6">
                  <c:v>409.00497707217198</c:v>
                </c:pt>
                <c:pt idx="7">
                  <c:v>62.933255291708498</c:v>
                </c:pt>
                <c:pt idx="8">
                  <c:v>346.07172178046301</c:v>
                </c:pt>
                <c:pt idx="9">
                  <c:v>383.34590372656498</c:v>
                </c:pt>
                <c:pt idx="10">
                  <c:v>50.283005759185897</c:v>
                </c:pt>
                <c:pt idx="11">
                  <c:v>333.06289796738002</c:v>
                </c:pt>
                <c:pt idx="12">
                  <c:v>378.73334548868002</c:v>
                </c:pt>
                <c:pt idx="13">
                  <c:v>57.8707453739733</c:v>
                </c:pt>
                <c:pt idx="14">
                  <c:v>320.86260011470699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806-A647-66A842E94D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C_budget!$B$3:$B$17</c:f>
              <c:strCache>
                <c:ptCount val="15"/>
                <c:pt idx="0">
                  <c:v>2016-2017</c:v>
                </c:pt>
                <c:pt idx="1">
                  <c:v>2016</c:v>
                </c:pt>
                <c:pt idx="2">
                  <c:v>2017</c:v>
                </c:pt>
                <c:pt idx="3">
                  <c:v>2017-2018</c:v>
                </c:pt>
                <c:pt idx="4">
                  <c:v>2017</c:v>
                </c:pt>
                <c:pt idx="5">
                  <c:v>2018</c:v>
                </c:pt>
                <c:pt idx="6">
                  <c:v>2018-2019</c:v>
                </c:pt>
                <c:pt idx="7">
                  <c:v>2018</c:v>
                </c:pt>
                <c:pt idx="8">
                  <c:v>2019</c:v>
                </c:pt>
                <c:pt idx="9">
                  <c:v>2019-2020</c:v>
                </c:pt>
                <c:pt idx="10">
                  <c:v>2019</c:v>
                </c:pt>
                <c:pt idx="11">
                  <c:v>2020</c:v>
                </c:pt>
                <c:pt idx="12">
                  <c:v>2020-2021</c:v>
                </c:pt>
                <c:pt idx="13">
                  <c:v>2020</c:v>
                </c:pt>
                <c:pt idx="14">
                  <c:v>2021</c:v>
                </c:pt>
              </c:strCache>
            </c:strRef>
          </c:xVal>
          <c:yVal>
            <c:numRef>
              <c:f>C_budget!$J$3:$J$17</c:f>
              <c:numCache>
                <c:formatCode>0.0</c:formatCode>
                <c:ptCount val="15"/>
                <c:pt idx="0">
                  <c:v>470.14447592966098</c:v>
                </c:pt>
                <c:pt idx="1">
                  <c:v>159.89948643267601</c:v>
                </c:pt>
                <c:pt idx="2">
                  <c:v>310.244989496985</c:v>
                </c:pt>
                <c:pt idx="3">
                  <c:v>428.65148909181198</c:v>
                </c:pt>
                <c:pt idx="4">
                  <c:v>111.34913842394199</c:v>
                </c:pt>
                <c:pt idx="5">
                  <c:v>317.30235066786901</c:v>
                </c:pt>
                <c:pt idx="6">
                  <c:v>376.39862401009401</c:v>
                </c:pt>
                <c:pt idx="7">
                  <c:v>89.577988487179297</c:v>
                </c:pt>
                <c:pt idx="8">
                  <c:v>286.82063552291402</c:v>
                </c:pt>
                <c:pt idx="9">
                  <c:v>356.96825181228797</c:v>
                </c:pt>
                <c:pt idx="10">
                  <c:v>98.952065080704003</c:v>
                </c:pt>
                <c:pt idx="11">
                  <c:v>258.01618673158401</c:v>
                </c:pt>
                <c:pt idx="12">
                  <c:v>390.63923077314399</c:v>
                </c:pt>
                <c:pt idx="13">
                  <c:v>103.9489994698</c:v>
                </c:pt>
                <c:pt idx="14">
                  <c:v>286.690231303345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0-4806-A647-66A842E9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97647"/>
        <c:axId val="1092998479"/>
      </c:scatterChart>
      <c:valAx>
        <c:axId val="10929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8479"/>
        <c:crosses val="autoZero"/>
        <c:crossBetween val="midCat"/>
      </c:valAx>
      <c:valAx>
        <c:axId val="10929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C_budget!$D$3:$D$17</c:f>
              <c:numCache>
                <c:formatCode>0.0</c:formatCode>
                <c:ptCount val="15"/>
                <c:pt idx="0">
                  <c:v>11.4887152257379</c:v>
                </c:pt>
                <c:pt idx="1">
                  <c:v>88.672199125644198</c:v>
                </c:pt>
                <c:pt idx="2">
                  <c:v>-77.183483899906307</c:v>
                </c:pt>
                <c:pt idx="3">
                  <c:v>-25.9827125365588</c:v>
                </c:pt>
                <c:pt idx="4">
                  <c:v>39.998222627413803</c:v>
                </c:pt>
                <c:pt idx="5">
                  <c:v>-65.980935163972603</c:v>
                </c:pt>
                <c:pt idx="6">
                  <c:v>-32.606353062077901</c:v>
                </c:pt>
                <c:pt idx="7">
                  <c:v>26.644733195470799</c:v>
                </c:pt>
                <c:pt idx="8">
                  <c:v>-59.2510862575487</c:v>
                </c:pt>
                <c:pt idx="9">
                  <c:v>-26.377651914277902</c:v>
                </c:pt>
                <c:pt idx="10">
                  <c:v>48.669059321518098</c:v>
                </c:pt>
                <c:pt idx="11">
                  <c:v>-75.046711235796096</c:v>
                </c:pt>
                <c:pt idx="12">
                  <c:v>11.9058852844644</c:v>
                </c:pt>
                <c:pt idx="13">
                  <c:v>46.078254095826502</c:v>
                </c:pt>
                <c:pt idx="14">
                  <c:v>-34.172368811362098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7-45B5-A9EB-588E4428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94944"/>
        <c:axId val="277998272"/>
      </c:scatterChart>
      <c:valAx>
        <c:axId val="2779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98272"/>
        <c:crosses val="autoZero"/>
        <c:crossBetween val="midCat"/>
      </c:valAx>
      <c:valAx>
        <c:axId val="2779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C_budget!$B$3:$B$17</c:f>
              <c:strCache>
                <c:ptCount val="15"/>
                <c:pt idx="0">
                  <c:v>2016-2017</c:v>
                </c:pt>
                <c:pt idx="1">
                  <c:v>2016</c:v>
                </c:pt>
                <c:pt idx="2">
                  <c:v>2017</c:v>
                </c:pt>
                <c:pt idx="3">
                  <c:v>2017-2018</c:v>
                </c:pt>
                <c:pt idx="4">
                  <c:v>2017</c:v>
                </c:pt>
                <c:pt idx="5">
                  <c:v>2018</c:v>
                </c:pt>
                <c:pt idx="6">
                  <c:v>2018-2019</c:v>
                </c:pt>
                <c:pt idx="7">
                  <c:v>2018</c:v>
                </c:pt>
                <c:pt idx="8">
                  <c:v>2019</c:v>
                </c:pt>
                <c:pt idx="9">
                  <c:v>2019-2020</c:v>
                </c:pt>
                <c:pt idx="10">
                  <c:v>2019</c:v>
                </c:pt>
                <c:pt idx="11">
                  <c:v>2020</c:v>
                </c:pt>
                <c:pt idx="12">
                  <c:v>2020-2021</c:v>
                </c:pt>
                <c:pt idx="13">
                  <c:v>2020</c:v>
                </c:pt>
                <c:pt idx="14">
                  <c:v>2021</c:v>
                </c:pt>
              </c:strCache>
            </c:strRef>
          </c:xVal>
          <c:yVal>
            <c:numRef>
              <c:f>C_budget!$M$3:$M$17</c:f>
              <c:numCache>
                <c:formatCode>0.0</c:formatCode>
                <c:ptCount val="15"/>
                <c:pt idx="0">
                  <c:v>18.0481042491007</c:v>
                </c:pt>
                <c:pt idx="1">
                  <c:v>2.7500394435573798</c:v>
                </c:pt>
                <c:pt idx="2">
                  <c:v>15.2980648055433</c:v>
                </c:pt>
                <c:pt idx="3">
                  <c:v>13.2198561421168</c:v>
                </c:pt>
                <c:pt idx="4">
                  <c:v>2.0536238729667899</c:v>
                </c:pt>
                <c:pt idx="5">
                  <c:v>11.166232269149999</c:v>
                </c:pt>
                <c:pt idx="6">
                  <c:v>12.196056004713601</c:v>
                </c:pt>
                <c:pt idx="7">
                  <c:v>1.4799613072545299</c:v>
                </c:pt>
                <c:pt idx="8">
                  <c:v>10.716094697459001</c:v>
                </c:pt>
                <c:pt idx="9">
                  <c:v>11.649581035226699</c:v>
                </c:pt>
                <c:pt idx="10">
                  <c:v>1.6373805316857399</c:v>
                </c:pt>
                <c:pt idx="11">
                  <c:v>10.012200503541001</c:v>
                </c:pt>
                <c:pt idx="12">
                  <c:v>13.194234631932501</c:v>
                </c:pt>
                <c:pt idx="13">
                  <c:v>2.0655281392160099</c:v>
                </c:pt>
                <c:pt idx="14">
                  <c:v>11.1287064927165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3-49E1-84BB-07612230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778352"/>
        <c:axId val="1037782928"/>
      </c:scatterChart>
      <c:valAx>
        <c:axId val="10377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82928"/>
        <c:crosses val="autoZero"/>
        <c:crossBetween val="midCat"/>
      </c:valAx>
      <c:valAx>
        <c:axId val="10377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7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C_budget!$J$3:$J$17</c:f>
              <c:numCache>
                <c:formatCode>0.0</c:formatCode>
                <c:ptCount val="15"/>
                <c:pt idx="0">
                  <c:v>470.14447592966098</c:v>
                </c:pt>
                <c:pt idx="1">
                  <c:v>159.89948643267601</c:v>
                </c:pt>
                <c:pt idx="2">
                  <c:v>310.244989496985</c:v>
                </c:pt>
                <c:pt idx="3">
                  <c:v>428.65148909181198</c:v>
                </c:pt>
                <c:pt idx="4">
                  <c:v>111.34913842394199</c:v>
                </c:pt>
                <c:pt idx="5">
                  <c:v>317.30235066786901</c:v>
                </c:pt>
                <c:pt idx="6">
                  <c:v>376.39862401009401</c:v>
                </c:pt>
                <c:pt idx="7">
                  <c:v>89.577988487179297</c:v>
                </c:pt>
                <c:pt idx="8">
                  <c:v>286.82063552291402</c:v>
                </c:pt>
                <c:pt idx="9">
                  <c:v>356.96825181228797</c:v>
                </c:pt>
                <c:pt idx="10">
                  <c:v>98.952065080704003</c:v>
                </c:pt>
                <c:pt idx="11">
                  <c:v>258.01618673158401</c:v>
                </c:pt>
                <c:pt idx="12">
                  <c:v>390.63923077314399</c:v>
                </c:pt>
                <c:pt idx="13">
                  <c:v>103.9489994698</c:v>
                </c:pt>
                <c:pt idx="14">
                  <c:v>286.690231303345</c:v>
                </c:pt>
              </c:numCache>
            </c:numRef>
          </c:xVal>
          <c:yVal>
            <c:numRef>
              <c:f>C_budget!$M$3:$M$17</c:f>
              <c:numCache>
                <c:formatCode>0.0</c:formatCode>
                <c:ptCount val="15"/>
                <c:pt idx="0">
                  <c:v>18.0481042491007</c:v>
                </c:pt>
                <c:pt idx="1">
                  <c:v>2.7500394435573798</c:v>
                </c:pt>
                <c:pt idx="2">
                  <c:v>15.2980648055433</c:v>
                </c:pt>
                <c:pt idx="3">
                  <c:v>13.2198561421168</c:v>
                </c:pt>
                <c:pt idx="4">
                  <c:v>2.0536238729667899</c:v>
                </c:pt>
                <c:pt idx="5">
                  <c:v>11.166232269149999</c:v>
                </c:pt>
                <c:pt idx="6">
                  <c:v>12.196056004713601</c:v>
                </c:pt>
                <c:pt idx="7">
                  <c:v>1.4799613072545299</c:v>
                </c:pt>
                <c:pt idx="8">
                  <c:v>10.716094697459001</c:v>
                </c:pt>
                <c:pt idx="9">
                  <c:v>11.649581035226699</c:v>
                </c:pt>
                <c:pt idx="10">
                  <c:v>1.6373805316857399</c:v>
                </c:pt>
                <c:pt idx="11">
                  <c:v>10.012200503541001</c:v>
                </c:pt>
                <c:pt idx="12">
                  <c:v>13.194234631932501</c:v>
                </c:pt>
                <c:pt idx="13">
                  <c:v>2.0655281392160099</c:v>
                </c:pt>
                <c:pt idx="14">
                  <c:v>11.1287064927165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B-4D28-A2EB-B8025A9FB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97856"/>
        <c:axId val="1062194112"/>
      </c:scatterChart>
      <c:valAx>
        <c:axId val="106219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4112"/>
        <c:crosses val="autoZero"/>
        <c:crossBetween val="midCat"/>
      </c:valAx>
      <c:valAx>
        <c:axId val="1062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9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Met_annual!$Q$2</c:f>
              <c:strCache>
                <c:ptCount val="1"/>
                <c:pt idx="0">
                  <c:v>RH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Met_annual!$A$3:$A$17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Met_annual!$Q$3:$Q$17</c:f>
              <c:numCache>
                <c:formatCode>0.0</c:formatCode>
                <c:ptCount val="5"/>
                <c:pt idx="0">
                  <c:v>78.865579401183993</c:v>
                </c:pt>
                <c:pt idx="1">
                  <c:v>79.695388584927102</c:v>
                </c:pt>
                <c:pt idx="2">
                  <c:v>81.148862629212204</c:v>
                </c:pt>
                <c:pt idx="3">
                  <c:v>81.703520943761404</c:v>
                </c:pt>
                <c:pt idx="4">
                  <c:v>81.294540956284195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5-4B8A-AA15-ADB373F3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07631"/>
        <c:axId val="1634105551"/>
      </c:scatterChart>
      <c:scatterChart>
        <c:scatterStyle val="lineMarker"/>
        <c:varyColors val="0"/>
        <c:ser>
          <c:idx val="0"/>
          <c:order val="0"/>
          <c:tx>
            <c:strRef>
              <c:f>Met_annual!$L$2</c:f>
              <c:strCache>
                <c:ptCount val="1"/>
                <c:pt idx="0">
                  <c:v>wtms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Met_annual!$A$3:$A$17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Met_annual!$L$3:$L$17</c:f>
              <c:numCache>
                <c:formatCode>0.0</c:formatCode>
                <c:ptCount val="5"/>
                <c:pt idx="0">
                  <c:v>114</c:v>
                </c:pt>
                <c:pt idx="1">
                  <c:v>79</c:v>
                </c:pt>
                <c:pt idx="2">
                  <c:v>69</c:v>
                </c:pt>
                <c:pt idx="3">
                  <c:v>103</c:v>
                </c:pt>
                <c:pt idx="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5-4B8A-AA15-ADB373F3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177071"/>
        <c:axId val="1732182063"/>
      </c:scatterChart>
      <c:valAx>
        <c:axId val="16341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5551"/>
        <c:crosses val="autoZero"/>
        <c:crossBetween val="midCat"/>
      </c:valAx>
      <c:valAx>
        <c:axId val="16341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07631"/>
        <c:crosses val="autoZero"/>
        <c:crossBetween val="midCat"/>
      </c:valAx>
      <c:valAx>
        <c:axId val="1732182063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77071"/>
        <c:crosses val="max"/>
        <c:crossBetween val="midCat"/>
      </c:valAx>
      <c:valAx>
        <c:axId val="1732177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218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Met_annual!$X$2</c:f>
              <c:strCache>
                <c:ptCount val="1"/>
                <c:pt idx="0">
                  <c:v>SWC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Met_annual!$A$3:$A$15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Met_annual!$X$3:$X$17</c:f>
              <c:numCache>
                <c:formatCode>0.0</c:formatCode>
                <c:ptCount val="5"/>
                <c:pt idx="0">
                  <c:v>7334.3422849244107</c:v>
                </c:pt>
                <c:pt idx="1">
                  <c:v>7699.3992727914401</c:v>
                </c:pt>
                <c:pt idx="2">
                  <c:v>8033.6485522859703</c:v>
                </c:pt>
                <c:pt idx="3">
                  <c:v>8057.7256126557404</c:v>
                </c:pt>
                <c:pt idx="4">
                  <c:v>8559.7056273907092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4-41F8-B2A6-CC0E7B1F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5504"/>
        <c:axId val="492221744"/>
      </c:scatterChart>
      <c:valAx>
        <c:axId val="4922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744"/>
        <c:crosses val="autoZero"/>
        <c:crossBetween val="midCat"/>
      </c:valAx>
      <c:valAx>
        <c:axId val="4922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224229</xdr:colOff>
      <xdr:row>27</xdr:row>
      <xdr:rowOff>33393</xdr:rowOff>
    </xdr:from>
    <xdr:to>
      <xdr:col>22</xdr:col>
      <xdr:colOff>497317</xdr:colOff>
      <xdr:row>42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ED092-3EF1-4FA1-A247-4DEBC185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192741</xdr:colOff>
      <xdr:row>27</xdr:row>
      <xdr:rowOff>58271</xdr:rowOff>
    </xdr:from>
    <xdr:to>
      <xdr:col>13</xdr:col>
      <xdr:colOff>22412</xdr:colOff>
      <xdr:row>42</xdr:row>
      <xdr:rowOff>112060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F598B-2AE2-4C69-9601-15C768E8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569402</xdr:colOff>
      <xdr:row>26</xdr:row>
      <xdr:rowOff>171876</xdr:rowOff>
    </xdr:from>
    <xdr:to>
      <xdr:col>30</xdr:col>
      <xdr:colOff>227590</xdr:colOff>
      <xdr:row>41</xdr:row>
      <xdr:rowOff>143145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D24D2-18C8-4865-A2EC-2B205E2AB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24259</xdr:colOff>
      <xdr:row>33</xdr:row>
      <xdr:rowOff>84403</xdr:rowOff>
    </xdr:from>
    <xdr:to>
      <xdr:col>19</xdr:col>
      <xdr:colOff>2993</xdr:colOff>
      <xdr:row>48</xdr:row>
      <xdr:rowOff>59483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77C86E-570E-4E1F-86D3-5C3DF7E5F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269775</xdr:colOff>
      <xdr:row>25</xdr:row>
      <xdr:rowOff>117218</xdr:rowOff>
    </xdr:from>
    <xdr:to>
      <xdr:col>13</xdr:col>
      <xdr:colOff>192549</xdr:colOff>
      <xdr:row>40</xdr:row>
      <xdr:rowOff>103971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22720C-00FE-4939-9113-487BAFD91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36286</xdr:colOff>
      <xdr:row>23</xdr:row>
      <xdr:rowOff>107044</xdr:rowOff>
    </xdr:from>
    <xdr:to>
      <xdr:col>29</xdr:col>
      <xdr:colOff>18150</xdr:colOff>
      <xdr:row>38</xdr:row>
      <xdr:rowOff>128816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5A651-12F5-42E8-928D-2EEA5A391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ual_budge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asonal_budge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lux_monthly_mean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lux_monthly_s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_annual_summary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_season_summary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t_monthly_mean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et_monthly_s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_budget"/>
    </sheetNames>
    <sheetDataSet>
      <sheetData sheetId="0">
        <row r="2">
          <cell r="P2">
            <v>1833.9525010672901</v>
          </cell>
          <cell r="Q2">
            <v>161.172512141992</v>
          </cell>
          <cell r="R2">
            <v>770.76029088114501</v>
          </cell>
          <cell r="S2">
            <v>92.208041912079096</v>
          </cell>
          <cell r="T2">
            <v>1526.590604599</v>
          </cell>
          <cell r="U2">
            <v>143.907773041713</v>
          </cell>
          <cell r="V2">
            <v>359.16386400244699</v>
          </cell>
          <cell r="W2">
            <v>73.948478863739297</v>
          </cell>
        </row>
        <row r="3">
          <cell r="D3">
            <v>11.4887152257379</v>
          </cell>
          <cell r="E3">
            <v>16.095764926476601</v>
          </cell>
          <cell r="F3">
            <v>458.65576070392302</v>
          </cell>
          <cell r="G3">
            <v>30.817377471158999</v>
          </cell>
          <cell r="H3">
            <v>470.14447592966098</v>
          </cell>
          <cell r="I3">
            <v>38.629156877504499</v>
          </cell>
          <cell r="J3">
            <v>18.0481042491007</v>
          </cell>
          <cell r="K3">
            <v>1.5693990086609799</v>
          </cell>
          <cell r="P3">
            <v>2422.2404889278</v>
          </cell>
          <cell r="Q3">
            <v>209.762914289089</v>
          </cell>
          <cell r="R3">
            <v>1192.92565129796</v>
          </cell>
          <cell r="S3">
            <v>111.392826124</v>
          </cell>
          <cell r="T3">
            <v>2066.8536301542899</v>
          </cell>
          <cell r="U3">
            <v>185.68227981467001</v>
          </cell>
          <cell r="V3">
            <v>717.01773001172603</v>
          </cell>
          <cell r="W3">
            <v>83.205890584770401</v>
          </cell>
        </row>
        <row r="4">
          <cell r="D4">
            <v>-25.9827125365588</v>
          </cell>
          <cell r="E4">
            <v>5.4644921408573399</v>
          </cell>
          <cell r="F4">
            <v>454.63420162837002</v>
          </cell>
          <cell r="G4">
            <v>7.74683885977307</v>
          </cell>
          <cell r="H4">
            <v>428.65148909181198</v>
          </cell>
          <cell r="I4">
            <v>7.0907141325731597</v>
          </cell>
          <cell r="J4">
            <v>13.2198561421168</v>
          </cell>
          <cell r="K4">
            <v>0.992855065835623</v>
          </cell>
          <cell r="P4">
            <v>1648.19067210306</v>
          </cell>
          <cell r="Q4">
            <v>128.91376166048099</v>
          </cell>
          <cell r="R4">
            <v>747.74345157872801</v>
          </cell>
          <cell r="S4">
            <v>63.045859952822902</v>
          </cell>
          <cell r="T4">
            <v>1387.8772850048799</v>
          </cell>
          <cell r="U4">
            <v>113.170580575133</v>
          </cell>
          <cell r="V4">
            <v>399.15092521345099</v>
          </cell>
          <cell r="W4">
            <v>42.183953241144401</v>
          </cell>
        </row>
        <row r="5">
          <cell r="D5">
            <v>-32.606353062077901</v>
          </cell>
          <cell r="E5">
            <v>21.480287812572598</v>
          </cell>
          <cell r="F5">
            <v>409.00497707217198</v>
          </cell>
          <cell r="G5">
            <v>15.510831066212599</v>
          </cell>
          <cell r="H5">
            <v>376.39862401009401</v>
          </cell>
          <cell r="I5">
            <v>9.6284220388832207</v>
          </cell>
          <cell r="J5">
            <v>12.196056004713601</v>
          </cell>
          <cell r="K5">
            <v>0.62850937576951904</v>
          </cell>
          <cell r="P5">
            <v>1488.90239007523</v>
          </cell>
          <cell r="Q5">
            <v>112.670959092103</v>
          </cell>
          <cell r="R5">
            <v>658.18951296483203</v>
          </cell>
          <cell r="S5">
            <v>87.337989870208304</v>
          </cell>
          <cell r="T5">
            <v>1248.7487444004</v>
          </cell>
          <cell r="U5">
            <v>105.676354847984</v>
          </cell>
          <cell r="V5">
            <v>336.59342835760998</v>
          </cell>
          <cell r="W5">
            <v>82.147453927128296</v>
          </cell>
        </row>
        <row r="6">
          <cell r="D6">
            <v>-26.377651914277902</v>
          </cell>
          <cell r="E6">
            <v>9.9242416501554107</v>
          </cell>
          <cell r="F6">
            <v>383.34590372656498</v>
          </cell>
          <cell r="G6">
            <v>5.7340433799201502</v>
          </cell>
          <cell r="H6">
            <v>356.96825181228797</v>
          </cell>
          <cell r="I6">
            <v>12.674450971830201</v>
          </cell>
          <cell r="J6">
            <v>11.649581035226699</v>
          </cell>
          <cell r="K6">
            <v>0.71651237419764302</v>
          </cell>
          <cell r="P6">
            <v>1439.6593223893799</v>
          </cell>
          <cell r="Q6">
            <v>98.837549012269704</v>
          </cell>
          <cell r="R6">
            <v>646.16862546541097</v>
          </cell>
          <cell r="S6">
            <v>56.425227662334301</v>
          </cell>
          <cell r="T6">
            <v>1210.26636493553</v>
          </cell>
          <cell r="U6">
            <v>88.226856959562298</v>
          </cell>
          <cell r="V6">
            <v>338.98246243077801</v>
          </cell>
          <cell r="W6">
            <v>45.171722762993603</v>
          </cell>
        </row>
        <row r="7">
          <cell r="D7">
            <v>11.9058852844644</v>
          </cell>
          <cell r="E7">
            <v>15.137005178361701</v>
          </cell>
          <cell r="F7">
            <v>378.73334548868002</v>
          </cell>
          <cell r="G7">
            <v>16.6518753876299</v>
          </cell>
          <cell r="H7">
            <v>390.63923077314399</v>
          </cell>
          <cell r="I7">
            <v>25.202437101773199</v>
          </cell>
          <cell r="J7">
            <v>13.194234631932501</v>
          </cell>
          <cell r="K7">
            <v>0.76640293275869598</v>
          </cell>
          <cell r="P7">
            <v>1783.65250067906</v>
          </cell>
          <cell r="Q7">
            <v>112.87282152908099</v>
          </cell>
          <cell r="R7">
            <v>884.950444200623</v>
          </cell>
          <cell r="S7">
            <v>72.154429270586505</v>
          </cell>
          <cell r="T7">
            <v>1523.8436290632601</v>
          </cell>
          <cell r="U7">
            <v>102.319861453031</v>
          </cell>
          <cell r="V7">
            <v>537.033527832039</v>
          </cell>
          <cell r="W7">
            <v>62.435393487184797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_budget"/>
    </sheetNames>
    <sheetDataSet>
      <sheetData sheetId="0">
        <row r="3">
          <cell r="C3">
            <v>-77.183483899906307</v>
          </cell>
          <cell r="D3">
            <v>4.06676921326887</v>
          </cell>
          <cell r="E3">
            <v>387.42847339689098</v>
          </cell>
          <cell r="F3">
            <v>24.657576253441501</v>
          </cell>
          <cell r="G3">
            <v>310.244989496985</v>
          </cell>
          <cell r="H3">
            <v>28.486111364996201</v>
          </cell>
          <cell r="I3">
            <v>15.2980648055433</v>
          </cell>
          <cell r="J3">
            <v>1.19519845778324</v>
          </cell>
          <cell r="K3">
            <v>88.672199125644198</v>
          </cell>
          <cell r="L3">
            <v>15.2699394249777</v>
          </cell>
          <cell r="M3">
            <v>71.227287307031602</v>
          </cell>
          <cell r="N3">
            <v>17.2362666588567</v>
          </cell>
          <cell r="O3">
            <v>159.89948643267601</v>
          </cell>
          <cell r="P3">
            <v>12.423777300726799</v>
          </cell>
          <cell r="Q3">
            <v>2.7500394435573798</v>
          </cell>
          <cell r="R3">
            <v>0.67563987850846297</v>
          </cell>
        </row>
        <row r="4">
          <cell r="C4">
            <v>-65.980935163972603</v>
          </cell>
          <cell r="D4">
            <v>6.7182933124378899</v>
          </cell>
          <cell r="E4">
            <v>383.28328583184202</v>
          </cell>
          <cell r="F4">
            <v>6.4989283814338901</v>
          </cell>
          <cell r="G4">
            <v>317.30235066786901</v>
          </cell>
          <cell r="H4">
            <v>5.4346598016696799</v>
          </cell>
          <cell r="I4">
            <v>11.166232269149999</v>
          </cell>
          <cell r="J4">
            <v>0.845017032014587</v>
          </cell>
          <cell r="K4">
            <v>39.998222627413803</v>
          </cell>
          <cell r="L4">
            <v>3.3144006372534598</v>
          </cell>
          <cell r="M4">
            <v>71.350915796528497</v>
          </cell>
          <cell r="N4">
            <v>4.2103097949800903</v>
          </cell>
          <cell r="O4">
            <v>111.34913842394199</v>
          </cell>
          <cell r="P4">
            <v>3.1923392905835302</v>
          </cell>
          <cell r="Q4">
            <v>2.0536238729667899</v>
          </cell>
          <cell r="R4">
            <v>0.418108493098102</v>
          </cell>
        </row>
        <row r="5">
          <cell r="C5">
            <v>-59.2510862575487</v>
          </cell>
          <cell r="D5">
            <v>5.3030710289415799</v>
          </cell>
          <cell r="E5">
            <v>346.07172178046301</v>
          </cell>
          <cell r="F5">
            <v>6.2506810882833896</v>
          </cell>
          <cell r="G5">
            <v>286.82063552291402</v>
          </cell>
          <cell r="H5">
            <v>8.2422844508923792</v>
          </cell>
          <cell r="I5">
            <v>10.716094697459001</v>
          </cell>
          <cell r="J5">
            <v>0.45720235166877399</v>
          </cell>
          <cell r="K5">
            <v>26.644733195470799</v>
          </cell>
          <cell r="L5">
            <v>18.8405925850717</v>
          </cell>
          <cell r="M5">
            <v>62.933255291708498</v>
          </cell>
          <cell r="N5">
            <v>18.003012154678</v>
          </cell>
          <cell r="O5">
            <v>89.577988487179297</v>
          </cell>
          <cell r="P5">
            <v>1.94937327481374</v>
          </cell>
          <cell r="Q5">
            <v>1.4799613072545299</v>
          </cell>
          <cell r="R5">
            <v>0.363570161320312</v>
          </cell>
        </row>
        <row r="6">
          <cell r="C6">
            <v>-75.046711235796096</v>
          </cell>
          <cell r="D6">
            <v>3.0013299314925499</v>
          </cell>
          <cell r="E6">
            <v>333.06289796738002</v>
          </cell>
          <cell r="F6">
            <v>12.750362154120101</v>
          </cell>
          <cell r="G6">
            <v>258.01618673158401</v>
          </cell>
          <cell r="H6">
            <v>13.1119721048925</v>
          </cell>
          <cell r="I6">
            <v>10.012200503541001</v>
          </cell>
          <cell r="J6">
            <v>0.63604733025136195</v>
          </cell>
          <cell r="K6">
            <v>48.669059321518098</v>
          </cell>
          <cell r="L6">
            <v>9.1459659191093206</v>
          </cell>
          <cell r="M6">
            <v>50.283005759185897</v>
          </cell>
          <cell r="N6">
            <v>8.8372277574920499</v>
          </cell>
          <cell r="O6">
            <v>98.952065080704003</v>
          </cell>
          <cell r="P6">
            <v>3.5817560559886799</v>
          </cell>
          <cell r="Q6">
            <v>1.6373805316857399</v>
          </cell>
          <cell r="R6">
            <v>0.33128238285730999</v>
          </cell>
        </row>
        <row r="7">
          <cell r="C7">
            <v>-34.172368811362098</v>
          </cell>
          <cell r="D7">
            <v>4.3556308869414799</v>
          </cell>
          <cell r="E7">
            <v>320.86260011470699</v>
          </cell>
          <cell r="F7">
            <v>20.8266591928314</v>
          </cell>
          <cell r="G7">
            <v>286.690231303345</v>
          </cell>
          <cell r="H7">
            <v>23.859626173274599</v>
          </cell>
          <cell r="I7">
            <v>11.1287064927165</v>
          </cell>
          <cell r="J7">
            <v>0.708836233709635</v>
          </cell>
          <cell r="K7">
            <v>46.078254095826502</v>
          </cell>
          <cell r="L7">
            <v>13.2435169187235</v>
          </cell>
          <cell r="M7">
            <v>57.8707453739733</v>
          </cell>
          <cell r="N7">
            <v>11.408651111705</v>
          </cell>
          <cell r="O7">
            <v>103.9489994698</v>
          </cell>
          <cell r="P7">
            <v>8.4998107762274593</v>
          </cell>
          <cell r="Q7">
            <v>2.0655281392160099</v>
          </cell>
          <cell r="R7">
            <v>0.31732278702593603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_monthly_means"/>
    </sheetNames>
    <sheetDataSet>
      <sheetData sheetId="0">
        <row r="1">
          <cell r="B1" t="str">
            <v>month_local</v>
          </cell>
          <cell r="D1" t="str">
            <v>NEEgC_f_RF</v>
          </cell>
          <cell r="F1" t="str">
            <v>GPPgC_f_RF</v>
          </cell>
          <cell r="G1" t="str">
            <v>RecogC</v>
          </cell>
          <cell r="I1" t="str">
            <v>CH4gC_f_RF</v>
          </cell>
        </row>
        <row r="2">
          <cell r="B2">
            <v>1</v>
          </cell>
          <cell r="D2">
            <v>7.1187763090693004</v>
          </cell>
          <cell r="F2">
            <v>5.6684695373537997</v>
          </cell>
          <cell r="G2">
            <v>12.787245846423099</v>
          </cell>
          <cell r="I2">
            <v>0.34375393383353098</v>
          </cell>
        </row>
        <row r="3">
          <cell r="B3">
            <v>2</v>
          </cell>
          <cell r="D3">
            <v>4.9165343208343701</v>
          </cell>
          <cell r="F3">
            <v>5.2316787557786197</v>
          </cell>
          <cell r="G3">
            <v>10.148213076613001</v>
          </cell>
          <cell r="I3">
            <v>0.23614905113404799</v>
          </cell>
        </row>
        <row r="4">
          <cell r="B4">
            <v>3</v>
          </cell>
          <cell r="D4">
            <v>5.8059446038036899</v>
          </cell>
          <cell r="F4">
            <v>10.979517811447399</v>
          </cell>
          <cell r="G4">
            <v>16.7854624152511</v>
          </cell>
          <cell r="I4">
            <v>0.24732125476966299</v>
          </cell>
        </row>
        <row r="5">
          <cell r="B5">
            <v>4</v>
          </cell>
          <cell r="D5">
            <v>0.22070572874147501</v>
          </cell>
          <cell r="F5">
            <v>18.7862699793811</v>
          </cell>
          <cell r="G5">
            <v>19.0069757081225</v>
          </cell>
          <cell r="I5">
            <v>0.37594148932470201</v>
          </cell>
        </row>
        <row r="6">
          <cell r="B6">
            <v>5</v>
          </cell>
          <cell r="D6">
            <v>-17.296911569422399</v>
          </cell>
          <cell r="F6">
            <v>57.579468351278102</v>
          </cell>
          <cell r="G6">
            <v>40.282556781855703</v>
          </cell>
          <cell r="I6">
            <v>0.89087554553729598</v>
          </cell>
        </row>
        <row r="7">
          <cell r="B7">
            <v>6</v>
          </cell>
          <cell r="D7">
            <v>-30.730719516809401</v>
          </cell>
          <cell r="F7">
            <v>83.641538850164594</v>
          </cell>
          <cell r="G7">
            <v>52.910819333355199</v>
          </cell>
          <cell r="I7">
            <v>1.9393144694889</v>
          </cell>
        </row>
        <row r="8">
          <cell r="B8">
            <v>7</v>
          </cell>
          <cell r="D8">
            <v>-20.654849002909099</v>
          </cell>
          <cell r="F8">
            <v>88.503957663438896</v>
          </cell>
          <cell r="G8">
            <v>67.849108660529893</v>
          </cell>
          <cell r="I8">
            <v>3.47792142806107</v>
          </cell>
        </row>
        <row r="9">
          <cell r="B9">
            <v>8</v>
          </cell>
          <cell r="D9">
            <v>-2.0067150643525502</v>
          </cell>
          <cell r="F9">
            <v>67.825317242197102</v>
          </cell>
          <cell r="G9">
            <v>65.818602177844596</v>
          </cell>
          <cell r="I9">
            <v>3.31434633398875</v>
          </cell>
        </row>
        <row r="10">
          <cell r="B10">
            <v>9</v>
          </cell>
          <cell r="D10">
            <v>8.1258264108122198</v>
          </cell>
          <cell r="F10">
            <v>37.810796842341702</v>
          </cell>
          <cell r="G10">
            <v>45.936623253154004</v>
          </cell>
          <cell r="I10">
            <v>1.6658604872812399</v>
          </cell>
        </row>
        <row r="11">
          <cell r="B11">
            <v>10</v>
          </cell>
          <cell r="D11">
            <v>10.7568072725298</v>
          </cell>
          <cell r="F11">
            <v>22.967789716349401</v>
          </cell>
          <cell r="G11">
            <v>33.724596988879298</v>
          </cell>
          <cell r="I11">
            <v>0.70064675841173196</v>
          </cell>
        </row>
        <row r="12">
          <cell r="B12">
            <v>11</v>
          </cell>
          <cell r="D12">
            <v>10.773124530799301</v>
          </cell>
          <cell r="F12">
            <v>13.4942572174551</v>
          </cell>
          <cell r="G12">
            <v>24.267381748254401</v>
          </cell>
          <cell r="I12">
            <v>0.35208797551297899</v>
          </cell>
        </row>
        <row r="13">
          <cell r="B13">
            <v>12</v>
          </cell>
          <cell r="D13">
            <v>10.6522590099465</v>
          </cell>
          <cell r="F13">
            <v>4.3924889147732902</v>
          </cell>
          <cell r="G13">
            <v>15.0447479247198</v>
          </cell>
          <cell r="I13">
            <v>0.117339940724228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_monthly_sd"/>
    </sheetNames>
    <sheetDataSet>
      <sheetData sheetId="0">
        <row r="2">
          <cell r="D2">
            <v>6.5836307987387297</v>
          </cell>
          <cell r="F2">
            <v>5.4333499548186301</v>
          </cell>
          <cell r="G2">
            <v>2.3956649829832002</v>
          </cell>
          <cell r="I2">
            <v>3.6307273314452299E-2</v>
          </cell>
        </row>
        <row r="3">
          <cell r="D3">
            <v>1.36974963777639</v>
          </cell>
          <cell r="F3">
            <v>2.9825795302859901</v>
          </cell>
          <cell r="G3">
            <v>2.6362821289155001</v>
          </cell>
          <cell r="I3">
            <v>5.4164026771536998E-2</v>
          </cell>
        </row>
        <row r="4">
          <cell r="D4">
            <v>2.62302570070295</v>
          </cell>
          <cell r="F4">
            <v>4.63917521659359</v>
          </cell>
          <cell r="G4">
            <v>3.3202466936155601</v>
          </cell>
          <cell r="I4">
            <v>9.2336383205787201E-2</v>
          </cell>
        </row>
        <row r="5">
          <cell r="D5">
            <v>3.9169839572071998</v>
          </cell>
          <cell r="F5">
            <v>2.6082013051294699</v>
          </cell>
          <cell r="G5">
            <v>4.5636257143658199</v>
          </cell>
          <cell r="I5">
            <v>7.8371272817263402E-2</v>
          </cell>
        </row>
        <row r="6">
          <cell r="D6">
            <v>4.4514726123153601</v>
          </cell>
          <cell r="F6">
            <v>7.5082031007712402</v>
          </cell>
          <cell r="G6">
            <v>4.38867405712445</v>
          </cell>
          <cell r="I6">
            <v>0.190309705300578</v>
          </cell>
        </row>
        <row r="7">
          <cell r="D7">
            <v>5.2019197435390199</v>
          </cell>
          <cell r="F7">
            <v>8.7894246015437094</v>
          </cell>
          <cell r="G7">
            <v>6.4009922847001803</v>
          </cell>
          <cell r="I7">
            <v>0.22546327268121899</v>
          </cell>
        </row>
        <row r="8">
          <cell r="D8">
            <v>5.0288959041835897</v>
          </cell>
          <cell r="F8">
            <v>8.2859757680397799</v>
          </cell>
          <cell r="G8">
            <v>8.8253792354621794</v>
          </cell>
          <cell r="I8">
            <v>0.51652161399041796</v>
          </cell>
        </row>
        <row r="9">
          <cell r="D9">
            <v>8.9332547658881598</v>
          </cell>
          <cell r="F9">
            <v>9.4937434884820195</v>
          </cell>
          <cell r="G9">
            <v>9.6134800728467695</v>
          </cell>
          <cell r="I9">
            <v>0.76418148434662703</v>
          </cell>
        </row>
        <row r="10">
          <cell r="D10">
            <v>2.4782451788142001</v>
          </cell>
          <cell r="F10">
            <v>4.4401204512078198</v>
          </cell>
          <cell r="G10">
            <v>5.5104014524398002</v>
          </cell>
          <cell r="I10">
            <v>0.59528231323309999</v>
          </cell>
        </row>
        <row r="11">
          <cell r="D11">
            <v>11.9969845364846</v>
          </cell>
          <cell r="F11">
            <v>7.8681576489248304</v>
          </cell>
          <cell r="G11">
            <v>9.2955138152059895</v>
          </cell>
          <cell r="I11">
            <v>0.16110972722247199</v>
          </cell>
        </row>
        <row r="12">
          <cell r="D12">
            <v>6.9950222946214504</v>
          </cell>
          <cell r="F12">
            <v>7.6885735729867699</v>
          </cell>
          <cell r="G12">
            <v>12.4639237350617</v>
          </cell>
          <cell r="I12">
            <v>0.192165330279711</v>
          </cell>
        </row>
        <row r="13">
          <cell r="D13">
            <v>6.6343176671311603</v>
          </cell>
          <cell r="F13">
            <v>6.8123768548819301</v>
          </cell>
          <cell r="G13">
            <v>5.5830007774445001</v>
          </cell>
          <cell r="I13">
            <v>6.7976144787850606E-2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annual_summary"/>
    </sheetNames>
    <sheetDataSet>
      <sheetData sheetId="0">
        <row r="1">
          <cell r="B1" t="str">
            <v>period</v>
          </cell>
          <cell r="C1" t="str">
            <v>min_TS.5</v>
          </cell>
          <cell r="D1" t="str">
            <v>max_TS.5</v>
          </cell>
          <cell r="E1" t="str">
            <v>min_Ta</v>
          </cell>
          <cell r="F1" t="str">
            <v>max_Ta</v>
          </cell>
          <cell r="G1" t="str">
            <v>min_wtd</v>
          </cell>
          <cell r="H1" t="str">
            <v>max_wtd</v>
          </cell>
          <cell r="I1" t="str">
            <v>day_wtd</v>
          </cell>
          <cell r="J1" t="str">
            <v>day_wtd2</v>
          </cell>
          <cell r="K1" t="str">
            <v>wtmd</v>
          </cell>
          <cell r="L1" t="str">
            <v>wtms</v>
          </cell>
          <cell r="M1" t="str">
            <v>day_precip</v>
          </cell>
          <cell r="N1" t="str">
            <v>TS.5</v>
          </cell>
          <cell r="O1" t="str">
            <v>TS.10</v>
          </cell>
          <cell r="P1" t="str">
            <v>TS.50</v>
          </cell>
          <cell r="Q1" t="str">
            <v>RH</v>
          </cell>
          <cell r="R1" t="str">
            <v>PARin</v>
          </cell>
          <cell r="S1" t="str">
            <v>SWin</v>
          </cell>
          <cell r="T1" t="str">
            <v>VPD</v>
          </cell>
          <cell r="U1" t="str">
            <v>Precip</v>
          </cell>
          <cell r="V1" t="str">
            <v>PA</v>
          </cell>
          <cell r="W1" t="str">
            <v>Ta</v>
          </cell>
          <cell r="X1" t="str">
            <v>SWC</v>
          </cell>
          <cell r="Y1" t="str">
            <v>ET</v>
          </cell>
          <cell r="Z1" t="str">
            <v>wtd</v>
          </cell>
          <cell r="AA1" t="str">
            <v>br</v>
          </cell>
          <cell r="AB1" t="str">
            <v>albedo</v>
          </cell>
          <cell r="AC1" t="str">
            <v>LST</v>
          </cell>
          <cell r="AD1" t="str">
            <v>G</v>
          </cell>
          <cell r="AE1" t="str">
            <v>G_corr</v>
          </cell>
        </row>
        <row r="2">
          <cell r="C2">
            <v>0.62057860416666699</v>
          </cell>
          <cell r="D2">
            <v>19.538633541666702</v>
          </cell>
          <cell r="E2">
            <v>-6.0647462291666701</v>
          </cell>
          <cell r="F2">
            <v>22.3171102083333</v>
          </cell>
          <cell r="G2">
            <v>-0.187403696101093</v>
          </cell>
          <cell r="H2">
            <v>0.16870634047308999</v>
          </cell>
          <cell r="I2">
            <v>267</v>
          </cell>
          <cell r="J2">
            <v>54</v>
          </cell>
          <cell r="K2">
            <v>98</v>
          </cell>
          <cell r="L2">
            <v>267</v>
          </cell>
          <cell r="M2">
            <v>204</v>
          </cell>
          <cell r="N2">
            <v>11.4196209422326</v>
          </cell>
          <cell r="O2">
            <v>11.2654786321675</v>
          </cell>
          <cell r="P2">
            <v>11.074650062780499</v>
          </cell>
          <cell r="Q2">
            <v>82.562219699972104</v>
          </cell>
          <cell r="R2">
            <v>9776.4138410938795</v>
          </cell>
          <cell r="S2">
            <v>137.390890128053</v>
          </cell>
          <cell r="T2">
            <v>0.29508890611570798</v>
          </cell>
          <cell r="U2">
            <v>1296.5999999999999</v>
          </cell>
          <cell r="V2">
            <v>101.463062147819</v>
          </cell>
          <cell r="W2">
            <v>10.302686128132001</v>
          </cell>
          <cell r="X2">
            <v>79.344639100407505</v>
          </cell>
          <cell r="Y2">
            <v>656.25557428077195</v>
          </cell>
          <cell r="Z2">
            <v>4.7754421135951901E-2</v>
          </cell>
          <cell r="AA2">
            <v>-1.52728118513768</v>
          </cell>
          <cell r="AB2">
            <v>0.18598536420716399</v>
          </cell>
          <cell r="AC2">
            <v>11.2002484267841</v>
          </cell>
          <cell r="AD2">
            <v>1.3646601260286599</v>
          </cell>
          <cell r="AE2">
            <v>15.5466036124306</v>
          </cell>
        </row>
        <row r="3">
          <cell r="C3">
            <v>2.58097264583333</v>
          </cell>
          <cell r="D3">
            <v>19.337575208333298</v>
          </cell>
          <cell r="E3">
            <v>-2.55568808333333</v>
          </cell>
          <cell r="F3">
            <v>23.2928102083333</v>
          </cell>
          <cell r="G3">
            <v>-0.22698214991718299</v>
          </cell>
          <cell r="H3">
            <v>0.151494564638889</v>
          </cell>
          <cell r="I3">
            <v>219</v>
          </cell>
          <cell r="J3">
            <v>89</v>
          </cell>
          <cell r="K3">
            <v>146</v>
          </cell>
          <cell r="L3">
            <v>219</v>
          </cell>
          <cell r="M3">
            <v>194</v>
          </cell>
          <cell r="N3">
            <v>11.3682402061073</v>
          </cell>
          <cell r="O3">
            <v>11.163807609075301</v>
          </cell>
          <cell r="P3">
            <v>11.059038220975999</v>
          </cell>
          <cell r="Q3">
            <v>83.750283414383603</v>
          </cell>
          <cell r="R3">
            <v>9820.6546777738204</v>
          </cell>
          <cell r="S3">
            <v>141.323462151256</v>
          </cell>
          <cell r="T3">
            <v>0.29244440147473899</v>
          </cell>
          <cell r="U3">
            <v>1198.9000000000001</v>
          </cell>
          <cell r="V3">
            <v>101.74766386472599</v>
          </cell>
          <cell r="W3">
            <v>10.4892465784817</v>
          </cell>
          <cell r="X3">
            <v>80.526500381502302</v>
          </cell>
          <cell r="Y3">
            <v>756.16305644499801</v>
          </cell>
          <cell r="Z3">
            <v>6.1566516823800101E-3</v>
          </cell>
          <cell r="AA3">
            <v>-0.54347737381053096</v>
          </cell>
          <cell r="AB3">
            <v>0.16042767577680001</v>
          </cell>
          <cell r="AC3">
            <v>11.6383267702385</v>
          </cell>
          <cell r="AD3">
            <v>0.86301856435142499</v>
          </cell>
          <cell r="AE3">
            <v>14.7070837162257</v>
          </cell>
        </row>
        <row r="4">
          <cell r="C4">
            <v>2.3737881875000002</v>
          </cell>
          <cell r="D4">
            <v>18.616695</v>
          </cell>
          <cell r="E4">
            <v>-4.5783303333333301</v>
          </cell>
          <cell r="F4">
            <v>22.573797916666699</v>
          </cell>
          <cell r="G4">
            <v>-0.19151451441189299</v>
          </cell>
          <cell r="H4">
            <v>0.13705595801432299</v>
          </cell>
          <cell r="I4">
            <v>218</v>
          </cell>
          <cell r="J4">
            <v>78</v>
          </cell>
          <cell r="K4">
            <v>147</v>
          </cell>
          <cell r="L4">
            <v>218</v>
          </cell>
          <cell r="M4">
            <v>183</v>
          </cell>
          <cell r="N4">
            <v>11.3636866888413</v>
          </cell>
          <cell r="O4">
            <v>11.229499392323101</v>
          </cell>
          <cell r="P4">
            <v>11.1892918671518</v>
          </cell>
          <cell r="Q4">
            <v>83.846897743436102</v>
          </cell>
          <cell r="R4">
            <v>11296.581495373601</v>
          </cell>
          <cell r="S4">
            <v>145.482384742466</v>
          </cell>
          <cell r="T4">
            <v>0.27219107367216799</v>
          </cell>
          <cell r="U4">
            <v>1060.8</v>
          </cell>
          <cell r="V4">
            <v>101.68534620976</v>
          </cell>
          <cell r="W4">
            <v>10.439128590468</v>
          </cell>
          <cell r="X4">
            <v>83.538085477351601</v>
          </cell>
          <cell r="Y4">
            <v>575.07640563854102</v>
          </cell>
          <cell r="Z4">
            <v>-5.95613980751407E-4</v>
          </cell>
          <cell r="AA4">
            <v>3.0749128030424999</v>
          </cell>
          <cell r="AB4">
            <v>0.17431242151391099</v>
          </cell>
          <cell r="AC4">
            <v>11.4771190060317</v>
          </cell>
          <cell r="AD4">
            <v>0.25344088296887202</v>
          </cell>
          <cell r="AE4">
            <v>13.3614353694757</v>
          </cell>
        </row>
        <row r="5">
          <cell r="C5">
            <v>2.9322165208333302</v>
          </cell>
          <cell r="D5">
            <v>19.004124583333301</v>
          </cell>
          <cell r="E5">
            <v>-7.4519362291666704</v>
          </cell>
          <cell r="F5">
            <v>22.667674791666698</v>
          </cell>
          <cell r="G5">
            <v>-0.13916087499999999</v>
          </cell>
          <cell r="H5">
            <v>0.14045966769075499</v>
          </cell>
          <cell r="I5">
            <v>266</v>
          </cell>
          <cell r="J5">
            <v>29</v>
          </cell>
          <cell r="K5">
            <v>100</v>
          </cell>
          <cell r="L5">
            <v>266</v>
          </cell>
          <cell r="M5">
            <v>206</v>
          </cell>
          <cell r="N5">
            <v>11.3389290636384</v>
          </cell>
          <cell r="O5">
            <v>11.1999066321437</v>
          </cell>
          <cell r="P5">
            <v>11.245028234745</v>
          </cell>
          <cell r="Q5">
            <v>85.397003216074694</v>
          </cell>
          <cell r="R5">
            <v>10754.2155950778</v>
          </cell>
          <cell r="S5">
            <v>140.39384281005201</v>
          </cell>
          <cell r="T5">
            <v>0.25066090027267002</v>
          </cell>
          <cell r="U5">
            <v>1168.9000000000001</v>
          </cell>
          <cell r="V5">
            <v>101.769232385018</v>
          </cell>
          <cell r="W5">
            <v>10.3299685131204</v>
          </cell>
          <cell r="X5">
            <v>83.666735043761406</v>
          </cell>
          <cell r="Y5">
            <v>553.96507930083305</v>
          </cell>
          <cell r="Z5">
            <v>2.2910562259477799E-2</v>
          </cell>
          <cell r="AA5">
            <v>-2.1717692649013198</v>
          </cell>
          <cell r="AB5">
            <v>0.15904961368617501</v>
          </cell>
          <cell r="AC5">
            <v>11.4350719287354</v>
          </cell>
          <cell r="AD5">
            <v>0.32974630094384</v>
          </cell>
          <cell r="AE5">
            <v>13.3283489083202</v>
          </cell>
        </row>
        <row r="6">
          <cell r="C6">
            <v>3.038751875</v>
          </cell>
          <cell r="D6">
            <v>20.4230264583333</v>
          </cell>
          <cell r="E6">
            <v>-2.0604100624999999</v>
          </cell>
          <cell r="F6">
            <v>29.438781041666701</v>
          </cell>
          <cell r="G6">
            <v>-0.22713602499999999</v>
          </cell>
          <cell r="H6">
            <v>0.134905277083333</v>
          </cell>
          <cell r="I6">
            <v>236</v>
          </cell>
          <cell r="J6">
            <v>84</v>
          </cell>
          <cell r="K6">
            <v>129</v>
          </cell>
          <cell r="L6">
            <v>236</v>
          </cell>
          <cell r="M6">
            <v>193</v>
          </cell>
          <cell r="N6">
            <v>11.4129945124429</v>
          </cell>
          <cell r="O6">
            <v>11.3213818792808</v>
          </cell>
          <cell r="P6">
            <v>11.3566446511986</v>
          </cell>
          <cell r="Q6">
            <v>85.419397448630093</v>
          </cell>
          <cell r="R6">
            <v>10361.4971536046</v>
          </cell>
          <cell r="S6">
            <v>145.05940397094699</v>
          </cell>
          <cell r="T6">
            <v>0.267351772010884</v>
          </cell>
          <cell r="U6">
            <v>1113</v>
          </cell>
          <cell r="V6">
            <v>101.775270153539</v>
          </cell>
          <cell r="W6">
            <v>10.8486388130137</v>
          </cell>
          <cell r="X6">
            <v>86.217338583904095</v>
          </cell>
          <cell r="Y6">
            <v>659.77148051625204</v>
          </cell>
          <cell r="Z6">
            <v>-1.00957008831142E-3</v>
          </cell>
          <cell r="AA6">
            <v>-1.71847354114864</v>
          </cell>
          <cell r="AB6">
            <v>0.167665723415724</v>
          </cell>
          <cell r="AC6">
            <v>11.582317056757001</v>
          </cell>
          <cell r="AD6">
            <v>0.35822698887388799</v>
          </cell>
          <cell r="AE6">
            <v>12.7038384269154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season_summary"/>
    </sheetNames>
    <sheetDataSet>
      <sheetData sheetId="0">
        <row r="1">
          <cell r="B1" t="str">
            <v>period</v>
          </cell>
        </row>
        <row r="2">
          <cell r="D2">
            <v>0.62057860416666699</v>
          </cell>
          <cell r="E2">
            <v>13.865451041666701</v>
          </cell>
          <cell r="F2">
            <v>-6.0647462291666701</v>
          </cell>
          <cell r="G2">
            <v>15.7352904166667</v>
          </cell>
          <cell r="H2">
            <v>-0.187403696101093</v>
          </cell>
          <cell r="I2">
            <v>0.16870634047308999</v>
          </cell>
          <cell r="J2">
            <v>153</v>
          </cell>
          <cell r="K2">
            <v>14</v>
          </cell>
          <cell r="L2">
            <v>29</v>
          </cell>
          <cell r="M2">
            <v>153</v>
          </cell>
          <cell r="N2">
            <v>147</v>
          </cell>
          <cell r="O2">
            <v>6.46102490887304</v>
          </cell>
          <cell r="P2">
            <v>6.5404109960593502</v>
          </cell>
          <cell r="Q2">
            <v>8.2791950683281694</v>
          </cell>
          <cell r="R2">
            <v>86.279171209193095</v>
          </cell>
          <cell r="S2">
            <v>1797.2495571642401</v>
          </cell>
          <cell r="T2">
            <v>53.096546856626503</v>
          </cell>
          <cell r="U2">
            <v>0.13278623384826699</v>
          </cell>
          <cell r="V2">
            <v>981</v>
          </cell>
          <cell r="W2">
            <v>101.35943610689</v>
          </cell>
          <cell r="X2">
            <v>5.34059617260443</v>
          </cell>
          <cell r="Y2">
            <v>85.378829067236694</v>
          </cell>
          <cell r="Z2">
            <v>62.501106382973298</v>
          </cell>
          <cell r="AA2">
            <v>7.3150538944788498E-2</v>
          </cell>
          <cell r="AB2">
            <v>-3.3221856159502501</v>
          </cell>
          <cell r="AC2">
            <v>0.21217008783829999</v>
          </cell>
          <cell r="AD2">
            <v>5.2068076342503202</v>
          </cell>
          <cell r="AE2">
            <v>-2.5646474736257501</v>
          </cell>
          <cell r="AF2">
            <v>6.7964936272451002</v>
          </cell>
        </row>
        <row r="3">
          <cell r="D3">
            <v>9.4623010624999999</v>
          </cell>
          <cell r="E3">
            <v>19.538633541666702</v>
          </cell>
          <cell r="F3">
            <v>7.0296019166666701</v>
          </cell>
          <cell r="G3">
            <v>22.3171102083333</v>
          </cell>
          <cell r="H3">
            <v>-0.16741037222222199</v>
          </cell>
          <cell r="I3">
            <v>0.15517339777560701</v>
          </cell>
          <cell r="J3">
            <v>114</v>
          </cell>
          <cell r="K3">
            <v>40</v>
          </cell>
          <cell r="L3">
            <v>69</v>
          </cell>
          <cell r="M3">
            <v>114</v>
          </cell>
          <cell r="N3">
            <v>57</v>
          </cell>
          <cell r="O3">
            <v>16.3511208224044</v>
          </cell>
          <cell r="P3">
            <v>15.964726226548301</v>
          </cell>
          <cell r="Q3">
            <v>13.854829346880701</v>
          </cell>
          <cell r="R3">
            <v>78.865579401183993</v>
          </cell>
          <cell r="S3">
            <v>7979.1642839296401</v>
          </cell>
          <cell r="T3">
            <v>221.22460857286001</v>
          </cell>
          <cell r="U3">
            <v>0.45650467853469401</v>
          </cell>
          <cell r="V3">
            <v>315.60000000000002</v>
          </cell>
          <cell r="W3">
            <v>101.56612192623</v>
          </cell>
          <cell r="X3">
            <v>15.237660838000901</v>
          </cell>
          <cell r="Y3">
            <v>73.343422849244106</v>
          </cell>
          <cell r="Z3">
            <v>593.75446789779903</v>
          </cell>
          <cell r="AA3">
            <v>2.24970799271637E-2</v>
          </cell>
          <cell r="AB3">
            <v>-0.56416173445777296</v>
          </cell>
          <cell r="AC3">
            <v>0.16037298426195401</v>
          </cell>
          <cell r="AD3">
            <v>17.128187134153499</v>
          </cell>
          <cell r="AE3">
            <v>5.2510244732278402</v>
          </cell>
          <cell r="AF3">
            <v>24.2010839802916</v>
          </cell>
        </row>
        <row r="4">
          <cell r="D4">
            <v>2.58097264583333</v>
          </cell>
          <cell r="E4">
            <v>13.983985000000001</v>
          </cell>
          <cell r="F4">
            <v>-2.55568808333333</v>
          </cell>
          <cell r="G4">
            <v>13.1099737083333</v>
          </cell>
          <cell r="H4">
            <v>-0.16628018852953999</v>
          </cell>
          <cell r="I4">
            <v>0.151494564638889</v>
          </cell>
          <cell r="J4">
            <v>140</v>
          </cell>
          <cell r="K4">
            <v>17</v>
          </cell>
          <cell r="L4">
            <v>42</v>
          </cell>
          <cell r="M4">
            <v>140</v>
          </cell>
          <cell r="N4">
            <v>128</v>
          </cell>
          <cell r="O4">
            <v>6.9084672914377299</v>
          </cell>
          <cell r="P4">
            <v>6.8802411824633696</v>
          </cell>
          <cell r="Q4">
            <v>8.4292723377403806</v>
          </cell>
          <cell r="R4">
            <v>87.827457885760097</v>
          </cell>
          <cell r="S4">
            <v>2041.44416933098</v>
          </cell>
          <cell r="T4">
            <v>62.414759014537502</v>
          </cell>
          <cell r="U4">
            <v>0.12870824901413999</v>
          </cell>
          <cell r="V4">
            <v>909.6</v>
          </cell>
          <cell r="W4">
            <v>101.784905649038</v>
          </cell>
          <cell r="X4">
            <v>5.6242768431776602</v>
          </cell>
          <cell r="Y4">
            <v>84.0784174178022</v>
          </cell>
          <cell r="Z4">
            <v>90.454722980857895</v>
          </cell>
          <cell r="AA4">
            <v>6.0325182777581997E-2</v>
          </cell>
          <cell r="AB4">
            <v>-1.80821120430222</v>
          </cell>
          <cell r="AC4">
            <v>0.161010149745658</v>
          </cell>
          <cell r="AD4">
            <v>5.8933744985070602</v>
          </cell>
          <cell r="AE4">
            <v>-1.9904934662918801</v>
          </cell>
          <cell r="AF4">
            <v>7.7905600763525698</v>
          </cell>
        </row>
        <row r="5">
          <cell r="D5">
            <v>9.0760594791666698</v>
          </cell>
          <cell r="E5">
            <v>19.337575208333298</v>
          </cell>
          <cell r="F5">
            <v>5.8726029583333297</v>
          </cell>
          <cell r="G5">
            <v>23.2928102083333</v>
          </cell>
          <cell r="H5">
            <v>-0.22698214991718299</v>
          </cell>
          <cell r="I5">
            <v>0.135221276825955</v>
          </cell>
          <cell r="J5">
            <v>79</v>
          </cell>
          <cell r="K5">
            <v>72</v>
          </cell>
          <cell r="L5">
            <v>104</v>
          </cell>
          <cell r="M5">
            <v>79</v>
          </cell>
          <cell r="N5">
            <v>66</v>
          </cell>
          <cell r="O5">
            <v>15.803642776980899</v>
          </cell>
          <cell r="P5">
            <v>15.423966568875199</v>
          </cell>
          <cell r="Q5">
            <v>13.6744337988388</v>
          </cell>
          <cell r="R5">
            <v>79.695388584927102</v>
          </cell>
          <cell r="S5">
            <v>7779.2105084428404</v>
          </cell>
          <cell r="T5">
            <v>219.80097018886599</v>
          </cell>
          <cell r="U5">
            <v>0.45528582086178199</v>
          </cell>
          <cell r="V5">
            <v>289.3</v>
          </cell>
          <cell r="W5">
            <v>101.71062558743201</v>
          </cell>
          <cell r="X5">
            <v>15.3276317797131</v>
          </cell>
          <cell r="Y5">
            <v>76.993992727914403</v>
          </cell>
          <cell r="Z5">
            <v>665.70833346413997</v>
          </cell>
          <cell r="AA5">
            <v>-4.7715876510662399E-2</v>
          </cell>
          <cell r="AB5">
            <v>0.26199556851378702</v>
          </cell>
          <cell r="AC5">
            <v>0.159873848068705</v>
          </cell>
          <cell r="AD5">
            <v>17.1321335874681</v>
          </cell>
          <cell r="AE5">
            <v>3.5917868996660598</v>
          </cell>
          <cell r="AF5">
            <v>21.321245666924</v>
          </cell>
        </row>
        <row r="6">
          <cell r="D6">
            <v>2.3737881875000002</v>
          </cell>
          <cell r="E6">
            <v>14.048213333333299</v>
          </cell>
          <cell r="F6">
            <v>-4.5783303333333301</v>
          </cell>
          <cell r="G6">
            <v>14.324548541666701</v>
          </cell>
          <cell r="H6">
            <v>-0.121758748979688</v>
          </cell>
          <cell r="I6">
            <v>0.13705595801432299</v>
          </cell>
          <cell r="J6">
            <v>149</v>
          </cell>
          <cell r="K6">
            <v>23</v>
          </cell>
          <cell r="L6">
            <v>33</v>
          </cell>
          <cell r="M6">
            <v>149</v>
          </cell>
          <cell r="N6">
            <v>115</v>
          </cell>
          <cell r="O6">
            <v>6.8651399918154796</v>
          </cell>
          <cell r="P6">
            <v>6.8764273996680396</v>
          </cell>
          <cell r="Q6">
            <v>8.4139516279189603</v>
          </cell>
          <cell r="R6">
            <v>86.559757226419407</v>
          </cell>
          <cell r="S6">
            <v>2532.14371096592</v>
          </cell>
          <cell r="T6">
            <v>74.720955338598898</v>
          </cell>
          <cell r="U6">
            <v>0.14501625615559599</v>
          </cell>
          <cell r="V6">
            <v>710.2</v>
          </cell>
          <cell r="W6">
            <v>101.73993732314599</v>
          </cell>
          <cell r="X6">
            <v>5.5095200032051297</v>
          </cell>
          <cell r="Y6">
            <v>86.757276640384603</v>
          </cell>
          <cell r="Z6">
            <v>100.18099327971299</v>
          </cell>
          <cell r="AA6">
            <v>4.3540267416052297E-2</v>
          </cell>
          <cell r="AB6">
            <v>-0.35567945743360202</v>
          </cell>
          <cell r="AC6">
            <v>0.19729692419320899</v>
          </cell>
          <cell r="AD6">
            <v>5.7193998923883296</v>
          </cell>
          <cell r="AE6">
            <v>-3.0984175121516002</v>
          </cell>
          <cell r="AF6">
            <v>6.7855155772949898</v>
          </cell>
        </row>
        <row r="7">
          <cell r="D7">
            <v>10.543074583333301</v>
          </cell>
          <cell r="E7">
            <v>18.616695</v>
          </cell>
          <cell r="F7">
            <v>8.1155258124999996</v>
          </cell>
          <cell r="G7">
            <v>22.573797916666699</v>
          </cell>
          <cell r="H7">
            <v>-0.19151451441189299</v>
          </cell>
          <cell r="I7">
            <v>9.7711915326388593E-2</v>
          </cell>
          <cell r="J7">
            <v>69</v>
          </cell>
          <cell r="K7">
            <v>55</v>
          </cell>
          <cell r="L7">
            <v>114</v>
          </cell>
          <cell r="M7">
            <v>69</v>
          </cell>
          <cell r="N7">
            <v>68</v>
          </cell>
          <cell r="O7">
            <v>15.8376511634791</v>
          </cell>
          <cell r="P7">
            <v>15.5587841063297</v>
          </cell>
          <cell r="Q7">
            <v>13.949466312727701</v>
          </cell>
          <cell r="R7">
            <v>81.148862629212204</v>
          </cell>
          <cell r="S7">
            <v>8764.4377844076607</v>
          </cell>
          <cell r="T7">
            <v>215.857139668716</v>
          </cell>
          <cell r="U7">
            <v>0.39867094683072601</v>
          </cell>
          <cell r="V7">
            <v>350.6</v>
          </cell>
          <cell r="W7">
            <v>101.63105340847</v>
          </cell>
          <cell r="X7">
            <v>15.341799425888</v>
          </cell>
          <cell r="Y7">
            <v>80.336485522859704</v>
          </cell>
          <cell r="Z7">
            <v>474.89541235882803</v>
          </cell>
          <cell r="AA7">
            <v>-4.4490315697791202E-2</v>
          </cell>
          <cell r="AB7">
            <v>4.9682997883325903</v>
          </cell>
          <cell r="AC7">
            <v>0.15157911558520701</v>
          </cell>
          <cell r="AD7">
            <v>17.203375173699001</v>
          </cell>
          <cell r="AE7">
            <v>3.58698311199579</v>
          </cell>
          <cell r="AF7">
            <v>19.901421173721001</v>
          </cell>
        </row>
        <row r="8">
          <cell r="D8">
            <v>2.9322165208333302</v>
          </cell>
          <cell r="E8">
            <v>12.6540883333333</v>
          </cell>
          <cell r="F8">
            <v>-7.4519362291666704</v>
          </cell>
          <cell r="G8">
            <v>12.165517083333301</v>
          </cell>
          <cell r="H8">
            <v>-6.8269716508680897E-2</v>
          </cell>
          <cell r="I8">
            <v>0.14045966769075499</v>
          </cell>
          <cell r="J8">
            <v>163</v>
          </cell>
          <cell r="K8">
            <v>0</v>
          </cell>
          <cell r="L8">
            <v>20</v>
          </cell>
          <cell r="M8">
            <v>163</v>
          </cell>
          <cell r="N8">
            <v>134</v>
          </cell>
          <cell r="O8">
            <v>6.9452176203324196</v>
          </cell>
          <cell r="P8">
            <v>6.9660034681807801</v>
          </cell>
          <cell r="Q8">
            <v>8.62198693579235</v>
          </cell>
          <cell r="R8">
            <v>89.090485488387998</v>
          </cell>
          <cell r="S8">
            <v>2312.0132194798598</v>
          </cell>
          <cell r="T8">
            <v>65.314014201958102</v>
          </cell>
          <cell r="U8">
            <v>0.11266400009461799</v>
          </cell>
          <cell r="V8">
            <v>857.5</v>
          </cell>
          <cell r="W8">
            <v>101.815786265938</v>
          </cell>
          <cell r="X8">
            <v>5.6036543962317804</v>
          </cell>
          <cell r="Y8">
            <v>86.756213960965397</v>
          </cell>
          <cell r="Z8">
            <v>101.158712947951</v>
          </cell>
          <cell r="AA8">
            <v>6.10473762823159E-2</v>
          </cell>
          <cell r="AB8">
            <v>-5.1315937045415003</v>
          </cell>
          <cell r="AC8">
            <v>0.16602281966386001</v>
          </cell>
          <cell r="AD8">
            <v>5.8249649155320604</v>
          </cell>
          <cell r="AE8">
            <v>-2.89143584891369</v>
          </cell>
          <cell r="AF8">
            <v>5.7447236380469899</v>
          </cell>
        </row>
        <row r="9">
          <cell r="D9">
            <v>8.7780473958333296</v>
          </cell>
          <cell r="E9">
            <v>19.004124583333301</v>
          </cell>
          <cell r="F9">
            <v>5.4445531875000004</v>
          </cell>
          <cell r="G9">
            <v>22.667674791666698</v>
          </cell>
          <cell r="H9">
            <v>-0.13916087499999999</v>
          </cell>
          <cell r="I9">
            <v>8.2926344726562198E-2</v>
          </cell>
          <cell r="J9">
            <v>103</v>
          </cell>
          <cell r="K9">
            <v>29</v>
          </cell>
          <cell r="L9">
            <v>80</v>
          </cell>
          <cell r="M9">
            <v>103</v>
          </cell>
          <cell r="N9">
            <v>72</v>
          </cell>
          <cell r="O9">
            <v>15.732640506944399</v>
          </cell>
          <cell r="P9">
            <v>15.433809796106599</v>
          </cell>
          <cell r="Q9">
            <v>13.8680695336976</v>
          </cell>
          <cell r="R9">
            <v>81.703520943761404</v>
          </cell>
          <cell r="S9">
            <v>8442.2023755979008</v>
          </cell>
          <cell r="T9">
            <v>215.47367141814701</v>
          </cell>
          <cell r="U9">
            <v>0.38865780045072201</v>
          </cell>
          <cell r="V9">
            <v>311.39999999999998</v>
          </cell>
          <cell r="W9">
            <v>101.722678504098</v>
          </cell>
          <cell r="X9">
            <v>15.0562826300091</v>
          </cell>
          <cell r="Y9">
            <v>80.577256126557401</v>
          </cell>
          <cell r="Z9">
            <v>452.80636635288198</v>
          </cell>
          <cell r="AA9">
            <v>-1.5226251763360199E-2</v>
          </cell>
          <cell r="AB9">
            <v>-0.47109665869923201</v>
          </cell>
          <cell r="AC9">
            <v>0.152228827511281</v>
          </cell>
          <cell r="AD9">
            <v>16.9532099745092</v>
          </cell>
          <cell r="AE9">
            <v>3.4981221860496001</v>
          </cell>
          <cell r="AF9">
            <v>20.787652452851201</v>
          </cell>
        </row>
        <row r="10">
          <cell r="D10">
            <v>3.038751875</v>
          </cell>
          <cell r="E10">
            <v>14.9819041666667</v>
          </cell>
          <cell r="F10">
            <v>-2.0604100624999999</v>
          </cell>
          <cell r="G10">
            <v>14.711883562500001</v>
          </cell>
          <cell r="H10">
            <v>-6.01185802083333E-2</v>
          </cell>
          <cell r="I10">
            <v>0.134905277083333</v>
          </cell>
          <cell r="J10">
            <v>169</v>
          </cell>
          <cell r="K10">
            <v>0</v>
          </cell>
          <cell r="L10">
            <v>13</v>
          </cell>
          <cell r="M10">
            <v>169</v>
          </cell>
          <cell r="N10">
            <v>132</v>
          </cell>
          <cell r="O10">
            <v>7.3715225455586104</v>
          </cell>
          <cell r="P10">
            <v>7.4526879259386396</v>
          </cell>
          <cell r="Q10">
            <v>9.0056720715430405</v>
          </cell>
          <cell r="R10">
            <v>89.566917987637396</v>
          </cell>
          <cell r="S10">
            <v>1954.0663242446999</v>
          </cell>
          <cell r="T10">
            <v>62.145783561240798</v>
          </cell>
          <cell r="U10">
            <v>0.10935777346133201</v>
          </cell>
          <cell r="V10">
            <v>841.7</v>
          </cell>
          <cell r="W10">
            <v>101.809326045101</v>
          </cell>
          <cell r="X10">
            <v>6.2260339975961498</v>
          </cell>
          <cell r="Y10">
            <v>86.8410290384615</v>
          </cell>
          <cell r="Z10">
            <v>97.411665141057398</v>
          </cell>
          <cell r="AA10">
            <v>7.3563762006962005E-2</v>
          </cell>
          <cell r="AB10">
            <v>1.72475041355731</v>
          </cell>
          <cell r="AC10">
            <v>0.17777706984439101</v>
          </cell>
          <cell r="AD10">
            <v>5.7852477210030804</v>
          </cell>
          <cell r="AE10">
            <v>-2.7929021187065199</v>
          </cell>
          <cell r="AF10">
            <v>4.1552175441961596</v>
          </cell>
        </row>
        <row r="11">
          <cell r="D11">
            <v>8.6056316458333306</v>
          </cell>
          <cell r="E11">
            <v>20.4230264583333</v>
          </cell>
          <cell r="F11">
            <v>5.4435048958333301</v>
          </cell>
          <cell r="G11">
            <v>29.438781041666701</v>
          </cell>
          <cell r="H11">
            <v>-0.22713602499999999</v>
          </cell>
          <cell r="I11">
            <v>8.0839833124999996E-2</v>
          </cell>
          <cell r="J11">
            <v>67</v>
          </cell>
          <cell r="K11">
            <v>84</v>
          </cell>
          <cell r="L11">
            <v>116</v>
          </cell>
          <cell r="M11">
            <v>67</v>
          </cell>
          <cell r="N11">
            <v>61</v>
          </cell>
          <cell r="O11">
            <v>15.4323819330601</v>
          </cell>
          <cell r="P11">
            <v>15.1689354285064</v>
          </cell>
          <cell r="Q11">
            <v>13.6947703861566</v>
          </cell>
          <cell r="R11">
            <v>81.294540956284195</v>
          </cell>
          <cell r="S11">
            <v>8407.4308293599406</v>
          </cell>
          <cell r="T11">
            <v>227.519944487705</v>
          </cell>
          <cell r="U11">
            <v>0.42448241537710502</v>
          </cell>
          <cell r="V11">
            <v>271.3</v>
          </cell>
          <cell r="W11">
            <v>101.741400359745</v>
          </cell>
          <cell r="X11">
            <v>15.445983492827899</v>
          </cell>
          <cell r="Y11">
            <v>85.5970562739071</v>
          </cell>
          <cell r="Z11">
            <v>562.35981537519501</v>
          </cell>
          <cell r="AA11">
            <v>-7.5175397636616098E-2</v>
          </cell>
          <cell r="AB11">
            <v>-4.1456641977446296</v>
          </cell>
          <cell r="AC11">
            <v>0.15760963024622901</v>
          </cell>
          <cell r="AD11">
            <v>17.347708417998501</v>
          </cell>
          <cell r="AE11">
            <v>3.4921368117134199</v>
          </cell>
          <cell r="AF11">
            <v>21.205745534319199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monthly_means"/>
    </sheetNames>
    <sheetDataSet>
      <sheetData sheetId="0">
        <row r="1">
          <cell r="B1" t="str">
            <v>month_local</v>
          </cell>
          <cell r="C1" t="str">
            <v>min_TS.5</v>
          </cell>
          <cell r="D1" t="str">
            <v>max_TS.5</v>
          </cell>
          <cell r="E1" t="str">
            <v>min_wtd</v>
          </cell>
          <cell r="F1" t="str">
            <v>max_wtd</v>
          </cell>
          <cell r="G1" t="str">
            <v>TS.5</v>
          </cell>
          <cell r="H1" t="str">
            <v>TS.10</v>
          </cell>
          <cell r="I1" t="str">
            <v>TS.50</v>
          </cell>
          <cell r="J1" t="str">
            <v>RH</v>
          </cell>
          <cell r="K1" t="str">
            <v>PARin</v>
          </cell>
          <cell r="L1" t="str">
            <v>SWin</v>
          </cell>
          <cell r="M1" t="str">
            <v>VPD.y</v>
          </cell>
          <cell r="N1" t="str">
            <v>Precip</v>
          </cell>
          <cell r="O1" t="str">
            <v>PA_2M</v>
          </cell>
          <cell r="P1" t="str">
            <v>Ta</v>
          </cell>
          <cell r="Q1" t="str">
            <v>SWC</v>
          </cell>
          <cell r="R1" t="str">
            <v>ET</v>
          </cell>
        </row>
        <row r="2">
          <cell r="B2">
            <v>1</v>
          </cell>
          <cell r="C2">
            <v>2.2484311686827998</v>
          </cell>
          <cell r="D2">
            <v>5.7816707587365599</v>
          </cell>
          <cell r="E2">
            <v>9.2335338582763396E-2</v>
          </cell>
          <cell r="F2">
            <v>0.120517697354993</v>
          </cell>
          <cell r="G2">
            <v>4.8309480830869198</v>
          </cell>
          <cell r="I2">
            <v>6.6857200535310302</v>
          </cell>
          <cell r="J2">
            <v>89.7302115010081</v>
          </cell>
          <cell r="K2">
            <v>6.1828222241020798</v>
          </cell>
          <cell r="L2">
            <v>34.4409645732527</v>
          </cell>
          <cell r="M2">
            <v>8.7892198791784407E-2</v>
          </cell>
          <cell r="N2">
            <v>180.08</v>
          </cell>
          <cell r="O2">
            <v>101.554164528226</v>
          </cell>
          <cell r="P2">
            <v>4.2648156905241903</v>
          </cell>
          <cell r="Q2">
            <v>87.626500850251901</v>
          </cell>
          <cell r="R2">
            <v>8.5494368989024601</v>
          </cell>
          <cell r="S2">
            <v>0.105458907360653</v>
          </cell>
        </row>
        <row r="3">
          <cell r="B3">
            <v>2</v>
          </cell>
          <cell r="C3">
            <v>3.47149493973214</v>
          </cell>
          <cell r="D3">
            <v>5.92782710883621</v>
          </cell>
          <cell r="E3">
            <v>8.8468489435577599E-2</v>
          </cell>
          <cell r="F3">
            <v>0.113353349019593</v>
          </cell>
          <cell r="G3">
            <v>4.94819519379105</v>
          </cell>
          <cell r="I3">
            <v>6.4745706502822298</v>
          </cell>
          <cell r="J3">
            <v>84.411630252437405</v>
          </cell>
          <cell r="K3">
            <v>12.6372701502462</v>
          </cell>
          <cell r="L3">
            <v>70.702172126672806</v>
          </cell>
          <cell r="M3">
            <v>0.121726491588508</v>
          </cell>
          <cell r="N3">
            <v>92.36</v>
          </cell>
          <cell r="O3">
            <v>101.69201208672</v>
          </cell>
          <cell r="P3">
            <v>2.92609624730347</v>
          </cell>
          <cell r="Q3">
            <v>88.797928015666699</v>
          </cell>
          <cell r="R3">
            <v>15.774445190851299</v>
          </cell>
          <cell r="S3">
            <v>9.9474233930726394E-2</v>
          </cell>
        </row>
        <row r="4">
          <cell r="B4">
            <v>3</v>
          </cell>
          <cell r="C4">
            <v>7.3843094616935501</v>
          </cell>
          <cell r="D4">
            <v>7.7885016532258096</v>
          </cell>
          <cell r="E4">
            <v>6.5824562705350906E-2</v>
          </cell>
          <cell r="F4">
            <v>0.123844946673387</v>
          </cell>
          <cell r="G4">
            <v>7.5623780232526903</v>
          </cell>
          <cell r="I4">
            <v>7.1799187762096803</v>
          </cell>
          <cell r="J4">
            <v>82.822751502016104</v>
          </cell>
          <cell r="K4">
            <v>23.569042660640001</v>
          </cell>
          <cell r="L4">
            <v>121.10902976478501</v>
          </cell>
          <cell r="M4">
            <v>0.193470567593545</v>
          </cell>
          <cell r="N4">
            <v>99.46</v>
          </cell>
          <cell r="O4">
            <v>101.72400027688199</v>
          </cell>
          <cell r="P4">
            <v>6.3066685833333302</v>
          </cell>
          <cell r="Q4">
            <v>88.574500290161296</v>
          </cell>
          <cell r="R4">
            <v>38.435028112945403</v>
          </cell>
          <cell r="S4">
            <v>8.9935303400052999E-2</v>
          </cell>
        </row>
        <row r="5">
          <cell r="B5">
            <v>4</v>
          </cell>
          <cell r="C5">
            <v>11.350607756944401</v>
          </cell>
          <cell r="D5">
            <v>11.763021086111101</v>
          </cell>
          <cell r="E5">
            <v>5.6509345830092303E-2</v>
          </cell>
          <cell r="F5">
            <v>0.132277672743779</v>
          </cell>
          <cell r="G5">
            <v>11.5382631708333</v>
          </cell>
          <cell r="I5">
            <v>9.5526055200000002</v>
          </cell>
          <cell r="J5">
            <v>78.697812579166694</v>
          </cell>
          <cell r="K5">
            <v>36.5646891240578</v>
          </cell>
          <cell r="L5">
            <v>180.01971175791701</v>
          </cell>
          <cell r="M5">
            <v>0.312434988545782</v>
          </cell>
          <cell r="N5">
            <v>83.06</v>
          </cell>
          <cell r="O5">
            <v>101.735600105556</v>
          </cell>
          <cell r="P5">
            <v>9.9998728387500009</v>
          </cell>
          <cell r="Q5">
            <v>87.311193993900005</v>
          </cell>
          <cell r="R5">
            <v>62.678363459468798</v>
          </cell>
          <cell r="S5">
            <v>8.7841947234099896E-2</v>
          </cell>
        </row>
        <row r="6">
          <cell r="B6">
            <v>5</v>
          </cell>
          <cell r="C6">
            <v>14.7354559408602</v>
          </cell>
          <cell r="D6">
            <v>16.397395147849501</v>
          </cell>
          <cell r="E6">
            <v>3.0300256389112899E-2</v>
          </cell>
          <cell r="F6">
            <v>0.12309149219029999</v>
          </cell>
          <cell r="G6">
            <v>15.5961793239247</v>
          </cell>
          <cell r="I6">
            <v>12.449694897849501</v>
          </cell>
          <cell r="J6">
            <v>78.497332987903206</v>
          </cell>
          <cell r="K6">
            <v>49.944356410533203</v>
          </cell>
          <cell r="L6">
            <v>239.08997661451599</v>
          </cell>
          <cell r="M6">
            <v>0.42222635571480699</v>
          </cell>
          <cell r="N6">
            <v>49.14</v>
          </cell>
          <cell r="O6">
            <v>101.649400435484</v>
          </cell>
          <cell r="P6">
            <v>14.1946358407258</v>
          </cell>
          <cell r="Q6">
            <v>84.089799494838701</v>
          </cell>
          <cell r="R6">
            <v>106.348015209002</v>
          </cell>
          <cell r="S6">
            <v>5.8918094141826097E-2</v>
          </cell>
        </row>
        <row r="7">
          <cell r="B7">
            <v>6</v>
          </cell>
          <cell r="C7">
            <v>16.385978388888901</v>
          </cell>
          <cell r="D7">
            <v>17.605487409722201</v>
          </cell>
          <cell r="E7">
            <v>-2.2802985900116E-2</v>
          </cell>
          <cell r="F7">
            <v>8.74135656510414E-2</v>
          </cell>
          <cell r="G7">
            <v>16.939911684722201</v>
          </cell>
          <cell r="I7">
            <v>14.234635986111099</v>
          </cell>
          <cell r="J7">
            <v>78.1754807916667</v>
          </cell>
          <cell r="K7">
            <v>53.949967639773199</v>
          </cell>
          <cell r="L7">
            <v>255.768576280556</v>
          </cell>
          <cell r="M7">
            <v>0.49620811703433498</v>
          </cell>
          <cell r="N7">
            <v>33.76</v>
          </cell>
          <cell r="O7">
            <v>101.65312623611101</v>
          </cell>
          <cell r="P7">
            <v>16.343295110555601</v>
          </cell>
          <cell r="Q7">
            <v>80.596687403851007</v>
          </cell>
          <cell r="R7">
            <v>113.156294327726</v>
          </cell>
          <cell r="S7">
            <v>1.4737856584187499E-2</v>
          </cell>
        </row>
        <row r="8">
          <cell r="B8">
            <v>7</v>
          </cell>
          <cell r="C8">
            <v>17.4476485349462</v>
          </cell>
          <cell r="D8">
            <v>18.410771552419401</v>
          </cell>
          <cell r="E8">
            <v>-0.135856981303763</v>
          </cell>
          <cell r="F8">
            <v>2.26039306248597E-2</v>
          </cell>
          <cell r="G8">
            <v>17.800362138440899</v>
          </cell>
          <cell r="I8">
            <v>15.2682278293011</v>
          </cell>
          <cell r="J8">
            <v>78.967699383064499</v>
          </cell>
          <cell r="K8">
            <v>57.931115584759901</v>
          </cell>
          <cell r="L8">
            <v>278.443793957661</v>
          </cell>
          <cell r="M8">
            <v>0.54410270522146698</v>
          </cell>
          <cell r="N8">
            <v>15.18</v>
          </cell>
          <cell r="O8">
            <v>101.776100860215</v>
          </cell>
          <cell r="P8">
            <v>18.210983738844099</v>
          </cell>
          <cell r="Q8">
            <v>77.572773768929096</v>
          </cell>
          <cell r="R8">
            <v>130.26196763679499</v>
          </cell>
          <cell r="S8">
            <v>-5.9223448917148501E-2</v>
          </cell>
        </row>
        <row r="9">
          <cell r="B9">
            <v>8</v>
          </cell>
          <cell r="C9">
            <v>17.235729025537601</v>
          </cell>
          <cell r="D9">
            <v>18.152657567204301</v>
          </cell>
          <cell r="E9">
            <v>-0.20874799012096801</v>
          </cell>
          <cell r="F9">
            <v>-8.2109085210503696E-2</v>
          </cell>
          <cell r="G9">
            <v>17.545960731182799</v>
          </cell>
          <cell r="I9">
            <v>15.924006899865599</v>
          </cell>
          <cell r="J9">
            <v>82.655568003360202</v>
          </cell>
          <cell r="K9">
            <v>44.300245322420402</v>
          </cell>
          <cell r="L9">
            <v>219.58447686021501</v>
          </cell>
          <cell r="M9">
            <v>0.46073276931095503</v>
          </cell>
          <cell r="N9">
            <v>22.42</v>
          </cell>
          <cell r="O9">
            <v>101.623927594086</v>
          </cell>
          <cell r="P9">
            <v>17.825330832661301</v>
          </cell>
          <cell r="Q9">
            <v>73.045580022849506</v>
          </cell>
          <cell r="R9">
            <v>95.288214576974994</v>
          </cell>
          <cell r="S9">
            <v>-0.14440685523374999</v>
          </cell>
        </row>
        <row r="10">
          <cell r="B10">
            <v>9</v>
          </cell>
          <cell r="C10">
            <v>14.5987471041667</v>
          </cell>
          <cell r="D10">
            <v>16.076992749999999</v>
          </cell>
          <cell r="E10">
            <v>-0.18535415416401799</v>
          </cell>
          <cell r="F10">
            <v>-0.109064538993056</v>
          </cell>
          <cell r="G10">
            <v>15.453312931944399</v>
          </cell>
          <cell r="I10">
            <v>15.3468125208333</v>
          </cell>
          <cell r="J10">
            <v>86.305715111111098</v>
          </cell>
          <cell r="K10">
            <v>28.053407219451501</v>
          </cell>
          <cell r="L10">
            <v>144.37198417166701</v>
          </cell>
          <cell r="M10">
            <v>0.30752036420488199</v>
          </cell>
          <cell r="N10">
            <v>104.08</v>
          </cell>
          <cell r="O10">
            <v>101.607223811111</v>
          </cell>
          <cell r="P10">
            <v>14.9709335877778</v>
          </cell>
          <cell r="Q10">
            <v>73.715180676666705</v>
          </cell>
          <cell r="R10">
            <v>42.172023879801202</v>
          </cell>
          <cell r="S10">
            <v>-0.14837898272672401</v>
          </cell>
        </row>
        <row r="11">
          <cell r="B11">
            <v>10</v>
          </cell>
          <cell r="C11">
            <v>10.260360493279601</v>
          </cell>
          <cell r="D11">
            <v>12.147126571908601</v>
          </cell>
          <cell r="E11">
            <v>-0.102553173073771</v>
          </cell>
          <cell r="F11">
            <v>-9.9267261002553807E-3</v>
          </cell>
          <cell r="G11">
            <v>11.094398776399901</v>
          </cell>
          <cell r="H11">
            <v>11.23113750626</v>
          </cell>
          <cell r="I11">
            <v>12.971968223375701</v>
          </cell>
          <cell r="J11">
            <v>87.853774103966501</v>
          </cell>
          <cell r="K11">
            <v>15.934526114217901</v>
          </cell>
          <cell r="L11">
            <v>85.159182099796993</v>
          </cell>
          <cell r="M11">
            <v>0.17425819711434201</v>
          </cell>
          <cell r="N11">
            <v>119.78</v>
          </cell>
          <cell r="O11">
            <v>101.74752026206799</v>
          </cell>
          <cell r="P11">
            <v>9.6268403657086505</v>
          </cell>
          <cell r="Q11">
            <v>78.2121762826294</v>
          </cell>
          <cell r="R11">
            <v>19.013047505696601</v>
          </cell>
          <cell r="S11">
            <v>-6.5615823963490805E-2</v>
          </cell>
        </row>
        <row r="12">
          <cell r="B12">
            <v>11</v>
          </cell>
          <cell r="C12">
            <v>7.1754162704861102</v>
          </cell>
          <cell r="D12">
            <v>9.3843976881944506</v>
          </cell>
          <cell r="E12">
            <v>3.1886596918691897E-2</v>
          </cell>
          <cell r="F12">
            <v>8.7286234287899098E-2</v>
          </cell>
          <cell r="G12">
            <v>7.8969261757073603</v>
          </cell>
          <cell r="H12">
            <v>8.0081922626001507</v>
          </cell>
          <cell r="I12">
            <v>10.059856046285899</v>
          </cell>
          <cell r="J12">
            <v>89.838546612499997</v>
          </cell>
          <cell r="K12">
            <v>7.6100785104076003</v>
          </cell>
          <cell r="L12">
            <v>41.539000552222198</v>
          </cell>
          <cell r="M12">
            <v>0.11292450896921601</v>
          </cell>
          <cell r="N12">
            <v>181.84</v>
          </cell>
          <cell r="O12">
            <v>101.563043386111</v>
          </cell>
          <cell r="P12">
            <v>7.0774529597916702</v>
          </cell>
          <cell r="Q12">
            <v>84.483538142081002</v>
          </cell>
          <cell r="R12">
            <v>5.1615985880116799</v>
          </cell>
          <cell r="S12">
            <v>5.2221707132738701E-2</v>
          </cell>
        </row>
        <row r="13">
          <cell r="B13">
            <v>12</v>
          </cell>
          <cell r="C13">
            <v>3.26229447110215</v>
          </cell>
          <cell r="D13">
            <v>5.9222822002688202</v>
          </cell>
          <cell r="E13">
            <v>7.8265361163177699E-2</v>
          </cell>
          <cell r="F13">
            <v>0.11690364458083299</v>
          </cell>
          <cell r="G13">
            <v>4.9773132216720901</v>
          </cell>
          <cell r="H13">
            <v>5.1567731150940501</v>
          </cell>
          <cell r="I13">
            <v>7.7865137192164502</v>
          </cell>
          <cell r="J13">
            <v>92.253639437836</v>
          </cell>
          <cell r="K13">
            <v>4.5977027618839497</v>
          </cell>
          <cell r="L13">
            <v>28.2385598997312</v>
          </cell>
          <cell r="M13">
            <v>6.3285076886905198E-2</v>
          </cell>
          <cell r="N13">
            <v>186.48</v>
          </cell>
          <cell r="O13">
            <v>101.92198994690899</v>
          </cell>
          <cell r="P13">
            <v>3.5516934294354798</v>
          </cell>
          <cell r="Q13">
            <v>88.2919670098495</v>
          </cell>
          <cell r="R13">
            <v>3.407883850103</v>
          </cell>
          <cell r="S13">
            <v>9.5516893242807502E-2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_monthly_sd"/>
    </sheetNames>
    <sheetDataSet>
      <sheetData sheetId="0">
        <row r="2">
          <cell r="C2">
            <v>1.4608057785661701</v>
          </cell>
          <cell r="D2">
            <v>1.3989042118367001</v>
          </cell>
          <cell r="E2">
            <v>0.94389560798625005</v>
          </cell>
          <cell r="F2">
            <v>4.4826078101495996</v>
          </cell>
          <cell r="G2">
            <v>1.39304755379811</v>
          </cell>
          <cell r="H2">
            <v>8.0360450099804606</v>
          </cell>
          <cell r="I2">
            <v>2.1998240409360201E-2</v>
          </cell>
          <cell r="J2">
            <v>83.339198460268406</v>
          </cell>
          <cell r="K2">
            <v>0.15877387145615299</v>
          </cell>
          <cell r="L2">
            <v>1.60078746704499</v>
          </cell>
          <cell r="M2">
            <v>2.9809418210056799</v>
          </cell>
          <cell r="N2">
            <v>1.1345282967972501</v>
          </cell>
          <cell r="O2">
            <v>1.07925000439816E-2</v>
          </cell>
        </row>
        <row r="3">
          <cell r="C3">
            <v>0.972141207974622</v>
          </cell>
          <cell r="D3">
            <v>0.91943100157451996</v>
          </cell>
          <cell r="E3">
            <v>0.63140907514616196</v>
          </cell>
          <cell r="F3">
            <v>4.3283214628495896</v>
          </cell>
          <cell r="G3">
            <v>1.11440213386842</v>
          </cell>
          <cell r="H3">
            <v>3.4504944940168798</v>
          </cell>
          <cell r="I3">
            <v>1.9627606042850999E-2</v>
          </cell>
          <cell r="J3">
            <v>15.8057900783226</v>
          </cell>
          <cell r="K3">
            <v>0.53087049858294999</v>
          </cell>
          <cell r="L3">
            <v>1.5528266685020899</v>
          </cell>
          <cell r="M3">
            <v>0.25641085328014301</v>
          </cell>
          <cell r="N3">
            <v>3.2684181882533099</v>
          </cell>
          <cell r="O3">
            <v>9.3555401469858496E-3</v>
          </cell>
        </row>
        <row r="4">
          <cell r="C4">
            <v>0.18453363690528299</v>
          </cell>
          <cell r="D4">
            <v>0.22358409369662499</v>
          </cell>
          <cell r="E4">
            <v>0.41587405960437601</v>
          </cell>
          <cell r="F4">
            <v>3.0974554799560301</v>
          </cell>
          <cell r="G4">
            <v>6.0731240663323396</v>
          </cell>
          <cell r="H4">
            <v>28.2159045189983</v>
          </cell>
          <cell r="I4">
            <v>4.6500132527657001E-2</v>
          </cell>
          <cell r="J4">
            <v>79.944624584771205</v>
          </cell>
          <cell r="K4">
            <v>0.228254443808453</v>
          </cell>
          <cell r="L4">
            <v>0.43611072998540101</v>
          </cell>
          <cell r="M4">
            <v>0.54155707032743905</v>
          </cell>
          <cell r="N4">
            <v>12.988751051350199</v>
          </cell>
          <cell r="O4">
            <v>2.3055988732896202E-2</v>
          </cell>
        </row>
        <row r="5">
          <cell r="C5">
            <v>0.17984654411527901</v>
          </cell>
          <cell r="D5">
            <v>0.17571951711680101</v>
          </cell>
          <cell r="E5">
            <v>0.18873352144802699</v>
          </cell>
          <cell r="F5">
            <v>2.24345344377836</v>
          </cell>
          <cell r="G5">
            <v>6.0443853245896602</v>
          </cell>
          <cell r="H5">
            <v>23.245876548910601</v>
          </cell>
          <cell r="I5">
            <v>5.1020622979717399E-2</v>
          </cell>
          <cell r="J5">
            <v>50.906070364937797</v>
          </cell>
          <cell r="K5">
            <v>0.23468648561686201</v>
          </cell>
          <cell r="L5">
            <v>0.226054646015244</v>
          </cell>
          <cell r="M5">
            <v>2.1349712446092299</v>
          </cell>
          <cell r="N5">
            <v>15.864037816609001</v>
          </cell>
          <cell r="O5">
            <v>3.38185828810093E-2</v>
          </cell>
        </row>
        <row r="6">
          <cell r="C6">
            <v>0.63085183837577297</v>
          </cell>
          <cell r="D6">
            <v>0.56492497115294804</v>
          </cell>
          <cell r="E6">
            <v>0.17985454643756499</v>
          </cell>
          <cell r="F6">
            <v>1.5458080280574999</v>
          </cell>
          <cell r="G6">
            <v>3.2335147734227201</v>
          </cell>
          <cell r="H6">
            <v>18.573832834287401</v>
          </cell>
          <cell r="I6">
            <v>5.1514071190024401E-2</v>
          </cell>
          <cell r="J6">
            <v>36.946623661709602</v>
          </cell>
          <cell r="K6">
            <v>0.23148930982422899</v>
          </cell>
          <cell r="L6">
            <v>0.91516072990095099</v>
          </cell>
          <cell r="M6">
            <v>4.4331290561498404</v>
          </cell>
          <cell r="N6">
            <v>25.651104418064701</v>
          </cell>
          <cell r="O6">
            <v>3.7656037132503699E-2</v>
          </cell>
        </row>
        <row r="7">
          <cell r="C7">
            <v>0.44063641304373402</v>
          </cell>
          <cell r="D7">
            <v>0.41199165015602701</v>
          </cell>
          <cell r="E7">
            <v>0.26529621780524998</v>
          </cell>
          <cell r="F7">
            <v>3.3143778872442402</v>
          </cell>
          <cell r="G7">
            <v>6.9016780967829803</v>
          </cell>
          <cell r="H7">
            <v>26.275528737433302</v>
          </cell>
          <cell r="I7">
            <v>0.109723790031707</v>
          </cell>
          <cell r="J7">
            <v>11.9232126543143</v>
          </cell>
          <cell r="K7">
            <v>0.128710133566593</v>
          </cell>
          <cell r="L7">
            <v>1.0490960841294401</v>
          </cell>
          <cell r="M7">
            <v>5.9052852003687697</v>
          </cell>
          <cell r="N7">
            <v>24.929050476798398</v>
          </cell>
          <cell r="O7">
            <v>4.4907272451015001E-2</v>
          </cell>
        </row>
        <row r="8">
          <cell r="C8">
            <v>0.40159094151066099</v>
          </cell>
          <cell r="D8">
            <v>0.32884803402475299</v>
          </cell>
          <cell r="E8">
            <v>0.19130175738976099</v>
          </cell>
          <cell r="F8">
            <v>2.7533395100023301</v>
          </cell>
          <cell r="G8">
            <v>2.1769433535446598</v>
          </cell>
          <cell r="H8">
            <v>24.047805105681402</v>
          </cell>
          <cell r="I8">
            <v>8.9291750659303698E-2</v>
          </cell>
          <cell r="J8">
            <v>17.687622791093201</v>
          </cell>
          <cell r="K8">
            <v>7.2652401147085696E-2</v>
          </cell>
          <cell r="L8">
            <v>0.68997246122669398</v>
          </cell>
          <cell r="M8">
            <v>5.9387910168490503</v>
          </cell>
          <cell r="N8">
            <v>33.455057659114502</v>
          </cell>
          <cell r="O8">
            <v>6.2595628865081299E-2</v>
          </cell>
        </row>
        <row r="9">
          <cell r="C9">
            <v>0.37091347314689699</v>
          </cell>
          <cell r="D9">
            <v>0.30916848406181402</v>
          </cell>
          <cell r="E9">
            <v>0.13905153872389101</v>
          </cell>
          <cell r="F9">
            <v>1.45665477028576</v>
          </cell>
          <cell r="G9">
            <v>4.4011788651188901</v>
          </cell>
          <cell r="H9">
            <v>12.477743078148199</v>
          </cell>
          <cell r="I9">
            <v>4.5063759080813198E-2</v>
          </cell>
          <cell r="J9">
            <v>15.444481214984201</v>
          </cell>
          <cell r="K9">
            <v>5.9715410710660603E-2</v>
          </cell>
          <cell r="L9">
            <v>0.33107439500177999</v>
          </cell>
          <cell r="M9">
            <v>4.6331451070413996</v>
          </cell>
          <cell r="N9">
            <v>21.126241239593298</v>
          </cell>
          <cell r="O9">
            <v>5.8869692383854699E-2</v>
          </cell>
        </row>
        <row r="10">
          <cell r="C10">
            <v>0.63862260202028598</v>
          </cell>
          <cell r="D10">
            <v>0.63405894227931003</v>
          </cell>
          <cell r="E10">
            <v>0.340256118453236</v>
          </cell>
          <cell r="F10">
            <v>2.4588915174158799</v>
          </cell>
          <cell r="G10">
            <v>1.6343227082217899</v>
          </cell>
          <cell r="H10">
            <v>7.0935533386892402</v>
          </cell>
          <cell r="I10">
            <v>7.39275901240498E-2</v>
          </cell>
          <cell r="J10">
            <v>37.9685001020583</v>
          </cell>
          <cell r="K10">
            <v>0.108018359708057</v>
          </cell>
          <cell r="L10">
            <v>0.81486668234816595</v>
          </cell>
          <cell r="M10">
            <v>5.1142217126593703</v>
          </cell>
          <cell r="N10">
            <v>8.1151096309837403</v>
          </cell>
          <cell r="O10">
            <v>3.2815960704232101E-2</v>
          </cell>
        </row>
        <row r="11">
          <cell r="C11">
            <v>0.76810156369886595</v>
          </cell>
          <cell r="D11">
            <v>0.77967710398762302</v>
          </cell>
          <cell r="E11">
            <v>0.50530323012090705</v>
          </cell>
          <cell r="F11">
            <v>0.85094761320235301</v>
          </cell>
          <cell r="G11">
            <v>2.4375273207147599</v>
          </cell>
          <cell r="H11">
            <v>13.266089733304399</v>
          </cell>
          <cell r="I11">
            <v>1.9189949729553901E-2</v>
          </cell>
          <cell r="J11">
            <v>35.802611636583201</v>
          </cell>
          <cell r="K11">
            <v>0.451756230170064</v>
          </cell>
          <cell r="L11">
            <v>1.1051198880722299</v>
          </cell>
          <cell r="M11">
            <v>5.0285670349455396</v>
          </cell>
          <cell r="N11">
            <v>2.2414247378034502</v>
          </cell>
          <cell r="O11">
            <v>4.3486715005743998E-2</v>
          </cell>
        </row>
        <row r="12">
          <cell r="C12">
            <v>0.93268521426039397</v>
          </cell>
          <cell r="D12">
            <v>0.93898134588722904</v>
          </cell>
          <cell r="E12">
            <v>0.64598942675387006</v>
          </cell>
          <cell r="F12">
            <v>2.6758067629074098</v>
          </cell>
          <cell r="G12">
            <v>1.9382465589545701</v>
          </cell>
          <cell r="H12">
            <v>10.719162268457399</v>
          </cell>
          <cell r="I12">
            <v>2.6948393531655599E-2</v>
          </cell>
          <cell r="J12">
            <v>50.0698312359848</v>
          </cell>
          <cell r="K12">
            <v>0.36772007114799299</v>
          </cell>
          <cell r="L12">
            <v>1.4462519706800701</v>
          </cell>
          <cell r="M12">
            <v>3.2346080468890999</v>
          </cell>
          <cell r="N12">
            <v>2.7408529914648199</v>
          </cell>
          <cell r="O12">
            <v>2.4765501110322299E-2</v>
          </cell>
        </row>
        <row r="13">
          <cell r="C13">
            <v>1.0525686139522501</v>
          </cell>
          <cell r="D13">
            <v>0.91802548834797004</v>
          </cell>
          <cell r="E13">
            <v>0.27926745493577099</v>
          </cell>
          <cell r="F13">
            <v>3.7177213462241898</v>
          </cell>
          <cell r="G13">
            <v>0.82978577790472097</v>
          </cell>
          <cell r="H13">
            <v>5.8727399809376299</v>
          </cell>
          <cell r="I13">
            <v>2.57517704382083E-2</v>
          </cell>
          <cell r="J13">
            <v>30.3382102306646</v>
          </cell>
          <cell r="K13">
            <v>0.34602464274769101</v>
          </cell>
          <cell r="L13">
            <v>2.0349941944120999</v>
          </cell>
          <cell r="M13">
            <v>1.49291425141995</v>
          </cell>
          <cell r="N13">
            <v>1.2909286528483099</v>
          </cell>
          <cell r="O13">
            <v>1.4115366764233301E-2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V26"/>
  <sheetViews>
    <sheetView zoomScale="98" zoomScaleNormal="98" workbookViewId="0">
      <selection activeCell="B1" sqref="B1:R23"/>
    </sheetView>
  </sheetViews>
  <sheetFormatPr defaultRowHeight="14.4" x14ac:dyDescent="0.3"/>
  <cols>
    <col min="2" max="2" width="12.44140625" style="4" customWidth="1"/>
    <col min="3" max="3" width="8.77734375" style="4"/>
    <col min="4" max="4" width="5.88671875" customWidth="1"/>
    <col min="5" max="5" width="2.33203125" customWidth="1"/>
    <col min="6" max="6" width="5.77734375" style="4" customWidth="1"/>
    <col min="7" max="7" width="7" customWidth="1"/>
    <col min="8" max="8" width="2.6640625" customWidth="1"/>
    <col min="9" max="9" width="5.88671875" style="4" customWidth="1"/>
    <col min="10" max="10" width="6.6640625" customWidth="1"/>
    <col min="11" max="11" width="2.88671875" customWidth="1"/>
    <col min="12" max="12" width="6.44140625" style="4" customWidth="1"/>
    <col min="13" max="13" width="6.109375" customWidth="1"/>
    <col min="14" max="14" width="2.6640625" customWidth="1"/>
    <col min="15" max="15" width="5.44140625" style="4" customWidth="1"/>
    <col min="16" max="16" width="6.109375" customWidth="1"/>
    <col min="17" max="17" width="2.77734375" customWidth="1"/>
    <col min="18" max="18" width="7.109375" customWidth="1"/>
    <col min="19" max="19" width="12.21875" customWidth="1"/>
    <col min="20" max="20" width="11.21875" customWidth="1"/>
  </cols>
  <sheetData>
    <row r="1" spans="2:22" x14ac:dyDescent="0.3">
      <c r="D1" s="21" t="s">
        <v>14</v>
      </c>
      <c r="E1" s="21"/>
      <c r="F1" s="21"/>
      <c r="G1" s="21" t="s">
        <v>3</v>
      </c>
      <c r="H1" s="21"/>
      <c r="I1" s="21"/>
      <c r="J1" s="21" t="s">
        <v>4</v>
      </c>
      <c r="K1" s="21"/>
      <c r="L1" s="21"/>
      <c r="M1" s="21" t="s">
        <v>8</v>
      </c>
      <c r="N1" s="21"/>
      <c r="O1" s="21"/>
      <c r="P1" s="21" t="s">
        <v>15</v>
      </c>
      <c r="Q1" s="21"/>
      <c r="R1" s="21"/>
      <c r="S1" s="20" t="s">
        <v>9</v>
      </c>
      <c r="T1" s="20" t="s">
        <v>20</v>
      </c>
    </row>
    <row r="2" spans="2:22" hidden="1" x14ac:dyDescent="0.3">
      <c r="D2" s="21" t="s">
        <v>13</v>
      </c>
      <c r="E2" s="21"/>
      <c r="F2" s="21"/>
      <c r="G2" s="21" t="s">
        <v>13</v>
      </c>
      <c r="H2" s="21"/>
      <c r="I2" s="21"/>
      <c r="J2" s="21" t="s">
        <v>13</v>
      </c>
      <c r="K2" s="21"/>
      <c r="L2" s="21"/>
      <c r="M2" s="21" t="s">
        <v>13</v>
      </c>
      <c r="N2" s="21"/>
      <c r="O2" s="21"/>
      <c r="P2" s="21" t="s">
        <v>13</v>
      </c>
      <c r="Q2" s="21"/>
      <c r="R2" s="21"/>
      <c r="S2" s="20"/>
      <c r="T2" s="20"/>
    </row>
    <row r="3" spans="2:22" x14ac:dyDescent="0.3">
      <c r="B3" s="9" t="s">
        <v>36</v>
      </c>
      <c r="C3" s="4" t="s">
        <v>5</v>
      </c>
      <c r="D3" s="1">
        <f>[1]annual_budget!D$3</f>
        <v>11.4887152257379</v>
      </c>
      <c r="E3" s="3" t="s">
        <v>6</v>
      </c>
      <c r="F3" s="2">
        <f>[1]annual_budget!E$3</f>
        <v>16.095764926476601</v>
      </c>
      <c r="G3" s="1">
        <f>[1]annual_budget!F$3</f>
        <v>458.65576070392302</v>
      </c>
      <c r="H3" s="3" t="s">
        <v>6</v>
      </c>
      <c r="I3" s="2">
        <f>[1]annual_budget!G$3</f>
        <v>30.817377471158999</v>
      </c>
      <c r="J3" s="1">
        <f>[1]annual_budget!H$3</f>
        <v>470.14447592966098</v>
      </c>
      <c r="K3" s="3" t="s">
        <v>6</v>
      </c>
      <c r="L3" s="2">
        <f>[1]annual_budget!I$3</f>
        <v>38.629156877504499</v>
      </c>
      <c r="M3" s="1">
        <f>[1]annual_budget!J$3</f>
        <v>18.0481042491007</v>
      </c>
      <c r="N3" s="3" t="s">
        <v>6</v>
      </c>
      <c r="O3" s="2">
        <f>[1]annual_budget!K$3</f>
        <v>1.5693990086609799</v>
      </c>
      <c r="P3" s="1">
        <f t="shared" ref="P3:P17" si="0">D3+M3</f>
        <v>29.536819474838602</v>
      </c>
      <c r="Q3" s="3" t="s">
        <v>6</v>
      </c>
      <c r="R3" s="2">
        <f t="shared" ref="R3:R17" si="1">SQRT(F3^2 + O3^2)</f>
        <v>16.17209515853714</v>
      </c>
      <c r="S3" s="5">
        <f t="shared" ref="S3:S17" si="2">ROUND(M3/(ABS(D3)+ABS(M3)),3)</f>
        <v>0.61099999999999999</v>
      </c>
      <c r="T3" s="5"/>
      <c r="U3">
        <f>M3/P3</f>
        <v>0.61103749726592116</v>
      </c>
      <c r="V3">
        <f>D3/P3</f>
        <v>0.38896250273407879</v>
      </c>
    </row>
    <row r="4" spans="2:22" x14ac:dyDescent="0.3">
      <c r="B4" s="4">
        <v>2016</v>
      </c>
      <c r="C4" s="4" t="s">
        <v>2</v>
      </c>
      <c r="D4" s="1">
        <f>[2]seasonal_budget!K$3</f>
        <v>88.672199125644198</v>
      </c>
      <c r="E4" s="3" t="s">
        <v>6</v>
      </c>
      <c r="F4" s="2">
        <f>[2]seasonal_budget!L$3</f>
        <v>15.2699394249777</v>
      </c>
      <c r="G4" s="1">
        <f>[2]seasonal_budget!M$3</f>
        <v>71.227287307031602</v>
      </c>
      <c r="H4" s="3" t="s">
        <v>6</v>
      </c>
      <c r="I4" s="2">
        <f>[2]seasonal_budget!N$3</f>
        <v>17.2362666588567</v>
      </c>
      <c r="J4" s="1">
        <f>[2]seasonal_budget!O$3</f>
        <v>159.89948643267601</v>
      </c>
      <c r="K4" s="3" t="s">
        <v>6</v>
      </c>
      <c r="L4" s="2">
        <f>[2]seasonal_budget!P$3</f>
        <v>12.423777300726799</v>
      </c>
      <c r="M4" s="1">
        <f>[2]seasonal_budget!Q$3</f>
        <v>2.7500394435573798</v>
      </c>
      <c r="N4" s="3" t="s">
        <v>6</v>
      </c>
      <c r="O4" s="2">
        <f>[2]seasonal_budget!R$3</f>
        <v>0.67563987850846297</v>
      </c>
      <c r="P4" s="1">
        <f>D4+M4</f>
        <v>91.422238569201582</v>
      </c>
      <c r="Q4" s="3" t="s">
        <v>6</v>
      </c>
      <c r="R4" s="2">
        <f>SQRT(F4^2 + O4^2)</f>
        <v>15.284879433215011</v>
      </c>
      <c r="S4" s="5">
        <f>ROUND(M4/(ABS(D4)+ABS(M4)),3)</f>
        <v>0.03</v>
      </c>
      <c r="T4" s="5"/>
    </row>
    <row r="5" spans="2:22" x14ac:dyDescent="0.3">
      <c r="B5" s="15">
        <v>2017</v>
      </c>
      <c r="C5" s="4" t="s">
        <v>1</v>
      </c>
      <c r="D5" s="1">
        <f>[2]seasonal_budget!C$3</f>
        <v>-77.183483899906307</v>
      </c>
      <c r="E5" s="3" t="s">
        <v>6</v>
      </c>
      <c r="F5" s="2">
        <f>[2]seasonal_budget!D$3</f>
        <v>4.06676921326887</v>
      </c>
      <c r="G5" s="1">
        <f>[2]seasonal_budget!E$3</f>
        <v>387.42847339689098</v>
      </c>
      <c r="H5" s="3" t="s">
        <v>6</v>
      </c>
      <c r="I5" s="2">
        <f>[2]seasonal_budget!F$3</f>
        <v>24.657576253441501</v>
      </c>
      <c r="J5" s="1">
        <f>[2]seasonal_budget!G$3</f>
        <v>310.244989496985</v>
      </c>
      <c r="K5" s="3" t="s">
        <v>6</v>
      </c>
      <c r="L5" s="2">
        <f>[2]seasonal_budget!H$3</f>
        <v>28.486111364996201</v>
      </c>
      <c r="M5" s="1">
        <f>[2]seasonal_budget!I$3</f>
        <v>15.2980648055433</v>
      </c>
      <c r="N5" s="3" t="s">
        <v>6</v>
      </c>
      <c r="O5" s="2">
        <f>[2]seasonal_budget!J$3</f>
        <v>1.19519845778324</v>
      </c>
      <c r="P5" s="1">
        <f t="shared" si="0"/>
        <v>-61.885419094363009</v>
      </c>
      <c r="Q5" s="3" t="s">
        <v>6</v>
      </c>
      <c r="R5" s="2">
        <f t="shared" si="1"/>
        <v>4.2387629312664963</v>
      </c>
      <c r="S5" s="5">
        <f t="shared" si="2"/>
        <v>0.16500000000000001</v>
      </c>
      <c r="T5" s="5">
        <f>ROUND(ABS(D5)/(ABS(D5)+ABS(D4)),4)</f>
        <v>0.46539999999999998</v>
      </c>
    </row>
    <row r="6" spans="2:22" x14ac:dyDescent="0.3">
      <c r="B6" s="9" t="s">
        <v>37</v>
      </c>
      <c r="C6" s="4" t="s">
        <v>5</v>
      </c>
      <c r="D6" s="1">
        <f>[1]annual_budget!D$4</f>
        <v>-25.9827125365588</v>
      </c>
      <c r="E6" s="3" t="s">
        <v>6</v>
      </c>
      <c r="F6" s="2">
        <f>[1]annual_budget!E$4</f>
        <v>5.4644921408573399</v>
      </c>
      <c r="G6" s="1">
        <f>[1]annual_budget!F$4</f>
        <v>454.63420162837002</v>
      </c>
      <c r="H6" s="3" t="s">
        <v>6</v>
      </c>
      <c r="I6" s="2">
        <f>[1]annual_budget!G$4</f>
        <v>7.74683885977307</v>
      </c>
      <c r="J6" s="1">
        <f>[1]annual_budget!H$4</f>
        <v>428.65148909181198</v>
      </c>
      <c r="K6" s="3" t="s">
        <v>6</v>
      </c>
      <c r="L6" s="2">
        <f>[1]annual_budget!I$4</f>
        <v>7.0907141325731597</v>
      </c>
      <c r="M6" s="1">
        <f>[1]annual_budget!J$4</f>
        <v>13.2198561421168</v>
      </c>
      <c r="N6" s="3" t="s">
        <v>6</v>
      </c>
      <c r="O6" s="2">
        <f>[1]annual_budget!K$4</f>
        <v>0.992855065835623</v>
      </c>
      <c r="P6" s="1">
        <f t="shared" si="0"/>
        <v>-12.762856394442</v>
      </c>
      <c r="Q6" s="3" t="s">
        <v>6</v>
      </c>
      <c r="R6" s="2">
        <f t="shared" si="1"/>
        <v>5.5539567462528092</v>
      </c>
      <c r="S6" s="5">
        <f t="shared" si="2"/>
        <v>0.33700000000000002</v>
      </c>
      <c r="T6" s="5"/>
      <c r="U6">
        <f>M6/P6</f>
        <v>-1.0358070116556208</v>
      </c>
      <c r="V6">
        <f>D6/P6</f>
        <v>2.0358070116556211</v>
      </c>
    </row>
    <row r="7" spans="2:22" x14ac:dyDescent="0.3">
      <c r="B7" s="4">
        <v>2017</v>
      </c>
      <c r="C7" s="4" t="s">
        <v>2</v>
      </c>
      <c r="D7" s="1">
        <f>[2]seasonal_budget!K$4</f>
        <v>39.998222627413803</v>
      </c>
      <c r="E7" s="3" t="s">
        <v>6</v>
      </c>
      <c r="F7" s="2">
        <f>[2]seasonal_budget!L$4</f>
        <v>3.3144006372534598</v>
      </c>
      <c r="G7" s="1">
        <f>[2]seasonal_budget!M$4</f>
        <v>71.350915796528497</v>
      </c>
      <c r="H7" s="3" t="s">
        <v>6</v>
      </c>
      <c r="I7" s="2">
        <f>[2]seasonal_budget!N$4</f>
        <v>4.2103097949800903</v>
      </c>
      <c r="J7" s="1">
        <f>[2]seasonal_budget!O$4</f>
        <v>111.34913842394199</v>
      </c>
      <c r="K7" s="3" t="s">
        <v>6</v>
      </c>
      <c r="L7" s="2">
        <f>[2]seasonal_budget!P$4</f>
        <v>3.1923392905835302</v>
      </c>
      <c r="M7" s="1">
        <f>[2]seasonal_budget!Q$4</f>
        <v>2.0536238729667899</v>
      </c>
      <c r="N7" s="3" t="s">
        <v>6</v>
      </c>
      <c r="O7" s="2">
        <f>[2]seasonal_budget!R$4</f>
        <v>0.418108493098102</v>
      </c>
      <c r="P7" s="1">
        <f>D7+M7</f>
        <v>42.051846500380591</v>
      </c>
      <c r="Q7" s="3" t="s">
        <v>6</v>
      </c>
      <c r="R7" s="2">
        <f>SQRT(F7^2 + O7^2)</f>
        <v>3.3406685403114906</v>
      </c>
      <c r="S7" s="5">
        <f>ROUND(M7/(ABS(D7)+ABS(M7)),3)</f>
        <v>4.9000000000000002E-2</v>
      </c>
      <c r="T7" s="5"/>
    </row>
    <row r="8" spans="2:22" x14ac:dyDescent="0.3">
      <c r="B8" s="15">
        <v>2018</v>
      </c>
      <c r="C8" s="4" t="s">
        <v>1</v>
      </c>
      <c r="D8" s="1">
        <f>[2]seasonal_budget!C$4</f>
        <v>-65.980935163972603</v>
      </c>
      <c r="E8" s="3" t="s">
        <v>6</v>
      </c>
      <c r="F8" s="2">
        <f>[2]seasonal_budget!D$4</f>
        <v>6.7182933124378899</v>
      </c>
      <c r="G8" s="1">
        <f>[2]seasonal_budget!E$4</f>
        <v>383.28328583184202</v>
      </c>
      <c r="H8" s="3" t="s">
        <v>6</v>
      </c>
      <c r="I8" s="2">
        <f>[2]seasonal_budget!F$4</f>
        <v>6.4989283814338901</v>
      </c>
      <c r="J8" s="1">
        <f>[2]seasonal_budget!G$4</f>
        <v>317.30235066786901</v>
      </c>
      <c r="K8" s="3" t="s">
        <v>6</v>
      </c>
      <c r="L8" s="2">
        <f>[2]seasonal_budget!H$4</f>
        <v>5.4346598016696799</v>
      </c>
      <c r="M8" s="1">
        <f>[2]seasonal_budget!I$4</f>
        <v>11.166232269149999</v>
      </c>
      <c r="N8" s="3" t="s">
        <v>6</v>
      </c>
      <c r="O8" s="2">
        <f>[2]seasonal_budget!J$4</f>
        <v>0.845017032014587</v>
      </c>
      <c r="P8" s="1">
        <f t="shared" si="0"/>
        <v>-54.814702894822602</v>
      </c>
      <c r="Q8" s="3" t="s">
        <v>6</v>
      </c>
      <c r="R8" s="2">
        <f t="shared" si="1"/>
        <v>6.7712272754901983</v>
      </c>
      <c r="S8" s="5">
        <f t="shared" si="2"/>
        <v>0.14499999999999999</v>
      </c>
      <c r="T8" s="5">
        <f>ROUND(ABS(D8)/(ABS(D8)+ABS(D7)),4)</f>
        <v>0.62260000000000004</v>
      </c>
    </row>
    <row r="9" spans="2:22" x14ac:dyDescent="0.3">
      <c r="B9" s="9" t="s">
        <v>38</v>
      </c>
      <c r="C9" s="4" t="s">
        <v>5</v>
      </c>
      <c r="D9" s="1">
        <f>[1]annual_budget!D$5</f>
        <v>-32.606353062077901</v>
      </c>
      <c r="E9" s="3" t="s">
        <v>6</v>
      </c>
      <c r="F9" s="2">
        <f>[1]annual_budget!E$5</f>
        <v>21.480287812572598</v>
      </c>
      <c r="G9" s="1">
        <f>[1]annual_budget!F$5</f>
        <v>409.00497707217198</v>
      </c>
      <c r="H9" s="3" t="s">
        <v>6</v>
      </c>
      <c r="I9" s="2">
        <f>[1]annual_budget!G$5</f>
        <v>15.510831066212599</v>
      </c>
      <c r="J9" s="1">
        <f>[1]annual_budget!H$5</f>
        <v>376.39862401009401</v>
      </c>
      <c r="K9" s="3" t="s">
        <v>6</v>
      </c>
      <c r="L9" s="2">
        <f>[1]annual_budget!I$5</f>
        <v>9.6284220388832207</v>
      </c>
      <c r="M9" s="1">
        <f>[1]annual_budget!J$5</f>
        <v>12.196056004713601</v>
      </c>
      <c r="N9" s="3" t="s">
        <v>6</v>
      </c>
      <c r="O9" s="2">
        <f>[1]annual_budget!K$5</f>
        <v>0.62850937576951904</v>
      </c>
      <c r="P9" s="1">
        <f t="shared" si="0"/>
        <v>-20.4102970573643</v>
      </c>
      <c r="Q9" s="3" t="s">
        <v>6</v>
      </c>
      <c r="R9" s="2">
        <f t="shared" si="1"/>
        <v>21.489480881268051</v>
      </c>
      <c r="S9" s="5">
        <f t="shared" si="2"/>
        <v>0.27200000000000002</v>
      </c>
      <c r="T9" s="5"/>
      <c r="U9">
        <f>M9/P9</f>
        <v>-0.59754426750555822</v>
      </c>
      <c r="V9">
        <f>D9/P9</f>
        <v>1.5975442675055582</v>
      </c>
    </row>
    <row r="10" spans="2:22" x14ac:dyDescent="0.3">
      <c r="B10" s="4">
        <v>2018</v>
      </c>
      <c r="C10" s="4" t="s">
        <v>2</v>
      </c>
      <c r="D10" s="1">
        <f>[2]seasonal_budget!K$5</f>
        <v>26.644733195470799</v>
      </c>
      <c r="E10" s="3" t="s">
        <v>6</v>
      </c>
      <c r="F10" s="2">
        <f>[2]seasonal_budget!L$5</f>
        <v>18.8405925850717</v>
      </c>
      <c r="G10" s="1">
        <f>[2]seasonal_budget!M$5</f>
        <v>62.933255291708498</v>
      </c>
      <c r="H10" s="3" t="s">
        <v>6</v>
      </c>
      <c r="I10" s="2">
        <f>[2]seasonal_budget!N$5</f>
        <v>18.003012154678</v>
      </c>
      <c r="J10" s="1">
        <f>[2]seasonal_budget!O$5</f>
        <v>89.577988487179297</v>
      </c>
      <c r="K10" s="3" t="s">
        <v>6</v>
      </c>
      <c r="L10" s="2">
        <f>[2]seasonal_budget!P$5</f>
        <v>1.94937327481374</v>
      </c>
      <c r="M10" s="1">
        <f>[2]seasonal_budget!Q$5</f>
        <v>1.4799613072545299</v>
      </c>
      <c r="N10" s="3" t="s">
        <v>6</v>
      </c>
      <c r="O10" s="2">
        <f>[2]seasonal_budget!R$5</f>
        <v>0.363570161320312</v>
      </c>
      <c r="P10" s="1">
        <f>D10+M10</f>
        <v>28.12469450272533</v>
      </c>
      <c r="Q10" s="3" t="s">
        <v>6</v>
      </c>
      <c r="R10" s="2">
        <f>SQRT(F10^2 + O10^2)</f>
        <v>18.844100196583046</v>
      </c>
      <c r="S10" s="5">
        <f>ROUND(M10/(ABS(D10)+ABS(M10)),3)</f>
        <v>5.2999999999999999E-2</v>
      </c>
      <c r="T10" s="5"/>
    </row>
    <row r="11" spans="2:22" x14ac:dyDescent="0.3">
      <c r="B11" s="15">
        <v>2019</v>
      </c>
      <c r="C11" s="4" t="s">
        <v>1</v>
      </c>
      <c r="D11" s="1">
        <f>[2]seasonal_budget!C$5</f>
        <v>-59.2510862575487</v>
      </c>
      <c r="E11" s="3" t="s">
        <v>6</v>
      </c>
      <c r="F11" s="2">
        <f>[2]seasonal_budget!D$5</f>
        <v>5.3030710289415799</v>
      </c>
      <c r="G11" s="1">
        <f>[2]seasonal_budget!E$5</f>
        <v>346.07172178046301</v>
      </c>
      <c r="H11" s="3" t="s">
        <v>6</v>
      </c>
      <c r="I11" s="2">
        <f>[2]seasonal_budget!F$5</f>
        <v>6.2506810882833896</v>
      </c>
      <c r="J11" s="1">
        <f>[2]seasonal_budget!G$5</f>
        <v>286.82063552291402</v>
      </c>
      <c r="K11" s="3" t="s">
        <v>6</v>
      </c>
      <c r="L11" s="2">
        <f>[2]seasonal_budget!H$5</f>
        <v>8.2422844508923792</v>
      </c>
      <c r="M11" s="1">
        <f>[2]seasonal_budget!I$5</f>
        <v>10.716094697459001</v>
      </c>
      <c r="N11" s="3" t="s">
        <v>6</v>
      </c>
      <c r="O11" s="2">
        <f>[2]seasonal_budget!J$5</f>
        <v>0.45720235166877399</v>
      </c>
      <c r="P11" s="1">
        <f t="shared" si="0"/>
        <v>-48.534991560089701</v>
      </c>
      <c r="Q11" s="3" t="s">
        <v>6</v>
      </c>
      <c r="R11" s="2">
        <f t="shared" si="1"/>
        <v>5.3227433085177953</v>
      </c>
      <c r="S11" s="5">
        <f t="shared" si="2"/>
        <v>0.153</v>
      </c>
      <c r="T11" s="5">
        <f>ROUND(ABS(D11)/(ABS(D11)+ABS(D10)),4)</f>
        <v>0.68979999999999997</v>
      </c>
    </row>
    <row r="12" spans="2:22" x14ac:dyDescent="0.3">
      <c r="B12" s="9" t="s">
        <v>39</v>
      </c>
      <c r="C12" s="4" t="s">
        <v>5</v>
      </c>
      <c r="D12" s="1">
        <f>[1]annual_budget!D$6</f>
        <v>-26.377651914277902</v>
      </c>
      <c r="E12" s="3" t="s">
        <v>6</v>
      </c>
      <c r="F12" s="2">
        <f>[1]annual_budget!E$6</f>
        <v>9.9242416501554107</v>
      </c>
      <c r="G12" s="1">
        <f>[1]annual_budget!F$6</f>
        <v>383.34590372656498</v>
      </c>
      <c r="H12" s="3" t="s">
        <v>6</v>
      </c>
      <c r="I12" s="2">
        <f>[1]annual_budget!G$6</f>
        <v>5.7340433799201502</v>
      </c>
      <c r="J12" s="1">
        <f>[1]annual_budget!H$6</f>
        <v>356.96825181228797</v>
      </c>
      <c r="K12" s="3" t="s">
        <v>6</v>
      </c>
      <c r="L12" s="2">
        <f>[1]annual_budget!I$6</f>
        <v>12.674450971830201</v>
      </c>
      <c r="M12" s="1">
        <f>[1]annual_budget!J$6</f>
        <v>11.649581035226699</v>
      </c>
      <c r="N12" s="3" t="s">
        <v>6</v>
      </c>
      <c r="O12" s="2">
        <f>[1]annual_budget!K$6</f>
        <v>0.71651237419764302</v>
      </c>
      <c r="P12" s="1">
        <f t="shared" si="0"/>
        <v>-14.728070879051202</v>
      </c>
      <c r="Q12" s="3" t="s">
        <v>6</v>
      </c>
      <c r="R12" s="2">
        <f t="shared" si="1"/>
        <v>9.9500734827968849</v>
      </c>
      <c r="S12" s="5">
        <f t="shared" si="2"/>
        <v>0.30599999999999999</v>
      </c>
      <c r="T12" s="5"/>
      <c r="U12">
        <f>M12/P12</f>
        <v>-0.79097806704588436</v>
      </c>
      <c r="V12">
        <f>D12/P12</f>
        <v>1.7909780670458844</v>
      </c>
    </row>
    <row r="13" spans="2:22" x14ac:dyDescent="0.3">
      <c r="B13" s="4">
        <v>2019</v>
      </c>
      <c r="C13" s="4" t="s">
        <v>2</v>
      </c>
      <c r="D13" s="1">
        <f>[2]seasonal_budget!K$6</f>
        <v>48.669059321518098</v>
      </c>
      <c r="E13" s="3" t="s">
        <v>6</v>
      </c>
      <c r="F13" s="2">
        <f>[2]seasonal_budget!L$6</f>
        <v>9.1459659191093206</v>
      </c>
      <c r="G13" s="1">
        <f>[2]seasonal_budget!M$6</f>
        <v>50.283005759185897</v>
      </c>
      <c r="H13" s="3" t="s">
        <v>6</v>
      </c>
      <c r="I13" s="2">
        <f>[2]seasonal_budget!N$6</f>
        <v>8.8372277574920499</v>
      </c>
      <c r="J13" s="1">
        <f>[2]seasonal_budget!O$6</f>
        <v>98.952065080704003</v>
      </c>
      <c r="K13" s="3" t="s">
        <v>6</v>
      </c>
      <c r="L13" s="2">
        <f>[2]seasonal_budget!P$6</f>
        <v>3.5817560559886799</v>
      </c>
      <c r="M13" s="1">
        <f>[2]seasonal_budget!Q$6</f>
        <v>1.6373805316857399</v>
      </c>
      <c r="N13" s="3" t="s">
        <v>6</v>
      </c>
      <c r="O13" s="2">
        <f>[2]seasonal_budget!R$6</f>
        <v>0.33128238285730999</v>
      </c>
      <c r="P13" s="1">
        <f>D13+M13</f>
        <v>50.306439853203841</v>
      </c>
      <c r="Q13" s="3" t="s">
        <v>6</v>
      </c>
      <c r="R13" s="2">
        <f>SQRT(F13^2 + O13^2)</f>
        <v>9.1519637570687973</v>
      </c>
      <c r="S13" s="5">
        <f>ROUND(M13/(ABS(D13)+ABS(M13)),3)</f>
        <v>3.3000000000000002E-2</v>
      </c>
      <c r="T13" s="5"/>
    </row>
    <row r="14" spans="2:22" x14ac:dyDescent="0.3">
      <c r="B14" s="15">
        <v>2020</v>
      </c>
      <c r="C14" s="4" t="s">
        <v>1</v>
      </c>
      <c r="D14" s="1">
        <f>[2]seasonal_budget!C$6</f>
        <v>-75.046711235796096</v>
      </c>
      <c r="E14" s="3" t="s">
        <v>6</v>
      </c>
      <c r="F14" s="2">
        <f>[2]seasonal_budget!D$6</f>
        <v>3.0013299314925499</v>
      </c>
      <c r="G14" s="1">
        <f>[2]seasonal_budget!E$6</f>
        <v>333.06289796738002</v>
      </c>
      <c r="H14" s="3" t="s">
        <v>6</v>
      </c>
      <c r="I14" s="2">
        <f>[2]seasonal_budget!F$6</f>
        <v>12.750362154120101</v>
      </c>
      <c r="J14" s="1">
        <f>[2]seasonal_budget!G$6</f>
        <v>258.01618673158401</v>
      </c>
      <c r="K14" s="3" t="s">
        <v>6</v>
      </c>
      <c r="L14" s="2">
        <f>[2]seasonal_budget!H$6</f>
        <v>13.1119721048925</v>
      </c>
      <c r="M14" s="1">
        <f>[2]seasonal_budget!I$6</f>
        <v>10.012200503541001</v>
      </c>
      <c r="N14" s="3" t="s">
        <v>6</v>
      </c>
      <c r="O14" s="2">
        <f>[2]seasonal_budget!J$6</f>
        <v>0.63604733025136195</v>
      </c>
      <c r="P14" s="1">
        <f t="shared" si="0"/>
        <v>-65.0345107322551</v>
      </c>
      <c r="Q14" s="3" t="s">
        <v>6</v>
      </c>
      <c r="R14" s="2">
        <f t="shared" si="1"/>
        <v>3.0679859132650789</v>
      </c>
      <c r="S14" s="5">
        <f t="shared" si="2"/>
        <v>0.11799999999999999</v>
      </c>
      <c r="T14" s="5">
        <f>ROUND(ABS(D14)/(ABS(D14)+ABS(D13)),4)</f>
        <v>0.60660000000000003</v>
      </c>
    </row>
    <row r="15" spans="2:22" x14ac:dyDescent="0.3">
      <c r="B15" s="9" t="s">
        <v>40</v>
      </c>
      <c r="C15" s="4" t="s">
        <v>5</v>
      </c>
      <c r="D15" s="1">
        <f>[1]annual_budget!D$7</f>
        <v>11.9058852844644</v>
      </c>
      <c r="E15" s="3" t="s">
        <v>6</v>
      </c>
      <c r="F15" s="2">
        <f>[1]annual_budget!E$7</f>
        <v>15.137005178361701</v>
      </c>
      <c r="G15" s="1">
        <f>[1]annual_budget!F$7</f>
        <v>378.73334548868002</v>
      </c>
      <c r="H15" s="3" t="s">
        <v>6</v>
      </c>
      <c r="I15" s="2">
        <f>[1]annual_budget!G$7</f>
        <v>16.6518753876299</v>
      </c>
      <c r="J15" s="1">
        <f>[1]annual_budget!H$7</f>
        <v>390.63923077314399</v>
      </c>
      <c r="K15" s="3" t="s">
        <v>6</v>
      </c>
      <c r="L15" s="2">
        <f>[1]annual_budget!I$7</f>
        <v>25.202437101773199</v>
      </c>
      <c r="M15" s="1">
        <f>[1]annual_budget!J$7</f>
        <v>13.194234631932501</v>
      </c>
      <c r="N15" s="3" t="s">
        <v>6</v>
      </c>
      <c r="O15" s="2">
        <f>[1]annual_budget!K$7</f>
        <v>0.76640293275869598</v>
      </c>
      <c r="P15" s="1">
        <f t="shared" si="0"/>
        <v>25.100119916396899</v>
      </c>
      <c r="Q15" s="3" t="s">
        <v>6</v>
      </c>
      <c r="R15" s="2">
        <f t="shared" si="1"/>
        <v>15.156394664467209</v>
      </c>
      <c r="S15" s="5">
        <f t="shared" si="2"/>
        <v>0.52600000000000002</v>
      </c>
      <c r="T15" s="5"/>
      <c r="U15">
        <f>M15/P15</f>
        <v>0.52566420701891703</v>
      </c>
      <c r="V15">
        <f>D15/P15</f>
        <v>0.47433579298108308</v>
      </c>
    </row>
    <row r="16" spans="2:22" x14ac:dyDescent="0.3">
      <c r="B16" s="4">
        <v>2020</v>
      </c>
      <c r="C16" s="4" t="s">
        <v>2</v>
      </c>
      <c r="D16" s="1">
        <f>[2]seasonal_budget!K$7</f>
        <v>46.078254095826502</v>
      </c>
      <c r="E16" s="3" t="s">
        <v>6</v>
      </c>
      <c r="F16" s="2">
        <f>[2]seasonal_budget!L$7</f>
        <v>13.2435169187235</v>
      </c>
      <c r="G16" s="1">
        <f>[2]seasonal_budget!M$7</f>
        <v>57.8707453739733</v>
      </c>
      <c r="H16" s="3" t="s">
        <v>6</v>
      </c>
      <c r="I16" s="2">
        <f>[2]seasonal_budget!N$7</f>
        <v>11.408651111705</v>
      </c>
      <c r="J16" s="1">
        <f>[2]seasonal_budget!O$7</f>
        <v>103.9489994698</v>
      </c>
      <c r="K16" s="3" t="s">
        <v>6</v>
      </c>
      <c r="L16" s="2">
        <f>[2]seasonal_budget!P$7</f>
        <v>8.4998107762274593</v>
      </c>
      <c r="M16" s="1">
        <f>[2]seasonal_budget!Q$7</f>
        <v>2.0655281392160099</v>
      </c>
      <c r="N16" s="3" t="s">
        <v>6</v>
      </c>
      <c r="O16" s="2">
        <f>[2]seasonal_budget!R$7</f>
        <v>0.31732278702593603</v>
      </c>
      <c r="P16" s="1">
        <f>D16+M16</f>
        <v>48.143782235042508</v>
      </c>
      <c r="Q16" s="3" t="s">
        <v>6</v>
      </c>
      <c r="R16" s="2">
        <f>SQRT(F16^2 + O16^2)</f>
        <v>13.247317997529972</v>
      </c>
      <c r="S16" s="5">
        <f>ROUND(M16/(ABS(D16)+ABS(M16)),3)</f>
        <v>4.2999999999999997E-2</v>
      </c>
      <c r="T16" s="5"/>
    </row>
    <row r="17" spans="2:20" x14ac:dyDescent="0.3">
      <c r="B17" s="15">
        <v>2021</v>
      </c>
      <c r="C17" s="4" t="s">
        <v>1</v>
      </c>
      <c r="D17" s="1">
        <f>[2]seasonal_budget!C$7</f>
        <v>-34.172368811362098</v>
      </c>
      <c r="E17" s="3" t="s">
        <v>6</v>
      </c>
      <c r="F17" s="2">
        <f>[2]seasonal_budget!D$7</f>
        <v>4.3556308869414799</v>
      </c>
      <c r="G17" s="1">
        <f>[2]seasonal_budget!E$7</f>
        <v>320.86260011470699</v>
      </c>
      <c r="H17" s="3" t="s">
        <v>6</v>
      </c>
      <c r="I17" s="2">
        <f>[2]seasonal_budget!F$7</f>
        <v>20.8266591928314</v>
      </c>
      <c r="J17" s="1">
        <f>[2]seasonal_budget!G$7</f>
        <v>286.690231303345</v>
      </c>
      <c r="K17" s="3" t="s">
        <v>6</v>
      </c>
      <c r="L17" s="2">
        <f>[2]seasonal_budget!H$7</f>
        <v>23.859626173274599</v>
      </c>
      <c r="M17" s="1">
        <f>[2]seasonal_budget!I$7</f>
        <v>11.1287064927165</v>
      </c>
      <c r="N17" s="3" t="s">
        <v>6</v>
      </c>
      <c r="O17" s="2">
        <f>[2]seasonal_budget!J$7</f>
        <v>0.708836233709635</v>
      </c>
      <c r="P17" s="1">
        <f t="shared" si="0"/>
        <v>-23.043662318645598</v>
      </c>
      <c r="Q17" s="3" t="s">
        <v>6</v>
      </c>
      <c r="R17" s="2">
        <f t="shared" si="1"/>
        <v>4.4129320445139744</v>
      </c>
      <c r="S17" s="5">
        <f t="shared" si="2"/>
        <v>0.246</v>
      </c>
      <c r="T17" s="5">
        <f>ROUND(ABS(D17)/(ABS(D17)+ABS(D16)),4)</f>
        <v>0.42580000000000001</v>
      </c>
    </row>
    <row r="18" spans="2:20" x14ac:dyDescent="0.3">
      <c r="B18" s="8" t="s">
        <v>21</v>
      </c>
      <c r="C18" s="9" t="s">
        <v>5</v>
      </c>
      <c r="D18" s="10">
        <f>AVERAGE(D15,D12,D9,D6,D3)</f>
        <v>-12.314423400542463</v>
      </c>
      <c r="E18" s="3" t="s">
        <v>6</v>
      </c>
      <c r="F18" s="10">
        <f t="shared" ref="F18:P18" si="3">AVERAGE(F15,F12,F9,F6,F3)</f>
        <v>13.62035834168473</v>
      </c>
      <c r="G18" s="10">
        <f t="shared" si="3"/>
        <v>416.87483772394199</v>
      </c>
      <c r="H18" s="3" t="s">
        <v>6</v>
      </c>
      <c r="I18" s="10">
        <f t="shared" si="3"/>
        <v>15.292193232938946</v>
      </c>
      <c r="J18" s="10">
        <f t="shared" si="3"/>
        <v>404.56041432339981</v>
      </c>
      <c r="K18" s="3" t="s">
        <v>6</v>
      </c>
      <c r="L18" s="10">
        <f t="shared" si="3"/>
        <v>18.645036224512857</v>
      </c>
      <c r="M18" s="10">
        <f t="shared" si="3"/>
        <v>13.661566412618061</v>
      </c>
      <c r="N18" s="10"/>
      <c r="O18" s="10"/>
      <c r="P18" s="10">
        <f t="shared" si="3"/>
        <v>1.3471430120755996</v>
      </c>
    </row>
    <row r="19" spans="2:20" x14ac:dyDescent="0.3">
      <c r="B19"/>
      <c r="C19" s="4" t="s">
        <v>2</v>
      </c>
      <c r="D19" s="1">
        <f>AVERAGE(D16,D13,D10,D7,D4)</f>
        <v>50.012493673174681</v>
      </c>
      <c r="E19" s="3" t="s">
        <v>6</v>
      </c>
      <c r="F19" s="1">
        <f t="shared" ref="F19:P19" si="4">AVERAGE(F16,F13,F10,F7,F4)</f>
        <v>11.962883097027134</v>
      </c>
      <c r="G19" s="1">
        <f t="shared" si="4"/>
        <v>62.73304190568556</v>
      </c>
      <c r="H19" s="3" t="s">
        <v>6</v>
      </c>
      <c r="I19" s="1">
        <f t="shared" si="4"/>
        <v>11.939093495542368</v>
      </c>
      <c r="J19" s="1">
        <f t="shared" si="4"/>
        <v>112.74553557886027</v>
      </c>
      <c r="K19" s="3" t="s">
        <v>6</v>
      </c>
      <c r="L19" s="1">
        <f t="shared" si="4"/>
        <v>5.9294113396680412</v>
      </c>
      <c r="M19" s="1">
        <f t="shared" si="4"/>
        <v>1.9973066589360902</v>
      </c>
      <c r="N19" s="1"/>
      <c r="O19" s="1"/>
      <c r="P19" s="1">
        <f t="shared" si="4"/>
        <v>52.009800332110771</v>
      </c>
    </row>
    <row r="20" spans="2:20" x14ac:dyDescent="0.3">
      <c r="B20" s="17"/>
      <c r="C20" s="15" t="s">
        <v>1</v>
      </c>
      <c r="D20" s="16">
        <f>AVERAGE(D17,D14,D11,D8,D5)</f>
        <v>-62.326917073717162</v>
      </c>
      <c r="E20" s="3" t="s">
        <v>6</v>
      </c>
      <c r="F20" s="16">
        <f t="shared" ref="F20:P20" si="5">AVERAGE(F17,F14,F11,F8,F5)</f>
        <v>4.6890188746164743</v>
      </c>
      <c r="G20" s="16">
        <f t="shared" si="5"/>
        <v>354.14179581825658</v>
      </c>
      <c r="H20" s="3" t="s">
        <v>6</v>
      </c>
      <c r="I20" s="16">
        <f t="shared" si="5"/>
        <v>14.196841414022055</v>
      </c>
      <c r="J20" s="16">
        <f t="shared" si="5"/>
        <v>291.81487874453944</v>
      </c>
      <c r="K20" s="3" t="s">
        <v>6</v>
      </c>
      <c r="L20" s="16">
        <f t="shared" si="5"/>
        <v>15.826930779145073</v>
      </c>
      <c r="M20" s="16">
        <f t="shared" si="5"/>
        <v>11.664259753681959</v>
      </c>
      <c r="N20" s="16"/>
      <c r="O20" s="16"/>
      <c r="P20" s="16">
        <f t="shared" si="5"/>
        <v>-50.662657320035201</v>
      </c>
    </row>
    <row r="21" spans="2:20" x14ac:dyDescent="0.3">
      <c r="B21" s="8" t="s">
        <v>22</v>
      </c>
      <c r="C21" s="9" t="s">
        <v>5</v>
      </c>
      <c r="D21" s="10">
        <f>STDEV(,D15,D12,D9,D6,D3)</f>
        <v>20.376175047619284</v>
      </c>
      <c r="E21" s="3" t="s">
        <v>6</v>
      </c>
      <c r="F21" s="10">
        <f t="shared" ref="F21:P21" si="6">STDEV(,F15,F12,F9,F6,F3)</f>
        <v>7.8100052909203086</v>
      </c>
      <c r="G21" s="10">
        <f t="shared" si="6"/>
        <v>173.57006534073781</v>
      </c>
      <c r="H21" s="3" t="s">
        <v>6</v>
      </c>
      <c r="I21" s="10">
        <f t="shared" si="6"/>
        <v>10.826767413701742</v>
      </c>
      <c r="J21" s="10">
        <f t="shared" si="6"/>
        <v>170.01440494015779</v>
      </c>
      <c r="K21" s="3" t="s">
        <v>6</v>
      </c>
      <c r="L21" s="10">
        <f t="shared" si="6"/>
        <v>14.017931205085771</v>
      </c>
      <c r="M21" s="10">
        <f t="shared" si="6"/>
        <v>6.0230062997425122</v>
      </c>
      <c r="N21" s="10"/>
      <c r="O21" s="10"/>
      <c r="P21" s="10">
        <f t="shared" si="6"/>
        <v>21.406844152019701</v>
      </c>
    </row>
    <row r="22" spans="2:20" x14ac:dyDescent="0.3">
      <c r="B22"/>
      <c r="C22" s="4" t="s">
        <v>2</v>
      </c>
      <c r="D22" s="1">
        <f>STDEV(,D16,D13,D10,D7,D4)</f>
        <v>29.129257936800606</v>
      </c>
      <c r="E22" s="3" t="s">
        <v>6</v>
      </c>
      <c r="F22" s="1">
        <f t="shared" ref="F22:P22" si="7">STDEV(,F16,F13,F10,F7,F4)</f>
        <v>7.2369829843933102</v>
      </c>
      <c r="G22" s="1">
        <f t="shared" si="7"/>
        <v>26.850080660208711</v>
      </c>
      <c r="H22" s="3" t="s">
        <v>6</v>
      </c>
      <c r="I22" s="1">
        <f t="shared" si="7"/>
        <v>7.1169256275778894</v>
      </c>
      <c r="J22" s="1">
        <f t="shared" si="7"/>
        <v>52.197283992729865</v>
      </c>
      <c r="K22" s="3" t="s">
        <v>6</v>
      </c>
      <c r="L22" s="1">
        <f t="shared" si="7"/>
        <v>4.6244082848727803</v>
      </c>
      <c r="M22" s="1">
        <f t="shared" si="7"/>
        <v>0.92692902089147478</v>
      </c>
      <c r="N22" s="1"/>
      <c r="O22" s="1"/>
      <c r="P22" s="1">
        <f t="shared" si="7"/>
        <v>29.983427826466492</v>
      </c>
    </row>
    <row r="23" spans="2:20" x14ac:dyDescent="0.3">
      <c r="B23" s="17"/>
      <c r="C23" s="15" t="s">
        <v>1</v>
      </c>
      <c r="D23" s="16">
        <f>STDEV(D17,D14,D11,D8,D5)</f>
        <v>17.306082114805509</v>
      </c>
      <c r="E23" s="3" t="s">
        <v>6</v>
      </c>
      <c r="F23" s="16">
        <f t="shared" ref="F23:P23" si="8">STDEV(F17,F14,F11,F8,F5)</f>
        <v>1.4001473986997459</v>
      </c>
      <c r="G23" s="16">
        <f t="shared" si="8"/>
        <v>29.892224075393642</v>
      </c>
      <c r="H23" s="3" t="s">
        <v>6</v>
      </c>
      <c r="I23" s="16">
        <f t="shared" si="8"/>
        <v>8.3347628698994942</v>
      </c>
      <c r="J23" s="16">
        <f t="shared" si="8"/>
        <v>23.360416659007985</v>
      </c>
      <c r="K23" s="3" t="s">
        <v>6</v>
      </c>
      <c r="L23" s="16">
        <f t="shared" si="8"/>
        <v>9.9709102517888688</v>
      </c>
      <c r="M23" s="16">
        <f t="shared" si="8"/>
        <v>2.0837289030384691</v>
      </c>
      <c r="N23" s="16"/>
      <c r="O23" s="16"/>
      <c r="P23" s="16">
        <f t="shared" si="8"/>
        <v>16.711342564809009</v>
      </c>
    </row>
    <row r="26" spans="2:20" x14ac:dyDescent="0.3">
      <c r="D26" s="1"/>
    </row>
  </sheetData>
  <autoFilter ref="B1:T23" xr:uid="{00000000-0001-0000-0000-000000000000}">
    <filterColumn colId="1">
      <customFilters>
        <customFilter operator="notEqual" val=" "/>
      </customFilters>
    </filterColumn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</autoFilter>
  <mergeCells count="12">
    <mergeCell ref="S1:S2"/>
    <mergeCell ref="T1:T2"/>
    <mergeCell ref="D2:F2"/>
    <mergeCell ref="G2:I2"/>
    <mergeCell ref="J2:L2"/>
    <mergeCell ref="M2:O2"/>
    <mergeCell ref="P2:R2"/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abSelected="1" workbookViewId="0">
      <selection activeCell="A11" sqref="A11:XFD11"/>
    </sheetView>
  </sheetViews>
  <sheetFormatPr defaultRowHeight="14.4" x14ac:dyDescent="0.3"/>
  <cols>
    <col min="1" max="1" width="9.77734375" customWidth="1"/>
    <col min="2" max="2" width="7.77734375" customWidth="1"/>
    <col min="3" max="3" width="1.77734375" customWidth="1"/>
    <col min="4" max="4" width="5.33203125" style="4" customWidth="1"/>
    <col min="5" max="5" width="7.21875" customWidth="1"/>
    <col min="6" max="6" width="1.77734375" customWidth="1"/>
    <col min="7" max="7" width="6.77734375" style="4" customWidth="1"/>
    <col min="8" max="8" width="7.21875" customWidth="1"/>
    <col min="9" max="9" width="1.77734375" customWidth="1"/>
    <col min="10" max="10" width="7" style="4" customWidth="1"/>
    <col min="11" max="11" width="5.33203125" customWidth="1"/>
    <col min="12" max="12" width="1.77734375" customWidth="1"/>
    <col min="13" max="13" width="6.5546875" style="4" customWidth="1"/>
  </cols>
  <sheetData>
    <row r="1" spans="1:13" x14ac:dyDescent="0.3">
      <c r="A1" t="str">
        <f>[3]flux_monthly_means!B1</f>
        <v>month_local</v>
      </c>
      <c r="B1" s="21" t="str">
        <f>[3]flux_monthly_means!D1</f>
        <v>NEEgC_f_RF</v>
      </c>
      <c r="C1" s="21"/>
      <c r="D1" s="21"/>
      <c r="E1" s="21" t="str">
        <f>[3]flux_monthly_means!F1</f>
        <v>GPPgC_f_RF</v>
      </c>
      <c r="F1" s="21"/>
      <c r="G1" s="21"/>
      <c r="H1" s="21" t="str">
        <f>[3]flux_monthly_means!G1</f>
        <v>RecogC</v>
      </c>
      <c r="I1" s="21"/>
      <c r="J1" s="21"/>
      <c r="K1" s="21" t="str">
        <f>[3]flux_monthly_means!I1</f>
        <v>CH4gC_f_RF</v>
      </c>
      <c r="L1" s="21"/>
      <c r="M1" s="21"/>
    </row>
    <row r="2" spans="1:13" x14ac:dyDescent="0.3">
      <c r="A2">
        <f>[3]flux_monthly_means!B11</f>
        <v>10</v>
      </c>
      <c r="B2" s="1">
        <f>[3]flux_monthly_means!D11</f>
        <v>10.7568072725298</v>
      </c>
      <c r="C2" s="3" t="s">
        <v>6</v>
      </c>
      <c r="D2" s="2">
        <f>[4]flux_monthly_sd!D11</f>
        <v>11.9969845364846</v>
      </c>
      <c r="E2" s="1">
        <f>[3]flux_monthly_means!F11</f>
        <v>22.967789716349401</v>
      </c>
      <c r="F2" s="3" t="s">
        <v>6</v>
      </c>
      <c r="G2" s="2">
        <f>[4]flux_monthly_sd!F11</f>
        <v>7.8681576489248304</v>
      </c>
      <c r="H2" s="1">
        <f>[3]flux_monthly_means!G11</f>
        <v>33.724596988879298</v>
      </c>
      <c r="I2" s="3" t="s">
        <v>6</v>
      </c>
      <c r="J2" s="2">
        <f>[4]flux_monthly_sd!G11</f>
        <v>9.2955138152059895</v>
      </c>
      <c r="K2" s="1">
        <f>[3]flux_monthly_means!I11</f>
        <v>0.70064675841173196</v>
      </c>
      <c r="L2" s="3" t="s">
        <v>6</v>
      </c>
      <c r="M2" s="2">
        <f>[4]flux_monthly_sd!I11</f>
        <v>0.16110972722247199</v>
      </c>
    </row>
    <row r="3" spans="1:13" x14ac:dyDescent="0.3">
      <c r="A3">
        <f>[3]flux_monthly_means!B12</f>
        <v>11</v>
      </c>
      <c r="B3" s="1">
        <f>[3]flux_monthly_means!D12</f>
        <v>10.773124530799301</v>
      </c>
      <c r="C3" s="3" t="s">
        <v>6</v>
      </c>
      <c r="D3" s="2">
        <f>[4]flux_monthly_sd!D12</f>
        <v>6.9950222946214504</v>
      </c>
      <c r="E3" s="1">
        <f>[3]flux_monthly_means!F12</f>
        <v>13.4942572174551</v>
      </c>
      <c r="F3" s="3" t="s">
        <v>6</v>
      </c>
      <c r="G3" s="2">
        <f>[4]flux_monthly_sd!F12</f>
        <v>7.6885735729867699</v>
      </c>
      <c r="H3" s="1">
        <f>[3]flux_monthly_means!G12</f>
        <v>24.267381748254401</v>
      </c>
      <c r="I3" s="3" t="s">
        <v>6</v>
      </c>
      <c r="J3" s="2">
        <f>[4]flux_monthly_sd!G12</f>
        <v>12.4639237350617</v>
      </c>
      <c r="K3" s="1">
        <f>[3]flux_monthly_means!I12</f>
        <v>0.35208797551297899</v>
      </c>
      <c r="L3" s="3" t="s">
        <v>6</v>
      </c>
      <c r="M3" s="2">
        <f>[4]flux_monthly_sd!I12</f>
        <v>0.192165330279711</v>
      </c>
    </row>
    <row r="4" spans="1:13" x14ac:dyDescent="0.3">
      <c r="A4">
        <f>[3]flux_monthly_means!B13</f>
        <v>12</v>
      </c>
      <c r="B4" s="1">
        <f>[3]flux_monthly_means!D13</f>
        <v>10.6522590099465</v>
      </c>
      <c r="C4" s="3" t="s">
        <v>6</v>
      </c>
      <c r="D4" s="2">
        <f>[4]flux_monthly_sd!D13</f>
        <v>6.6343176671311603</v>
      </c>
      <c r="E4" s="1">
        <f>[3]flux_monthly_means!F13</f>
        <v>4.3924889147732902</v>
      </c>
      <c r="F4" s="3" t="s">
        <v>6</v>
      </c>
      <c r="G4" s="2">
        <f>[4]flux_monthly_sd!F13</f>
        <v>6.8123768548819301</v>
      </c>
      <c r="H4" s="1">
        <f>[3]flux_monthly_means!G13</f>
        <v>15.0447479247198</v>
      </c>
      <c r="I4" s="3" t="s">
        <v>6</v>
      </c>
      <c r="J4" s="2">
        <f>[4]flux_monthly_sd!G13</f>
        <v>5.5830007774445001</v>
      </c>
      <c r="K4" s="1">
        <f>[3]flux_monthly_means!I13</f>
        <v>0.117339940724228</v>
      </c>
      <c r="L4" s="3" t="s">
        <v>6</v>
      </c>
      <c r="M4" s="2">
        <f>[4]flux_monthly_sd!I13</f>
        <v>6.7976144787850606E-2</v>
      </c>
    </row>
    <row r="5" spans="1:13" x14ac:dyDescent="0.3">
      <c r="A5">
        <f>[3]flux_monthly_means!B2</f>
        <v>1</v>
      </c>
      <c r="B5" s="1">
        <f>[3]flux_monthly_means!D2</f>
        <v>7.1187763090693004</v>
      </c>
      <c r="C5" s="3" t="s">
        <v>6</v>
      </c>
      <c r="D5" s="2">
        <f>[4]flux_monthly_sd!D2</f>
        <v>6.5836307987387297</v>
      </c>
      <c r="E5" s="1">
        <f>[3]flux_monthly_means!F2</f>
        <v>5.6684695373537997</v>
      </c>
      <c r="F5" s="3" t="s">
        <v>6</v>
      </c>
      <c r="G5" s="2">
        <f>[4]flux_monthly_sd!F2</f>
        <v>5.4333499548186301</v>
      </c>
      <c r="H5" s="1">
        <f>[3]flux_monthly_means!G2</f>
        <v>12.787245846423099</v>
      </c>
      <c r="I5" s="3" t="s">
        <v>6</v>
      </c>
      <c r="J5" s="2">
        <f>[4]flux_monthly_sd!G2</f>
        <v>2.3956649829832002</v>
      </c>
      <c r="K5" s="1">
        <f>[3]flux_monthly_means!I2</f>
        <v>0.34375393383353098</v>
      </c>
      <c r="L5" s="3" t="s">
        <v>6</v>
      </c>
      <c r="M5" s="2">
        <f>[4]flux_monthly_sd!I2</f>
        <v>3.6307273314452299E-2</v>
      </c>
    </row>
    <row r="6" spans="1:13" x14ac:dyDescent="0.3">
      <c r="A6">
        <f>[3]flux_monthly_means!B3</f>
        <v>2</v>
      </c>
      <c r="B6" s="1">
        <f>[3]flux_monthly_means!D3</f>
        <v>4.9165343208343701</v>
      </c>
      <c r="C6" s="3" t="s">
        <v>6</v>
      </c>
      <c r="D6" s="2">
        <f>[4]flux_monthly_sd!D3</f>
        <v>1.36974963777639</v>
      </c>
      <c r="E6" s="1">
        <f>[3]flux_monthly_means!F3</f>
        <v>5.2316787557786197</v>
      </c>
      <c r="F6" s="3" t="s">
        <v>6</v>
      </c>
      <c r="G6" s="2">
        <f>[4]flux_monthly_sd!F3</f>
        <v>2.9825795302859901</v>
      </c>
      <c r="H6" s="1">
        <f>[3]flux_monthly_means!G3</f>
        <v>10.148213076613001</v>
      </c>
      <c r="I6" s="3" t="s">
        <v>6</v>
      </c>
      <c r="J6" s="2">
        <f>[4]flux_monthly_sd!G3</f>
        <v>2.6362821289155001</v>
      </c>
      <c r="K6" s="1">
        <f>[3]flux_monthly_means!I3</f>
        <v>0.23614905113404799</v>
      </c>
      <c r="L6" s="3" t="s">
        <v>6</v>
      </c>
      <c r="M6" s="2">
        <f>[4]flux_monthly_sd!I3</f>
        <v>5.4164026771536998E-2</v>
      </c>
    </row>
    <row r="7" spans="1:13" x14ac:dyDescent="0.3">
      <c r="A7">
        <f>[3]flux_monthly_means!B4</f>
        <v>3</v>
      </c>
      <c r="B7" s="1">
        <f>[3]flux_monthly_means!D4</f>
        <v>5.8059446038036899</v>
      </c>
      <c r="C7" s="3" t="s">
        <v>6</v>
      </c>
      <c r="D7" s="2">
        <f>[4]flux_monthly_sd!D4</f>
        <v>2.62302570070295</v>
      </c>
      <c r="E7" s="1">
        <f>[3]flux_monthly_means!F4</f>
        <v>10.979517811447399</v>
      </c>
      <c r="F7" s="3" t="s">
        <v>6</v>
      </c>
      <c r="G7" s="2">
        <f>[4]flux_monthly_sd!F4</f>
        <v>4.63917521659359</v>
      </c>
      <c r="H7" s="1">
        <f>[3]flux_monthly_means!G4</f>
        <v>16.7854624152511</v>
      </c>
      <c r="I7" s="3" t="s">
        <v>6</v>
      </c>
      <c r="J7" s="2">
        <f>[4]flux_monthly_sd!G4</f>
        <v>3.3202466936155601</v>
      </c>
      <c r="K7" s="1">
        <f>[3]flux_monthly_means!I4</f>
        <v>0.24732125476966299</v>
      </c>
      <c r="L7" s="3" t="s">
        <v>6</v>
      </c>
      <c r="M7" s="2">
        <f>[4]flux_monthly_sd!I4</f>
        <v>9.2336383205787201E-2</v>
      </c>
    </row>
    <row r="8" spans="1:13" x14ac:dyDescent="0.3">
      <c r="A8">
        <f>[3]flux_monthly_means!B5</f>
        <v>4</v>
      </c>
      <c r="B8" s="1">
        <f>[3]flux_monthly_means!D5</f>
        <v>0.22070572874147501</v>
      </c>
      <c r="C8" s="3" t="s">
        <v>6</v>
      </c>
      <c r="D8" s="2">
        <f>[4]flux_monthly_sd!D5</f>
        <v>3.9169839572071998</v>
      </c>
      <c r="E8" s="1">
        <f>[3]flux_monthly_means!F5</f>
        <v>18.7862699793811</v>
      </c>
      <c r="F8" s="3" t="s">
        <v>6</v>
      </c>
      <c r="G8" s="2">
        <f>[4]flux_monthly_sd!F5</f>
        <v>2.6082013051294699</v>
      </c>
      <c r="H8" s="1">
        <f>[3]flux_monthly_means!G5</f>
        <v>19.0069757081225</v>
      </c>
      <c r="I8" s="3" t="s">
        <v>6</v>
      </c>
      <c r="J8" s="2">
        <f>[4]flux_monthly_sd!G5</f>
        <v>4.5636257143658199</v>
      </c>
      <c r="K8" s="1">
        <f>[3]flux_monthly_means!I5</f>
        <v>0.37594148932470201</v>
      </c>
      <c r="L8" s="3" t="s">
        <v>6</v>
      </c>
      <c r="M8" s="2">
        <f>[4]flux_monthly_sd!I5</f>
        <v>7.8371272817263402E-2</v>
      </c>
    </row>
    <row r="9" spans="1:13" x14ac:dyDescent="0.3">
      <c r="A9">
        <f>[3]flux_monthly_means!B6</f>
        <v>5</v>
      </c>
      <c r="B9" s="1">
        <f>[3]flux_monthly_means!D6</f>
        <v>-17.296911569422399</v>
      </c>
      <c r="C9" s="3" t="s">
        <v>6</v>
      </c>
      <c r="D9" s="2">
        <f>[4]flux_monthly_sd!D6</f>
        <v>4.4514726123153601</v>
      </c>
      <c r="E9" s="1">
        <f>[3]flux_monthly_means!F6</f>
        <v>57.579468351278102</v>
      </c>
      <c r="F9" s="3" t="s">
        <v>6</v>
      </c>
      <c r="G9" s="2">
        <f>[4]flux_monthly_sd!F6</f>
        <v>7.5082031007712402</v>
      </c>
      <c r="H9" s="1">
        <f>[3]flux_monthly_means!G6</f>
        <v>40.282556781855703</v>
      </c>
      <c r="I9" s="3" t="s">
        <v>6</v>
      </c>
      <c r="J9" s="2">
        <f>[4]flux_monthly_sd!G6</f>
        <v>4.38867405712445</v>
      </c>
      <c r="K9" s="1">
        <f>[3]flux_monthly_means!I6</f>
        <v>0.89087554553729598</v>
      </c>
      <c r="L9" s="3" t="s">
        <v>6</v>
      </c>
      <c r="M9" s="2">
        <f>[4]flux_monthly_sd!I6</f>
        <v>0.190309705300578</v>
      </c>
    </row>
    <row r="10" spans="1:13" x14ac:dyDescent="0.3">
      <c r="A10">
        <f>[3]flux_monthly_means!B7</f>
        <v>6</v>
      </c>
      <c r="B10" s="1">
        <f>[3]flux_monthly_means!D7</f>
        <v>-30.730719516809401</v>
      </c>
      <c r="C10" s="3" t="s">
        <v>6</v>
      </c>
      <c r="D10" s="2">
        <f>[4]flux_monthly_sd!D7</f>
        <v>5.2019197435390199</v>
      </c>
      <c r="E10" s="1">
        <f>[3]flux_monthly_means!F7</f>
        <v>83.641538850164594</v>
      </c>
      <c r="F10" s="3" t="s">
        <v>6</v>
      </c>
      <c r="G10" s="2">
        <f>[4]flux_monthly_sd!F7</f>
        <v>8.7894246015437094</v>
      </c>
      <c r="H10" s="1">
        <f>[3]flux_monthly_means!G7</f>
        <v>52.910819333355199</v>
      </c>
      <c r="I10" s="3" t="s">
        <v>6</v>
      </c>
      <c r="J10" s="2">
        <f>[4]flux_monthly_sd!G7</f>
        <v>6.4009922847001803</v>
      </c>
      <c r="K10" s="1">
        <f>[3]flux_monthly_means!I7</f>
        <v>1.9393144694889</v>
      </c>
      <c r="L10" s="3" t="s">
        <v>6</v>
      </c>
      <c r="M10" s="2">
        <f>[4]flux_monthly_sd!I7</f>
        <v>0.22546327268121899</v>
      </c>
    </row>
    <row r="11" spans="1:13" x14ac:dyDescent="0.3">
      <c r="A11">
        <f>[3]flux_monthly_means!B8</f>
        <v>7</v>
      </c>
      <c r="B11" s="1">
        <f>[3]flux_monthly_means!D8</f>
        <v>-20.654849002909099</v>
      </c>
      <c r="C11" s="3" t="s">
        <v>6</v>
      </c>
      <c r="D11" s="2">
        <f>[4]flux_monthly_sd!D8</f>
        <v>5.0288959041835897</v>
      </c>
      <c r="E11" s="1">
        <f>[3]flux_monthly_means!F8</f>
        <v>88.503957663438896</v>
      </c>
      <c r="F11" s="3" t="s">
        <v>6</v>
      </c>
      <c r="G11" s="2">
        <f>[4]flux_monthly_sd!F8</f>
        <v>8.2859757680397799</v>
      </c>
      <c r="H11" s="1">
        <f>[3]flux_monthly_means!G8</f>
        <v>67.849108660529893</v>
      </c>
      <c r="I11" s="3" t="s">
        <v>6</v>
      </c>
      <c r="J11" s="2">
        <f>[4]flux_monthly_sd!G8</f>
        <v>8.8253792354621794</v>
      </c>
      <c r="K11" s="1">
        <f>[3]flux_monthly_means!I8</f>
        <v>3.47792142806107</v>
      </c>
      <c r="L11" s="3" t="s">
        <v>6</v>
      </c>
      <c r="M11" s="2">
        <f>[4]flux_monthly_sd!I8</f>
        <v>0.51652161399041796</v>
      </c>
    </row>
    <row r="12" spans="1:13" x14ac:dyDescent="0.3">
      <c r="A12">
        <f>[3]flux_monthly_means!B9</f>
        <v>8</v>
      </c>
      <c r="B12" s="1">
        <f>[3]flux_monthly_means!D9</f>
        <v>-2.0067150643525502</v>
      </c>
      <c r="C12" s="3" t="s">
        <v>6</v>
      </c>
      <c r="D12" s="2">
        <f>[4]flux_monthly_sd!D9</f>
        <v>8.9332547658881598</v>
      </c>
      <c r="E12" s="1">
        <f>[3]flux_monthly_means!F9</f>
        <v>67.825317242197102</v>
      </c>
      <c r="F12" s="3" t="s">
        <v>6</v>
      </c>
      <c r="G12" s="2">
        <f>[4]flux_monthly_sd!F9</f>
        <v>9.4937434884820195</v>
      </c>
      <c r="H12" s="1">
        <f>[3]flux_monthly_means!G9</f>
        <v>65.818602177844596</v>
      </c>
      <c r="I12" s="3" t="s">
        <v>6</v>
      </c>
      <c r="J12" s="2">
        <f>[4]flux_monthly_sd!G9</f>
        <v>9.6134800728467695</v>
      </c>
      <c r="K12" s="1">
        <f>[3]flux_monthly_means!I9</f>
        <v>3.31434633398875</v>
      </c>
      <c r="L12" s="3" t="s">
        <v>6</v>
      </c>
      <c r="M12" s="2">
        <f>[4]flux_monthly_sd!I9</f>
        <v>0.76418148434662703</v>
      </c>
    </row>
    <row r="13" spans="1:13" x14ac:dyDescent="0.3">
      <c r="A13">
        <f>[3]flux_monthly_means!B10</f>
        <v>9</v>
      </c>
      <c r="B13" s="1">
        <f>[3]flux_monthly_means!D10</f>
        <v>8.1258264108122198</v>
      </c>
      <c r="C13" s="3" t="s">
        <v>6</v>
      </c>
      <c r="D13" s="2">
        <f>[4]flux_monthly_sd!D10</f>
        <v>2.4782451788142001</v>
      </c>
      <c r="E13" s="1">
        <f>[3]flux_monthly_means!F10</f>
        <v>37.810796842341702</v>
      </c>
      <c r="F13" s="3" t="s">
        <v>6</v>
      </c>
      <c r="G13" s="2">
        <f>[4]flux_monthly_sd!F10</f>
        <v>4.4401204512078198</v>
      </c>
      <c r="H13" s="1">
        <f>[3]flux_monthly_means!G10</f>
        <v>45.936623253154004</v>
      </c>
      <c r="I13" s="3" t="s">
        <v>6</v>
      </c>
      <c r="J13" s="2">
        <f>[4]flux_monthly_sd!G10</f>
        <v>5.5104014524398002</v>
      </c>
      <c r="K13" s="1">
        <f>[3]flux_monthly_means!I10</f>
        <v>1.6658604872812399</v>
      </c>
      <c r="L13" s="3" t="s">
        <v>6</v>
      </c>
      <c r="M13" s="2">
        <f>[4]flux_monthly_sd!I10</f>
        <v>0.59528231323309999</v>
      </c>
    </row>
    <row r="16" spans="1:13" x14ac:dyDescent="0.3">
      <c r="C16" s="3"/>
      <c r="F16" s="3"/>
      <c r="I16" s="3"/>
      <c r="L16" s="3"/>
    </row>
    <row r="17" spans="3:12" x14ac:dyDescent="0.3">
      <c r="C17" s="3"/>
      <c r="F17" s="3"/>
      <c r="I17" s="3"/>
      <c r="L17" s="3"/>
    </row>
    <row r="18" spans="3:12" x14ac:dyDescent="0.3">
      <c r="C18" s="3"/>
      <c r="F18" s="3"/>
      <c r="I18" s="3"/>
      <c r="L18" s="3"/>
    </row>
    <row r="19" spans="3:12" x14ac:dyDescent="0.3">
      <c r="C19" s="3"/>
      <c r="F19" s="3"/>
      <c r="I19" s="3"/>
      <c r="L19" s="3"/>
    </row>
    <row r="20" spans="3:12" x14ac:dyDescent="0.3">
      <c r="C20" s="3"/>
      <c r="F20" s="3"/>
      <c r="I20" s="3"/>
      <c r="L20" s="3"/>
    </row>
    <row r="21" spans="3:12" x14ac:dyDescent="0.3">
      <c r="C21" s="3"/>
      <c r="F21" s="3"/>
      <c r="I21" s="3"/>
      <c r="L21" s="3"/>
    </row>
    <row r="22" spans="3:12" x14ac:dyDescent="0.3">
      <c r="C22" s="3"/>
      <c r="F22" s="3"/>
      <c r="I22" s="3"/>
      <c r="L22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9"/>
  <sheetViews>
    <sheetView workbookViewId="0">
      <selection activeCell="F22" sqref="F22"/>
    </sheetView>
  </sheetViews>
  <sheetFormatPr defaultRowHeight="14.4" x14ac:dyDescent="0.3"/>
  <cols>
    <col min="4" max="4" width="2.5546875" customWidth="1"/>
    <col min="5" max="5" width="7.33203125" customWidth="1"/>
    <col min="7" max="7" width="2.6640625" customWidth="1"/>
    <col min="10" max="10" width="2.44140625" customWidth="1"/>
    <col min="11" max="11" width="7.77734375" customWidth="1"/>
    <col min="13" max="13" width="2.5546875" customWidth="1"/>
  </cols>
  <sheetData>
    <row r="2" spans="2:14" x14ac:dyDescent="0.3">
      <c r="C2" s="21" t="s">
        <v>16</v>
      </c>
      <c r="D2" s="21"/>
      <c r="E2" s="21"/>
      <c r="F2" s="21" t="s">
        <v>10</v>
      </c>
      <c r="G2" s="21"/>
      <c r="H2" s="21"/>
      <c r="I2" s="21" t="s">
        <v>11</v>
      </c>
      <c r="J2" s="21"/>
      <c r="K2" s="21"/>
      <c r="L2" s="21" t="s">
        <v>12</v>
      </c>
      <c r="M2" s="21"/>
      <c r="N2" s="21"/>
    </row>
    <row r="3" spans="2:14" x14ac:dyDescent="0.3">
      <c r="B3">
        <v>2015</v>
      </c>
      <c r="C3">
        <f>ROUND([1]annual_budget!P2, 1)</f>
        <v>1834</v>
      </c>
      <c r="D3" s="3" t="s">
        <v>6</v>
      </c>
      <c r="E3" s="4">
        <f>ROUND([1]annual_budget!Q2, 1)</f>
        <v>161.19999999999999</v>
      </c>
      <c r="F3">
        <f>ROUND([1]annual_budget!R2, 1)</f>
        <v>770.8</v>
      </c>
      <c r="G3" s="3" t="s">
        <v>6</v>
      </c>
      <c r="H3" s="4">
        <f>ROUND([1]annual_budget!S2, 1)</f>
        <v>92.2</v>
      </c>
      <c r="I3">
        <f>ROUND([1]annual_budget!T2, 1)</f>
        <v>1526.6</v>
      </c>
      <c r="J3" s="3" t="s">
        <v>6</v>
      </c>
      <c r="K3" s="4">
        <f>ROUND([1]annual_budget!U2, 1)</f>
        <v>143.9</v>
      </c>
      <c r="L3">
        <f>ROUND([1]annual_budget!V2, 1)</f>
        <v>359.2</v>
      </c>
      <c r="M3" s="3" t="s">
        <v>6</v>
      </c>
      <c r="N3" s="4">
        <f>ROUND([1]annual_budget!W2, 1)</f>
        <v>73.900000000000006</v>
      </c>
    </row>
    <row r="4" spans="2:14" x14ac:dyDescent="0.3">
      <c r="B4">
        <v>2016</v>
      </c>
      <c r="C4">
        <f>ROUND([1]annual_budget!P3, 1)</f>
        <v>2422.1999999999998</v>
      </c>
      <c r="D4" s="3" t="s">
        <v>6</v>
      </c>
      <c r="E4" s="4">
        <f>ROUND([1]annual_budget!Q3, 1)</f>
        <v>209.8</v>
      </c>
      <c r="F4">
        <f>ROUND([1]annual_budget!R3, 1)</f>
        <v>1192.9000000000001</v>
      </c>
      <c r="G4" s="3" t="s">
        <v>6</v>
      </c>
      <c r="H4" s="4">
        <f>ROUND([1]annual_budget!S3, 1)</f>
        <v>111.4</v>
      </c>
      <c r="I4">
        <f>ROUND([1]annual_budget!T3, 1)</f>
        <v>2066.9</v>
      </c>
      <c r="J4" s="3" t="s">
        <v>6</v>
      </c>
      <c r="K4" s="4">
        <f>ROUND([1]annual_budget!U3, 1)</f>
        <v>185.7</v>
      </c>
      <c r="L4">
        <f>ROUND([1]annual_budget!V3, 1)</f>
        <v>717</v>
      </c>
      <c r="M4" s="3" t="s">
        <v>6</v>
      </c>
      <c r="N4" s="4">
        <f>ROUND([1]annual_budget!W3, 1)</f>
        <v>83.2</v>
      </c>
    </row>
    <row r="5" spans="2:14" x14ac:dyDescent="0.3">
      <c r="B5">
        <v>2017</v>
      </c>
      <c r="C5">
        <f>ROUND([1]annual_budget!P4, 1)</f>
        <v>1648.2</v>
      </c>
      <c r="D5" s="3" t="s">
        <v>6</v>
      </c>
      <c r="E5" s="4">
        <f>ROUND([1]annual_budget!Q4, 1)</f>
        <v>128.9</v>
      </c>
      <c r="F5">
        <f>ROUND([1]annual_budget!R4, 1)</f>
        <v>747.7</v>
      </c>
      <c r="G5" s="3" t="s">
        <v>6</v>
      </c>
      <c r="H5" s="4">
        <f>ROUND([1]annual_budget!S4, 1)</f>
        <v>63</v>
      </c>
      <c r="I5">
        <f>ROUND([1]annual_budget!T4, 1)</f>
        <v>1387.9</v>
      </c>
      <c r="J5" s="3" t="s">
        <v>6</v>
      </c>
      <c r="K5" s="4">
        <f>ROUND([1]annual_budget!U4, 1)</f>
        <v>113.2</v>
      </c>
      <c r="L5">
        <f>ROUND([1]annual_budget!V4, 1)</f>
        <v>399.2</v>
      </c>
      <c r="M5" s="3" t="s">
        <v>6</v>
      </c>
      <c r="N5" s="4">
        <f>ROUND([1]annual_budget!W4, 1)</f>
        <v>42.2</v>
      </c>
    </row>
    <row r="6" spans="2:14" x14ac:dyDescent="0.3">
      <c r="B6">
        <v>2018</v>
      </c>
      <c r="C6">
        <f>ROUND([1]annual_budget!P5, 1)</f>
        <v>1488.9</v>
      </c>
      <c r="D6" s="3" t="s">
        <v>6</v>
      </c>
      <c r="E6" s="4">
        <f>ROUND([1]annual_budget!Q5, 1)</f>
        <v>112.7</v>
      </c>
      <c r="F6">
        <f>ROUND([1]annual_budget!R5, 1)</f>
        <v>658.2</v>
      </c>
      <c r="G6" s="3" t="s">
        <v>6</v>
      </c>
      <c r="H6" s="4">
        <f>ROUND([1]annual_budget!S5, 1)</f>
        <v>87.3</v>
      </c>
      <c r="I6">
        <f>ROUND([1]annual_budget!T5, 1)</f>
        <v>1248.7</v>
      </c>
      <c r="J6" s="3" t="s">
        <v>6</v>
      </c>
      <c r="K6" s="4">
        <f>ROUND([1]annual_budget!U5, 1)</f>
        <v>105.7</v>
      </c>
      <c r="L6">
        <f>ROUND([1]annual_budget!V5, 1)</f>
        <v>336.6</v>
      </c>
      <c r="M6" s="3" t="s">
        <v>6</v>
      </c>
      <c r="N6" s="4">
        <f>ROUND([1]annual_budget!W5, 1)</f>
        <v>82.1</v>
      </c>
    </row>
    <row r="7" spans="2:14" x14ac:dyDescent="0.3">
      <c r="B7">
        <v>2019</v>
      </c>
      <c r="C7">
        <f>ROUND([1]annual_budget!P6, 1)</f>
        <v>1439.7</v>
      </c>
      <c r="D7" s="3" t="s">
        <v>6</v>
      </c>
      <c r="E7" s="4">
        <f>ROUND([1]annual_budget!Q6, 1)</f>
        <v>98.8</v>
      </c>
      <c r="F7">
        <f>ROUND([1]annual_budget!R6, 1)</f>
        <v>646.20000000000005</v>
      </c>
      <c r="G7" s="3" t="s">
        <v>6</v>
      </c>
      <c r="H7" s="4">
        <f>ROUND([1]annual_budget!S6, 1)</f>
        <v>56.4</v>
      </c>
      <c r="I7">
        <f>ROUND([1]annual_budget!T6, 1)</f>
        <v>1210.3</v>
      </c>
      <c r="J7" s="3" t="s">
        <v>6</v>
      </c>
      <c r="K7" s="4">
        <f>ROUND([1]annual_budget!U6, 1)</f>
        <v>88.2</v>
      </c>
      <c r="L7">
        <f>ROUND([1]annual_budget!V6, 1)</f>
        <v>339</v>
      </c>
      <c r="M7" s="3" t="s">
        <v>6</v>
      </c>
      <c r="N7" s="4">
        <f>ROUND([1]annual_budget!W6, 1)</f>
        <v>45.2</v>
      </c>
    </row>
    <row r="8" spans="2:14" x14ac:dyDescent="0.3">
      <c r="B8">
        <v>2020</v>
      </c>
      <c r="C8">
        <f>ROUND([1]annual_budget!P7, 1)</f>
        <v>1783.7</v>
      </c>
      <c r="D8" s="3" t="s">
        <v>6</v>
      </c>
      <c r="E8" s="4">
        <f>ROUND([1]annual_budget!Q7, 1)</f>
        <v>112.9</v>
      </c>
      <c r="F8">
        <f>ROUND([1]annual_budget!R7, 1)</f>
        <v>885</v>
      </c>
      <c r="G8" s="3" t="s">
        <v>6</v>
      </c>
      <c r="H8" s="4">
        <f>ROUND([1]annual_budget!S7, 1)</f>
        <v>72.2</v>
      </c>
      <c r="I8">
        <f>ROUND([1]annual_budget!T7, 1)</f>
        <v>1523.8</v>
      </c>
      <c r="J8" s="3" t="s">
        <v>6</v>
      </c>
      <c r="K8" s="4">
        <f>ROUND([1]annual_budget!U7, 1)</f>
        <v>102.3</v>
      </c>
      <c r="L8">
        <f>ROUND([1]annual_budget!V7, 1)</f>
        <v>537</v>
      </c>
      <c r="M8" s="3" t="s">
        <v>6</v>
      </c>
      <c r="N8" s="4">
        <f>ROUND([1]annual_budget!W7, 1)</f>
        <v>62.4</v>
      </c>
    </row>
    <row r="9" spans="2:14" x14ac:dyDescent="0.3">
      <c r="D9" s="3"/>
    </row>
  </sheetData>
  <mergeCells count="4">
    <mergeCell ref="C2:E2"/>
    <mergeCell ref="F2:H2"/>
    <mergeCell ref="I2:K2"/>
    <mergeCell ref="L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2:AF23"/>
  <sheetViews>
    <sheetView zoomScale="84" zoomScaleNormal="84" workbookViewId="0">
      <pane xSplit="2" ySplit="2" topLeftCell="M26" activePane="bottomRight" state="frozen"/>
      <selection pane="topRight" activeCell="C1" sqref="C1"/>
      <selection pane="bottomLeft" activeCell="A3" sqref="A3"/>
      <selection pane="bottomRight" activeCell="Q5" sqref="Q5:Q14"/>
    </sheetView>
  </sheetViews>
  <sheetFormatPr defaultRowHeight="14.4" x14ac:dyDescent="0.3"/>
  <cols>
    <col min="1" max="1" width="13.21875" customWidth="1"/>
    <col min="3" max="6" width="8.77734375" bestFit="1" customWidth="1"/>
    <col min="7" max="7" width="13.88671875" customWidth="1"/>
    <col min="8" max="8" width="8.77734375" bestFit="1" customWidth="1"/>
    <col min="9" max="9" width="9.33203125" bestFit="1" customWidth="1"/>
    <col min="10" max="10" width="8.77734375" bestFit="1" customWidth="1"/>
    <col min="11" max="11" width="9.33203125" bestFit="1" customWidth="1"/>
    <col min="12" max="15" width="8.77734375" bestFit="1" customWidth="1"/>
    <col min="16" max="16" width="11.33203125" bestFit="1" customWidth="1"/>
    <col min="17" max="17" width="9.33203125" bestFit="1" customWidth="1"/>
    <col min="18" max="18" width="8.77734375" bestFit="1" customWidth="1"/>
    <col min="19" max="19" width="10.33203125" bestFit="1" customWidth="1"/>
    <col min="20" max="20" width="9.33203125" bestFit="1" customWidth="1"/>
    <col min="21" max="23" width="8.77734375" bestFit="1" customWidth="1"/>
  </cols>
  <sheetData>
    <row r="2" spans="1:32" x14ac:dyDescent="0.3">
      <c r="A2" t="s">
        <v>46</v>
      </c>
      <c r="B2" t="str">
        <f>[5]met_annual_summary!B1</f>
        <v>period</v>
      </c>
      <c r="C2" t="str">
        <f>[5]met_annual_summary!C1</f>
        <v>min_TS.5</v>
      </c>
      <c r="D2" t="str">
        <f>[5]met_annual_summary!D1</f>
        <v>max_TS.5</v>
      </c>
      <c r="E2" t="str">
        <f>[5]met_annual_summary!E1</f>
        <v>min_Ta</v>
      </c>
      <c r="F2" t="str">
        <f>[5]met_annual_summary!F1</f>
        <v>max_Ta</v>
      </c>
      <c r="G2" t="str">
        <f>[5]met_annual_summary!G1</f>
        <v>min_wtd</v>
      </c>
      <c r="H2" t="str">
        <f>[5]met_annual_summary!H1</f>
        <v>max_wtd</v>
      </c>
      <c r="I2" t="str">
        <f>[5]met_annual_summary!I1</f>
        <v>day_wtd</v>
      </c>
      <c r="J2" t="str">
        <f>[5]met_annual_summary!J1</f>
        <v>day_wtd2</v>
      </c>
      <c r="K2" t="str">
        <f>[5]met_annual_summary!K1</f>
        <v>wtmd</v>
      </c>
      <c r="L2" t="str">
        <f>[5]met_annual_summary!L1</f>
        <v>wtms</v>
      </c>
      <c r="M2" t="str">
        <f>[5]met_annual_summary!M1</f>
        <v>day_precip</v>
      </c>
      <c r="N2" t="str">
        <f>[5]met_annual_summary!N1</f>
        <v>TS.5</v>
      </c>
      <c r="O2" t="str">
        <f>[5]met_annual_summary!O1</f>
        <v>TS.10</v>
      </c>
      <c r="P2" t="str">
        <f>[5]met_annual_summary!P1</f>
        <v>TS.50</v>
      </c>
      <c r="Q2" t="str">
        <f>[5]met_annual_summary!Q1</f>
        <v>RH</v>
      </c>
      <c r="R2" t="str">
        <f>[5]met_annual_summary!R1</f>
        <v>PARin</v>
      </c>
      <c r="S2" t="str">
        <f>[5]met_annual_summary!S1</f>
        <v>SWin</v>
      </c>
      <c r="T2" t="str">
        <f>[5]met_annual_summary!T1</f>
        <v>VPD</v>
      </c>
      <c r="U2" t="str">
        <f>[5]met_annual_summary!U1</f>
        <v>Precip</v>
      </c>
      <c r="V2" t="str">
        <f>[5]met_annual_summary!V1</f>
        <v>PA</v>
      </c>
      <c r="W2" t="str">
        <f>[5]met_annual_summary!W1</f>
        <v>Ta</v>
      </c>
      <c r="X2" t="str">
        <f>[5]met_annual_summary!X1</f>
        <v>SWC</v>
      </c>
      <c r="Y2" t="str">
        <f>[5]met_annual_summary!Y1</f>
        <v>ET</v>
      </c>
      <c r="Z2" t="str">
        <f>[5]met_annual_summary!Z1</f>
        <v>wtd</v>
      </c>
      <c r="AA2" t="str">
        <f>[5]met_annual_summary!AA1</f>
        <v>br</v>
      </c>
      <c r="AB2" t="str">
        <f>[5]met_annual_summary!AB1</f>
        <v>albedo</v>
      </c>
      <c r="AC2" t="str">
        <f>[5]met_annual_summary!AC1</f>
        <v>LST</v>
      </c>
      <c r="AD2" t="str">
        <f>[5]met_annual_summary!AD1</f>
        <v>G</v>
      </c>
      <c r="AE2" t="str">
        <f>[5]met_annual_summary!AE1</f>
        <v>G_corr</v>
      </c>
      <c r="AF2" t="s">
        <v>51</v>
      </c>
    </row>
    <row r="3" spans="1:32" s="8" customFormat="1" hidden="1" x14ac:dyDescent="0.3">
      <c r="A3" s="9" t="s">
        <v>36</v>
      </c>
      <c r="B3" s="9" t="s">
        <v>5</v>
      </c>
      <c r="C3" s="10">
        <f>[5]met_annual_summary!C2</f>
        <v>0.62057860416666699</v>
      </c>
      <c r="D3" s="10">
        <f>[5]met_annual_summary!D2</f>
        <v>19.538633541666702</v>
      </c>
      <c r="E3" s="10">
        <f>[5]met_annual_summary!E2</f>
        <v>-6.0647462291666701</v>
      </c>
      <c r="F3" s="10">
        <f>[5]met_annual_summary!F2</f>
        <v>22.3171102083333</v>
      </c>
      <c r="G3" s="10">
        <f>[5]met_annual_summary!G2</f>
        <v>-0.187403696101093</v>
      </c>
      <c r="H3" s="10">
        <f>[5]met_annual_summary!H2</f>
        <v>0.16870634047308999</v>
      </c>
      <c r="I3" s="10">
        <f>[5]met_annual_summary!I2</f>
        <v>267</v>
      </c>
      <c r="J3" s="10">
        <f>[5]met_annual_summary!J2</f>
        <v>54</v>
      </c>
      <c r="K3" s="10">
        <f>[5]met_annual_summary!K2</f>
        <v>98</v>
      </c>
      <c r="L3" s="10">
        <f>[5]met_annual_summary!L2</f>
        <v>267</v>
      </c>
      <c r="M3" s="10">
        <f>[5]met_annual_summary!M2</f>
        <v>204</v>
      </c>
      <c r="N3" s="13">
        <f>[5]met_annual_summary!N2</f>
        <v>11.4196209422326</v>
      </c>
      <c r="O3" s="13">
        <f>[5]met_annual_summary!O2</f>
        <v>11.2654786321675</v>
      </c>
      <c r="P3" s="13">
        <f>[5]met_annual_summary!P2</f>
        <v>11.074650062780499</v>
      </c>
      <c r="Q3" s="10">
        <f>[5]met_annual_summary!Q2</f>
        <v>82.562219699972104</v>
      </c>
      <c r="R3" s="10">
        <f>[5]met_annual_summary!R2</f>
        <v>9776.4138410938795</v>
      </c>
      <c r="S3" s="10">
        <f>[5]met_annual_summary!S2</f>
        <v>137.390890128053</v>
      </c>
      <c r="T3" s="10">
        <f>[5]met_annual_summary!T2</f>
        <v>0.29508890611570798</v>
      </c>
      <c r="U3" s="10">
        <f>[5]met_annual_summary!U2</f>
        <v>1296.5999999999999</v>
      </c>
      <c r="V3" s="10">
        <f>[5]met_annual_summary!V2</f>
        <v>101.463062147819</v>
      </c>
      <c r="W3" s="10">
        <f>[5]met_annual_summary!W2</f>
        <v>10.302686128132001</v>
      </c>
      <c r="X3" s="10">
        <f>[5]met_annual_summary!X2 *100</f>
        <v>7934.4639100407503</v>
      </c>
      <c r="Y3" s="10">
        <f>[5]met_annual_summary!Y2</f>
        <v>656.25557428077195</v>
      </c>
      <c r="Z3" s="10">
        <f>[5]met_annual_summary!Z2</f>
        <v>4.7754421135951901E-2</v>
      </c>
      <c r="AA3" s="10">
        <f>[5]met_annual_summary!AA2</f>
        <v>-1.52728118513768</v>
      </c>
      <c r="AB3" s="10">
        <f>[5]met_annual_summary!AB2</f>
        <v>0.18598536420716399</v>
      </c>
      <c r="AC3" s="10">
        <f>[5]met_annual_summary!AC2</f>
        <v>11.2002484267841</v>
      </c>
      <c r="AD3" s="10">
        <f>[5]met_annual_summary!AD2</f>
        <v>1.3646601260286599</v>
      </c>
      <c r="AE3" s="10">
        <f>[5]met_annual_summary!AE2</f>
        <v>15.5466036124306</v>
      </c>
      <c r="AF3" s="8">
        <f>Z3*100</f>
        <v>4.7754421135951901</v>
      </c>
    </row>
    <row r="4" spans="1:32" hidden="1" x14ac:dyDescent="0.3">
      <c r="A4" s="4">
        <v>2016</v>
      </c>
      <c r="B4" s="4" t="s">
        <v>2</v>
      </c>
      <c r="C4" s="1">
        <f>[6]met_season_summary!D2</f>
        <v>0.62057860416666699</v>
      </c>
      <c r="D4" s="1">
        <f>[6]met_season_summary!E2</f>
        <v>13.865451041666701</v>
      </c>
      <c r="E4" s="1">
        <f>[6]met_season_summary!F2</f>
        <v>-6.0647462291666701</v>
      </c>
      <c r="F4" s="1">
        <f>[6]met_season_summary!G2</f>
        <v>15.7352904166667</v>
      </c>
      <c r="G4" s="1">
        <f>[6]met_season_summary!H2</f>
        <v>-0.187403696101093</v>
      </c>
      <c r="H4" s="1">
        <f>[6]met_season_summary!I2</f>
        <v>0.16870634047308999</v>
      </c>
      <c r="I4" s="1">
        <f>[6]met_season_summary!J2</f>
        <v>153</v>
      </c>
      <c r="J4" s="1">
        <f>[6]met_season_summary!K2</f>
        <v>14</v>
      </c>
      <c r="K4" s="1">
        <f>[6]met_season_summary!L2</f>
        <v>29</v>
      </c>
      <c r="L4" s="1">
        <f>[6]met_season_summary!M2</f>
        <v>153</v>
      </c>
      <c r="M4" s="1">
        <f>[6]met_season_summary!N2</f>
        <v>147</v>
      </c>
      <c r="N4" s="6">
        <f>[6]met_season_summary!O2</f>
        <v>6.46102490887304</v>
      </c>
      <c r="O4" s="6">
        <f>[6]met_season_summary!P2</f>
        <v>6.5404109960593502</v>
      </c>
      <c r="P4" s="6">
        <f>[6]met_season_summary!Q2</f>
        <v>8.2791950683281694</v>
      </c>
      <c r="Q4" s="1">
        <f>[6]met_season_summary!R2</f>
        <v>86.279171209193095</v>
      </c>
      <c r="R4" s="1">
        <f>[6]met_season_summary!S2</f>
        <v>1797.2495571642401</v>
      </c>
      <c r="S4" s="1">
        <f>[6]met_season_summary!T2</f>
        <v>53.096546856626503</v>
      </c>
      <c r="T4" s="1">
        <f>[6]met_season_summary!U2</f>
        <v>0.13278623384826699</v>
      </c>
      <c r="U4" s="1">
        <f>[6]met_season_summary!V2</f>
        <v>981</v>
      </c>
      <c r="V4" s="1">
        <f>[6]met_season_summary!W2</f>
        <v>101.35943610689</v>
      </c>
      <c r="W4" s="1">
        <f>[6]met_season_summary!X2</f>
        <v>5.34059617260443</v>
      </c>
      <c r="X4" s="1">
        <f>[6]met_season_summary!Y2 *100</f>
        <v>8537.8829067236693</v>
      </c>
      <c r="Y4" s="1">
        <f>[6]met_season_summary!Z2</f>
        <v>62.501106382973298</v>
      </c>
      <c r="Z4" s="1">
        <f>[6]met_season_summary!AA2</f>
        <v>7.3150538944788498E-2</v>
      </c>
      <c r="AA4" s="1">
        <f>[6]met_season_summary!AB2</f>
        <v>-3.3221856159502501</v>
      </c>
      <c r="AB4" s="1">
        <f>[6]met_season_summary!AC2</f>
        <v>0.21217008783829999</v>
      </c>
      <c r="AC4" s="1">
        <f>[6]met_season_summary!AD2</f>
        <v>5.2068076342503202</v>
      </c>
      <c r="AD4" s="1">
        <f>[6]met_season_summary!AE2</f>
        <v>-2.5646474736257501</v>
      </c>
      <c r="AE4" s="1">
        <f>[6]met_season_summary!AF2</f>
        <v>6.7964936272451002</v>
      </c>
      <c r="AF4" s="8">
        <f t="shared" ref="AF4:AF23" si="0">Z4*100</f>
        <v>7.3150538944788499</v>
      </c>
    </row>
    <row r="5" spans="1:32" s="17" customFormat="1" x14ac:dyDescent="0.3">
      <c r="A5" s="15">
        <v>2017</v>
      </c>
      <c r="B5" s="15" t="s">
        <v>1</v>
      </c>
      <c r="C5" s="16">
        <f>[6]met_season_summary!D3</f>
        <v>9.4623010624999999</v>
      </c>
      <c r="D5" s="16">
        <f>[6]met_season_summary!E3</f>
        <v>19.538633541666702</v>
      </c>
      <c r="E5" s="16">
        <f>[6]met_season_summary!F3</f>
        <v>7.0296019166666701</v>
      </c>
      <c r="F5" s="16">
        <f>[6]met_season_summary!G3</f>
        <v>22.3171102083333</v>
      </c>
      <c r="G5" s="16">
        <f>[6]met_season_summary!H3</f>
        <v>-0.16741037222222199</v>
      </c>
      <c r="H5" s="16">
        <f>[6]met_season_summary!I3</f>
        <v>0.15517339777560701</v>
      </c>
      <c r="I5" s="16">
        <f>[6]met_season_summary!J3</f>
        <v>114</v>
      </c>
      <c r="J5" s="16">
        <f>[6]met_season_summary!K3</f>
        <v>40</v>
      </c>
      <c r="K5" s="16">
        <f>[6]met_season_summary!L3</f>
        <v>69</v>
      </c>
      <c r="L5" s="16">
        <f>[6]met_season_summary!M3</f>
        <v>114</v>
      </c>
      <c r="M5" s="16">
        <f>[6]met_season_summary!N3</f>
        <v>57</v>
      </c>
      <c r="N5" s="19">
        <f>[6]met_season_summary!O3</f>
        <v>16.3511208224044</v>
      </c>
      <c r="O5" s="19">
        <f>[6]met_season_summary!P3</f>
        <v>15.964726226548301</v>
      </c>
      <c r="P5" s="19">
        <f>[6]met_season_summary!Q3</f>
        <v>13.854829346880701</v>
      </c>
      <c r="Q5" s="16">
        <f>[6]met_season_summary!R3</f>
        <v>78.865579401183993</v>
      </c>
      <c r="R5" s="16">
        <f>[6]met_season_summary!S3</f>
        <v>7979.1642839296401</v>
      </c>
      <c r="S5" s="16">
        <f>[6]met_season_summary!T3</f>
        <v>221.22460857286001</v>
      </c>
      <c r="T5" s="16">
        <f>[6]met_season_summary!U3</f>
        <v>0.45650467853469401</v>
      </c>
      <c r="U5" s="16">
        <f>[6]met_season_summary!V3</f>
        <v>315.60000000000002</v>
      </c>
      <c r="V5" s="16">
        <f>[6]met_season_summary!W3</f>
        <v>101.56612192623</v>
      </c>
      <c r="W5" s="16">
        <f>[6]met_season_summary!X3</f>
        <v>15.237660838000901</v>
      </c>
      <c r="X5" s="16">
        <f>[6]met_season_summary!Y3*100</f>
        <v>7334.3422849244107</v>
      </c>
      <c r="Y5" s="16">
        <f>[6]met_season_summary!Z3</f>
        <v>593.75446789779903</v>
      </c>
      <c r="Z5" s="16">
        <f>[6]met_season_summary!AA3</f>
        <v>2.24970799271637E-2</v>
      </c>
      <c r="AA5" s="16">
        <f>[6]met_season_summary!AB3</f>
        <v>-0.56416173445777296</v>
      </c>
      <c r="AB5" s="16">
        <f>[6]met_season_summary!AC3</f>
        <v>0.16037298426195401</v>
      </c>
      <c r="AC5" s="16">
        <f>[6]met_season_summary!AD3</f>
        <v>17.128187134153499</v>
      </c>
      <c r="AD5" s="16">
        <f>[6]met_season_summary!AE3</f>
        <v>5.2510244732278402</v>
      </c>
      <c r="AE5" s="16">
        <f>[6]met_season_summary!AF3</f>
        <v>24.2010839802916</v>
      </c>
      <c r="AF5" s="8">
        <f t="shared" si="0"/>
        <v>2.2497079927163699</v>
      </c>
    </row>
    <row r="6" spans="1:32" s="8" customFormat="1" hidden="1" x14ac:dyDescent="0.3">
      <c r="A6" s="9" t="s">
        <v>37</v>
      </c>
      <c r="B6" s="9" t="s">
        <v>5</v>
      </c>
      <c r="C6" s="10">
        <f>[5]met_annual_summary!C3</f>
        <v>2.58097264583333</v>
      </c>
      <c r="D6" s="10">
        <f>[5]met_annual_summary!D3</f>
        <v>19.337575208333298</v>
      </c>
      <c r="E6" s="10">
        <f>[5]met_annual_summary!E3</f>
        <v>-2.55568808333333</v>
      </c>
      <c r="F6" s="10">
        <f>[5]met_annual_summary!F3</f>
        <v>23.2928102083333</v>
      </c>
      <c r="G6" s="10">
        <f>[5]met_annual_summary!G3</f>
        <v>-0.22698214991718299</v>
      </c>
      <c r="H6" s="10">
        <f>[5]met_annual_summary!H3</f>
        <v>0.151494564638889</v>
      </c>
      <c r="I6" s="10">
        <f>[5]met_annual_summary!I3</f>
        <v>219</v>
      </c>
      <c r="J6" s="10">
        <f>[5]met_annual_summary!J3</f>
        <v>89</v>
      </c>
      <c r="K6" s="10">
        <f>[5]met_annual_summary!K3</f>
        <v>146</v>
      </c>
      <c r="L6" s="10">
        <f>[5]met_annual_summary!L3</f>
        <v>219</v>
      </c>
      <c r="M6" s="10">
        <f>[5]met_annual_summary!M3</f>
        <v>194</v>
      </c>
      <c r="N6" s="13">
        <f>[5]met_annual_summary!N3</f>
        <v>11.3682402061073</v>
      </c>
      <c r="O6" s="13">
        <f>[5]met_annual_summary!O3</f>
        <v>11.163807609075301</v>
      </c>
      <c r="P6" s="13">
        <f>[5]met_annual_summary!P3</f>
        <v>11.059038220975999</v>
      </c>
      <c r="Q6" s="10">
        <f>[5]met_annual_summary!Q3</f>
        <v>83.750283414383603</v>
      </c>
      <c r="R6" s="10">
        <f>[5]met_annual_summary!R3</f>
        <v>9820.6546777738204</v>
      </c>
      <c r="S6" s="10">
        <f>[5]met_annual_summary!S3</f>
        <v>141.323462151256</v>
      </c>
      <c r="T6" s="10">
        <f>[5]met_annual_summary!T3</f>
        <v>0.29244440147473899</v>
      </c>
      <c r="U6" s="10">
        <f>[5]met_annual_summary!U3</f>
        <v>1198.9000000000001</v>
      </c>
      <c r="V6" s="10">
        <f>[5]met_annual_summary!V3</f>
        <v>101.74766386472599</v>
      </c>
      <c r="W6" s="10">
        <f>[5]met_annual_summary!W3</f>
        <v>10.4892465784817</v>
      </c>
      <c r="X6" s="10">
        <f>[5]met_annual_summary!X3*100</f>
        <v>8052.6500381502301</v>
      </c>
      <c r="Y6" s="10">
        <f>[5]met_annual_summary!Y3</f>
        <v>756.16305644499801</v>
      </c>
      <c r="Z6" s="10">
        <f>[5]met_annual_summary!Z3</f>
        <v>6.1566516823800101E-3</v>
      </c>
      <c r="AA6" s="10">
        <f>[5]met_annual_summary!AA3</f>
        <v>-0.54347737381053096</v>
      </c>
      <c r="AB6" s="10">
        <f>[5]met_annual_summary!AB3</f>
        <v>0.16042767577680001</v>
      </c>
      <c r="AC6" s="10">
        <f>[5]met_annual_summary!AC3</f>
        <v>11.6383267702385</v>
      </c>
      <c r="AD6" s="10">
        <f>[5]met_annual_summary!AD3</f>
        <v>0.86301856435142499</v>
      </c>
      <c r="AE6" s="10">
        <f>[5]met_annual_summary!AE3</f>
        <v>14.7070837162257</v>
      </c>
      <c r="AF6" s="8">
        <f t="shared" si="0"/>
        <v>0.61566516823800099</v>
      </c>
    </row>
    <row r="7" spans="1:32" hidden="1" x14ac:dyDescent="0.3">
      <c r="A7" s="4">
        <v>2017</v>
      </c>
      <c r="B7" s="4" t="s">
        <v>2</v>
      </c>
      <c r="C7" s="1">
        <f>[6]met_season_summary!D4</f>
        <v>2.58097264583333</v>
      </c>
      <c r="D7" s="1">
        <f>[6]met_season_summary!E4</f>
        <v>13.983985000000001</v>
      </c>
      <c r="E7" s="1">
        <f>[6]met_season_summary!F4</f>
        <v>-2.55568808333333</v>
      </c>
      <c r="F7" s="1">
        <f>[6]met_season_summary!G4</f>
        <v>13.1099737083333</v>
      </c>
      <c r="G7" s="1">
        <f>[6]met_season_summary!H4</f>
        <v>-0.16628018852953999</v>
      </c>
      <c r="H7" s="1">
        <f>[6]met_season_summary!I4</f>
        <v>0.151494564638889</v>
      </c>
      <c r="I7" s="1">
        <f>[6]met_season_summary!J4</f>
        <v>140</v>
      </c>
      <c r="J7" s="1">
        <f>[6]met_season_summary!K4</f>
        <v>17</v>
      </c>
      <c r="K7" s="1">
        <f>[6]met_season_summary!L4</f>
        <v>42</v>
      </c>
      <c r="L7" s="1">
        <f>[6]met_season_summary!M4</f>
        <v>140</v>
      </c>
      <c r="M7" s="1">
        <f>[6]met_season_summary!N4</f>
        <v>128</v>
      </c>
      <c r="N7" s="6">
        <f>[6]met_season_summary!O4</f>
        <v>6.9084672914377299</v>
      </c>
      <c r="O7" s="6">
        <f>[6]met_season_summary!P4</f>
        <v>6.8802411824633696</v>
      </c>
      <c r="P7" s="6">
        <f>[6]met_season_summary!Q4</f>
        <v>8.4292723377403806</v>
      </c>
      <c r="Q7" s="1">
        <f>[6]met_season_summary!R4</f>
        <v>87.827457885760097</v>
      </c>
      <c r="R7" s="1">
        <f>[6]met_season_summary!S4</f>
        <v>2041.44416933098</v>
      </c>
      <c r="S7" s="1">
        <f>[6]met_season_summary!T4</f>
        <v>62.414759014537502</v>
      </c>
      <c r="T7" s="1">
        <f>[6]met_season_summary!U4</f>
        <v>0.12870824901413999</v>
      </c>
      <c r="U7" s="1">
        <f>[6]met_season_summary!V4</f>
        <v>909.6</v>
      </c>
      <c r="V7" s="1">
        <f>[6]met_season_summary!W4</f>
        <v>101.784905649038</v>
      </c>
      <c r="W7" s="1">
        <f>[6]met_season_summary!X4</f>
        <v>5.6242768431776602</v>
      </c>
      <c r="X7" s="1">
        <f>[6]met_season_summary!Y4*100</f>
        <v>8407.8417417802193</v>
      </c>
      <c r="Y7" s="1">
        <f>[6]met_season_summary!Z4</f>
        <v>90.454722980857895</v>
      </c>
      <c r="Z7" s="1">
        <f>[6]met_season_summary!AA4</f>
        <v>6.0325182777581997E-2</v>
      </c>
      <c r="AA7" s="1">
        <f>[6]met_season_summary!AB4</f>
        <v>-1.80821120430222</v>
      </c>
      <c r="AB7" s="1">
        <f>[6]met_season_summary!AC4</f>
        <v>0.161010149745658</v>
      </c>
      <c r="AC7" s="1">
        <f>[6]met_season_summary!AD4</f>
        <v>5.8933744985070602</v>
      </c>
      <c r="AD7" s="1">
        <f>[6]met_season_summary!AE4</f>
        <v>-1.9904934662918801</v>
      </c>
      <c r="AE7" s="1">
        <f>[6]met_season_summary!AF4</f>
        <v>7.7905600763525698</v>
      </c>
      <c r="AF7" s="8">
        <f t="shared" si="0"/>
        <v>6.0325182777582</v>
      </c>
    </row>
    <row r="8" spans="1:32" s="17" customFormat="1" x14ac:dyDescent="0.3">
      <c r="A8" s="15">
        <v>2018</v>
      </c>
      <c r="B8" s="15" t="s">
        <v>1</v>
      </c>
      <c r="C8" s="16">
        <f>[6]met_season_summary!D5</f>
        <v>9.0760594791666698</v>
      </c>
      <c r="D8" s="16">
        <f>[6]met_season_summary!E5</f>
        <v>19.337575208333298</v>
      </c>
      <c r="E8" s="16">
        <f>[6]met_season_summary!F5</f>
        <v>5.8726029583333297</v>
      </c>
      <c r="F8" s="16">
        <f>[6]met_season_summary!G5</f>
        <v>23.2928102083333</v>
      </c>
      <c r="G8" s="16">
        <f>[6]met_season_summary!H5</f>
        <v>-0.22698214991718299</v>
      </c>
      <c r="H8" s="16">
        <f>[6]met_season_summary!I5</f>
        <v>0.135221276825955</v>
      </c>
      <c r="I8" s="16">
        <f>[6]met_season_summary!J5</f>
        <v>79</v>
      </c>
      <c r="J8" s="16">
        <f>[6]met_season_summary!K5</f>
        <v>72</v>
      </c>
      <c r="K8" s="16">
        <f>[6]met_season_summary!L5</f>
        <v>104</v>
      </c>
      <c r="L8" s="16">
        <f>[6]met_season_summary!M5</f>
        <v>79</v>
      </c>
      <c r="M8" s="16">
        <f>[6]met_season_summary!N5</f>
        <v>66</v>
      </c>
      <c r="N8" s="19">
        <f>[6]met_season_summary!O5</f>
        <v>15.803642776980899</v>
      </c>
      <c r="O8" s="19">
        <f>[6]met_season_summary!P5</f>
        <v>15.423966568875199</v>
      </c>
      <c r="P8" s="19">
        <f>[6]met_season_summary!Q5</f>
        <v>13.6744337988388</v>
      </c>
      <c r="Q8" s="16">
        <f>[6]met_season_summary!R5</f>
        <v>79.695388584927102</v>
      </c>
      <c r="R8" s="16">
        <f>[6]met_season_summary!S5</f>
        <v>7779.2105084428404</v>
      </c>
      <c r="S8" s="16">
        <f>[6]met_season_summary!T5</f>
        <v>219.80097018886599</v>
      </c>
      <c r="T8" s="16">
        <f>[6]met_season_summary!U5</f>
        <v>0.45528582086178199</v>
      </c>
      <c r="U8" s="16">
        <f>[6]met_season_summary!V5</f>
        <v>289.3</v>
      </c>
      <c r="V8" s="16">
        <f>[6]met_season_summary!W5</f>
        <v>101.71062558743201</v>
      </c>
      <c r="W8" s="16">
        <f>[6]met_season_summary!X5</f>
        <v>15.3276317797131</v>
      </c>
      <c r="X8" s="16">
        <f>[6]met_season_summary!Y5*100</f>
        <v>7699.3992727914401</v>
      </c>
      <c r="Y8" s="16">
        <f>[6]met_season_summary!Z5</f>
        <v>665.70833346413997</v>
      </c>
      <c r="Z8" s="16">
        <f>[6]met_season_summary!AA5</f>
        <v>-4.7715876510662399E-2</v>
      </c>
      <c r="AA8" s="16">
        <f>[6]met_season_summary!AB5</f>
        <v>0.26199556851378702</v>
      </c>
      <c r="AB8" s="16">
        <f>[6]met_season_summary!AC5</f>
        <v>0.159873848068705</v>
      </c>
      <c r="AC8" s="16">
        <f>[6]met_season_summary!AD5</f>
        <v>17.1321335874681</v>
      </c>
      <c r="AD8" s="16">
        <f>[6]met_season_summary!AE5</f>
        <v>3.5917868996660598</v>
      </c>
      <c r="AE8" s="16">
        <f>[6]met_season_summary!AF5</f>
        <v>21.321245666924</v>
      </c>
      <c r="AF8" s="8">
        <f t="shared" si="0"/>
        <v>-4.7715876510662403</v>
      </c>
    </row>
    <row r="9" spans="1:32" s="8" customFormat="1" hidden="1" x14ac:dyDescent="0.3">
      <c r="A9" s="9" t="s">
        <v>38</v>
      </c>
      <c r="B9" s="9" t="s">
        <v>5</v>
      </c>
      <c r="C9" s="10">
        <f>[5]met_annual_summary!C4</f>
        <v>2.3737881875000002</v>
      </c>
      <c r="D9" s="10">
        <f>[5]met_annual_summary!D4</f>
        <v>18.616695</v>
      </c>
      <c r="E9" s="10">
        <f>[5]met_annual_summary!E4</f>
        <v>-4.5783303333333301</v>
      </c>
      <c r="F9" s="10">
        <f>[5]met_annual_summary!F4</f>
        <v>22.573797916666699</v>
      </c>
      <c r="G9" s="10">
        <f>[5]met_annual_summary!G4</f>
        <v>-0.19151451441189299</v>
      </c>
      <c r="H9" s="10">
        <f>[5]met_annual_summary!H4</f>
        <v>0.13705595801432299</v>
      </c>
      <c r="I9" s="10">
        <f>[5]met_annual_summary!I4</f>
        <v>218</v>
      </c>
      <c r="J9" s="10">
        <f>[5]met_annual_summary!J4</f>
        <v>78</v>
      </c>
      <c r="K9" s="10">
        <f>[5]met_annual_summary!K4</f>
        <v>147</v>
      </c>
      <c r="L9" s="10">
        <f>[5]met_annual_summary!L4</f>
        <v>218</v>
      </c>
      <c r="M9" s="10">
        <f>[5]met_annual_summary!M4</f>
        <v>183</v>
      </c>
      <c r="N9" s="13">
        <f>[5]met_annual_summary!N4</f>
        <v>11.3636866888413</v>
      </c>
      <c r="O9" s="13">
        <f>[5]met_annual_summary!O4</f>
        <v>11.229499392323101</v>
      </c>
      <c r="P9" s="13">
        <f>[5]met_annual_summary!P4</f>
        <v>11.1892918671518</v>
      </c>
      <c r="Q9" s="10">
        <f>[5]met_annual_summary!Q4</f>
        <v>83.846897743436102</v>
      </c>
      <c r="R9" s="10">
        <f>[5]met_annual_summary!R4</f>
        <v>11296.581495373601</v>
      </c>
      <c r="S9" s="10">
        <f>[5]met_annual_summary!S4</f>
        <v>145.482384742466</v>
      </c>
      <c r="T9" s="10">
        <f>[5]met_annual_summary!T4</f>
        <v>0.27219107367216799</v>
      </c>
      <c r="U9" s="10">
        <f>[5]met_annual_summary!U4</f>
        <v>1060.8</v>
      </c>
      <c r="V9" s="10">
        <f>[5]met_annual_summary!V4</f>
        <v>101.68534620976</v>
      </c>
      <c r="W9" s="10">
        <f>[5]met_annual_summary!W4</f>
        <v>10.439128590468</v>
      </c>
      <c r="X9" s="10">
        <f>[5]met_annual_summary!X4*100</f>
        <v>8353.8085477351597</v>
      </c>
      <c r="Y9" s="10">
        <f>[5]met_annual_summary!Y4</f>
        <v>575.07640563854102</v>
      </c>
      <c r="Z9" s="10">
        <f>[5]met_annual_summary!Z4</f>
        <v>-5.95613980751407E-4</v>
      </c>
      <c r="AA9" s="10">
        <f>[5]met_annual_summary!AA4</f>
        <v>3.0749128030424999</v>
      </c>
      <c r="AB9" s="10">
        <f>[5]met_annual_summary!AB4</f>
        <v>0.17431242151391099</v>
      </c>
      <c r="AC9" s="10">
        <f>[5]met_annual_summary!AC4</f>
        <v>11.4771190060317</v>
      </c>
      <c r="AD9" s="10">
        <f>[5]met_annual_summary!AD4</f>
        <v>0.25344088296887202</v>
      </c>
      <c r="AE9" s="10">
        <f>[5]met_annual_summary!AE4</f>
        <v>13.3614353694757</v>
      </c>
      <c r="AF9" s="8">
        <f t="shared" si="0"/>
        <v>-5.9561398075140701E-2</v>
      </c>
    </row>
    <row r="10" spans="1:32" hidden="1" x14ac:dyDescent="0.3">
      <c r="A10" s="4">
        <v>2018</v>
      </c>
      <c r="B10" s="4" t="s">
        <v>2</v>
      </c>
      <c r="C10" s="1">
        <f>[6]met_season_summary!D6</f>
        <v>2.3737881875000002</v>
      </c>
      <c r="D10" s="1">
        <f>[6]met_season_summary!E6</f>
        <v>14.048213333333299</v>
      </c>
      <c r="E10" s="1">
        <f>[6]met_season_summary!F6</f>
        <v>-4.5783303333333301</v>
      </c>
      <c r="F10" s="1">
        <f>[6]met_season_summary!G6</f>
        <v>14.324548541666701</v>
      </c>
      <c r="G10" s="1">
        <f>[6]met_season_summary!H6</f>
        <v>-0.121758748979688</v>
      </c>
      <c r="H10" s="1">
        <f>[6]met_season_summary!I6</f>
        <v>0.13705595801432299</v>
      </c>
      <c r="I10" s="1">
        <f>[6]met_season_summary!J6</f>
        <v>149</v>
      </c>
      <c r="J10" s="1">
        <f>[6]met_season_summary!K6</f>
        <v>23</v>
      </c>
      <c r="K10" s="1">
        <f>[6]met_season_summary!L6</f>
        <v>33</v>
      </c>
      <c r="L10" s="1">
        <f>[6]met_season_summary!M6</f>
        <v>149</v>
      </c>
      <c r="M10" s="1">
        <f>[6]met_season_summary!N6</f>
        <v>115</v>
      </c>
      <c r="N10" s="6">
        <f>[6]met_season_summary!O6</f>
        <v>6.8651399918154796</v>
      </c>
      <c r="O10" s="6">
        <f>[6]met_season_summary!P6</f>
        <v>6.8764273996680396</v>
      </c>
      <c r="P10" s="6">
        <f>[6]met_season_summary!Q6</f>
        <v>8.4139516279189603</v>
      </c>
      <c r="Q10" s="1">
        <f>[6]met_season_summary!R6</f>
        <v>86.559757226419407</v>
      </c>
      <c r="R10" s="1">
        <f>[6]met_season_summary!S6</f>
        <v>2532.14371096592</v>
      </c>
      <c r="S10" s="1">
        <f>[6]met_season_summary!T6</f>
        <v>74.720955338598898</v>
      </c>
      <c r="T10" s="1">
        <f>[6]met_season_summary!U6</f>
        <v>0.14501625615559599</v>
      </c>
      <c r="U10" s="1">
        <f>[6]met_season_summary!V6</f>
        <v>710.2</v>
      </c>
      <c r="V10" s="1">
        <f>[6]met_season_summary!W6</f>
        <v>101.73993732314599</v>
      </c>
      <c r="W10" s="1">
        <f>[6]met_season_summary!X6</f>
        <v>5.5095200032051297</v>
      </c>
      <c r="X10" s="1">
        <f>[6]met_season_summary!Y6*100</f>
        <v>8675.7276640384607</v>
      </c>
      <c r="Y10" s="1">
        <f>[6]met_season_summary!Z6</f>
        <v>100.18099327971299</v>
      </c>
      <c r="Z10" s="1">
        <f>[6]met_season_summary!AA6</f>
        <v>4.3540267416052297E-2</v>
      </c>
      <c r="AA10" s="1">
        <f>[6]met_season_summary!AB6</f>
        <v>-0.35567945743360202</v>
      </c>
      <c r="AB10" s="1">
        <f>[6]met_season_summary!AC6</f>
        <v>0.19729692419320899</v>
      </c>
      <c r="AC10" s="1">
        <f>[6]met_season_summary!AD6</f>
        <v>5.7193998923883296</v>
      </c>
      <c r="AD10" s="1">
        <f>[6]met_season_summary!AE6</f>
        <v>-3.0984175121516002</v>
      </c>
      <c r="AE10" s="1">
        <f>[6]met_season_summary!AF6</f>
        <v>6.7855155772949898</v>
      </c>
      <c r="AF10" s="8">
        <f t="shared" si="0"/>
        <v>4.3540267416052298</v>
      </c>
    </row>
    <row r="11" spans="1:32" s="17" customFormat="1" x14ac:dyDescent="0.3">
      <c r="A11" s="15">
        <v>2019</v>
      </c>
      <c r="B11" s="15" t="s">
        <v>1</v>
      </c>
      <c r="C11" s="16">
        <f>[6]met_season_summary!D7</f>
        <v>10.543074583333301</v>
      </c>
      <c r="D11" s="16">
        <f>[6]met_season_summary!E7</f>
        <v>18.616695</v>
      </c>
      <c r="E11" s="16">
        <f>[6]met_season_summary!F7</f>
        <v>8.1155258124999996</v>
      </c>
      <c r="F11" s="16">
        <f>[6]met_season_summary!G7</f>
        <v>22.573797916666699</v>
      </c>
      <c r="G11" s="16">
        <f>[6]met_season_summary!H7</f>
        <v>-0.19151451441189299</v>
      </c>
      <c r="H11" s="16">
        <f>[6]met_season_summary!I7</f>
        <v>9.7711915326388593E-2</v>
      </c>
      <c r="I11" s="16">
        <f>[6]met_season_summary!J7</f>
        <v>69</v>
      </c>
      <c r="J11" s="16">
        <f>[6]met_season_summary!K7</f>
        <v>55</v>
      </c>
      <c r="K11" s="16">
        <f>[6]met_season_summary!L7</f>
        <v>114</v>
      </c>
      <c r="L11" s="16">
        <f>[6]met_season_summary!M7</f>
        <v>69</v>
      </c>
      <c r="M11" s="16">
        <f>[6]met_season_summary!N7</f>
        <v>68</v>
      </c>
      <c r="N11" s="19">
        <f>[6]met_season_summary!O7</f>
        <v>15.8376511634791</v>
      </c>
      <c r="O11" s="19">
        <f>[6]met_season_summary!P7</f>
        <v>15.5587841063297</v>
      </c>
      <c r="P11" s="19">
        <f>[6]met_season_summary!Q7</f>
        <v>13.949466312727701</v>
      </c>
      <c r="Q11" s="16">
        <f>[6]met_season_summary!R7</f>
        <v>81.148862629212204</v>
      </c>
      <c r="R11" s="16">
        <f>[6]met_season_summary!S7</f>
        <v>8764.4377844076607</v>
      </c>
      <c r="S11" s="16">
        <f>[6]met_season_summary!T7</f>
        <v>215.857139668716</v>
      </c>
      <c r="T11" s="16">
        <f>[6]met_season_summary!U7</f>
        <v>0.39867094683072601</v>
      </c>
      <c r="U11" s="16">
        <f>[6]met_season_summary!V7</f>
        <v>350.6</v>
      </c>
      <c r="V11" s="16">
        <f>[6]met_season_summary!W7</f>
        <v>101.63105340847</v>
      </c>
      <c r="W11" s="16">
        <f>[6]met_season_summary!X7</f>
        <v>15.341799425888</v>
      </c>
      <c r="X11" s="16">
        <f>[6]met_season_summary!Y7*100</f>
        <v>8033.6485522859703</v>
      </c>
      <c r="Y11" s="16">
        <f>[6]met_season_summary!Z7</f>
        <v>474.89541235882803</v>
      </c>
      <c r="Z11" s="16">
        <f>[6]met_season_summary!AA7</f>
        <v>-4.4490315697791202E-2</v>
      </c>
      <c r="AA11" s="16">
        <f>[6]met_season_summary!AB7</f>
        <v>4.9682997883325903</v>
      </c>
      <c r="AB11" s="16">
        <f>[6]met_season_summary!AC7</f>
        <v>0.15157911558520701</v>
      </c>
      <c r="AC11" s="16">
        <f>[6]met_season_summary!AD7</f>
        <v>17.203375173699001</v>
      </c>
      <c r="AD11" s="16">
        <f>[6]met_season_summary!AE7</f>
        <v>3.58698311199579</v>
      </c>
      <c r="AE11" s="16">
        <f>[6]met_season_summary!AF7</f>
        <v>19.901421173721001</v>
      </c>
      <c r="AF11" s="8">
        <f t="shared" si="0"/>
        <v>-4.4490315697791205</v>
      </c>
    </row>
    <row r="12" spans="1:32" s="8" customFormat="1" hidden="1" x14ac:dyDescent="0.3">
      <c r="A12" s="9" t="s">
        <v>39</v>
      </c>
      <c r="B12" s="9" t="s">
        <v>5</v>
      </c>
      <c r="C12" s="10">
        <f>[5]met_annual_summary!C5</f>
        <v>2.9322165208333302</v>
      </c>
      <c r="D12" s="10">
        <f>[5]met_annual_summary!D5</f>
        <v>19.004124583333301</v>
      </c>
      <c r="E12" s="10">
        <f>[5]met_annual_summary!E5</f>
        <v>-7.4519362291666704</v>
      </c>
      <c r="F12" s="10">
        <f>[5]met_annual_summary!F5</f>
        <v>22.667674791666698</v>
      </c>
      <c r="G12" s="10">
        <f>[5]met_annual_summary!G5</f>
        <v>-0.13916087499999999</v>
      </c>
      <c r="H12" s="10">
        <f>[5]met_annual_summary!H5</f>
        <v>0.14045966769075499</v>
      </c>
      <c r="I12" s="10">
        <f>[5]met_annual_summary!I5</f>
        <v>266</v>
      </c>
      <c r="J12" s="10">
        <f>[5]met_annual_summary!J5</f>
        <v>29</v>
      </c>
      <c r="K12" s="10">
        <f>[5]met_annual_summary!K5</f>
        <v>100</v>
      </c>
      <c r="L12" s="10">
        <f>[5]met_annual_summary!L5</f>
        <v>266</v>
      </c>
      <c r="M12" s="10">
        <f>[5]met_annual_summary!M5</f>
        <v>206</v>
      </c>
      <c r="N12" s="13">
        <f>[5]met_annual_summary!N5</f>
        <v>11.3389290636384</v>
      </c>
      <c r="O12" s="13">
        <f>[5]met_annual_summary!O5</f>
        <v>11.1999066321437</v>
      </c>
      <c r="P12" s="13">
        <f>[5]met_annual_summary!P5</f>
        <v>11.245028234745</v>
      </c>
      <c r="Q12" s="10">
        <f>[5]met_annual_summary!Q5</f>
        <v>85.397003216074694</v>
      </c>
      <c r="R12" s="10">
        <f>[5]met_annual_summary!R5</f>
        <v>10754.2155950778</v>
      </c>
      <c r="S12" s="10">
        <f>[5]met_annual_summary!S5</f>
        <v>140.39384281005201</v>
      </c>
      <c r="T12" s="10">
        <f>[5]met_annual_summary!T5</f>
        <v>0.25066090027267002</v>
      </c>
      <c r="U12" s="10">
        <f>[5]met_annual_summary!U5</f>
        <v>1168.9000000000001</v>
      </c>
      <c r="V12" s="10">
        <f>[5]met_annual_summary!V5</f>
        <v>101.769232385018</v>
      </c>
      <c r="W12" s="10">
        <f>[5]met_annual_summary!W5</f>
        <v>10.3299685131204</v>
      </c>
      <c r="X12" s="10">
        <f>[5]met_annual_summary!X5*100</f>
        <v>8366.67350437614</v>
      </c>
      <c r="Y12" s="10">
        <f>[5]met_annual_summary!Y5</f>
        <v>553.96507930083305</v>
      </c>
      <c r="Z12" s="10">
        <f>[5]met_annual_summary!Z5</f>
        <v>2.2910562259477799E-2</v>
      </c>
      <c r="AA12" s="10">
        <f>[5]met_annual_summary!AA5</f>
        <v>-2.1717692649013198</v>
      </c>
      <c r="AB12" s="10">
        <f>[5]met_annual_summary!AB5</f>
        <v>0.15904961368617501</v>
      </c>
      <c r="AC12" s="10">
        <f>[5]met_annual_summary!AC5</f>
        <v>11.4350719287354</v>
      </c>
      <c r="AD12" s="10">
        <f>[5]met_annual_summary!AD5</f>
        <v>0.32974630094384</v>
      </c>
      <c r="AE12" s="10">
        <f>[5]met_annual_summary!AE5</f>
        <v>13.3283489083202</v>
      </c>
      <c r="AF12" s="8">
        <f t="shared" si="0"/>
        <v>2.2910562259477798</v>
      </c>
    </row>
    <row r="13" spans="1:32" hidden="1" x14ac:dyDescent="0.3">
      <c r="A13" s="4">
        <v>2019</v>
      </c>
      <c r="B13" s="4" t="s">
        <v>2</v>
      </c>
      <c r="C13" s="1">
        <f>[6]met_season_summary!D8</f>
        <v>2.9322165208333302</v>
      </c>
      <c r="D13" s="1">
        <f>[6]met_season_summary!E8</f>
        <v>12.6540883333333</v>
      </c>
      <c r="E13" s="1">
        <f>[6]met_season_summary!F8</f>
        <v>-7.4519362291666704</v>
      </c>
      <c r="F13" s="1">
        <f>[6]met_season_summary!G8</f>
        <v>12.165517083333301</v>
      </c>
      <c r="G13" s="1">
        <f>[6]met_season_summary!H8</f>
        <v>-6.8269716508680897E-2</v>
      </c>
      <c r="H13" s="1">
        <f>[6]met_season_summary!I8</f>
        <v>0.14045966769075499</v>
      </c>
      <c r="I13" s="1">
        <f>[6]met_season_summary!J8</f>
        <v>163</v>
      </c>
      <c r="J13" s="1">
        <f>[6]met_season_summary!K8</f>
        <v>0</v>
      </c>
      <c r="K13" s="1">
        <f>[6]met_season_summary!L8</f>
        <v>20</v>
      </c>
      <c r="L13" s="1">
        <f>[6]met_season_summary!M8</f>
        <v>163</v>
      </c>
      <c r="M13" s="1">
        <f>[6]met_season_summary!N8</f>
        <v>134</v>
      </c>
      <c r="N13" s="6">
        <f>[6]met_season_summary!O8</f>
        <v>6.9452176203324196</v>
      </c>
      <c r="O13" s="6">
        <f>[6]met_season_summary!P8</f>
        <v>6.9660034681807801</v>
      </c>
      <c r="P13" s="6">
        <f>[6]met_season_summary!Q8</f>
        <v>8.62198693579235</v>
      </c>
      <c r="Q13" s="1">
        <f>[6]met_season_summary!R8</f>
        <v>89.090485488387998</v>
      </c>
      <c r="R13" s="1">
        <f>[6]met_season_summary!S8</f>
        <v>2312.0132194798598</v>
      </c>
      <c r="S13" s="1">
        <f>[6]met_season_summary!T8</f>
        <v>65.314014201958102</v>
      </c>
      <c r="T13" s="1">
        <f>[6]met_season_summary!U8</f>
        <v>0.11266400009461799</v>
      </c>
      <c r="U13" s="1">
        <f>[6]met_season_summary!V8</f>
        <v>857.5</v>
      </c>
      <c r="V13" s="1">
        <f>[6]met_season_summary!W8</f>
        <v>101.815786265938</v>
      </c>
      <c r="W13" s="1">
        <f>[6]met_season_summary!X8</f>
        <v>5.6036543962317804</v>
      </c>
      <c r="X13" s="1">
        <f>[6]met_season_summary!Y8*100</f>
        <v>8675.6213960965397</v>
      </c>
      <c r="Y13" s="1">
        <f>[6]met_season_summary!Z8</f>
        <v>101.158712947951</v>
      </c>
      <c r="Z13" s="1">
        <f>[6]met_season_summary!AA8</f>
        <v>6.10473762823159E-2</v>
      </c>
      <c r="AA13" s="1">
        <f>[6]met_season_summary!AB8</f>
        <v>-5.1315937045415003</v>
      </c>
      <c r="AB13" s="1">
        <f>[6]met_season_summary!AC8</f>
        <v>0.16602281966386001</v>
      </c>
      <c r="AC13" s="1">
        <f>[6]met_season_summary!AD8</f>
        <v>5.8249649155320604</v>
      </c>
      <c r="AD13" s="1">
        <f>[6]met_season_summary!AE8</f>
        <v>-2.89143584891369</v>
      </c>
      <c r="AE13" s="1">
        <f>[6]met_season_summary!AF8</f>
        <v>5.7447236380469899</v>
      </c>
      <c r="AF13" s="8">
        <f t="shared" si="0"/>
        <v>6.1047376282315904</v>
      </c>
    </row>
    <row r="14" spans="1:32" s="17" customFormat="1" x14ac:dyDescent="0.3">
      <c r="A14" s="15">
        <v>2020</v>
      </c>
      <c r="B14" s="15" t="s">
        <v>1</v>
      </c>
      <c r="C14" s="16">
        <f>[6]met_season_summary!D9</f>
        <v>8.7780473958333296</v>
      </c>
      <c r="D14" s="16">
        <f>[6]met_season_summary!E9</f>
        <v>19.004124583333301</v>
      </c>
      <c r="E14" s="16">
        <f>[6]met_season_summary!F9</f>
        <v>5.4445531875000004</v>
      </c>
      <c r="F14" s="16">
        <f>[6]met_season_summary!G9</f>
        <v>22.667674791666698</v>
      </c>
      <c r="G14" s="16">
        <f>[6]met_season_summary!H9</f>
        <v>-0.13916087499999999</v>
      </c>
      <c r="H14" s="16">
        <f>[6]met_season_summary!I9</f>
        <v>8.2926344726562198E-2</v>
      </c>
      <c r="I14" s="16">
        <f>[6]met_season_summary!J9</f>
        <v>103</v>
      </c>
      <c r="J14" s="16">
        <f>[6]met_season_summary!K9</f>
        <v>29</v>
      </c>
      <c r="K14" s="16">
        <f>[6]met_season_summary!L9</f>
        <v>80</v>
      </c>
      <c r="L14" s="16">
        <f>[6]met_season_summary!M9</f>
        <v>103</v>
      </c>
      <c r="M14" s="16">
        <f>[6]met_season_summary!N9</f>
        <v>72</v>
      </c>
      <c r="N14" s="19">
        <f>[6]met_season_summary!O9</f>
        <v>15.732640506944399</v>
      </c>
      <c r="O14" s="19">
        <f>[6]met_season_summary!P9</f>
        <v>15.433809796106599</v>
      </c>
      <c r="P14" s="19">
        <f>[6]met_season_summary!Q9</f>
        <v>13.8680695336976</v>
      </c>
      <c r="Q14" s="16">
        <f>[6]met_season_summary!R9</f>
        <v>81.703520943761404</v>
      </c>
      <c r="R14" s="16">
        <f>[6]met_season_summary!S9</f>
        <v>8442.2023755979008</v>
      </c>
      <c r="S14" s="16">
        <f>[6]met_season_summary!T9</f>
        <v>215.47367141814701</v>
      </c>
      <c r="T14" s="16">
        <f>[6]met_season_summary!U9</f>
        <v>0.38865780045072201</v>
      </c>
      <c r="U14" s="16">
        <f>[6]met_season_summary!V9</f>
        <v>311.39999999999998</v>
      </c>
      <c r="V14" s="16">
        <f>[6]met_season_summary!W9</f>
        <v>101.722678504098</v>
      </c>
      <c r="W14" s="16">
        <f>[6]met_season_summary!X9</f>
        <v>15.0562826300091</v>
      </c>
      <c r="X14" s="16">
        <f>[6]met_season_summary!Y9*100</f>
        <v>8057.7256126557404</v>
      </c>
      <c r="Y14" s="16">
        <f>[6]met_season_summary!Z9</f>
        <v>452.80636635288198</v>
      </c>
      <c r="Z14" s="16">
        <f>[6]met_season_summary!AA9</f>
        <v>-1.5226251763360199E-2</v>
      </c>
      <c r="AA14" s="16">
        <f>[6]met_season_summary!AB9</f>
        <v>-0.47109665869923201</v>
      </c>
      <c r="AB14" s="16">
        <f>[6]met_season_summary!AC9</f>
        <v>0.152228827511281</v>
      </c>
      <c r="AC14" s="16">
        <f>[6]met_season_summary!AD9</f>
        <v>16.9532099745092</v>
      </c>
      <c r="AD14" s="16">
        <f>[6]met_season_summary!AE9</f>
        <v>3.4981221860496001</v>
      </c>
      <c r="AE14" s="16">
        <f>[6]met_season_summary!AF9</f>
        <v>20.787652452851201</v>
      </c>
      <c r="AF14" s="8">
        <f t="shared" si="0"/>
        <v>-1.5226251763360199</v>
      </c>
    </row>
    <row r="15" spans="1:32" s="8" customFormat="1" hidden="1" x14ac:dyDescent="0.3">
      <c r="A15" s="9" t="s">
        <v>40</v>
      </c>
      <c r="B15" s="9" t="s">
        <v>5</v>
      </c>
      <c r="C15" s="10">
        <f>[5]met_annual_summary!C6</f>
        <v>3.038751875</v>
      </c>
      <c r="D15" s="10">
        <f>[5]met_annual_summary!D6</f>
        <v>20.4230264583333</v>
      </c>
      <c r="E15" s="10">
        <f>[5]met_annual_summary!E6</f>
        <v>-2.0604100624999999</v>
      </c>
      <c r="F15" s="10">
        <f>[5]met_annual_summary!F6</f>
        <v>29.438781041666701</v>
      </c>
      <c r="G15" s="10">
        <f>[5]met_annual_summary!G6</f>
        <v>-0.22713602499999999</v>
      </c>
      <c r="H15" s="10">
        <f>[5]met_annual_summary!H6</f>
        <v>0.134905277083333</v>
      </c>
      <c r="I15" s="10">
        <f>[5]met_annual_summary!I6</f>
        <v>236</v>
      </c>
      <c r="J15" s="10">
        <f>[5]met_annual_summary!J6</f>
        <v>84</v>
      </c>
      <c r="K15" s="10">
        <f>[5]met_annual_summary!K6</f>
        <v>129</v>
      </c>
      <c r="L15" s="10">
        <f>[5]met_annual_summary!L6</f>
        <v>236</v>
      </c>
      <c r="M15" s="10">
        <f>[5]met_annual_summary!M6</f>
        <v>193</v>
      </c>
      <c r="N15" s="13">
        <f>[5]met_annual_summary!N6</f>
        <v>11.4129945124429</v>
      </c>
      <c r="O15" s="13">
        <f>[5]met_annual_summary!O6</f>
        <v>11.3213818792808</v>
      </c>
      <c r="P15" s="13">
        <f>[5]met_annual_summary!P6</f>
        <v>11.3566446511986</v>
      </c>
      <c r="Q15" s="10">
        <f>[5]met_annual_summary!Q6</f>
        <v>85.419397448630093</v>
      </c>
      <c r="R15" s="10">
        <f>[5]met_annual_summary!R6</f>
        <v>10361.4971536046</v>
      </c>
      <c r="S15" s="10">
        <f>[5]met_annual_summary!S6</f>
        <v>145.05940397094699</v>
      </c>
      <c r="T15" s="10">
        <f>[5]met_annual_summary!T6</f>
        <v>0.267351772010884</v>
      </c>
      <c r="U15" s="10">
        <f>[5]met_annual_summary!U6</f>
        <v>1113</v>
      </c>
      <c r="V15" s="10">
        <f>[5]met_annual_summary!V6</f>
        <v>101.775270153539</v>
      </c>
      <c r="W15" s="10">
        <f>[5]met_annual_summary!W6</f>
        <v>10.8486388130137</v>
      </c>
      <c r="X15" s="10">
        <f>[5]met_annual_summary!X6*100</f>
        <v>8621.7338583904093</v>
      </c>
      <c r="Y15" s="10">
        <f>[5]met_annual_summary!Y6</f>
        <v>659.77148051625204</v>
      </c>
      <c r="Z15" s="10">
        <f>[5]met_annual_summary!Z6</f>
        <v>-1.00957008831142E-3</v>
      </c>
      <c r="AA15" s="10">
        <f>[5]met_annual_summary!AA6</f>
        <v>-1.71847354114864</v>
      </c>
      <c r="AB15" s="10">
        <f>[5]met_annual_summary!AB6</f>
        <v>0.167665723415724</v>
      </c>
      <c r="AC15" s="10">
        <f>[5]met_annual_summary!AC6</f>
        <v>11.582317056757001</v>
      </c>
      <c r="AD15" s="10">
        <f>[5]met_annual_summary!AD6</f>
        <v>0.35822698887388799</v>
      </c>
      <c r="AE15" s="10">
        <f>[5]met_annual_summary!AE6</f>
        <v>12.7038384269154</v>
      </c>
      <c r="AF15" s="8">
        <f t="shared" si="0"/>
        <v>-0.100957008831142</v>
      </c>
    </row>
    <row r="16" spans="1:32" hidden="1" x14ac:dyDescent="0.3">
      <c r="A16" s="4">
        <v>2020</v>
      </c>
      <c r="B16" s="4" t="s">
        <v>2</v>
      </c>
      <c r="C16" s="1">
        <f>[6]met_season_summary!D10</f>
        <v>3.038751875</v>
      </c>
      <c r="D16" s="1">
        <f>[6]met_season_summary!E10</f>
        <v>14.9819041666667</v>
      </c>
      <c r="E16" s="1">
        <f>[6]met_season_summary!F10</f>
        <v>-2.0604100624999999</v>
      </c>
      <c r="F16" s="1">
        <f>[6]met_season_summary!G10</f>
        <v>14.711883562500001</v>
      </c>
      <c r="G16" s="1">
        <f>[6]met_season_summary!H10</f>
        <v>-6.01185802083333E-2</v>
      </c>
      <c r="H16" s="1">
        <f>[6]met_season_summary!I10</f>
        <v>0.134905277083333</v>
      </c>
      <c r="I16" s="1">
        <f>[6]met_season_summary!J10</f>
        <v>169</v>
      </c>
      <c r="J16" s="1">
        <f>[6]met_season_summary!K10</f>
        <v>0</v>
      </c>
      <c r="K16" s="1">
        <f>[6]met_season_summary!L10</f>
        <v>13</v>
      </c>
      <c r="L16" s="1">
        <f>[6]met_season_summary!M10</f>
        <v>169</v>
      </c>
      <c r="M16" s="1">
        <f>[6]met_season_summary!N10</f>
        <v>132</v>
      </c>
      <c r="N16" s="6">
        <f>[6]met_season_summary!O10</f>
        <v>7.3715225455586104</v>
      </c>
      <c r="O16" s="6">
        <f>[6]met_season_summary!P10</f>
        <v>7.4526879259386396</v>
      </c>
      <c r="P16" s="6">
        <f>[6]met_season_summary!Q10</f>
        <v>9.0056720715430405</v>
      </c>
      <c r="Q16" s="1">
        <f>[6]met_season_summary!R10</f>
        <v>89.566917987637396</v>
      </c>
      <c r="R16" s="1">
        <f>[6]met_season_summary!S10</f>
        <v>1954.0663242446999</v>
      </c>
      <c r="S16" s="1">
        <f>[6]met_season_summary!T10</f>
        <v>62.145783561240798</v>
      </c>
      <c r="T16" s="1">
        <f>[6]met_season_summary!U10</f>
        <v>0.10935777346133201</v>
      </c>
      <c r="U16" s="1">
        <f>[6]met_season_summary!V10</f>
        <v>841.7</v>
      </c>
      <c r="V16" s="1">
        <f>[6]met_season_summary!W10</f>
        <v>101.809326045101</v>
      </c>
      <c r="W16" s="1">
        <f>[6]met_season_summary!X10</f>
        <v>6.2260339975961498</v>
      </c>
      <c r="X16" s="1">
        <f>[6]met_season_summary!Y10*100</f>
        <v>8684.1029038461493</v>
      </c>
      <c r="Y16" s="1">
        <f>[6]met_season_summary!Z10</f>
        <v>97.411665141057398</v>
      </c>
      <c r="Z16" s="1">
        <f>[6]met_season_summary!AA10</f>
        <v>7.3563762006962005E-2</v>
      </c>
      <c r="AA16" s="1">
        <f>[6]met_season_summary!AB10</f>
        <v>1.72475041355731</v>
      </c>
      <c r="AB16" s="1">
        <f>[6]met_season_summary!AC10</f>
        <v>0.17777706984439101</v>
      </c>
      <c r="AC16" s="1">
        <f>[6]met_season_summary!AD10</f>
        <v>5.7852477210030804</v>
      </c>
      <c r="AD16" s="1">
        <f>[6]met_season_summary!AE10</f>
        <v>-2.7929021187065199</v>
      </c>
      <c r="AE16" s="1">
        <f>[6]met_season_summary!AF10</f>
        <v>4.1552175441961596</v>
      </c>
      <c r="AF16" s="8">
        <f t="shared" si="0"/>
        <v>7.3563762006962001</v>
      </c>
    </row>
    <row r="17" spans="1:32" s="17" customFormat="1" x14ac:dyDescent="0.3">
      <c r="A17" s="15">
        <v>2021</v>
      </c>
      <c r="B17" s="15" t="s">
        <v>1</v>
      </c>
      <c r="C17" s="16">
        <f>[6]met_season_summary!D11</f>
        <v>8.6056316458333306</v>
      </c>
      <c r="D17" s="16">
        <f>[6]met_season_summary!E11</f>
        <v>20.4230264583333</v>
      </c>
      <c r="E17" s="16">
        <f>[6]met_season_summary!F11</f>
        <v>5.4435048958333301</v>
      </c>
      <c r="F17" s="16">
        <f>[6]met_season_summary!G11</f>
        <v>29.438781041666701</v>
      </c>
      <c r="G17" s="16">
        <f>[6]met_season_summary!H11</f>
        <v>-0.22713602499999999</v>
      </c>
      <c r="H17" s="16">
        <f>[6]met_season_summary!I11</f>
        <v>8.0839833124999996E-2</v>
      </c>
      <c r="I17" s="16">
        <f>[6]met_season_summary!J11</f>
        <v>67</v>
      </c>
      <c r="J17" s="16">
        <f>[6]met_season_summary!K11</f>
        <v>84</v>
      </c>
      <c r="K17" s="16">
        <f>[6]met_season_summary!L11</f>
        <v>116</v>
      </c>
      <c r="L17" s="16">
        <f>[6]met_season_summary!M11</f>
        <v>67</v>
      </c>
      <c r="M17" s="16">
        <f>[6]met_season_summary!N11</f>
        <v>61</v>
      </c>
      <c r="N17" s="19">
        <f>[6]met_season_summary!O11</f>
        <v>15.4323819330601</v>
      </c>
      <c r="O17" s="19">
        <f>[6]met_season_summary!P11</f>
        <v>15.1689354285064</v>
      </c>
      <c r="P17" s="19">
        <f>[6]met_season_summary!Q11</f>
        <v>13.6947703861566</v>
      </c>
      <c r="Q17" s="16">
        <f>[6]met_season_summary!R11</f>
        <v>81.294540956284195</v>
      </c>
      <c r="R17" s="16">
        <f>[6]met_season_summary!S11</f>
        <v>8407.4308293599406</v>
      </c>
      <c r="S17" s="16">
        <f>[6]met_season_summary!T11</f>
        <v>227.519944487705</v>
      </c>
      <c r="T17" s="16">
        <f>[6]met_season_summary!U11</f>
        <v>0.42448241537710502</v>
      </c>
      <c r="U17" s="16">
        <f>[6]met_season_summary!V11</f>
        <v>271.3</v>
      </c>
      <c r="V17" s="16">
        <f>[6]met_season_summary!W11</f>
        <v>101.741400359745</v>
      </c>
      <c r="W17" s="16">
        <f>[6]met_season_summary!X11</f>
        <v>15.445983492827899</v>
      </c>
      <c r="X17" s="16">
        <f>[6]met_season_summary!Y11*100</f>
        <v>8559.7056273907092</v>
      </c>
      <c r="Y17" s="16">
        <f>[6]met_season_summary!Z11</f>
        <v>562.35981537519501</v>
      </c>
      <c r="Z17" s="16">
        <f>[6]met_season_summary!AA11</f>
        <v>-7.5175397636616098E-2</v>
      </c>
      <c r="AA17" s="16">
        <f>[6]met_season_summary!AB11</f>
        <v>-4.1456641977446296</v>
      </c>
      <c r="AB17" s="16">
        <f>[6]met_season_summary!AC11</f>
        <v>0.15760963024622901</v>
      </c>
      <c r="AC17" s="16">
        <f>[6]met_season_summary!AD11</f>
        <v>17.347708417998501</v>
      </c>
      <c r="AD17" s="16">
        <f>[6]met_season_summary!AE11</f>
        <v>3.4921368117134199</v>
      </c>
      <c r="AE17" s="16">
        <f>[6]met_season_summary!AF11</f>
        <v>21.205745534319199</v>
      </c>
      <c r="AF17" s="8">
        <f t="shared" si="0"/>
        <v>-7.5175397636616097</v>
      </c>
    </row>
    <row r="18" spans="1:32" hidden="1" x14ac:dyDescent="0.3">
      <c r="A18" s="8" t="s">
        <v>21</v>
      </c>
      <c r="B18" s="9" t="s">
        <v>5</v>
      </c>
      <c r="C18" s="10">
        <f>AVERAGE(,C15,C12,C9,C6,C3)</f>
        <v>1.9243846388888877</v>
      </c>
      <c r="D18" s="10">
        <f t="shared" ref="D18:K18" si="1">AVERAGE(,D15,D12,D9,D6,D3)</f>
        <v>16.153342465277767</v>
      </c>
      <c r="E18" s="10">
        <f t="shared" si="1"/>
        <v>-3.7851851562499998</v>
      </c>
      <c r="F18" s="10">
        <f t="shared" si="1"/>
        <v>20.048362361111117</v>
      </c>
      <c r="G18" s="10">
        <f t="shared" si="1"/>
        <v>-0.1620328767383615</v>
      </c>
      <c r="H18" s="10">
        <f t="shared" si="1"/>
        <v>0.122103634650065</v>
      </c>
      <c r="I18" s="10">
        <f t="shared" si="1"/>
        <v>201</v>
      </c>
      <c r="J18" s="10">
        <f t="shared" si="1"/>
        <v>55.666666666666664</v>
      </c>
      <c r="K18" s="10">
        <f t="shared" si="1"/>
        <v>103.33333333333333</v>
      </c>
      <c r="L18" s="10">
        <f>AVERAGE(L15,L12,L9,L6,L3)</f>
        <v>241.2</v>
      </c>
      <c r="M18" s="10">
        <f t="shared" ref="M18:AC18" si="2">AVERAGE(M15,M12,M9,M6,M3)</f>
        <v>196</v>
      </c>
      <c r="N18" s="13">
        <f>AVERAGE(N15,N12,N9,N6,N3)</f>
        <v>11.380694282652501</v>
      </c>
      <c r="O18" s="13">
        <f t="shared" si="2"/>
        <v>11.23601482899808</v>
      </c>
      <c r="P18" s="13">
        <f t="shared" si="2"/>
        <v>11.184930607370379</v>
      </c>
      <c r="Q18" s="10">
        <f t="shared" si="2"/>
        <v>84.195160304499325</v>
      </c>
      <c r="R18" s="10">
        <f t="shared" si="2"/>
        <v>10401.87255258474</v>
      </c>
      <c r="S18" s="10">
        <f t="shared" si="2"/>
        <v>141.92999676055479</v>
      </c>
      <c r="T18" s="10">
        <f t="shared" si="2"/>
        <v>0.27554741070923383</v>
      </c>
      <c r="U18" s="10">
        <f t="shared" si="2"/>
        <v>1167.6400000000001</v>
      </c>
      <c r="V18" s="10">
        <f t="shared" si="2"/>
        <v>101.68811495217241</v>
      </c>
      <c r="W18" s="10">
        <f t="shared" si="2"/>
        <v>10.481933724643159</v>
      </c>
      <c r="X18" s="10">
        <f t="shared" si="2"/>
        <v>8265.8659717385381</v>
      </c>
      <c r="Y18" s="10">
        <f t="shared" si="2"/>
        <v>640.24631923627908</v>
      </c>
      <c r="Z18" s="10">
        <f t="shared" si="2"/>
        <v>1.5043290201749377E-2</v>
      </c>
      <c r="AA18" s="10">
        <f t="shared" si="2"/>
        <v>-0.57721771239113417</v>
      </c>
      <c r="AB18" s="10">
        <f t="shared" si="2"/>
        <v>0.16948815971995482</v>
      </c>
      <c r="AC18" s="10">
        <f t="shared" si="2"/>
        <v>11.46661663770934</v>
      </c>
      <c r="AD18" s="10">
        <f t="shared" ref="AD18:AE18" si="3">AVERAGE(AD15,AD12,AD9,AD6,AD3)</f>
        <v>0.63381857263333696</v>
      </c>
      <c r="AE18" s="10">
        <f t="shared" si="3"/>
        <v>13.929462006673521</v>
      </c>
      <c r="AF18" s="8">
        <f t="shared" si="0"/>
        <v>1.5043290201749377</v>
      </c>
    </row>
    <row r="19" spans="1:32" hidden="1" x14ac:dyDescent="0.3">
      <c r="B19" s="4" t="s">
        <v>2</v>
      </c>
      <c r="C19" s="1">
        <f>AVERAGE(C16,C13,C10,C7,C4)</f>
        <v>2.3092615666666654</v>
      </c>
      <c r="D19" s="1">
        <f t="shared" ref="D19:K19" si="4">AVERAGE(D16,D13,D10,D7,D4)</f>
        <v>13.906728375</v>
      </c>
      <c r="E19" s="1">
        <f t="shared" si="4"/>
        <v>-4.5422221875000002</v>
      </c>
      <c r="F19" s="1">
        <f t="shared" si="4"/>
        <v>14.009442662500001</v>
      </c>
      <c r="G19" s="1">
        <f t="shared" si="4"/>
        <v>-0.12076618606546703</v>
      </c>
      <c r="H19" s="1">
        <f t="shared" si="4"/>
        <v>0.14652436158007801</v>
      </c>
      <c r="I19" s="1">
        <f t="shared" si="4"/>
        <v>154.80000000000001</v>
      </c>
      <c r="J19" s="1">
        <f t="shared" si="4"/>
        <v>10.8</v>
      </c>
      <c r="K19" s="1">
        <f t="shared" si="4"/>
        <v>27.4</v>
      </c>
      <c r="L19" s="1">
        <f>AVERAGE(L16,L13,L10,L7,L4)</f>
        <v>154.80000000000001</v>
      </c>
      <c r="M19" s="1">
        <f t="shared" ref="M19:AC19" si="5">AVERAGE(M16,M13,M10,M7,M4)</f>
        <v>131.19999999999999</v>
      </c>
      <c r="N19" s="6">
        <f t="shared" si="5"/>
        <v>6.9102744716034561</v>
      </c>
      <c r="O19" s="6">
        <f t="shared" si="5"/>
        <v>6.9431541944620365</v>
      </c>
      <c r="P19" s="6">
        <f t="shared" si="5"/>
        <v>8.5500156082645802</v>
      </c>
      <c r="Q19" s="1">
        <f t="shared" si="5"/>
        <v>87.864757959479604</v>
      </c>
      <c r="R19" s="1">
        <f t="shared" si="5"/>
        <v>2127.38339623714</v>
      </c>
      <c r="S19" s="1">
        <f t="shared" si="5"/>
        <v>63.538411794592356</v>
      </c>
      <c r="T19" s="1">
        <f t="shared" si="5"/>
        <v>0.1257065025147906</v>
      </c>
      <c r="U19" s="1">
        <f t="shared" si="5"/>
        <v>860</v>
      </c>
      <c r="V19" s="1">
        <f t="shared" si="5"/>
        <v>101.7018782780226</v>
      </c>
      <c r="W19" s="1">
        <f t="shared" si="5"/>
        <v>5.6608162825630304</v>
      </c>
      <c r="X19" s="1">
        <f t="shared" si="5"/>
        <v>8596.2353224970084</v>
      </c>
      <c r="Y19" s="1">
        <f t="shared" si="5"/>
        <v>90.341440146510521</v>
      </c>
      <c r="Z19" s="1">
        <f t="shared" si="5"/>
        <v>6.232542548554014E-2</v>
      </c>
      <c r="AA19" s="1">
        <f t="shared" si="5"/>
        <v>-1.7785839137340524</v>
      </c>
      <c r="AB19" s="1">
        <f t="shared" si="5"/>
        <v>0.18285541025708357</v>
      </c>
      <c r="AC19" s="1">
        <f t="shared" si="5"/>
        <v>5.6859589323361703</v>
      </c>
      <c r="AD19" s="1">
        <f t="shared" ref="AD19:AE19" si="6">AVERAGE(AD16,AD13,AD10,AD7,AD4)</f>
        <v>-2.6675792839378878</v>
      </c>
      <c r="AE19" s="1">
        <f t="shared" si="6"/>
        <v>6.2545020926271615</v>
      </c>
      <c r="AF19" s="8">
        <f t="shared" si="0"/>
        <v>6.2325425485540142</v>
      </c>
    </row>
    <row r="20" spans="1:32" s="17" customFormat="1" x14ac:dyDescent="0.3">
      <c r="B20" s="15" t="s">
        <v>1</v>
      </c>
      <c r="C20" s="16">
        <f>AVERAGE(C17,C14,C11,C8,C5)</f>
        <v>9.2930228333333282</v>
      </c>
      <c r="D20" s="16">
        <f t="shared" ref="D20:K20" si="7">AVERAGE(D17,D14,D11,D8,D5)</f>
        <v>19.38401095833332</v>
      </c>
      <c r="E20" s="16">
        <f t="shared" si="7"/>
        <v>6.3811577541666669</v>
      </c>
      <c r="F20" s="16">
        <f t="shared" si="7"/>
        <v>24.058034833333341</v>
      </c>
      <c r="G20" s="16">
        <f t="shared" si="7"/>
        <v>-0.1904407873102596</v>
      </c>
      <c r="H20" s="16">
        <f t="shared" si="7"/>
        <v>0.11037455355590256</v>
      </c>
      <c r="I20" s="16">
        <f t="shared" si="7"/>
        <v>86.4</v>
      </c>
      <c r="J20" s="16">
        <f t="shared" si="7"/>
        <v>56</v>
      </c>
      <c r="K20" s="16">
        <f t="shared" si="7"/>
        <v>96.6</v>
      </c>
      <c r="L20" s="16">
        <f>AVERAGE(L17,L14,L11,L8,L5)</f>
        <v>86.4</v>
      </c>
      <c r="M20" s="16">
        <f t="shared" ref="M20:AC20" si="8">AVERAGE(M17,M14,M11,M8,M5)</f>
        <v>64.8</v>
      </c>
      <c r="N20" s="19">
        <f t="shared" si="8"/>
        <v>15.831487440573781</v>
      </c>
      <c r="O20" s="19">
        <f t="shared" si="8"/>
        <v>15.510044425273241</v>
      </c>
      <c r="P20" s="19">
        <f t="shared" si="8"/>
        <v>13.80831387566028</v>
      </c>
      <c r="Q20" s="16">
        <f t="shared" si="8"/>
        <v>80.541578503073779</v>
      </c>
      <c r="R20" s="16">
        <f t="shared" si="8"/>
        <v>8274.4891563475958</v>
      </c>
      <c r="S20" s="16">
        <f t="shared" si="8"/>
        <v>219.97526686725877</v>
      </c>
      <c r="T20" s="16">
        <f t="shared" si="8"/>
        <v>0.42472033241100587</v>
      </c>
      <c r="U20" s="16">
        <f t="shared" si="8"/>
        <v>307.64000000000004</v>
      </c>
      <c r="V20" s="16">
        <f t="shared" si="8"/>
        <v>101.674375957195</v>
      </c>
      <c r="W20" s="16">
        <f t="shared" si="8"/>
        <v>15.281871633287802</v>
      </c>
      <c r="X20" s="16">
        <f t="shared" si="8"/>
        <v>7936.9642700096538</v>
      </c>
      <c r="Y20" s="16">
        <f t="shared" si="8"/>
        <v>549.90487908976888</v>
      </c>
      <c r="Z20" s="16">
        <f t="shared" si="8"/>
        <v>-3.2022152336253239E-2</v>
      </c>
      <c r="AA20" s="16">
        <f t="shared" si="8"/>
        <v>9.8745531889485212E-3</v>
      </c>
      <c r="AB20" s="16">
        <f t="shared" si="8"/>
        <v>0.15633288113467519</v>
      </c>
      <c r="AC20" s="16">
        <f t="shared" si="8"/>
        <v>17.15292285756566</v>
      </c>
      <c r="AD20" s="16">
        <f t="shared" ref="AD20:AE20" si="9">AVERAGE(AD17,AD14,AD11,AD8,AD5)</f>
        <v>3.8840106965305425</v>
      </c>
      <c r="AE20" s="16">
        <f t="shared" si="9"/>
        <v>21.483429761621402</v>
      </c>
      <c r="AF20" s="8">
        <f t="shared" si="0"/>
        <v>-3.2022152336253238</v>
      </c>
    </row>
    <row r="21" spans="1:32" hidden="1" x14ac:dyDescent="0.3">
      <c r="A21" s="8" t="s">
        <v>22</v>
      </c>
      <c r="B21" s="9" t="s">
        <v>5</v>
      </c>
      <c r="C21" s="10">
        <f>STDEV(C3,C15,C12,C9,C6)</f>
        <v>0.9810542451935208</v>
      </c>
      <c r="D21" s="10">
        <f t="shared" ref="D21:K21" si="10">STDEV(D3,D15,D12,D9,D6)</f>
        <v>0.67799429739832595</v>
      </c>
      <c r="E21" s="10">
        <f t="shared" si="10"/>
        <v>2.285362565914598</v>
      </c>
      <c r="F21" s="10">
        <f t="shared" si="10"/>
        <v>3.029227513137267</v>
      </c>
      <c r="G21" s="10">
        <f t="shared" si="10"/>
        <v>3.6200384216820015E-2</v>
      </c>
      <c r="H21" s="10">
        <f t="shared" si="10"/>
        <v>1.3947915692438941E-2</v>
      </c>
      <c r="I21" s="10">
        <f t="shared" si="10"/>
        <v>24.180570712867802</v>
      </c>
      <c r="J21" s="10">
        <f t="shared" si="10"/>
        <v>25.033976911389846</v>
      </c>
      <c r="K21" s="10">
        <f t="shared" si="10"/>
        <v>23.926972228010797</v>
      </c>
      <c r="L21" s="10">
        <f>STDEV(L3,L15,L12,L9,L6)</f>
        <v>24.180570712867802</v>
      </c>
      <c r="M21" s="10">
        <f t="shared" ref="M21:AC21" si="11">STDEV(M3,M15,M12,M9,M6)</f>
        <v>9.3005376188691375</v>
      </c>
      <c r="N21" s="18">
        <f t="shared" si="11"/>
        <v>3.4450273800486091E-2</v>
      </c>
      <c r="O21" s="13">
        <f t="shared" si="11"/>
        <v>6.065431636597627E-2</v>
      </c>
      <c r="P21" s="13">
        <f t="shared" si="11"/>
        <v>0.12361952689390572</v>
      </c>
      <c r="Q21" s="10">
        <f t="shared" si="11"/>
        <v>1.2174646037857215</v>
      </c>
      <c r="R21" s="10">
        <f t="shared" si="11"/>
        <v>643.2908950315483</v>
      </c>
      <c r="S21" s="10">
        <f t="shared" si="11"/>
        <v>3.3817078553456579</v>
      </c>
      <c r="T21" s="10">
        <f t="shared" si="11"/>
        <v>1.8473969750301949E-2</v>
      </c>
      <c r="U21" s="10">
        <f t="shared" si="11"/>
        <v>89.456374842713132</v>
      </c>
      <c r="V21" s="10">
        <f t="shared" si="11"/>
        <v>0.13074648246215179</v>
      </c>
      <c r="W21" s="10">
        <f t="shared" si="11"/>
        <v>0.21885012311399749</v>
      </c>
      <c r="X21" s="10">
        <f t="shared" si="11"/>
        <v>273.78201588716064</v>
      </c>
      <c r="Y21" s="10">
        <f t="shared" si="11"/>
        <v>80.258625920112735</v>
      </c>
      <c r="Z21" s="10">
        <f t="shared" si="11"/>
        <v>2.0695132569764119E-2</v>
      </c>
      <c r="AA21" s="10">
        <f t="shared" si="11"/>
        <v>2.1264333891955052</v>
      </c>
      <c r="AB21" s="10">
        <f t="shared" si="11"/>
        <v>1.1065804810495085E-2</v>
      </c>
      <c r="AC21" s="10">
        <f t="shared" si="11"/>
        <v>0.16950541936552369</v>
      </c>
      <c r="AD21" s="10">
        <f t="shared" ref="AD21:AE21" si="12">STDEV(AD3,AD15,AD12,AD9,AD6)</f>
        <v>0.47427836410086982</v>
      </c>
      <c r="AE21" s="10">
        <f t="shared" si="12"/>
        <v>1.1625389104321135</v>
      </c>
      <c r="AF21" s="8">
        <f t="shared" si="0"/>
        <v>2.0695132569764119</v>
      </c>
    </row>
    <row r="22" spans="1:32" hidden="1" x14ac:dyDescent="0.3">
      <c r="B22" s="4" t="s">
        <v>2</v>
      </c>
      <c r="C22" s="1">
        <f>STDEV(C4,,C16,C13,C10,C7)</f>
        <v>1.2879268002583633</v>
      </c>
      <c r="D22" s="1">
        <f t="shared" ref="D22:K22" si="13">STDEV(D4,,D16,D13,D10,D7)</f>
        <v>5.7256797943088991</v>
      </c>
      <c r="E22" s="1">
        <f t="shared" si="13"/>
        <v>2.7598797159024677</v>
      </c>
      <c r="F22" s="1">
        <f t="shared" si="13"/>
        <v>5.853786941337801</v>
      </c>
      <c r="G22" s="1">
        <f t="shared" si="13"/>
        <v>7.0853094740193912E-2</v>
      </c>
      <c r="H22" s="1">
        <f t="shared" si="13"/>
        <v>6.1105375413888753E-2</v>
      </c>
      <c r="I22" s="1">
        <f t="shared" si="13"/>
        <v>64.021871262873915</v>
      </c>
      <c r="J22" s="1">
        <f t="shared" si="13"/>
        <v>10.276186062932103</v>
      </c>
      <c r="K22" s="1">
        <f t="shared" si="13"/>
        <v>15.065412927187449</v>
      </c>
      <c r="L22" s="1">
        <f>STDEV(L4,L16,L13,L10,L7)</f>
        <v>11.454256850621082</v>
      </c>
      <c r="M22" s="1">
        <f t="shared" ref="M22:AC22" si="14">STDEV(M4,M16,M13,M10,M7)</f>
        <v>11.519548602267365</v>
      </c>
      <c r="N22" s="6">
        <f t="shared" si="14"/>
        <v>0.32320131735103846</v>
      </c>
      <c r="O22" s="6">
        <f t="shared" si="14"/>
        <v>0.32816128233834779</v>
      </c>
      <c r="P22" s="6">
        <f t="shared" si="14"/>
        <v>0.2825061032479505</v>
      </c>
      <c r="Q22" s="1">
        <f t="shared" si="14"/>
        <v>1.4678436810550772</v>
      </c>
      <c r="R22" s="1">
        <f t="shared" si="14"/>
        <v>293.39895785272029</v>
      </c>
      <c r="S22" s="1">
        <f t="shared" si="14"/>
        <v>7.7530090347526173</v>
      </c>
      <c r="T22" s="1">
        <f t="shared" si="14"/>
        <v>1.4742688649909944E-2</v>
      </c>
      <c r="U22" s="1">
        <f t="shared" si="14"/>
        <v>99.852816685359855</v>
      </c>
      <c r="V22" s="1">
        <f t="shared" si="14"/>
        <v>0.19373224317631701</v>
      </c>
      <c r="W22" s="1">
        <f t="shared" si="14"/>
        <v>0.33522573000750056</v>
      </c>
      <c r="X22" s="1">
        <f t="shared" si="14"/>
        <v>121.69535588850438</v>
      </c>
      <c r="Y22" s="1">
        <f t="shared" si="14"/>
        <v>16.116104486360207</v>
      </c>
      <c r="Z22" s="1">
        <f t="shared" si="14"/>
        <v>1.2267842450147627E-2</v>
      </c>
      <c r="AA22" s="1">
        <f t="shared" si="14"/>
        <v>2.6421708474859962</v>
      </c>
      <c r="AB22" s="1">
        <f t="shared" si="14"/>
        <v>2.1530494076404384E-2</v>
      </c>
      <c r="AC22" s="1">
        <f t="shared" si="14"/>
        <v>0.27518466902961475</v>
      </c>
      <c r="AD22" s="1">
        <f t="shared" ref="AD22:AE22" si="15">STDEV(AD4,AD16,AD13,AD10,AD7)</f>
        <v>0.42440526490579611</v>
      </c>
      <c r="AE22" s="1">
        <f t="shared" si="15"/>
        <v>1.3785929386423692</v>
      </c>
      <c r="AF22" s="8">
        <f t="shared" si="0"/>
        <v>1.2267842450147626</v>
      </c>
    </row>
    <row r="23" spans="1:32" s="17" customFormat="1" x14ac:dyDescent="0.3">
      <c r="B23" s="15" t="s">
        <v>1</v>
      </c>
      <c r="C23" s="16">
        <f>STDEV(C5,C17,C14,C11,C8)</f>
        <v>0.77072432482049247</v>
      </c>
      <c r="D23" s="16">
        <f t="shared" ref="D23:K23" si="16">STDEV(D5,D17,D14,D11,D8)</f>
        <v>0.67799429739832595</v>
      </c>
      <c r="E23" s="16">
        <f t="shared" si="16"/>
        <v>1.1665720478236579</v>
      </c>
      <c r="F23" s="16">
        <f t="shared" si="16"/>
        <v>3.029227513137267</v>
      </c>
      <c r="G23" s="16">
        <f t="shared" si="16"/>
        <v>3.8219739552491819E-2</v>
      </c>
      <c r="H23" s="16">
        <f t="shared" si="16"/>
        <v>3.3205204360469316E-2</v>
      </c>
      <c r="I23" s="16">
        <f t="shared" si="16"/>
        <v>21.042813500100202</v>
      </c>
      <c r="J23" s="16">
        <f t="shared" si="16"/>
        <v>22.5055548698538</v>
      </c>
      <c r="K23" s="16">
        <f t="shared" si="16"/>
        <v>21.042813500100202</v>
      </c>
      <c r="L23" s="16">
        <f>STDEV(L5,L17,L14,L11,L8)</f>
        <v>21.042813500100202</v>
      </c>
      <c r="M23" s="16">
        <f t="shared" ref="M23:AC23" si="17">STDEV(M5,M17,M14,M11,M8)</f>
        <v>5.8906705900092557</v>
      </c>
      <c r="N23" s="19">
        <f t="shared" si="17"/>
        <v>0.33162029894861123</v>
      </c>
      <c r="O23" s="19">
        <f t="shared" si="17"/>
        <v>0.29098434693371245</v>
      </c>
      <c r="P23" s="19">
        <f t="shared" si="17"/>
        <v>0.11882175432007466</v>
      </c>
      <c r="Q23" s="16">
        <f t="shared" si="17"/>
        <v>1.2052870061093253</v>
      </c>
      <c r="R23" s="16">
        <f t="shared" si="17"/>
        <v>393.18207926214239</v>
      </c>
      <c r="S23" s="16">
        <f t="shared" si="17"/>
        <v>4.8922573429030969</v>
      </c>
      <c r="T23" s="16">
        <f t="shared" si="17"/>
        <v>3.1319431060272088E-2</v>
      </c>
      <c r="U23" s="16">
        <f t="shared" si="17"/>
        <v>29.916600742731454</v>
      </c>
      <c r="V23" s="16">
        <f t="shared" si="17"/>
        <v>7.3714348526970813E-2</v>
      </c>
      <c r="W23" s="16">
        <f t="shared" si="17"/>
        <v>0.14617030015420718</v>
      </c>
      <c r="X23" s="16">
        <f t="shared" si="17"/>
        <v>455.88604259209893</v>
      </c>
      <c r="Y23" s="16">
        <f t="shared" si="17"/>
        <v>87.382625842497575</v>
      </c>
      <c r="Z23" s="16">
        <f t="shared" si="17"/>
        <v>3.7142965749494994E-2</v>
      </c>
      <c r="AA23" s="16">
        <f t="shared" si="17"/>
        <v>3.2587919193923969</v>
      </c>
      <c r="AB23" s="16">
        <f t="shared" si="17"/>
        <v>4.1812830400428389E-3</v>
      </c>
      <c r="AC23" s="16">
        <f t="shared" si="17"/>
        <v>0.14266756479574286</v>
      </c>
      <c r="AD23" s="16">
        <f t="shared" ref="AD23:AE23" si="18">STDEV(AD5,AD17,AD14,AD11,AD8)</f>
        <v>0.76564056241024248</v>
      </c>
      <c r="AE23" s="16">
        <f t="shared" si="18"/>
        <v>1.6183258246187078</v>
      </c>
      <c r="AF23" s="8">
        <f t="shared" si="0"/>
        <v>3.7142965749494996</v>
      </c>
    </row>
  </sheetData>
  <autoFilter ref="A2:X23" xr:uid="{00000000-0001-0000-0300-000000000000}">
    <filterColumn colId="1">
      <filters>
        <filter val="GS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22"/>
  <sheetViews>
    <sheetView zoomScale="118" zoomScaleNormal="11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T5" sqref="AT5"/>
    </sheetView>
  </sheetViews>
  <sheetFormatPr defaultRowHeight="14.4" x14ac:dyDescent="0.3"/>
  <cols>
    <col min="3" max="6" width="8.77734375" bestFit="1" customWidth="1"/>
    <col min="7" max="7" width="5" customWidth="1"/>
    <col min="8" max="8" width="1.77734375" customWidth="1"/>
    <col min="9" max="9" width="5.6640625" style="4" customWidth="1"/>
    <col min="10" max="10" width="11.21875" customWidth="1"/>
    <col min="11" max="11" width="1.77734375" customWidth="1"/>
    <col min="12" max="12" width="3.88671875" style="4" customWidth="1"/>
    <col min="13" max="13" width="5.44140625" customWidth="1"/>
    <col min="14" max="14" width="1.77734375" customWidth="1"/>
    <col min="15" max="15" width="6.6640625" style="4" customWidth="1"/>
    <col min="16" max="16" width="5.77734375" customWidth="1"/>
    <col min="17" max="17" width="1.77734375" customWidth="1"/>
    <col min="18" max="18" width="4.88671875" style="4" customWidth="1"/>
    <col min="19" max="19" width="5.5546875" customWidth="1"/>
    <col min="20" max="20" width="1.77734375" customWidth="1"/>
    <col min="21" max="21" width="4.77734375" style="4" customWidth="1"/>
    <col min="22" max="22" width="7.5546875" customWidth="1"/>
    <col min="23" max="23" width="1.77734375" customWidth="1"/>
    <col min="24" max="24" width="6.33203125" style="4" customWidth="1"/>
    <col min="25" max="25" width="5.109375" style="6" customWidth="1"/>
    <col min="26" max="26" width="1.77734375" customWidth="1"/>
    <col min="27" max="27" width="5.77734375" style="7" customWidth="1"/>
    <col min="28" max="28" width="6" customWidth="1"/>
    <col min="29" max="29" width="1.77734375" customWidth="1"/>
    <col min="30" max="30" width="5.109375" style="4" customWidth="1"/>
    <col min="31" max="31" width="7.109375" customWidth="1"/>
    <col min="32" max="32" width="1.77734375" customWidth="1"/>
    <col min="33" max="33" width="6.21875" style="4" customWidth="1"/>
    <col min="34" max="34" width="5.77734375" customWidth="1"/>
    <col min="35" max="35" width="1.77734375" customWidth="1"/>
    <col min="36" max="36" width="4.21875" style="4" customWidth="1"/>
    <col min="37" max="37" width="6.21875" customWidth="1"/>
    <col min="38" max="38" width="1.77734375" customWidth="1"/>
    <col min="39" max="39" width="4.44140625" style="4" customWidth="1"/>
    <col min="40" max="40" width="11.44140625" customWidth="1"/>
    <col min="41" max="41" width="1.77734375" customWidth="1"/>
    <col min="42" max="42" width="10.88671875" style="4" customWidth="1"/>
    <col min="44" max="44" width="2.21875" customWidth="1"/>
  </cols>
  <sheetData>
    <row r="1" spans="1:48" x14ac:dyDescent="0.3">
      <c r="B1" t="str">
        <f>[7]met_monthly_means!B1</f>
        <v>month_local</v>
      </c>
      <c r="C1" t="str">
        <f>[7]met_monthly_means!C1</f>
        <v>min_TS.5</v>
      </c>
      <c r="D1" t="str">
        <f>[7]met_monthly_means!D1</f>
        <v>max_TS.5</v>
      </c>
      <c r="E1" t="str">
        <f>[7]met_monthly_means!E1</f>
        <v>min_wtd</v>
      </c>
      <c r="F1" t="str">
        <f>[7]met_monthly_means!F1</f>
        <v>max_wtd</v>
      </c>
      <c r="G1" s="21" t="str">
        <f>[7]met_monthly_means!G1</f>
        <v>TS.5</v>
      </c>
      <c r="H1" s="21"/>
      <c r="I1" s="21"/>
      <c r="J1" s="21" t="str">
        <f>[7]met_monthly_means!H1</f>
        <v>TS.10</v>
      </c>
      <c r="K1" s="21"/>
      <c r="L1" s="21"/>
      <c r="M1" s="21" t="str">
        <f>[7]met_monthly_means!I1</f>
        <v>TS.50</v>
      </c>
      <c r="N1" s="21"/>
      <c r="O1" s="21"/>
      <c r="P1" s="21" t="str">
        <f>[7]met_monthly_means!J1</f>
        <v>RH</v>
      </c>
      <c r="Q1" s="21"/>
      <c r="R1" s="21"/>
      <c r="S1" s="21" t="str">
        <f>[7]met_monthly_means!K1</f>
        <v>PARin</v>
      </c>
      <c r="T1" s="21"/>
      <c r="U1" s="21"/>
      <c r="V1" s="21" t="str">
        <f>[7]met_monthly_means!L1</f>
        <v>SWin</v>
      </c>
      <c r="W1" s="21"/>
      <c r="X1" s="21"/>
      <c r="Y1" s="21" t="str">
        <f>[7]met_monthly_means!M1</f>
        <v>VPD.y</v>
      </c>
      <c r="Z1" s="21"/>
      <c r="AA1" s="21"/>
      <c r="AB1" s="21" t="str">
        <f>[7]met_monthly_means!N1</f>
        <v>Precip</v>
      </c>
      <c r="AC1" s="21"/>
      <c r="AD1" s="21"/>
      <c r="AE1" s="21" t="str">
        <f>[7]met_monthly_means!O1</f>
        <v>PA_2M</v>
      </c>
      <c r="AF1" s="21"/>
      <c r="AG1" s="21"/>
      <c r="AH1" s="21" t="str">
        <f>[7]met_monthly_means!P1</f>
        <v>Ta</v>
      </c>
      <c r="AI1" s="21"/>
      <c r="AJ1" s="21"/>
      <c r="AK1" s="21" t="str">
        <f>[7]met_monthly_means!Q1</f>
        <v>SWC</v>
      </c>
      <c r="AL1" s="21"/>
      <c r="AM1" s="21"/>
      <c r="AN1" s="21" t="str">
        <f>[7]met_monthly_means!R1</f>
        <v>ET</v>
      </c>
      <c r="AO1" s="21"/>
      <c r="AP1" s="21"/>
      <c r="AQ1" s="21" t="s">
        <v>52</v>
      </c>
      <c r="AR1" s="21"/>
      <c r="AS1" s="21"/>
      <c r="AT1" s="21" t="s">
        <v>53</v>
      </c>
      <c r="AU1" s="21"/>
      <c r="AV1" s="21"/>
    </row>
    <row r="2" spans="1:48" x14ac:dyDescent="0.3">
      <c r="A2" t="s">
        <v>23</v>
      </c>
      <c r="B2">
        <f>[7]met_monthly_means!B11</f>
        <v>10</v>
      </c>
      <c r="C2" s="1">
        <f>[7]met_monthly_means!C11</f>
        <v>10.260360493279601</v>
      </c>
      <c r="D2" s="1">
        <f>[7]met_monthly_means!D11</f>
        <v>12.147126571908601</v>
      </c>
      <c r="E2" s="1">
        <f>[7]met_monthly_means!E11 *100</f>
        <v>-10.2553173073771</v>
      </c>
      <c r="F2" s="1">
        <f>[7]met_monthly_means!F11 *100</f>
        <v>-0.99267261002553808</v>
      </c>
      <c r="G2" s="1">
        <f>[7]met_monthly_means!G11</f>
        <v>11.094398776399901</v>
      </c>
      <c r="H2" s="3" t="s">
        <v>6</v>
      </c>
      <c r="I2" s="2">
        <f>[8]met_monthly_sd!C11</f>
        <v>0.76810156369886595</v>
      </c>
      <c r="J2" s="1">
        <f>[7]met_monthly_means!H11</f>
        <v>11.23113750626</v>
      </c>
      <c r="K2" s="3" t="s">
        <v>6</v>
      </c>
      <c r="L2" s="2">
        <f>[8]met_monthly_sd!D11</f>
        <v>0.77967710398762302</v>
      </c>
      <c r="M2" s="1">
        <f>[7]met_monthly_means!I11</f>
        <v>12.971968223375701</v>
      </c>
      <c r="N2" s="3" t="s">
        <v>6</v>
      </c>
      <c r="O2" s="2">
        <f>[8]met_monthly_sd!E11</f>
        <v>0.50530323012090705</v>
      </c>
      <c r="P2" s="1">
        <f>[7]met_monthly_means!J11</f>
        <v>87.853774103966501</v>
      </c>
      <c r="Q2" s="3" t="s">
        <v>6</v>
      </c>
      <c r="R2" s="2">
        <f>[8]met_monthly_sd!F11</f>
        <v>0.85094761320235301</v>
      </c>
      <c r="S2" s="1">
        <f>[7]met_monthly_means!K11</f>
        <v>15.934526114217901</v>
      </c>
      <c r="T2" s="3" t="s">
        <v>6</v>
      </c>
      <c r="U2" s="2">
        <f>[8]met_monthly_sd!G11</f>
        <v>2.4375273207147599</v>
      </c>
      <c r="V2" s="1">
        <f>[7]met_monthly_means!L11</f>
        <v>85.159182099796993</v>
      </c>
      <c r="W2" s="3" t="s">
        <v>6</v>
      </c>
      <c r="X2" s="2">
        <f>[8]met_monthly_sd!H11</f>
        <v>13.266089733304399</v>
      </c>
      <c r="Y2" s="6">
        <f>[7]met_monthly_means!M11</f>
        <v>0.17425819711434201</v>
      </c>
      <c r="Z2" s="3" t="s">
        <v>6</v>
      </c>
      <c r="AA2" s="7">
        <f>[8]met_monthly_sd!I11</f>
        <v>1.9189949729553901E-2</v>
      </c>
      <c r="AB2" s="1">
        <f>[7]met_monthly_means!N11</f>
        <v>119.78</v>
      </c>
      <c r="AC2" s="3" t="s">
        <v>6</v>
      </c>
      <c r="AD2" s="2">
        <f>[8]met_monthly_sd!J11</f>
        <v>35.802611636583201</v>
      </c>
      <c r="AE2" s="1">
        <f>[7]met_monthly_means!O11</f>
        <v>101.74752026206799</v>
      </c>
      <c r="AF2" s="3" t="s">
        <v>6</v>
      </c>
      <c r="AG2" s="2">
        <f>[8]met_monthly_sd!K11</f>
        <v>0.451756230170064</v>
      </c>
      <c r="AH2" s="1">
        <f>[7]met_monthly_means!P11</f>
        <v>9.6268403657086505</v>
      </c>
      <c r="AI2" s="3" t="s">
        <v>6</v>
      </c>
      <c r="AJ2" s="2">
        <f>[8]met_monthly_sd!L11</f>
        <v>1.1051198880722299</v>
      </c>
      <c r="AK2" s="1">
        <f>[7]met_monthly_means!Q11</f>
        <v>78.2121762826294</v>
      </c>
      <c r="AL2" s="3" t="s">
        <v>6</v>
      </c>
      <c r="AM2" s="2">
        <f>[8]met_monthly_sd!M11</f>
        <v>5.0285670349455396</v>
      </c>
      <c r="AN2" s="1">
        <f>[7]met_monthly_means!R11</f>
        <v>19.013047505696601</v>
      </c>
      <c r="AO2" s="3" t="s">
        <v>6</v>
      </c>
      <c r="AP2" s="2">
        <f>[8]met_monthly_sd!N11</f>
        <v>2.2414247378034502</v>
      </c>
      <c r="AQ2">
        <f>[7]met_monthly_means!S11</f>
        <v>-6.5615823963490805E-2</v>
      </c>
      <c r="AR2" s="3" t="s">
        <v>6</v>
      </c>
      <c r="AS2">
        <f>[8]met_monthly_sd!O11</f>
        <v>4.3486715005743998E-2</v>
      </c>
      <c r="AT2">
        <f>AQ2*100</f>
        <v>-6.5615823963490802</v>
      </c>
      <c r="AU2" s="3" t="s">
        <v>6</v>
      </c>
      <c r="AV2">
        <f>AS2*100</f>
        <v>4.3486715005744001</v>
      </c>
    </row>
    <row r="3" spans="1:48" x14ac:dyDescent="0.3">
      <c r="A3" t="s">
        <v>24</v>
      </c>
      <c r="B3">
        <f>[7]met_monthly_means!B12</f>
        <v>11</v>
      </c>
      <c r="C3" s="1">
        <f>[7]met_monthly_means!C12</f>
        <v>7.1754162704861102</v>
      </c>
      <c r="D3" s="1">
        <f>[7]met_monthly_means!D12</f>
        <v>9.3843976881944506</v>
      </c>
      <c r="E3" s="1">
        <f>[7]met_monthly_means!E12 *100</f>
        <v>3.1886596918691898</v>
      </c>
      <c r="F3" s="1">
        <f>[7]met_monthly_means!F12 *100</f>
        <v>8.7286234287899092</v>
      </c>
      <c r="G3" s="1">
        <f>[7]met_monthly_means!G12</f>
        <v>7.8969261757073603</v>
      </c>
      <c r="H3" s="3" t="s">
        <v>6</v>
      </c>
      <c r="I3" s="2">
        <f>[8]met_monthly_sd!C12</f>
        <v>0.93268521426039397</v>
      </c>
      <c r="J3" s="1">
        <f>[7]met_monthly_means!H12</f>
        <v>8.0081922626001507</v>
      </c>
      <c r="K3" s="3" t="s">
        <v>6</v>
      </c>
      <c r="L3" s="2">
        <f>[8]met_monthly_sd!D12</f>
        <v>0.93898134588722904</v>
      </c>
      <c r="M3" s="1">
        <f>[7]met_monthly_means!I12</f>
        <v>10.059856046285899</v>
      </c>
      <c r="N3" s="3" t="s">
        <v>6</v>
      </c>
      <c r="O3" s="2">
        <f>[8]met_monthly_sd!E12</f>
        <v>0.64598942675387006</v>
      </c>
      <c r="P3" s="1">
        <f>[7]met_monthly_means!J12</f>
        <v>89.838546612499997</v>
      </c>
      <c r="Q3" s="3" t="s">
        <v>6</v>
      </c>
      <c r="R3" s="2">
        <f>[8]met_monthly_sd!F12</f>
        <v>2.6758067629074098</v>
      </c>
      <c r="S3" s="1">
        <f>[7]met_monthly_means!K12</f>
        <v>7.6100785104076003</v>
      </c>
      <c r="T3" s="3" t="s">
        <v>6</v>
      </c>
      <c r="U3" s="2">
        <f>[8]met_monthly_sd!G12</f>
        <v>1.9382465589545701</v>
      </c>
      <c r="V3" s="1">
        <f>[7]met_monthly_means!L12</f>
        <v>41.539000552222198</v>
      </c>
      <c r="W3" s="3" t="s">
        <v>6</v>
      </c>
      <c r="X3" s="2">
        <f>[8]met_monthly_sd!H12</f>
        <v>10.719162268457399</v>
      </c>
      <c r="Y3" s="6">
        <f>[7]met_monthly_means!M12</f>
        <v>0.11292450896921601</v>
      </c>
      <c r="Z3" s="3" t="s">
        <v>6</v>
      </c>
      <c r="AA3" s="7">
        <f>[8]met_monthly_sd!I12</f>
        <v>2.6948393531655599E-2</v>
      </c>
      <c r="AB3" s="1">
        <f>[7]met_monthly_means!N12</f>
        <v>181.84</v>
      </c>
      <c r="AC3" s="3" t="s">
        <v>6</v>
      </c>
      <c r="AD3" s="2">
        <f>[8]met_monthly_sd!J12</f>
        <v>50.0698312359848</v>
      </c>
      <c r="AE3" s="1">
        <f>[7]met_monthly_means!O12</f>
        <v>101.563043386111</v>
      </c>
      <c r="AF3" s="3" t="s">
        <v>6</v>
      </c>
      <c r="AG3" s="2">
        <f>[8]met_monthly_sd!K12</f>
        <v>0.36772007114799299</v>
      </c>
      <c r="AH3" s="1">
        <f>[7]met_monthly_means!P12</f>
        <v>7.0774529597916702</v>
      </c>
      <c r="AI3" s="3" t="s">
        <v>6</v>
      </c>
      <c r="AJ3" s="2">
        <f>[8]met_monthly_sd!L12</f>
        <v>1.4462519706800701</v>
      </c>
      <c r="AK3" s="1">
        <f>[7]met_monthly_means!Q12</f>
        <v>84.483538142081002</v>
      </c>
      <c r="AL3" s="3" t="s">
        <v>6</v>
      </c>
      <c r="AM3" s="2">
        <f>[8]met_monthly_sd!M12</f>
        <v>3.2346080468890999</v>
      </c>
      <c r="AN3" s="1">
        <f>[7]met_monthly_means!R12</f>
        <v>5.1615985880116799</v>
      </c>
      <c r="AO3" s="3" t="s">
        <v>6</v>
      </c>
      <c r="AP3" s="2">
        <f>[8]met_monthly_sd!N12</f>
        <v>2.7408529914648199</v>
      </c>
      <c r="AQ3">
        <f>[7]met_monthly_means!S12</f>
        <v>5.2221707132738701E-2</v>
      </c>
      <c r="AR3" s="3" t="s">
        <v>6</v>
      </c>
      <c r="AS3">
        <f>[8]met_monthly_sd!O12</f>
        <v>2.4765501110322299E-2</v>
      </c>
      <c r="AT3">
        <f t="shared" ref="AT3:AT13" si="0">AQ3*100</f>
        <v>5.2221707132738704</v>
      </c>
      <c r="AU3" s="3" t="s">
        <v>6</v>
      </c>
      <c r="AV3">
        <f t="shared" ref="AV3:AV13" si="1">AS3*100</f>
        <v>2.4765501110322297</v>
      </c>
    </row>
    <row r="4" spans="1:48" s="8" customFormat="1" x14ac:dyDescent="0.3">
      <c r="A4" s="8" t="s">
        <v>25</v>
      </c>
      <c r="B4" s="8">
        <f>[7]met_monthly_means!B13</f>
        <v>12</v>
      </c>
      <c r="C4" s="10">
        <f>[7]met_monthly_means!C13</f>
        <v>3.26229447110215</v>
      </c>
      <c r="D4" s="10">
        <f>[7]met_monthly_means!D13</f>
        <v>5.9222822002688202</v>
      </c>
      <c r="E4" s="10">
        <f>[7]met_monthly_means!E13 *100</f>
        <v>7.8265361163177696</v>
      </c>
      <c r="F4" s="10">
        <f>[7]met_monthly_means!F13 *100</f>
        <v>11.6903644580833</v>
      </c>
      <c r="G4" s="10">
        <f>[7]met_monthly_means!G13</f>
        <v>4.9773132216720901</v>
      </c>
      <c r="H4" s="11" t="s">
        <v>6</v>
      </c>
      <c r="I4" s="12">
        <f>[8]met_monthly_sd!C13</f>
        <v>1.0525686139522501</v>
      </c>
      <c r="J4" s="1">
        <f>[7]met_monthly_means!H13</f>
        <v>5.1567731150940501</v>
      </c>
      <c r="K4" s="11" t="s">
        <v>6</v>
      </c>
      <c r="L4" s="12">
        <f>[8]met_monthly_sd!D13</f>
        <v>0.91802548834797004</v>
      </c>
      <c r="M4" s="10">
        <f>[7]met_monthly_means!I13</f>
        <v>7.7865137192164502</v>
      </c>
      <c r="N4" s="11" t="s">
        <v>6</v>
      </c>
      <c r="O4" s="12">
        <f>[8]met_monthly_sd!E13</f>
        <v>0.27926745493577099</v>
      </c>
      <c r="P4" s="10">
        <f>[7]met_monthly_means!J13</f>
        <v>92.253639437836</v>
      </c>
      <c r="Q4" s="11" t="s">
        <v>6</v>
      </c>
      <c r="R4" s="12">
        <f>[8]met_monthly_sd!F13</f>
        <v>3.7177213462241898</v>
      </c>
      <c r="S4" s="10">
        <f>[7]met_monthly_means!K13</f>
        <v>4.5977027618839497</v>
      </c>
      <c r="T4" s="11" t="s">
        <v>6</v>
      </c>
      <c r="U4" s="12">
        <f>[8]met_monthly_sd!G13</f>
        <v>0.82978577790472097</v>
      </c>
      <c r="V4" s="10">
        <f>[7]met_monthly_means!L13</f>
        <v>28.2385598997312</v>
      </c>
      <c r="W4" s="11" t="s">
        <v>6</v>
      </c>
      <c r="X4" s="12">
        <f>[8]met_monthly_sd!H13</f>
        <v>5.8727399809376299</v>
      </c>
      <c r="Y4" s="13">
        <f>[7]met_monthly_means!M13</f>
        <v>6.3285076886905198E-2</v>
      </c>
      <c r="Z4" s="11" t="s">
        <v>6</v>
      </c>
      <c r="AA4" s="14">
        <f>[8]met_monthly_sd!I13</f>
        <v>2.57517704382083E-2</v>
      </c>
      <c r="AB4" s="10">
        <f>[7]met_monthly_means!N13</f>
        <v>186.48</v>
      </c>
      <c r="AC4" s="11" t="s">
        <v>6</v>
      </c>
      <c r="AD4" s="12">
        <f>[8]met_monthly_sd!J13</f>
        <v>30.3382102306646</v>
      </c>
      <c r="AE4" s="10">
        <f>[7]met_monthly_means!O13</f>
        <v>101.92198994690899</v>
      </c>
      <c r="AF4" s="11" t="s">
        <v>6</v>
      </c>
      <c r="AG4" s="12">
        <f>[8]met_monthly_sd!K13</f>
        <v>0.34602464274769101</v>
      </c>
      <c r="AH4" s="10">
        <f>[7]met_monthly_means!P13</f>
        <v>3.5516934294354798</v>
      </c>
      <c r="AI4" s="11" t="s">
        <v>6</v>
      </c>
      <c r="AJ4" s="12">
        <f>[8]met_monthly_sd!L13</f>
        <v>2.0349941944120999</v>
      </c>
      <c r="AK4" s="10">
        <f>[7]met_monthly_means!Q13</f>
        <v>88.2919670098495</v>
      </c>
      <c r="AL4" s="11" t="s">
        <v>6</v>
      </c>
      <c r="AM4" s="12">
        <f>[8]met_monthly_sd!M13</f>
        <v>1.49291425141995</v>
      </c>
      <c r="AN4" s="10">
        <f>[7]met_monthly_means!R13</f>
        <v>3.407883850103</v>
      </c>
      <c r="AO4" s="11" t="s">
        <v>6</v>
      </c>
      <c r="AP4" s="12">
        <f>[8]met_monthly_sd!N13</f>
        <v>1.2909286528483099</v>
      </c>
      <c r="AQ4" s="8">
        <f>[7]met_monthly_means!S13</f>
        <v>9.5516893242807502E-2</v>
      </c>
      <c r="AR4" s="11" t="s">
        <v>6</v>
      </c>
      <c r="AS4" s="8">
        <f>[8]met_monthly_sd!O13</f>
        <v>1.4115366764233301E-2</v>
      </c>
      <c r="AT4" s="8">
        <f t="shared" si="0"/>
        <v>9.5516893242807495</v>
      </c>
      <c r="AU4" s="11" t="s">
        <v>6</v>
      </c>
      <c r="AV4" s="8">
        <f t="shared" si="1"/>
        <v>1.4115366764233301</v>
      </c>
    </row>
    <row r="5" spans="1:48" s="8" customFormat="1" x14ac:dyDescent="0.3">
      <c r="A5" s="8" t="s">
        <v>26</v>
      </c>
      <c r="B5" s="8">
        <f>[7]met_monthly_means!B2</f>
        <v>1</v>
      </c>
      <c r="C5" s="10">
        <f>[7]met_monthly_means!C2</f>
        <v>2.2484311686827998</v>
      </c>
      <c r="D5" s="10">
        <f>[7]met_monthly_means!D2</f>
        <v>5.7816707587365599</v>
      </c>
      <c r="E5" s="10">
        <f>[7]met_monthly_means!E2 *100</f>
        <v>9.2335338582763402</v>
      </c>
      <c r="F5" s="10">
        <f>[7]met_monthly_means!F2 *100</f>
        <v>12.051769735499301</v>
      </c>
      <c r="G5" s="10">
        <f>[7]met_monthly_means!G2</f>
        <v>4.8309480830869198</v>
      </c>
      <c r="H5" s="11" t="s">
        <v>6</v>
      </c>
      <c r="I5" s="12">
        <f>[8]met_monthly_sd!C2</f>
        <v>1.4608057785661701</v>
      </c>
      <c r="J5" s="1">
        <f>[7]met_monthly_means!H14</f>
        <v>0</v>
      </c>
      <c r="K5" s="11" t="s">
        <v>6</v>
      </c>
      <c r="L5" s="12">
        <f>[8]met_monthly_sd!D2</f>
        <v>1.3989042118367001</v>
      </c>
      <c r="M5" s="10">
        <f>[7]met_monthly_means!I2</f>
        <v>6.6857200535310302</v>
      </c>
      <c r="N5" s="11" t="s">
        <v>6</v>
      </c>
      <c r="O5" s="12">
        <f>[8]met_monthly_sd!E2</f>
        <v>0.94389560798625005</v>
      </c>
      <c r="P5" s="10">
        <f>[7]met_monthly_means!J2</f>
        <v>89.7302115010081</v>
      </c>
      <c r="Q5" s="11" t="s">
        <v>6</v>
      </c>
      <c r="R5" s="12">
        <f>[8]met_monthly_sd!F2</f>
        <v>4.4826078101495996</v>
      </c>
      <c r="S5" s="10">
        <f>[7]met_monthly_means!K2</f>
        <v>6.1828222241020798</v>
      </c>
      <c r="T5" s="11" t="s">
        <v>6</v>
      </c>
      <c r="U5" s="12">
        <f>[8]met_monthly_sd!G2</f>
        <v>1.39304755379811</v>
      </c>
      <c r="V5" s="10">
        <f>[7]met_monthly_means!L2</f>
        <v>34.4409645732527</v>
      </c>
      <c r="W5" s="11" t="s">
        <v>6</v>
      </c>
      <c r="X5" s="12">
        <f>[8]met_monthly_sd!H2</f>
        <v>8.0360450099804606</v>
      </c>
      <c r="Y5" s="13">
        <f>[7]met_monthly_means!M2</f>
        <v>8.7892198791784407E-2</v>
      </c>
      <c r="Z5" s="11" t="s">
        <v>6</v>
      </c>
      <c r="AA5" s="14">
        <f>[8]met_monthly_sd!I2</f>
        <v>2.1998240409360201E-2</v>
      </c>
      <c r="AB5" s="10">
        <f>[7]met_monthly_means!N2</f>
        <v>180.08</v>
      </c>
      <c r="AC5" s="11" t="s">
        <v>6</v>
      </c>
      <c r="AD5" s="12">
        <f>[8]met_monthly_sd!J2</f>
        <v>83.339198460268406</v>
      </c>
      <c r="AE5" s="10">
        <f>[7]met_monthly_means!O2</f>
        <v>101.554164528226</v>
      </c>
      <c r="AF5" s="11" t="s">
        <v>6</v>
      </c>
      <c r="AG5" s="12">
        <f>[8]met_monthly_sd!K2</f>
        <v>0.15877387145615299</v>
      </c>
      <c r="AH5" s="10">
        <f>[7]met_monthly_means!P2</f>
        <v>4.2648156905241903</v>
      </c>
      <c r="AI5" s="11" t="s">
        <v>6</v>
      </c>
      <c r="AJ5" s="12">
        <f>[8]met_monthly_sd!L2</f>
        <v>1.60078746704499</v>
      </c>
      <c r="AK5" s="10">
        <f>[7]met_monthly_means!Q2</f>
        <v>87.626500850251901</v>
      </c>
      <c r="AL5" s="11" t="s">
        <v>6</v>
      </c>
      <c r="AM5" s="12">
        <f>[8]met_monthly_sd!M2</f>
        <v>2.9809418210056799</v>
      </c>
      <c r="AN5" s="10">
        <f>[7]met_monthly_means!R2</f>
        <v>8.5494368989024601</v>
      </c>
      <c r="AO5" s="11" t="s">
        <v>6</v>
      </c>
      <c r="AP5" s="12">
        <f>[8]met_monthly_sd!N2</f>
        <v>1.1345282967972501</v>
      </c>
      <c r="AQ5" s="8">
        <f>[7]met_monthly_means!S2</f>
        <v>0.105458907360653</v>
      </c>
      <c r="AR5" s="11" t="s">
        <v>6</v>
      </c>
      <c r="AS5" s="8">
        <f>[8]met_monthly_sd!O2</f>
        <v>1.07925000439816E-2</v>
      </c>
      <c r="AT5" s="8">
        <f t="shared" si="0"/>
        <v>10.545890736065299</v>
      </c>
      <c r="AU5" s="11" t="s">
        <v>6</v>
      </c>
      <c r="AV5" s="8">
        <f t="shared" si="1"/>
        <v>1.0792500043981599</v>
      </c>
    </row>
    <row r="6" spans="1:48" s="8" customFormat="1" x14ac:dyDescent="0.3">
      <c r="A6" s="8" t="s">
        <v>27</v>
      </c>
      <c r="B6" s="8">
        <f>[7]met_monthly_means!B3</f>
        <v>2</v>
      </c>
      <c r="C6" s="10">
        <f>[7]met_monthly_means!C3</f>
        <v>3.47149493973214</v>
      </c>
      <c r="D6" s="10">
        <f>[7]met_monthly_means!D3</f>
        <v>5.92782710883621</v>
      </c>
      <c r="E6" s="10">
        <f>[7]met_monthly_means!E3 *100</f>
        <v>8.8468489435577595</v>
      </c>
      <c r="F6" s="10">
        <f>[7]met_monthly_means!F3 *100</f>
        <v>11.3353349019593</v>
      </c>
      <c r="G6" s="10">
        <f>[7]met_monthly_means!G3</f>
        <v>4.94819519379105</v>
      </c>
      <c r="H6" s="11" t="s">
        <v>6</v>
      </c>
      <c r="I6" s="12">
        <f>[8]met_monthly_sd!C3</f>
        <v>0.972141207974622</v>
      </c>
      <c r="J6" s="1">
        <f>[7]met_monthly_means!H15</f>
        <v>0</v>
      </c>
      <c r="K6" s="11" t="s">
        <v>6</v>
      </c>
      <c r="L6" s="12">
        <f>[8]met_monthly_sd!D3</f>
        <v>0.91943100157451996</v>
      </c>
      <c r="M6" s="10">
        <f>[7]met_monthly_means!I3</f>
        <v>6.4745706502822298</v>
      </c>
      <c r="N6" s="11" t="s">
        <v>6</v>
      </c>
      <c r="O6" s="12">
        <f>[8]met_monthly_sd!E3</f>
        <v>0.63140907514616196</v>
      </c>
      <c r="P6" s="10">
        <f>[7]met_monthly_means!J3</f>
        <v>84.411630252437405</v>
      </c>
      <c r="Q6" s="11" t="s">
        <v>6</v>
      </c>
      <c r="R6" s="12">
        <f>[8]met_monthly_sd!F3</f>
        <v>4.3283214628495896</v>
      </c>
      <c r="S6" s="10">
        <f>[7]met_monthly_means!K3</f>
        <v>12.6372701502462</v>
      </c>
      <c r="T6" s="11" t="s">
        <v>6</v>
      </c>
      <c r="U6" s="12">
        <f>[8]met_monthly_sd!G3</f>
        <v>1.11440213386842</v>
      </c>
      <c r="V6" s="10">
        <f>[7]met_monthly_means!L3</f>
        <v>70.702172126672806</v>
      </c>
      <c r="W6" s="11" t="s">
        <v>6</v>
      </c>
      <c r="X6" s="12">
        <f>[8]met_monthly_sd!H3</f>
        <v>3.4504944940168798</v>
      </c>
      <c r="Y6" s="13">
        <f>[7]met_monthly_means!M3</f>
        <v>0.121726491588508</v>
      </c>
      <c r="Z6" s="11" t="s">
        <v>6</v>
      </c>
      <c r="AA6" s="14">
        <f>[8]met_monthly_sd!I3</f>
        <v>1.9627606042850999E-2</v>
      </c>
      <c r="AB6" s="10">
        <f>[7]met_monthly_means!N3</f>
        <v>92.36</v>
      </c>
      <c r="AC6" s="11" t="s">
        <v>6</v>
      </c>
      <c r="AD6" s="12">
        <f>[8]met_monthly_sd!J3</f>
        <v>15.8057900783226</v>
      </c>
      <c r="AE6" s="10">
        <f>[7]met_monthly_means!O3</f>
        <v>101.69201208672</v>
      </c>
      <c r="AF6" s="11" t="s">
        <v>6</v>
      </c>
      <c r="AG6" s="12">
        <f>[8]met_monthly_sd!K3</f>
        <v>0.53087049858294999</v>
      </c>
      <c r="AH6" s="10">
        <f>[7]met_monthly_means!P3</f>
        <v>2.92609624730347</v>
      </c>
      <c r="AI6" s="11" t="s">
        <v>6</v>
      </c>
      <c r="AJ6" s="12">
        <f>[8]met_monthly_sd!L3</f>
        <v>1.5528266685020899</v>
      </c>
      <c r="AK6" s="10">
        <f>[7]met_monthly_means!Q3</f>
        <v>88.797928015666699</v>
      </c>
      <c r="AL6" s="11" t="s">
        <v>6</v>
      </c>
      <c r="AM6" s="12">
        <f>[8]met_monthly_sd!M3</f>
        <v>0.25641085328014301</v>
      </c>
      <c r="AN6" s="10">
        <f>[7]met_monthly_means!R3</f>
        <v>15.774445190851299</v>
      </c>
      <c r="AO6" s="11" t="s">
        <v>6</v>
      </c>
      <c r="AP6" s="12">
        <f>[8]met_monthly_sd!N3</f>
        <v>3.2684181882533099</v>
      </c>
      <c r="AQ6" s="8">
        <f>[7]met_monthly_means!S3</f>
        <v>9.9474233930726394E-2</v>
      </c>
      <c r="AR6" s="11" t="s">
        <v>6</v>
      </c>
      <c r="AS6" s="8">
        <f>[8]met_monthly_sd!O3</f>
        <v>9.3555401469858496E-3</v>
      </c>
      <c r="AT6" s="8">
        <f t="shared" si="0"/>
        <v>9.9474233930726399</v>
      </c>
      <c r="AU6" s="11" t="s">
        <v>6</v>
      </c>
      <c r="AV6" s="8">
        <f t="shared" si="1"/>
        <v>0.93555401469858501</v>
      </c>
    </row>
    <row r="7" spans="1:48" x14ac:dyDescent="0.3">
      <c r="A7" t="s">
        <v>34</v>
      </c>
      <c r="B7">
        <f>[7]met_monthly_means!B4</f>
        <v>3</v>
      </c>
      <c r="C7" s="1">
        <f>[7]met_monthly_means!C4</f>
        <v>7.3843094616935501</v>
      </c>
      <c r="D7" s="1">
        <f>[7]met_monthly_means!D4</f>
        <v>7.7885016532258096</v>
      </c>
      <c r="E7" s="1">
        <f>[7]met_monthly_means!E4 *100</f>
        <v>6.5824562705350909</v>
      </c>
      <c r="F7" s="1">
        <f>[7]met_monthly_means!F4 *100</f>
        <v>12.3844946673387</v>
      </c>
      <c r="G7" s="1">
        <f>[7]met_monthly_means!G4</f>
        <v>7.5623780232526903</v>
      </c>
      <c r="H7" s="3" t="s">
        <v>6</v>
      </c>
      <c r="I7" s="2">
        <f>[8]met_monthly_sd!C4</f>
        <v>0.18453363690528299</v>
      </c>
      <c r="J7" s="1">
        <f>[7]met_monthly_means!H16</f>
        <v>0</v>
      </c>
      <c r="K7" s="3" t="s">
        <v>6</v>
      </c>
      <c r="L7" s="2">
        <f>[8]met_monthly_sd!D4</f>
        <v>0.22358409369662499</v>
      </c>
      <c r="M7" s="1">
        <f>[7]met_monthly_means!I4</f>
        <v>7.1799187762096803</v>
      </c>
      <c r="N7" s="3" t="s">
        <v>6</v>
      </c>
      <c r="O7" s="2">
        <f>[8]met_monthly_sd!E4</f>
        <v>0.41587405960437601</v>
      </c>
      <c r="P7" s="1">
        <f>[7]met_monthly_means!J4</f>
        <v>82.822751502016104</v>
      </c>
      <c r="Q7" s="3" t="s">
        <v>6</v>
      </c>
      <c r="R7" s="2">
        <f>[8]met_monthly_sd!F4</f>
        <v>3.0974554799560301</v>
      </c>
      <c r="S7" s="1">
        <f>[7]met_monthly_means!K4</f>
        <v>23.569042660640001</v>
      </c>
      <c r="T7" s="3" t="s">
        <v>6</v>
      </c>
      <c r="U7" s="2">
        <f>[8]met_monthly_sd!G4</f>
        <v>6.0731240663323396</v>
      </c>
      <c r="V7" s="1">
        <f>[7]met_monthly_means!L4</f>
        <v>121.10902976478501</v>
      </c>
      <c r="W7" s="3" t="s">
        <v>6</v>
      </c>
      <c r="X7" s="2">
        <f>[8]met_monthly_sd!H4</f>
        <v>28.2159045189983</v>
      </c>
      <c r="Y7" s="6">
        <f>[7]met_monthly_means!M4</f>
        <v>0.193470567593545</v>
      </c>
      <c r="Z7" s="3" t="s">
        <v>6</v>
      </c>
      <c r="AA7" s="7">
        <f>[8]met_monthly_sd!I4</f>
        <v>4.6500132527657001E-2</v>
      </c>
      <c r="AB7" s="1">
        <f>[7]met_monthly_means!N4</f>
        <v>99.46</v>
      </c>
      <c r="AC7" s="3" t="s">
        <v>6</v>
      </c>
      <c r="AD7" s="2">
        <f>[8]met_monthly_sd!J4</f>
        <v>79.944624584771205</v>
      </c>
      <c r="AE7" s="1">
        <f>[7]met_monthly_means!O4</f>
        <v>101.72400027688199</v>
      </c>
      <c r="AF7" s="3" t="s">
        <v>6</v>
      </c>
      <c r="AG7" s="2">
        <f>[8]met_monthly_sd!K4</f>
        <v>0.228254443808453</v>
      </c>
      <c r="AH7" s="1">
        <f>[7]met_monthly_means!P4</f>
        <v>6.3066685833333302</v>
      </c>
      <c r="AI7" s="3" t="s">
        <v>6</v>
      </c>
      <c r="AJ7" s="2">
        <f>[8]met_monthly_sd!L4</f>
        <v>0.43611072998540101</v>
      </c>
      <c r="AK7" s="1">
        <f>[7]met_monthly_means!Q4</f>
        <v>88.574500290161296</v>
      </c>
      <c r="AL7" s="3" t="s">
        <v>6</v>
      </c>
      <c r="AM7" s="2">
        <f>[8]met_monthly_sd!M4</f>
        <v>0.54155707032743905</v>
      </c>
      <c r="AN7" s="1">
        <f>[7]met_monthly_means!R4</f>
        <v>38.435028112945403</v>
      </c>
      <c r="AO7" s="3" t="s">
        <v>6</v>
      </c>
      <c r="AP7" s="2">
        <f>[8]met_monthly_sd!N4</f>
        <v>12.988751051350199</v>
      </c>
      <c r="AQ7">
        <f>[7]met_monthly_means!S4</f>
        <v>8.9935303400052999E-2</v>
      </c>
      <c r="AR7" s="3" t="s">
        <v>6</v>
      </c>
      <c r="AS7">
        <f>[8]met_monthly_sd!O4</f>
        <v>2.3055988732896202E-2</v>
      </c>
      <c r="AT7">
        <f t="shared" si="0"/>
        <v>8.9935303400053002</v>
      </c>
      <c r="AU7" s="3" t="s">
        <v>6</v>
      </c>
      <c r="AV7">
        <f t="shared" si="1"/>
        <v>2.30559887328962</v>
      </c>
    </row>
    <row r="8" spans="1:48" x14ac:dyDescent="0.3">
      <c r="A8" t="s">
        <v>28</v>
      </c>
      <c r="B8">
        <f>[7]met_monthly_means!B5</f>
        <v>4</v>
      </c>
      <c r="C8" s="1">
        <f>[7]met_monthly_means!C5</f>
        <v>11.350607756944401</v>
      </c>
      <c r="D8" s="1">
        <f>[7]met_monthly_means!D5</f>
        <v>11.763021086111101</v>
      </c>
      <c r="E8" s="1">
        <f>[7]met_monthly_means!E5 *100</f>
        <v>5.6509345830092306</v>
      </c>
      <c r="F8" s="1">
        <f>[7]met_monthly_means!F5 *100</f>
        <v>13.2277672743779</v>
      </c>
      <c r="G8" s="1">
        <f>[7]met_monthly_means!G5</f>
        <v>11.5382631708333</v>
      </c>
      <c r="H8" s="3" t="s">
        <v>6</v>
      </c>
      <c r="I8" s="2">
        <f>[8]met_monthly_sd!C5</f>
        <v>0.17984654411527901</v>
      </c>
      <c r="J8" s="1">
        <f>[7]met_monthly_means!H17</f>
        <v>0</v>
      </c>
      <c r="K8" s="3" t="s">
        <v>6</v>
      </c>
      <c r="L8" s="2">
        <f>[8]met_monthly_sd!D5</f>
        <v>0.17571951711680101</v>
      </c>
      <c r="M8" s="1">
        <f>[7]met_monthly_means!I5</f>
        <v>9.5526055200000002</v>
      </c>
      <c r="N8" s="3" t="s">
        <v>6</v>
      </c>
      <c r="O8" s="2">
        <f>[8]met_monthly_sd!E5</f>
        <v>0.18873352144802699</v>
      </c>
      <c r="P8" s="1">
        <f>[7]met_monthly_means!J5</f>
        <v>78.697812579166694</v>
      </c>
      <c r="Q8" s="3" t="s">
        <v>6</v>
      </c>
      <c r="R8" s="2">
        <f>[8]met_monthly_sd!F5</f>
        <v>2.24345344377836</v>
      </c>
      <c r="S8" s="1">
        <f>[7]met_monthly_means!K5</f>
        <v>36.5646891240578</v>
      </c>
      <c r="T8" s="3" t="s">
        <v>6</v>
      </c>
      <c r="U8" s="2">
        <f>[8]met_monthly_sd!G5</f>
        <v>6.0443853245896602</v>
      </c>
      <c r="V8" s="1">
        <f>[7]met_monthly_means!L5</f>
        <v>180.01971175791701</v>
      </c>
      <c r="W8" s="3" t="s">
        <v>6</v>
      </c>
      <c r="X8" s="2">
        <f>[8]met_monthly_sd!H5</f>
        <v>23.245876548910601</v>
      </c>
      <c r="Y8" s="6">
        <f>[7]met_monthly_means!M5</f>
        <v>0.312434988545782</v>
      </c>
      <c r="Z8" s="3" t="s">
        <v>6</v>
      </c>
      <c r="AA8" s="7">
        <f>[8]met_monthly_sd!I5</f>
        <v>5.1020622979717399E-2</v>
      </c>
      <c r="AB8" s="1">
        <f>[7]met_monthly_means!N5</f>
        <v>83.06</v>
      </c>
      <c r="AC8" s="3" t="s">
        <v>6</v>
      </c>
      <c r="AD8" s="2">
        <f>[8]met_monthly_sd!J5</f>
        <v>50.906070364937797</v>
      </c>
      <c r="AE8" s="1">
        <f>[7]met_monthly_means!O5</f>
        <v>101.735600105556</v>
      </c>
      <c r="AF8" s="3" t="s">
        <v>6</v>
      </c>
      <c r="AG8" s="2">
        <f>[8]met_monthly_sd!K5</f>
        <v>0.23468648561686201</v>
      </c>
      <c r="AH8" s="1">
        <f>[7]met_monthly_means!P5</f>
        <v>9.9998728387500009</v>
      </c>
      <c r="AI8" s="3" t="s">
        <v>6</v>
      </c>
      <c r="AJ8" s="2">
        <f>[8]met_monthly_sd!L5</f>
        <v>0.226054646015244</v>
      </c>
      <c r="AK8" s="1">
        <f>[7]met_monthly_means!Q5</f>
        <v>87.311193993900005</v>
      </c>
      <c r="AL8" s="3" t="s">
        <v>6</v>
      </c>
      <c r="AM8" s="2">
        <f>[8]met_monthly_sd!M5</f>
        <v>2.1349712446092299</v>
      </c>
      <c r="AN8" s="1">
        <f>[7]met_monthly_means!R5</f>
        <v>62.678363459468798</v>
      </c>
      <c r="AO8" s="3" t="s">
        <v>6</v>
      </c>
      <c r="AP8" s="2">
        <f>[8]met_monthly_sd!N5</f>
        <v>15.864037816609001</v>
      </c>
      <c r="AQ8">
        <f>[7]met_monthly_means!S5</f>
        <v>8.7841947234099896E-2</v>
      </c>
      <c r="AR8" s="3" t="s">
        <v>6</v>
      </c>
      <c r="AS8">
        <f>[8]met_monthly_sd!O5</f>
        <v>3.38185828810093E-2</v>
      </c>
      <c r="AT8">
        <f t="shared" si="0"/>
        <v>8.7841947234099891</v>
      </c>
      <c r="AU8" s="3" t="s">
        <v>6</v>
      </c>
      <c r="AV8">
        <f t="shared" si="1"/>
        <v>3.38185828810093</v>
      </c>
    </row>
    <row r="9" spans="1:48" x14ac:dyDescent="0.3">
      <c r="A9" t="s">
        <v>29</v>
      </c>
      <c r="B9">
        <f>[7]met_monthly_means!B6</f>
        <v>5</v>
      </c>
      <c r="C9" s="1">
        <f>[7]met_monthly_means!C6</f>
        <v>14.7354559408602</v>
      </c>
      <c r="D9" s="1">
        <f>[7]met_monthly_means!D6</f>
        <v>16.397395147849501</v>
      </c>
      <c r="E9" s="1">
        <f>[7]met_monthly_means!E6 *100</f>
        <v>3.0300256389112898</v>
      </c>
      <c r="F9" s="1">
        <f>[7]met_monthly_means!F6 *100</f>
        <v>12.309149219029999</v>
      </c>
      <c r="G9" s="1">
        <f>[7]met_monthly_means!G6</f>
        <v>15.5961793239247</v>
      </c>
      <c r="H9" s="3" t="s">
        <v>6</v>
      </c>
      <c r="I9" s="2">
        <f>[8]met_monthly_sd!C6</f>
        <v>0.63085183837577297</v>
      </c>
      <c r="J9" s="1">
        <f>[7]met_monthly_means!H18</f>
        <v>0</v>
      </c>
      <c r="K9" s="3" t="s">
        <v>6</v>
      </c>
      <c r="L9" s="2">
        <f>[8]met_monthly_sd!D6</f>
        <v>0.56492497115294804</v>
      </c>
      <c r="M9" s="1">
        <f>[7]met_monthly_means!I6</f>
        <v>12.449694897849501</v>
      </c>
      <c r="N9" s="3" t="s">
        <v>6</v>
      </c>
      <c r="O9" s="2">
        <f>[8]met_monthly_sd!E6</f>
        <v>0.17985454643756499</v>
      </c>
      <c r="P9" s="1">
        <f>[7]met_monthly_means!J6</f>
        <v>78.497332987903206</v>
      </c>
      <c r="Q9" s="3" t="s">
        <v>6</v>
      </c>
      <c r="R9" s="2">
        <f>[8]met_monthly_sd!F6</f>
        <v>1.5458080280574999</v>
      </c>
      <c r="S9" s="1">
        <f>[7]met_monthly_means!K6</f>
        <v>49.944356410533203</v>
      </c>
      <c r="T9" s="3" t="s">
        <v>6</v>
      </c>
      <c r="U9" s="2">
        <f>[8]met_monthly_sd!G6</f>
        <v>3.2335147734227201</v>
      </c>
      <c r="V9" s="1">
        <f>[7]met_monthly_means!L6</f>
        <v>239.08997661451599</v>
      </c>
      <c r="W9" s="3" t="s">
        <v>6</v>
      </c>
      <c r="X9" s="2">
        <f>[8]met_monthly_sd!H6</f>
        <v>18.573832834287401</v>
      </c>
      <c r="Y9" s="6">
        <f>[7]met_monthly_means!M6</f>
        <v>0.42222635571480699</v>
      </c>
      <c r="Z9" s="3" t="s">
        <v>6</v>
      </c>
      <c r="AA9" s="7">
        <f>[8]met_monthly_sd!I6</f>
        <v>5.1514071190024401E-2</v>
      </c>
      <c r="AB9" s="1">
        <f>[7]met_monthly_means!N6</f>
        <v>49.14</v>
      </c>
      <c r="AC9" s="3" t="s">
        <v>6</v>
      </c>
      <c r="AD9" s="2">
        <f>[8]met_monthly_sd!J6</f>
        <v>36.946623661709602</v>
      </c>
      <c r="AE9" s="1">
        <f>[7]met_monthly_means!O6</f>
        <v>101.649400435484</v>
      </c>
      <c r="AF9" s="3" t="s">
        <v>6</v>
      </c>
      <c r="AG9" s="2">
        <f>[8]met_monthly_sd!K6</f>
        <v>0.23148930982422899</v>
      </c>
      <c r="AH9" s="1">
        <f>[7]met_monthly_means!P6</f>
        <v>14.1946358407258</v>
      </c>
      <c r="AI9" s="3" t="s">
        <v>6</v>
      </c>
      <c r="AJ9" s="2">
        <f>[8]met_monthly_sd!L6</f>
        <v>0.91516072990095099</v>
      </c>
      <c r="AK9" s="1">
        <f>[7]met_monthly_means!Q6</f>
        <v>84.089799494838701</v>
      </c>
      <c r="AL9" s="3" t="s">
        <v>6</v>
      </c>
      <c r="AM9" s="2">
        <f>[8]met_monthly_sd!M6</f>
        <v>4.4331290561498404</v>
      </c>
      <c r="AN9" s="1">
        <f>[7]met_monthly_means!R6</f>
        <v>106.348015209002</v>
      </c>
      <c r="AO9" s="3" t="s">
        <v>6</v>
      </c>
      <c r="AP9" s="2">
        <f>[8]met_monthly_sd!N6</f>
        <v>25.651104418064701</v>
      </c>
      <c r="AQ9">
        <f>[7]met_monthly_means!S6</f>
        <v>5.8918094141826097E-2</v>
      </c>
      <c r="AR9" s="3" t="s">
        <v>6</v>
      </c>
      <c r="AS9">
        <f>[8]met_monthly_sd!O6</f>
        <v>3.7656037132503699E-2</v>
      </c>
      <c r="AT9">
        <f t="shared" si="0"/>
        <v>5.8918094141826094</v>
      </c>
      <c r="AU9" s="3" t="s">
        <v>6</v>
      </c>
      <c r="AV9">
        <f t="shared" si="1"/>
        <v>3.7656037132503699</v>
      </c>
    </row>
    <row r="10" spans="1:48" x14ac:dyDescent="0.3">
      <c r="A10" t="s">
        <v>30</v>
      </c>
      <c r="B10">
        <f>[7]met_monthly_means!B7</f>
        <v>6</v>
      </c>
      <c r="C10" s="1">
        <f>[7]met_monthly_means!C7</f>
        <v>16.385978388888901</v>
      </c>
      <c r="D10" s="1">
        <f>[7]met_monthly_means!D7</f>
        <v>17.605487409722201</v>
      </c>
      <c r="E10" s="1">
        <f>[7]met_monthly_means!E7 *100</f>
        <v>-2.2802985900116002</v>
      </c>
      <c r="F10" s="1">
        <f>[7]met_monthly_means!F7 *100</f>
        <v>8.7413565651041392</v>
      </c>
      <c r="G10" s="1">
        <f>[7]met_monthly_means!G7</f>
        <v>16.939911684722201</v>
      </c>
      <c r="H10" s="3" t="s">
        <v>6</v>
      </c>
      <c r="I10" s="2">
        <f>[8]met_monthly_sd!C7</f>
        <v>0.44063641304373402</v>
      </c>
      <c r="J10" s="1">
        <f>[7]met_monthly_means!H19</f>
        <v>0</v>
      </c>
      <c r="K10" s="3" t="s">
        <v>6</v>
      </c>
      <c r="L10" s="2">
        <f>[8]met_monthly_sd!D7</f>
        <v>0.41199165015602701</v>
      </c>
      <c r="M10" s="1">
        <f>[7]met_monthly_means!I7</f>
        <v>14.234635986111099</v>
      </c>
      <c r="N10" s="3" t="s">
        <v>6</v>
      </c>
      <c r="O10" s="2">
        <f>[8]met_monthly_sd!E7</f>
        <v>0.26529621780524998</v>
      </c>
      <c r="P10" s="1">
        <f>[7]met_monthly_means!J7</f>
        <v>78.1754807916667</v>
      </c>
      <c r="Q10" s="3" t="s">
        <v>6</v>
      </c>
      <c r="R10" s="2">
        <f>[8]met_monthly_sd!F7</f>
        <v>3.3143778872442402</v>
      </c>
      <c r="S10" s="1">
        <f>[7]met_monthly_means!K7</f>
        <v>53.949967639773199</v>
      </c>
      <c r="T10" s="3" t="s">
        <v>6</v>
      </c>
      <c r="U10" s="2">
        <f>[8]met_monthly_sd!G7</f>
        <v>6.9016780967829803</v>
      </c>
      <c r="V10" s="1">
        <f>[7]met_monthly_means!L7</f>
        <v>255.768576280556</v>
      </c>
      <c r="W10" s="3" t="s">
        <v>6</v>
      </c>
      <c r="X10" s="2">
        <f>[8]met_monthly_sd!H7</f>
        <v>26.275528737433302</v>
      </c>
      <c r="Y10" s="6">
        <f>[7]met_monthly_means!M7</f>
        <v>0.49620811703433498</v>
      </c>
      <c r="Z10" s="3" t="s">
        <v>6</v>
      </c>
      <c r="AA10" s="7">
        <f>[8]met_monthly_sd!I7</f>
        <v>0.109723790031707</v>
      </c>
      <c r="AB10" s="1">
        <f>[7]met_monthly_means!N7</f>
        <v>33.76</v>
      </c>
      <c r="AC10" s="3" t="s">
        <v>6</v>
      </c>
      <c r="AD10" s="2">
        <f>[8]met_monthly_sd!J7</f>
        <v>11.9232126543143</v>
      </c>
      <c r="AE10" s="1">
        <f>[7]met_monthly_means!O7</f>
        <v>101.65312623611101</v>
      </c>
      <c r="AF10" s="3" t="s">
        <v>6</v>
      </c>
      <c r="AG10" s="2">
        <f>[8]met_monthly_sd!K7</f>
        <v>0.128710133566593</v>
      </c>
      <c r="AH10" s="1">
        <f>[7]met_monthly_means!P7</f>
        <v>16.343295110555601</v>
      </c>
      <c r="AI10" s="3" t="s">
        <v>6</v>
      </c>
      <c r="AJ10" s="2">
        <f>[8]met_monthly_sd!L7</f>
        <v>1.0490960841294401</v>
      </c>
      <c r="AK10" s="1">
        <f>[7]met_monthly_means!Q7</f>
        <v>80.596687403851007</v>
      </c>
      <c r="AL10" s="3" t="s">
        <v>6</v>
      </c>
      <c r="AM10" s="2">
        <f>[8]met_monthly_sd!M7</f>
        <v>5.9052852003687697</v>
      </c>
      <c r="AN10" s="1">
        <f>[7]met_monthly_means!R7</f>
        <v>113.156294327726</v>
      </c>
      <c r="AO10" s="3" t="s">
        <v>6</v>
      </c>
      <c r="AP10" s="2">
        <f>[8]met_monthly_sd!N7</f>
        <v>24.929050476798398</v>
      </c>
      <c r="AQ10">
        <f>[7]met_monthly_means!S7</f>
        <v>1.4737856584187499E-2</v>
      </c>
      <c r="AR10" s="3" t="s">
        <v>6</v>
      </c>
      <c r="AS10">
        <f>[8]met_monthly_sd!O7</f>
        <v>4.4907272451015001E-2</v>
      </c>
      <c r="AT10">
        <f t="shared" si="0"/>
        <v>1.4737856584187499</v>
      </c>
      <c r="AU10" s="3" t="s">
        <v>6</v>
      </c>
      <c r="AV10">
        <f t="shared" si="1"/>
        <v>4.4907272451014997</v>
      </c>
    </row>
    <row r="11" spans="1:48" x14ac:dyDescent="0.3">
      <c r="A11" t="s">
        <v>31</v>
      </c>
      <c r="B11">
        <f>[7]met_monthly_means!B8</f>
        <v>7</v>
      </c>
      <c r="C11" s="1">
        <f>[7]met_monthly_means!C8</f>
        <v>17.4476485349462</v>
      </c>
      <c r="D11" s="1">
        <f>[7]met_monthly_means!D8</f>
        <v>18.410771552419401</v>
      </c>
      <c r="E11" s="1">
        <f>[7]met_monthly_means!E8 *100</f>
        <v>-13.585698130376301</v>
      </c>
      <c r="F11" s="1">
        <f>[7]met_monthly_means!F8 *100</f>
        <v>2.2603930624859698</v>
      </c>
      <c r="G11" s="1">
        <f>[7]met_monthly_means!G8</f>
        <v>17.800362138440899</v>
      </c>
      <c r="H11" s="3" t="s">
        <v>6</v>
      </c>
      <c r="I11" s="2">
        <f>[8]met_monthly_sd!C8</f>
        <v>0.40159094151066099</v>
      </c>
      <c r="J11" s="1">
        <f>[7]met_monthly_means!H20</f>
        <v>0</v>
      </c>
      <c r="K11" s="3" t="s">
        <v>6</v>
      </c>
      <c r="L11" s="2">
        <f>[8]met_monthly_sd!D8</f>
        <v>0.32884803402475299</v>
      </c>
      <c r="M11" s="1">
        <f>[7]met_monthly_means!I8</f>
        <v>15.2682278293011</v>
      </c>
      <c r="N11" s="3" t="s">
        <v>6</v>
      </c>
      <c r="O11" s="2">
        <f>[8]met_monthly_sd!E8</f>
        <v>0.19130175738976099</v>
      </c>
      <c r="P11" s="1">
        <f>[7]met_monthly_means!J8</f>
        <v>78.967699383064499</v>
      </c>
      <c r="Q11" s="3" t="s">
        <v>6</v>
      </c>
      <c r="R11" s="2">
        <f>[8]met_monthly_sd!F8</f>
        <v>2.7533395100023301</v>
      </c>
      <c r="S11" s="1">
        <f>[7]met_monthly_means!K8</f>
        <v>57.931115584759901</v>
      </c>
      <c r="T11" s="3" t="s">
        <v>6</v>
      </c>
      <c r="U11" s="2">
        <f>[8]met_monthly_sd!G8</f>
        <v>2.1769433535446598</v>
      </c>
      <c r="V11" s="1">
        <f>[7]met_monthly_means!L8</f>
        <v>278.443793957661</v>
      </c>
      <c r="W11" s="3" t="s">
        <v>6</v>
      </c>
      <c r="X11" s="2">
        <f>[8]met_monthly_sd!H8</f>
        <v>24.047805105681402</v>
      </c>
      <c r="Y11" s="6">
        <f>[7]met_monthly_means!M8</f>
        <v>0.54410270522146698</v>
      </c>
      <c r="Z11" s="3" t="s">
        <v>6</v>
      </c>
      <c r="AA11" s="7">
        <f>[8]met_monthly_sd!I8</f>
        <v>8.9291750659303698E-2</v>
      </c>
      <c r="AB11" s="1">
        <f>[7]met_monthly_means!N8</f>
        <v>15.18</v>
      </c>
      <c r="AC11" s="3" t="s">
        <v>6</v>
      </c>
      <c r="AD11" s="2">
        <f>[8]met_monthly_sd!J8</f>
        <v>17.687622791093201</v>
      </c>
      <c r="AE11" s="1">
        <f>[7]met_monthly_means!O8</f>
        <v>101.776100860215</v>
      </c>
      <c r="AF11" s="3" t="s">
        <v>6</v>
      </c>
      <c r="AG11" s="2">
        <f>[8]met_monthly_sd!K8</f>
        <v>7.2652401147085696E-2</v>
      </c>
      <c r="AH11" s="1">
        <f>[7]met_monthly_means!P8</f>
        <v>18.210983738844099</v>
      </c>
      <c r="AI11" s="3" t="s">
        <v>6</v>
      </c>
      <c r="AJ11" s="2">
        <f>[8]met_monthly_sd!L8</f>
        <v>0.68997246122669398</v>
      </c>
      <c r="AK11" s="1">
        <f>[7]met_monthly_means!Q8</f>
        <v>77.572773768929096</v>
      </c>
      <c r="AL11" s="3" t="s">
        <v>6</v>
      </c>
      <c r="AM11" s="2">
        <f>[8]met_monthly_sd!M8</f>
        <v>5.9387910168490503</v>
      </c>
      <c r="AN11" s="1">
        <f>[7]met_monthly_means!R8</f>
        <v>130.26196763679499</v>
      </c>
      <c r="AO11" s="3" t="s">
        <v>6</v>
      </c>
      <c r="AP11" s="2">
        <f>[8]met_monthly_sd!N8</f>
        <v>33.455057659114502</v>
      </c>
      <c r="AQ11">
        <f>[7]met_monthly_means!S8</f>
        <v>-5.9223448917148501E-2</v>
      </c>
      <c r="AR11" s="3" t="s">
        <v>6</v>
      </c>
      <c r="AS11">
        <f>[8]met_monthly_sd!O8</f>
        <v>6.2595628865081299E-2</v>
      </c>
      <c r="AT11">
        <f t="shared" si="0"/>
        <v>-5.9223448917148502</v>
      </c>
      <c r="AU11" s="3" t="s">
        <v>6</v>
      </c>
      <c r="AV11">
        <f t="shared" si="1"/>
        <v>6.2595628865081299</v>
      </c>
    </row>
    <row r="12" spans="1:48" x14ac:dyDescent="0.3">
      <c r="A12" t="s">
        <v>32</v>
      </c>
      <c r="B12">
        <f>[7]met_monthly_means!B9</f>
        <v>8</v>
      </c>
      <c r="C12" s="1">
        <f>[7]met_monthly_means!C9</f>
        <v>17.235729025537601</v>
      </c>
      <c r="D12" s="1">
        <f>[7]met_monthly_means!D9</f>
        <v>18.152657567204301</v>
      </c>
      <c r="E12" s="1">
        <f>[7]met_monthly_means!E9 *100</f>
        <v>-20.874799012096801</v>
      </c>
      <c r="F12" s="1">
        <f>[7]met_monthly_means!F9 *100</f>
        <v>-8.2109085210503689</v>
      </c>
      <c r="G12" s="1">
        <f>[7]met_monthly_means!G9</f>
        <v>17.545960731182799</v>
      </c>
      <c r="H12" s="3" t="s">
        <v>6</v>
      </c>
      <c r="I12" s="2">
        <f>[8]met_monthly_sd!C9</f>
        <v>0.37091347314689699</v>
      </c>
      <c r="J12" s="1">
        <f>[7]met_monthly_means!H21</f>
        <v>0</v>
      </c>
      <c r="K12" s="3" t="s">
        <v>6</v>
      </c>
      <c r="L12" s="2">
        <f>[8]met_monthly_sd!D9</f>
        <v>0.30916848406181402</v>
      </c>
      <c r="M12" s="1">
        <f>[7]met_monthly_means!I9</f>
        <v>15.924006899865599</v>
      </c>
      <c r="N12" s="3" t="s">
        <v>6</v>
      </c>
      <c r="O12" s="2">
        <f>[8]met_monthly_sd!E9</f>
        <v>0.13905153872389101</v>
      </c>
      <c r="P12" s="1">
        <f>[7]met_monthly_means!J9</f>
        <v>82.655568003360202</v>
      </c>
      <c r="Q12" s="3" t="s">
        <v>6</v>
      </c>
      <c r="R12" s="2">
        <f>[8]met_monthly_sd!F9</f>
        <v>1.45665477028576</v>
      </c>
      <c r="S12" s="1">
        <f>[7]met_monthly_means!K9</f>
        <v>44.300245322420402</v>
      </c>
      <c r="T12" s="3" t="s">
        <v>6</v>
      </c>
      <c r="U12" s="2">
        <f>[8]met_monthly_sd!G9</f>
        <v>4.4011788651188901</v>
      </c>
      <c r="V12" s="1">
        <f>[7]met_monthly_means!L9</f>
        <v>219.58447686021501</v>
      </c>
      <c r="W12" s="3" t="s">
        <v>6</v>
      </c>
      <c r="X12" s="2">
        <f>[8]met_monthly_sd!H9</f>
        <v>12.477743078148199</v>
      </c>
      <c r="Y12" s="6">
        <f>[7]met_monthly_means!M9</f>
        <v>0.46073276931095503</v>
      </c>
      <c r="Z12" s="3" t="s">
        <v>6</v>
      </c>
      <c r="AA12" s="7">
        <f>[8]met_monthly_sd!I9</f>
        <v>4.5063759080813198E-2</v>
      </c>
      <c r="AB12" s="1">
        <f>[7]met_monthly_means!N9</f>
        <v>22.42</v>
      </c>
      <c r="AC12" s="3" t="s">
        <v>6</v>
      </c>
      <c r="AD12" s="2">
        <f>[8]met_monthly_sd!J9</f>
        <v>15.444481214984201</v>
      </c>
      <c r="AE12" s="1">
        <f>[7]met_monthly_means!O9</f>
        <v>101.623927594086</v>
      </c>
      <c r="AF12" s="3" t="s">
        <v>6</v>
      </c>
      <c r="AG12" s="2">
        <f>[8]met_monthly_sd!K9</f>
        <v>5.9715410710660603E-2</v>
      </c>
      <c r="AH12" s="1">
        <f>[7]met_monthly_means!P9</f>
        <v>17.825330832661301</v>
      </c>
      <c r="AI12" s="3" t="s">
        <v>6</v>
      </c>
      <c r="AJ12" s="2">
        <f>[8]met_monthly_sd!L9</f>
        <v>0.33107439500177999</v>
      </c>
      <c r="AK12" s="1">
        <f>[7]met_monthly_means!Q9</f>
        <v>73.045580022849506</v>
      </c>
      <c r="AL12" s="3" t="s">
        <v>6</v>
      </c>
      <c r="AM12" s="2">
        <f>[8]met_monthly_sd!M9</f>
        <v>4.6331451070413996</v>
      </c>
      <c r="AN12" s="1">
        <f>[7]met_monthly_means!R9</f>
        <v>95.288214576974994</v>
      </c>
      <c r="AO12" s="3" t="s">
        <v>6</v>
      </c>
      <c r="AP12" s="2">
        <f>[8]met_monthly_sd!N9</f>
        <v>21.126241239593298</v>
      </c>
      <c r="AQ12">
        <f>[7]met_monthly_means!S9</f>
        <v>-0.14440685523374999</v>
      </c>
      <c r="AR12" s="3" t="s">
        <v>6</v>
      </c>
      <c r="AS12">
        <f>[8]met_monthly_sd!O9</f>
        <v>5.8869692383854699E-2</v>
      </c>
      <c r="AT12">
        <f t="shared" si="0"/>
        <v>-14.440685523374999</v>
      </c>
      <c r="AU12" s="3" t="s">
        <v>6</v>
      </c>
      <c r="AV12">
        <f t="shared" si="1"/>
        <v>5.8869692383854701</v>
      </c>
    </row>
    <row r="13" spans="1:48" x14ac:dyDescent="0.3">
      <c r="A13" t="s">
        <v>33</v>
      </c>
      <c r="B13">
        <f>[7]met_monthly_means!B10</f>
        <v>9</v>
      </c>
      <c r="C13" s="1">
        <f>[7]met_monthly_means!C10</f>
        <v>14.5987471041667</v>
      </c>
      <c r="D13" s="1">
        <f>[7]met_monthly_means!D10</f>
        <v>16.076992749999999</v>
      </c>
      <c r="E13" s="1">
        <f>[7]met_monthly_means!E10 *100</f>
        <v>-18.535415416401797</v>
      </c>
      <c r="F13" s="1">
        <f>[7]met_monthly_means!F10 *100</f>
        <v>-10.9064538993056</v>
      </c>
      <c r="G13" s="1">
        <f>[7]met_monthly_means!G10</f>
        <v>15.453312931944399</v>
      </c>
      <c r="H13" s="3" t="s">
        <v>6</v>
      </c>
      <c r="I13" s="2">
        <f>[8]met_monthly_sd!C10</f>
        <v>0.63862260202028598</v>
      </c>
      <c r="J13" s="1">
        <f>[7]met_monthly_means!H22</f>
        <v>0</v>
      </c>
      <c r="K13" s="3" t="s">
        <v>6</v>
      </c>
      <c r="L13" s="2">
        <f>[8]met_monthly_sd!D10</f>
        <v>0.63405894227931003</v>
      </c>
      <c r="M13" s="1">
        <f>[7]met_monthly_means!I10</f>
        <v>15.3468125208333</v>
      </c>
      <c r="N13" s="3" t="s">
        <v>6</v>
      </c>
      <c r="O13" s="2">
        <f>[8]met_monthly_sd!E10</f>
        <v>0.340256118453236</v>
      </c>
      <c r="P13" s="1">
        <f>[7]met_monthly_means!J10</f>
        <v>86.305715111111098</v>
      </c>
      <c r="Q13" s="3" t="s">
        <v>6</v>
      </c>
      <c r="R13" s="2">
        <f>[8]met_monthly_sd!F10</f>
        <v>2.4588915174158799</v>
      </c>
      <c r="S13" s="1">
        <f>[7]met_monthly_means!K10</f>
        <v>28.053407219451501</v>
      </c>
      <c r="T13" s="3" t="s">
        <v>6</v>
      </c>
      <c r="U13" s="2">
        <f>[8]met_monthly_sd!G10</f>
        <v>1.6343227082217899</v>
      </c>
      <c r="V13" s="1">
        <f>[7]met_monthly_means!L10</f>
        <v>144.37198417166701</v>
      </c>
      <c r="W13" s="3" t="s">
        <v>6</v>
      </c>
      <c r="X13" s="2">
        <f>[8]met_monthly_sd!H10</f>
        <v>7.0935533386892402</v>
      </c>
      <c r="Y13" s="6">
        <f>[7]met_monthly_means!M10</f>
        <v>0.30752036420488199</v>
      </c>
      <c r="Z13" s="3" t="s">
        <v>6</v>
      </c>
      <c r="AA13" s="7">
        <f>[8]met_monthly_sd!I10</f>
        <v>7.39275901240498E-2</v>
      </c>
      <c r="AB13" s="1">
        <f>[7]met_monthly_means!N10</f>
        <v>104.08</v>
      </c>
      <c r="AC13" s="3" t="s">
        <v>6</v>
      </c>
      <c r="AD13" s="2">
        <f>[8]met_monthly_sd!J10</f>
        <v>37.9685001020583</v>
      </c>
      <c r="AE13" s="1">
        <f>[7]met_monthly_means!O10</f>
        <v>101.607223811111</v>
      </c>
      <c r="AF13" s="3" t="s">
        <v>6</v>
      </c>
      <c r="AG13" s="2">
        <f>[8]met_monthly_sd!K10</f>
        <v>0.108018359708057</v>
      </c>
      <c r="AH13" s="1">
        <f>[7]met_monthly_means!P10</f>
        <v>14.9709335877778</v>
      </c>
      <c r="AI13" s="3" t="s">
        <v>6</v>
      </c>
      <c r="AJ13" s="2">
        <f>[8]met_monthly_sd!L10</f>
        <v>0.81486668234816595</v>
      </c>
      <c r="AK13" s="1">
        <f>[7]met_monthly_means!Q10</f>
        <v>73.715180676666705</v>
      </c>
      <c r="AL13" s="3" t="s">
        <v>6</v>
      </c>
      <c r="AM13" s="2">
        <f>[8]met_monthly_sd!M10</f>
        <v>5.1142217126593703</v>
      </c>
      <c r="AN13" s="1">
        <f>[7]met_monthly_means!R10</f>
        <v>42.172023879801202</v>
      </c>
      <c r="AO13" s="3" t="s">
        <v>6</v>
      </c>
      <c r="AP13" s="2">
        <f>[8]met_monthly_sd!N10</f>
        <v>8.1151096309837403</v>
      </c>
      <c r="AQ13">
        <f>[7]met_monthly_means!S10</f>
        <v>-0.14837898272672401</v>
      </c>
      <c r="AR13" s="3" t="s">
        <v>6</v>
      </c>
      <c r="AS13">
        <f>[8]met_monthly_sd!O10</f>
        <v>3.2815960704232101E-2</v>
      </c>
      <c r="AT13">
        <f t="shared" si="0"/>
        <v>-14.837898272672401</v>
      </c>
      <c r="AU13" s="3" t="s">
        <v>6</v>
      </c>
      <c r="AV13">
        <f t="shared" si="1"/>
        <v>3.2815960704232103</v>
      </c>
    </row>
    <row r="16" spans="1:48" x14ac:dyDescent="0.3">
      <c r="H16" s="3"/>
      <c r="K16" s="3"/>
      <c r="N16" s="3"/>
      <c r="Q16" s="3"/>
      <c r="T16" s="3"/>
      <c r="W16" s="3"/>
      <c r="Z16" s="3"/>
      <c r="AC16" s="3"/>
      <c r="AF16" s="3"/>
      <c r="AI16" s="3"/>
      <c r="AL16" s="3"/>
      <c r="AO16" s="3"/>
    </row>
    <row r="17" spans="8:41" x14ac:dyDescent="0.3">
      <c r="H17" s="3"/>
      <c r="K17" s="3"/>
      <c r="N17" s="3"/>
      <c r="Q17" s="3"/>
      <c r="T17" s="3"/>
      <c r="W17" s="3"/>
      <c r="Z17" s="3"/>
      <c r="AC17" s="3"/>
      <c r="AF17" s="3"/>
      <c r="AI17" s="3"/>
      <c r="AL17" s="3"/>
      <c r="AO17" s="3"/>
    </row>
    <row r="18" spans="8:41" x14ac:dyDescent="0.3">
      <c r="H18" s="3"/>
      <c r="K18" s="3"/>
      <c r="N18" s="3"/>
      <c r="Q18" s="3"/>
      <c r="T18" s="3"/>
      <c r="W18" s="3"/>
      <c r="Z18" s="3"/>
      <c r="AC18" s="3"/>
      <c r="AF18" s="3"/>
      <c r="AI18" s="3"/>
      <c r="AL18" s="3"/>
      <c r="AO18" s="3"/>
    </row>
    <row r="19" spans="8:41" x14ac:dyDescent="0.3">
      <c r="H19" s="3"/>
      <c r="K19" s="3"/>
      <c r="N19" s="3"/>
      <c r="Q19" s="3"/>
      <c r="T19" s="3"/>
      <c r="W19" s="3"/>
      <c r="Z19" s="3"/>
      <c r="AC19" s="3"/>
      <c r="AF19" s="3"/>
      <c r="AI19" s="3"/>
      <c r="AL19" s="3"/>
      <c r="AO19" s="3"/>
    </row>
    <row r="20" spans="8:41" x14ac:dyDescent="0.3">
      <c r="H20" s="3"/>
      <c r="K20" s="3"/>
      <c r="N20" s="3"/>
      <c r="Q20" s="3"/>
      <c r="T20" s="3"/>
      <c r="W20" s="3"/>
      <c r="Z20" s="3"/>
      <c r="AC20" s="3"/>
      <c r="AF20" s="3"/>
      <c r="AI20" s="3"/>
      <c r="AL20" s="3"/>
      <c r="AO20" s="3"/>
    </row>
    <row r="21" spans="8:41" x14ac:dyDescent="0.3">
      <c r="H21" s="3"/>
      <c r="K21" s="3"/>
      <c r="N21" s="3"/>
      <c r="Q21" s="3"/>
      <c r="T21" s="3"/>
      <c r="W21" s="3"/>
      <c r="Z21" s="3"/>
      <c r="AC21" s="3"/>
      <c r="AF21" s="3"/>
      <c r="AI21" s="3"/>
      <c r="AL21" s="3"/>
      <c r="AO21" s="3"/>
    </row>
    <row r="22" spans="8:41" x14ac:dyDescent="0.3">
      <c r="H22" s="3"/>
      <c r="K22" s="3"/>
      <c r="N22" s="3"/>
      <c r="Q22" s="3"/>
      <c r="T22" s="3"/>
      <c r="W22" s="3"/>
      <c r="Z22" s="3"/>
      <c r="AC22" s="3"/>
      <c r="AF22" s="3"/>
      <c r="AI22" s="3"/>
      <c r="AL22" s="3"/>
      <c r="AO22" s="3"/>
    </row>
  </sheetData>
  <mergeCells count="14">
    <mergeCell ref="AQ1:AS1"/>
    <mergeCell ref="AT1:AV1"/>
    <mergeCell ref="AN1:AP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L8"/>
  <sheetViews>
    <sheetView workbookViewId="0">
      <selection activeCell="C13" sqref="C13"/>
    </sheetView>
  </sheetViews>
  <sheetFormatPr defaultRowHeight="14.4" x14ac:dyDescent="0.3"/>
  <cols>
    <col min="2" max="2" width="7.33203125" customWidth="1"/>
    <col min="3" max="3" width="6.44140625" customWidth="1"/>
    <col min="4" max="4" width="2.33203125" customWidth="1"/>
    <col min="5" max="5" width="5.44140625" customWidth="1"/>
    <col min="6" max="6" width="6.6640625" customWidth="1"/>
    <col min="7" max="7" width="2.6640625" customWidth="1"/>
    <col min="8" max="8" width="5" customWidth="1"/>
    <col min="9" max="9" width="6.77734375" customWidth="1"/>
    <col min="10" max="10" width="2.5546875" customWidth="1"/>
    <col min="11" max="11" width="6" customWidth="1"/>
    <col min="12" max="12" width="6.44140625" customWidth="1"/>
    <col min="13" max="13" width="2.33203125" customWidth="1"/>
    <col min="14" max="14" width="5.44140625" customWidth="1"/>
    <col min="15" max="15" width="6.6640625" customWidth="1"/>
    <col min="16" max="16" width="2.6640625" customWidth="1"/>
    <col min="17" max="17" width="5" customWidth="1"/>
    <col min="18" max="18" width="6.77734375" customWidth="1"/>
    <col min="19" max="19" width="2.5546875" customWidth="1"/>
    <col min="20" max="20" width="6" customWidth="1"/>
    <col min="21" max="21" width="6.44140625" customWidth="1"/>
    <col min="22" max="22" width="2.33203125" customWidth="1"/>
    <col min="23" max="23" width="5.44140625" customWidth="1"/>
    <col min="24" max="24" width="6.6640625" customWidth="1"/>
    <col min="25" max="25" width="2.6640625" customWidth="1"/>
    <col min="26" max="26" width="5" customWidth="1"/>
    <col min="27" max="27" width="6.77734375" customWidth="1"/>
    <col min="28" max="28" width="2.5546875" customWidth="1"/>
    <col min="29" max="29" width="6" customWidth="1"/>
    <col min="30" max="30" width="6.44140625" customWidth="1"/>
    <col min="31" max="31" width="2.33203125" customWidth="1"/>
    <col min="32" max="32" width="5.44140625" customWidth="1"/>
    <col min="33" max="33" width="6.6640625" customWidth="1"/>
    <col min="34" max="34" width="2.6640625" customWidth="1"/>
    <col min="35" max="35" width="5" customWidth="1"/>
    <col min="36" max="36" width="6.77734375" customWidth="1"/>
    <col min="37" max="37" width="2.5546875" customWidth="1"/>
    <col min="38" max="38" width="6" customWidth="1"/>
  </cols>
  <sheetData>
    <row r="1" spans="2:38" x14ac:dyDescent="0.3">
      <c r="B1" s="21" t="s">
        <v>7</v>
      </c>
      <c r="C1" s="21" t="s">
        <v>0</v>
      </c>
      <c r="D1" s="21"/>
      <c r="E1" s="21"/>
      <c r="F1" s="21"/>
      <c r="G1" s="21"/>
      <c r="H1" s="21"/>
      <c r="I1" s="21"/>
      <c r="J1" s="21"/>
      <c r="K1" s="21"/>
      <c r="L1" s="21" t="s">
        <v>3</v>
      </c>
      <c r="M1" s="21"/>
      <c r="N1" s="21"/>
      <c r="O1" s="21"/>
      <c r="P1" s="21"/>
      <c r="Q1" s="21"/>
      <c r="R1" s="21"/>
      <c r="S1" s="21"/>
      <c r="T1" s="21"/>
      <c r="U1" s="21" t="s">
        <v>4</v>
      </c>
      <c r="V1" s="21"/>
      <c r="W1" s="21"/>
      <c r="X1" s="21"/>
      <c r="Y1" s="21"/>
      <c r="Z1" s="21"/>
      <c r="AA1" s="21"/>
      <c r="AB1" s="21"/>
      <c r="AC1" s="21"/>
      <c r="AD1" s="21" t="s">
        <v>8</v>
      </c>
      <c r="AE1" s="21"/>
      <c r="AF1" s="21"/>
      <c r="AG1" s="21"/>
      <c r="AH1" s="21"/>
      <c r="AI1" s="21"/>
      <c r="AJ1" s="21"/>
      <c r="AK1" s="21"/>
      <c r="AL1" s="21"/>
    </row>
    <row r="2" spans="2:38" x14ac:dyDescent="0.3">
      <c r="B2" s="21"/>
      <c r="C2" s="21" t="s">
        <v>5</v>
      </c>
      <c r="D2" s="21"/>
      <c r="E2" s="21"/>
      <c r="F2" s="21" t="s">
        <v>1</v>
      </c>
      <c r="G2" s="21"/>
      <c r="H2" s="21"/>
      <c r="I2" s="21" t="s">
        <v>2</v>
      </c>
      <c r="J2" s="21"/>
      <c r="K2" s="21"/>
      <c r="L2" s="21" t="s">
        <v>5</v>
      </c>
      <c r="M2" s="21"/>
      <c r="N2" s="21"/>
      <c r="O2" s="21" t="s">
        <v>1</v>
      </c>
      <c r="P2" s="21"/>
      <c r="Q2" s="21"/>
      <c r="R2" s="21" t="s">
        <v>2</v>
      </c>
      <c r="S2" s="21"/>
      <c r="T2" s="21"/>
      <c r="U2" s="21" t="s">
        <v>5</v>
      </c>
      <c r="V2" s="21"/>
      <c r="W2" s="21"/>
      <c r="X2" s="21" t="s">
        <v>1</v>
      </c>
      <c r="Y2" s="21"/>
      <c r="Z2" s="21"/>
      <c r="AA2" s="21" t="s">
        <v>2</v>
      </c>
      <c r="AB2" s="21"/>
      <c r="AC2" s="21"/>
      <c r="AD2" s="21" t="s">
        <v>5</v>
      </c>
      <c r="AE2" s="21"/>
      <c r="AF2" s="21"/>
      <c r="AG2" s="21" t="s">
        <v>1</v>
      </c>
      <c r="AH2" s="21"/>
      <c r="AI2" s="21"/>
      <c r="AJ2" s="21" t="s">
        <v>2</v>
      </c>
      <c r="AK2" s="21"/>
      <c r="AL2" s="21"/>
    </row>
    <row r="3" spans="2:38" x14ac:dyDescent="0.3">
      <c r="B3">
        <v>2015</v>
      </c>
      <c r="C3" s="1">
        <v>-42.277921059163297</v>
      </c>
      <c r="D3" s="3" t="s">
        <v>6</v>
      </c>
      <c r="E3" s="2">
        <v>17.364127841422899</v>
      </c>
      <c r="F3" s="1">
        <v>-48.208765517874902</v>
      </c>
      <c r="G3" s="3" t="s">
        <v>6</v>
      </c>
      <c r="H3" s="2">
        <v>6.7152128930898298</v>
      </c>
      <c r="I3" s="1">
        <v>5.9308444587115803</v>
      </c>
      <c r="J3" s="3" t="s">
        <v>6</v>
      </c>
      <c r="K3" s="2">
        <v>16.2625084500764</v>
      </c>
      <c r="L3" s="1">
        <v>618.90850188483</v>
      </c>
      <c r="M3" s="3" t="s">
        <v>6</v>
      </c>
      <c r="N3" s="2">
        <v>29.2111486466606</v>
      </c>
      <c r="O3" s="1">
        <v>434.093581622351</v>
      </c>
      <c r="P3" s="3" t="s">
        <v>6</v>
      </c>
      <c r="Q3" s="2">
        <v>23.819372618965801</v>
      </c>
      <c r="R3" s="1">
        <v>184.81492026247901</v>
      </c>
      <c r="S3" s="3" t="s">
        <v>6</v>
      </c>
      <c r="T3" s="2">
        <v>16.7436390689825</v>
      </c>
      <c r="U3" s="1">
        <v>576.63058082566704</v>
      </c>
      <c r="V3" s="3" t="s">
        <v>6</v>
      </c>
      <c r="W3" s="2">
        <v>29.642951714295101</v>
      </c>
      <c r="X3" s="1">
        <v>385.88481610447599</v>
      </c>
      <c r="Y3" s="3" t="s">
        <v>6</v>
      </c>
      <c r="Z3" s="2">
        <v>27.1428581000206</v>
      </c>
      <c r="AA3" s="1">
        <v>190.74576472119099</v>
      </c>
      <c r="AB3" s="3" t="s">
        <v>6</v>
      </c>
      <c r="AC3" s="2">
        <v>3.9388330445923501</v>
      </c>
      <c r="AD3" s="1">
        <v>17.581965925117</v>
      </c>
      <c r="AE3" s="3" t="s">
        <v>6</v>
      </c>
      <c r="AF3" s="2">
        <v>1.0139011744647899</v>
      </c>
      <c r="AG3" s="1">
        <v>13.0596244858263</v>
      </c>
      <c r="AH3" s="3" t="s">
        <v>6</v>
      </c>
      <c r="AI3" s="2">
        <v>0.37326750845668999</v>
      </c>
      <c r="AJ3" s="1">
        <v>4.5223414392907904</v>
      </c>
      <c r="AK3" s="3" t="s">
        <v>6</v>
      </c>
      <c r="AL3" s="2">
        <v>0.97382140770842396</v>
      </c>
    </row>
    <row r="4" spans="2:38" x14ac:dyDescent="0.3">
      <c r="B4">
        <v>2016</v>
      </c>
      <c r="C4" s="1">
        <v>30.396232186367499</v>
      </c>
      <c r="D4" s="3" t="s">
        <v>6</v>
      </c>
      <c r="E4" s="2">
        <v>21.993291675146899</v>
      </c>
      <c r="F4" s="1">
        <v>-74.270978684097301</v>
      </c>
      <c r="G4" s="3" t="s">
        <v>6</v>
      </c>
      <c r="H4" s="2">
        <v>2.7990617124539301</v>
      </c>
      <c r="I4" s="1">
        <v>104.667210870465</v>
      </c>
      <c r="J4" s="3" t="s">
        <v>6</v>
      </c>
      <c r="K4" s="2">
        <v>21.972141337176101</v>
      </c>
      <c r="L4" s="1">
        <v>473.14446296979401</v>
      </c>
      <c r="M4" s="3" t="s">
        <v>6</v>
      </c>
      <c r="N4" s="2">
        <v>33.061388384627399</v>
      </c>
      <c r="O4" s="1">
        <v>390.36113137415998</v>
      </c>
      <c r="P4" s="3" t="s">
        <v>6</v>
      </c>
      <c r="Q4" s="2">
        <v>21.2518564405887</v>
      </c>
      <c r="R4" s="1">
        <v>82.783331595634294</v>
      </c>
      <c r="S4" s="3" t="s">
        <v>6</v>
      </c>
      <c r="T4" s="2">
        <v>22.9521029888461</v>
      </c>
      <c r="U4" s="1">
        <v>503.54069515616197</v>
      </c>
      <c r="V4" s="3" t="s">
        <v>6</v>
      </c>
      <c r="W4" s="2">
        <v>31.040378033042</v>
      </c>
      <c r="X4" s="1">
        <v>316.09015269006198</v>
      </c>
      <c r="Y4" s="3" t="s">
        <v>6</v>
      </c>
      <c r="Z4" s="2">
        <v>23.192005446449802</v>
      </c>
      <c r="AA4" s="1">
        <v>187.45054246609899</v>
      </c>
      <c r="AB4" s="3" t="s">
        <v>6</v>
      </c>
      <c r="AC4" s="2">
        <v>10.893819790175501</v>
      </c>
      <c r="AD4" s="1">
        <v>17.9514418280529</v>
      </c>
      <c r="AE4" s="3" t="s">
        <v>6</v>
      </c>
      <c r="AF4" s="2">
        <v>1.1915075904600501</v>
      </c>
      <c r="AG4" s="1">
        <v>15.896018854140101</v>
      </c>
      <c r="AH4" s="3" t="s">
        <v>6</v>
      </c>
      <c r="AI4" s="2">
        <v>0.93827064516805803</v>
      </c>
      <c r="AJ4" s="1">
        <v>2.0554229739127998</v>
      </c>
      <c r="AK4" s="3" t="s">
        <v>6</v>
      </c>
      <c r="AL4" s="2">
        <v>0.62728550218812995</v>
      </c>
    </row>
    <row r="5" spans="2:38" x14ac:dyDescent="0.3">
      <c r="B5">
        <v>2017</v>
      </c>
      <c r="C5" s="1">
        <v>-7.1647742822563201</v>
      </c>
      <c r="D5" s="3" t="s">
        <v>6</v>
      </c>
      <c r="E5" s="2">
        <v>7.6711900579941501</v>
      </c>
      <c r="F5" s="1">
        <v>-62.202431355344601</v>
      </c>
      <c r="G5" s="3" t="s">
        <v>6</v>
      </c>
      <c r="H5" s="2">
        <v>8.0367478938416905</v>
      </c>
      <c r="I5" s="1">
        <v>55.037657073088198</v>
      </c>
      <c r="J5" s="3" t="s">
        <v>6</v>
      </c>
      <c r="K5" s="2">
        <v>5.1530834255378704</v>
      </c>
      <c r="L5" s="1">
        <v>441.15189088593303</v>
      </c>
      <c r="M5" s="3" t="s">
        <v>6</v>
      </c>
      <c r="N5" s="2">
        <v>9.1870436228802692</v>
      </c>
      <c r="O5" s="1">
        <v>380.03363256538302</v>
      </c>
      <c r="P5" s="3" t="s">
        <v>6</v>
      </c>
      <c r="Q5" s="2">
        <v>7.6891776220240704</v>
      </c>
      <c r="R5" s="1">
        <v>61.118258320550297</v>
      </c>
      <c r="S5" s="3" t="s">
        <v>6</v>
      </c>
      <c r="T5" s="2">
        <v>5.6831734816920196</v>
      </c>
      <c r="U5" s="1">
        <v>433.98711660367701</v>
      </c>
      <c r="V5" s="3" t="s">
        <v>6</v>
      </c>
      <c r="W5" s="2">
        <v>5.7756373920360202</v>
      </c>
      <c r="X5" s="1">
        <v>317.83120121003799</v>
      </c>
      <c r="Y5" s="3" t="s">
        <v>6</v>
      </c>
      <c r="Z5" s="2">
        <v>4.5561486225744501</v>
      </c>
      <c r="AA5" s="1">
        <v>116.15591539363901</v>
      </c>
      <c r="AB5" s="3" t="s">
        <v>6</v>
      </c>
      <c r="AC5" s="2">
        <v>2.2216707742877002</v>
      </c>
      <c r="AD5" s="1">
        <v>13.4728022008326</v>
      </c>
      <c r="AE5" s="3" t="s">
        <v>6</v>
      </c>
      <c r="AF5" s="2">
        <v>0.578916971583882</v>
      </c>
      <c r="AG5" s="1">
        <v>11.204025517644499</v>
      </c>
      <c r="AH5" s="3" t="s">
        <v>6</v>
      </c>
      <c r="AI5" s="2">
        <v>0.43160817587535399</v>
      </c>
      <c r="AJ5" s="1">
        <v>2.2687766831880798</v>
      </c>
      <c r="AK5" s="3" t="s">
        <v>6</v>
      </c>
      <c r="AL5" s="2">
        <v>0.360755855959704</v>
      </c>
    </row>
    <row r="6" spans="2:38" x14ac:dyDescent="0.3">
      <c r="B6">
        <v>2018</v>
      </c>
      <c r="C6" s="1">
        <v>-34.875701522330402</v>
      </c>
      <c r="D6" s="3" t="s">
        <v>6</v>
      </c>
      <c r="E6" s="2">
        <v>24.9319333436286</v>
      </c>
      <c r="F6" s="1">
        <v>-57.612660716691799</v>
      </c>
      <c r="G6" s="3" t="s">
        <v>6</v>
      </c>
      <c r="H6" s="2">
        <v>6.7708649189270096</v>
      </c>
      <c r="I6" s="1">
        <v>22.7369591943614</v>
      </c>
      <c r="J6" s="3" t="s">
        <v>6</v>
      </c>
      <c r="K6" s="2">
        <v>20.266832254952298</v>
      </c>
      <c r="L6" s="1">
        <v>409.08055446497798</v>
      </c>
      <c r="M6" s="3" t="s">
        <v>6</v>
      </c>
      <c r="N6" s="2">
        <v>16.432660524454</v>
      </c>
      <c r="O6" s="1">
        <v>342.51305081163002</v>
      </c>
      <c r="P6" s="3" t="s">
        <v>6</v>
      </c>
      <c r="Q6" s="2">
        <v>4.7898916713215698</v>
      </c>
      <c r="R6" s="1">
        <v>66.567503653348197</v>
      </c>
      <c r="S6" s="3" t="s">
        <v>6</v>
      </c>
      <c r="T6" s="2">
        <v>18.081784122460299</v>
      </c>
      <c r="U6" s="1">
        <v>374.20485294264802</v>
      </c>
      <c r="V6" s="3" t="s">
        <v>6</v>
      </c>
      <c r="W6" s="2">
        <v>10.6139079100874</v>
      </c>
      <c r="X6" s="1">
        <v>284.90039009493802</v>
      </c>
      <c r="Y6" s="3" t="s">
        <v>6</v>
      </c>
      <c r="Z6" s="2">
        <v>8.0711468333816292</v>
      </c>
      <c r="AA6" s="1">
        <v>89.304462847709601</v>
      </c>
      <c r="AB6" s="3" t="s">
        <v>6</v>
      </c>
      <c r="AC6" s="2">
        <v>3.06679497149007</v>
      </c>
      <c r="AD6" s="1">
        <v>12.598889633872499</v>
      </c>
      <c r="AE6" s="3" t="s">
        <v>6</v>
      </c>
      <c r="AF6" s="2">
        <v>0.52919026241001199</v>
      </c>
      <c r="AG6" s="1">
        <v>10.9364259962723</v>
      </c>
      <c r="AH6" s="3" t="s">
        <v>6</v>
      </c>
      <c r="AI6" s="2">
        <v>0.29006389754964701</v>
      </c>
      <c r="AJ6" s="1">
        <v>1.66246363760019</v>
      </c>
      <c r="AK6" s="3" t="s">
        <v>6</v>
      </c>
      <c r="AL6" s="2">
        <v>0.40084132113100601</v>
      </c>
    </row>
    <row r="7" spans="2:38" x14ac:dyDescent="0.3">
      <c r="B7">
        <v>2019</v>
      </c>
      <c r="C7" s="1">
        <v>-9.8827392604211006</v>
      </c>
      <c r="D7" s="3" t="s">
        <v>6</v>
      </c>
      <c r="E7" s="2">
        <v>14.4476967457359</v>
      </c>
      <c r="F7" s="1">
        <v>-73.905929381707395</v>
      </c>
      <c r="G7" s="3" t="s">
        <v>6</v>
      </c>
      <c r="H7" s="2">
        <v>3.15278313624483</v>
      </c>
      <c r="I7" s="1">
        <v>64.023190121286305</v>
      </c>
      <c r="J7" s="3" t="s">
        <v>6</v>
      </c>
      <c r="K7" s="2">
        <v>13.503829964709499</v>
      </c>
      <c r="L7" s="1">
        <v>381.79957973361201</v>
      </c>
      <c r="M7" s="3" t="s">
        <v>6</v>
      </c>
      <c r="N7" s="2">
        <v>6.5940457775897796</v>
      </c>
      <c r="O7" s="1">
        <v>329.61729685216</v>
      </c>
      <c r="P7" s="3" t="s">
        <v>6</v>
      </c>
      <c r="Q7" s="2">
        <v>15.393081367355901</v>
      </c>
      <c r="R7" s="1">
        <v>52.182282881451897</v>
      </c>
      <c r="S7" s="3" t="s">
        <v>6</v>
      </c>
      <c r="T7" s="2">
        <v>12.5830953686794</v>
      </c>
      <c r="U7" s="1">
        <v>371.91684047319097</v>
      </c>
      <c r="V7" s="3" t="s">
        <v>6</v>
      </c>
      <c r="W7" s="2">
        <v>16.482935988344199</v>
      </c>
      <c r="X7" s="1">
        <v>255.71136747045301</v>
      </c>
      <c r="Y7" s="3" t="s">
        <v>6</v>
      </c>
      <c r="Z7" s="2">
        <v>15.9228019629497</v>
      </c>
      <c r="AA7" s="1">
        <v>116.205473002738</v>
      </c>
      <c r="AB7" s="3" t="s">
        <v>6</v>
      </c>
      <c r="AC7" s="2">
        <v>3.6777098356609299</v>
      </c>
      <c r="AD7" s="1">
        <v>11.7362407390057</v>
      </c>
      <c r="AE7" s="3" t="s">
        <v>6</v>
      </c>
      <c r="AF7" s="2">
        <v>0.57835473311335495</v>
      </c>
      <c r="AG7" s="1">
        <v>9.9618195486234296</v>
      </c>
      <c r="AH7" s="3" t="s">
        <v>6</v>
      </c>
      <c r="AI7" s="2">
        <v>0.38628274273047197</v>
      </c>
      <c r="AJ7" s="1">
        <v>1.77442119038229</v>
      </c>
      <c r="AK7" s="3" t="s">
        <v>6</v>
      </c>
      <c r="AL7" s="2">
        <v>0.43331816344270702</v>
      </c>
    </row>
    <row r="8" spans="2:38" x14ac:dyDescent="0.3">
      <c r="B8">
        <v>2020</v>
      </c>
      <c r="C8" s="1">
        <v>12.1085824313722</v>
      </c>
      <c r="D8" s="3" t="s">
        <v>6</v>
      </c>
      <c r="E8" s="2">
        <v>12.392017704092501</v>
      </c>
      <c r="F8" s="1">
        <v>-35.165463990914603</v>
      </c>
      <c r="G8" s="3" t="s">
        <v>6</v>
      </c>
      <c r="H8" s="2">
        <v>4.4894587934239896</v>
      </c>
      <c r="I8" s="1">
        <v>47.274046422286801</v>
      </c>
      <c r="J8" s="3" t="s">
        <v>6</v>
      </c>
      <c r="K8" s="2">
        <v>10.755314913566201</v>
      </c>
      <c r="L8" s="1">
        <v>371.86361791434598</v>
      </c>
      <c r="M8" s="3" t="s">
        <v>6</v>
      </c>
      <c r="N8" s="2">
        <v>21.305110868836699</v>
      </c>
      <c r="O8" s="1">
        <v>321.46495705476099</v>
      </c>
      <c r="P8" s="3" t="s">
        <v>6</v>
      </c>
      <c r="Q8" s="2">
        <v>15.975545400481501</v>
      </c>
      <c r="R8" s="1">
        <v>50.398660859585</v>
      </c>
      <c r="S8" s="3" t="s">
        <v>6</v>
      </c>
      <c r="T8" s="2">
        <v>11.5590498060385</v>
      </c>
      <c r="U8" s="1">
        <v>383.97220034571899</v>
      </c>
      <c r="V8" s="3" t="s">
        <v>6</v>
      </c>
      <c r="W8" s="2">
        <v>24.420532811305101</v>
      </c>
      <c r="X8" s="1">
        <v>286.29949306384702</v>
      </c>
      <c r="Y8" s="3" t="s">
        <v>6</v>
      </c>
      <c r="Z8" s="2">
        <v>18.970822035155301</v>
      </c>
      <c r="AA8" s="1">
        <v>97.672707281871794</v>
      </c>
      <c r="AB8" s="3" t="s">
        <v>6</v>
      </c>
      <c r="AC8" s="2">
        <v>8.0217202029290195</v>
      </c>
      <c r="AD8" s="1">
        <v>13.257718906022101</v>
      </c>
      <c r="AE8" s="3" t="s">
        <v>6</v>
      </c>
      <c r="AF8" s="2">
        <v>0.64324292898240398</v>
      </c>
      <c r="AG8" s="1">
        <v>11.040070944556801</v>
      </c>
      <c r="AH8" s="3" t="s">
        <v>6</v>
      </c>
      <c r="AI8" s="2">
        <v>0.44396456899731401</v>
      </c>
      <c r="AJ8" s="1">
        <v>2.21764796146531</v>
      </c>
      <c r="AK8" s="3" t="s">
        <v>6</v>
      </c>
      <c r="AL8" s="2">
        <v>0.38492516646017799</v>
      </c>
    </row>
  </sheetData>
  <mergeCells count="17">
    <mergeCell ref="AD1:AL1"/>
    <mergeCell ref="AD2:AF2"/>
    <mergeCell ref="AG2:AI2"/>
    <mergeCell ref="AJ2:AL2"/>
    <mergeCell ref="B1:B2"/>
    <mergeCell ref="U1:AC1"/>
    <mergeCell ref="U2:W2"/>
    <mergeCell ref="X2:Z2"/>
    <mergeCell ref="AA2:AC2"/>
    <mergeCell ref="L1:T1"/>
    <mergeCell ref="L2:N2"/>
    <mergeCell ref="O2:Q2"/>
    <mergeCell ref="R2:T2"/>
    <mergeCell ref="C1:K1"/>
    <mergeCell ref="C2:E2"/>
    <mergeCell ref="F2:H2"/>
    <mergeCell ref="I2:K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0859-CA2D-4586-A464-95CF3A890159}">
  <dimension ref="A1:L22"/>
  <sheetViews>
    <sheetView workbookViewId="0">
      <selection activeCell="J21" sqref="J21"/>
    </sheetView>
  </sheetViews>
  <sheetFormatPr defaultRowHeight="14.4" x14ac:dyDescent="0.3"/>
  <sheetData>
    <row r="1" spans="1:12" x14ac:dyDescent="0.3">
      <c r="A1" t="s">
        <v>44</v>
      </c>
      <c r="C1" t="s">
        <v>41</v>
      </c>
      <c r="D1" t="s">
        <v>42</v>
      </c>
      <c r="E1" t="s">
        <v>43</v>
      </c>
      <c r="H1" t="s">
        <v>7</v>
      </c>
      <c r="I1" t="s">
        <v>45</v>
      </c>
      <c r="J1" t="s">
        <v>17</v>
      </c>
      <c r="K1" t="s">
        <v>18</v>
      </c>
      <c r="L1" t="s">
        <v>19</v>
      </c>
    </row>
    <row r="2" spans="1:12" x14ac:dyDescent="0.3">
      <c r="A2" s="9" t="s">
        <v>35</v>
      </c>
      <c r="B2" s="9" t="s">
        <v>5</v>
      </c>
      <c r="C2" s="10">
        <v>1102.9000000000001</v>
      </c>
      <c r="D2" s="10">
        <v>341.43520557110003</v>
      </c>
      <c r="E2" s="10">
        <v>-0.14932656455403198</v>
      </c>
      <c r="G2" s="22" t="s">
        <v>35</v>
      </c>
      <c r="H2" s="9" t="s">
        <v>5</v>
      </c>
      <c r="I2" s="10">
        <v>12.486400019671301</v>
      </c>
      <c r="J2" s="10">
        <v>10241.0212565893</v>
      </c>
      <c r="K2" s="10">
        <v>101.549631656203</v>
      </c>
      <c r="L2" s="10">
        <v>11.198301100461901</v>
      </c>
    </row>
    <row r="3" spans="1:12" x14ac:dyDescent="0.3">
      <c r="A3" s="4">
        <v>2015</v>
      </c>
      <c r="B3" s="4" t="s">
        <v>2</v>
      </c>
      <c r="C3" s="1">
        <v>901.6</v>
      </c>
      <c r="D3" s="1">
        <v>4.0609763710999998</v>
      </c>
      <c r="E3" s="1">
        <v>5.3765925631721396</v>
      </c>
      <c r="G3" s="22"/>
      <c r="H3" s="4" t="s">
        <v>2</v>
      </c>
      <c r="I3" s="1">
        <v>7.8894485672341901</v>
      </c>
      <c r="J3" s="1">
        <v>2101.87290817349</v>
      </c>
      <c r="K3" s="1">
        <v>101.42114115848899</v>
      </c>
      <c r="L3" s="1">
        <v>6.8555318496032402</v>
      </c>
    </row>
    <row r="4" spans="1:12" x14ac:dyDescent="0.3">
      <c r="A4" s="15">
        <v>2016</v>
      </c>
      <c r="B4" s="15" t="s">
        <v>1</v>
      </c>
      <c r="C4" s="16">
        <v>201.3</v>
      </c>
      <c r="D4" s="16">
        <v>337.3742292</v>
      </c>
      <c r="E4" s="16">
        <v>-5.6752456922801997</v>
      </c>
      <c r="G4" s="22"/>
      <c r="H4" s="15" t="s">
        <v>1</v>
      </c>
      <c r="I4" s="16">
        <v>17.083351472108401</v>
      </c>
      <c r="J4" s="16">
        <v>8139.1483484158498</v>
      </c>
      <c r="K4" s="16">
        <v>101.67812215391599</v>
      </c>
      <c r="L4" s="16">
        <v>15.541070351320601</v>
      </c>
    </row>
    <row r="5" spans="1:12" x14ac:dyDescent="0.3">
      <c r="A5" s="9" t="s">
        <v>36</v>
      </c>
      <c r="B5" s="9" t="s">
        <v>5</v>
      </c>
      <c r="C5" s="10">
        <v>1296.5999999999999</v>
      </c>
      <c r="D5" s="10">
        <v>551.0540896</v>
      </c>
      <c r="E5" s="10">
        <v>4.7750281212820802</v>
      </c>
      <c r="G5" s="22" t="s">
        <v>36</v>
      </c>
      <c r="H5" s="9" t="s">
        <v>5</v>
      </c>
      <c r="I5" s="10">
        <v>11.4196293576484</v>
      </c>
      <c r="J5" s="10">
        <v>9776.1281948114993</v>
      </c>
      <c r="K5" s="10">
        <v>101.46306221461199</v>
      </c>
      <c r="L5" s="10">
        <v>10.3025411453196</v>
      </c>
    </row>
    <row r="6" spans="1:12" x14ac:dyDescent="0.3">
      <c r="A6" s="4">
        <v>2016</v>
      </c>
      <c r="B6" s="4" t="s">
        <v>2</v>
      </c>
      <c r="C6" s="1">
        <v>981</v>
      </c>
      <c r="D6" s="1">
        <v>38.923829599999998</v>
      </c>
      <c r="E6" s="1">
        <v>7.314223693341571</v>
      </c>
      <c r="G6" s="22"/>
      <c r="H6" s="4" t="s">
        <v>2</v>
      </c>
      <c r="I6" s="1">
        <v>6.4610417859432197</v>
      </c>
      <c r="J6" s="1">
        <v>1796.9639046785001</v>
      </c>
      <c r="K6" s="1">
        <v>101.359436240842</v>
      </c>
      <c r="L6" s="1">
        <v>5.3403054103708802</v>
      </c>
    </row>
    <row r="7" spans="1:12" x14ac:dyDescent="0.3">
      <c r="A7" s="15">
        <v>2017</v>
      </c>
      <c r="B7" s="15" t="s">
        <v>1</v>
      </c>
      <c r="C7" s="16">
        <v>315.60000000000002</v>
      </c>
      <c r="D7" s="16">
        <v>512.13026000000002</v>
      </c>
      <c r="E7" s="16">
        <v>2.2497079348622497</v>
      </c>
      <c r="G7" s="22"/>
      <c r="H7" s="15" t="s">
        <v>1</v>
      </c>
      <c r="I7" s="16">
        <v>16.3511208224044</v>
      </c>
      <c r="J7" s="16">
        <v>7979.1642901329997</v>
      </c>
      <c r="K7" s="16">
        <v>101.56612192623</v>
      </c>
      <c r="L7" s="16">
        <v>15.237660838000901</v>
      </c>
    </row>
    <row r="8" spans="1:12" x14ac:dyDescent="0.3">
      <c r="A8" s="9" t="s">
        <v>37</v>
      </c>
      <c r="B8" s="9" t="s">
        <v>5</v>
      </c>
      <c r="C8" s="10">
        <v>1198.9000000000001</v>
      </c>
      <c r="D8" s="10">
        <v>710.23105810000004</v>
      </c>
      <c r="E8" s="10">
        <v>0.60927637192001705</v>
      </c>
      <c r="G8" s="22" t="s">
        <v>37</v>
      </c>
      <c r="H8" s="9" t="s">
        <v>5</v>
      </c>
      <c r="I8" s="10">
        <v>11.368240207363</v>
      </c>
      <c r="J8" s="10">
        <v>9820.6547107237093</v>
      </c>
      <c r="K8" s="10">
        <v>101.747663861872</v>
      </c>
      <c r="L8" s="10">
        <v>10.489246578510301</v>
      </c>
    </row>
    <row r="9" spans="1:12" x14ac:dyDescent="0.3">
      <c r="A9" s="4">
        <v>2017</v>
      </c>
      <c r="B9" s="4" t="s">
        <v>2</v>
      </c>
      <c r="C9" s="1">
        <v>909.6</v>
      </c>
      <c r="D9" s="1">
        <v>66.303655399999997</v>
      </c>
      <c r="E9" s="1">
        <v>6.0313105094816502</v>
      </c>
      <c r="G9" s="22"/>
      <c r="H9" s="4" t="s">
        <v>2</v>
      </c>
      <c r="I9" s="1">
        <v>6.9084672939560399</v>
      </c>
      <c r="J9" s="1">
        <v>2041.4441733347801</v>
      </c>
      <c r="K9" s="1">
        <v>101.784905643315</v>
      </c>
      <c r="L9" s="1">
        <v>5.62427684323489</v>
      </c>
    </row>
    <row r="10" spans="1:12" x14ac:dyDescent="0.3">
      <c r="A10" s="15">
        <v>2018</v>
      </c>
      <c r="B10" s="15" t="s">
        <v>1</v>
      </c>
      <c r="C10" s="16">
        <v>289.3</v>
      </c>
      <c r="D10" s="16">
        <v>643.92740270000002</v>
      </c>
      <c r="E10" s="16">
        <v>-4.7831291637970201</v>
      </c>
      <c r="G10" s="22"/>
      <c r="H10" s="15" t="s">
        <v>1</v>
      </c>
      <c r="I10" s="16">
        <v>15.803642776980899</v>
      </c>
      <c r="J10" s="16">
        <v>7779.2105373889299</v>
      </c>
      <c r="K10" s="16">
        <v>101.71062558743201</v>
      </c>
      <c r="L10" s="16">
        <v>15.3276317797131</v>
      </c>
    </row>
    <row r="11" spans="1:12" x14ac:dyDescent="0.3">
      <c r="A11" s="9" t="s">
        <v>38</v>
      </c>
      <c r="B11" s="9" t="s">
        <v>5</v>
      </c>
      <c r="C11" s="10">
        <v>1060.8</v>
      </c>
      <c r="D11" s="10">
        <v>541.46698570000001</v>
      </c>
      <c r="E11" s="10">
        <v>-5.9561408572551398E-2</v>
      </c>
      <c r="G11" s="22" t="s">
        <v>38</v>
      </c>
      <c r="H11" s="9" t="s">
        <v>5</v>
      </c>
      <c r="I11" s="10">
        <v>11.3636866888128</v>
      </c>
      <c r="J11" s="10">
        <v>11296.581517750499</v>
      </c>
      <c r="K11" s="10">
        <v>101.685346200913</v>
      </c>
      <c r="L11" s="10">
        <v>10.439128590411</v>
      </c>
    </row>
    <row r="12" spans="1:12" x14ac:dyDescent="0.3">
      <c r="A12" s="4">
        <v>2018</v>
      </c>
      <c r="B12" s="4" t="s">
        <v>2</v>
      </c>
      <c r="C12" s="1">
        <v>710.2</v>
      </c>
      <c r="D12" s="1">
        <v>72.547469199999995</v>
      </c>
      <c r="E12" s="1">
        <v>4.3540267387614495</v>
      </c>
      <c r="G12" s="22"/>
      <c r="H12" s="4" t="s">
        <v>2</v>
      </c>
      <c r="I12" s="1">
        <v>6.8651399917582401</v>
      </c>
      <c r="J12" s="1">
        <v>2532.1436994175401</v>
      </c>
      <c r="K12" s="1">
        <v>101.739937305403</v>
      </c>
      <c r="L12" s="1">
        <v>5.50952000423535</v>
      </c>
    </row>
    <row r="13" spans="1:12" x14ac:dyDescent="0.3">
      <c r="A13" s="15">
        <v>2019</v>
      </c>
      <c r="B13" s="15" t="s">
        <v>1</v>
      </c>
      <c r="C13" s="16">
        <v>350.6</v>
      </c>
      <c r="D13" s="16">
        <v>468.91951649999999</v>
      </c>
      <c r="E13" s="16">
        <v>-4.4490315878883298</v>
      </c>
      <c r="G13" s="22"/>
      <c r="H13" s="15" t="s">
        <v>1</v>
      </c>
      <c r="I13" s="16">
        <v>15.8376511634791</v>
      </c>
      <c r="J13" s="16">
        <v>8764.4378183329409</v>
      </c>
      <c r="K13" s="16">
        <v>101.63105340847</v>
      </c>
      <c r="L13" s="16">
        <v>15.3417994247495</v>
      </c>
    </row>
    <row r="14" spans="1:12" x14ac:dyDescent="0.3">
      <c r="A14" s="9" t="s">
        <v>39</v>
      </c>
      <c r="B14" s="9" t="s">
        <v>5</v>
      </c>
      <c r="C14" s="10">
        <v>1168.9000000000001</v>
      </c>
      <c r="D14" s="10">
        <v>521.70974727149996</v>
      </c>
      <c r="E14" s="10">
        <v>2.2910562322611598</v>
      </c>
      <c r="G14" s="22" t="s">
        <v>39</v>
      </c>
      <c r="H14" s="9" t="s">
        <v>5</v>
      </c>
      <c r="I14" s="10">
        <v>11.3389290636384</v>
      </c>
      <c r="J14" s="10">
        <v>10754.2155844191</v>
      </c>
      <c r="K14" s="10">
        <v>101.769232385018</v>
      </c>
      <c r="L14" s="10">
        <v>10.3299685131204</v>
      </c>
    </row>
    <row r="15" spans="1:12" x14ac:dyDescent="0.3">
      <c r="A15" s="4">
        <v>2019</v>
      </c>
      <c r="B15" s="4" t="s">
        <v>2</v>
      </c>
      <c r="C15" s="1">
        <v>857.5</v>
      </c>
      <c r="D15" s="1">
        <v>76.372900171500007</v>
      </c>
      <c r="E15" s="1">
        <v>6.1047376409619796</v>
      </c>
      <c r="G15" s="22"/>
      <c r="H15" s="4" t="s">
        <v>2</v>
      </c>
      <c r="I15" s="1">
        <v>6.9452176203324196</v>
      </c>
      <c r="J15" s="1">
        <v>2312.01321250916</v>
      </c>
      <c r="K15" s="1">
        <v>101.815786265938</v>
      </c>
      <c r="L15" s="1">
        <v>5.6036543962317804</v>
      </c>
    </row>
    <row r="16" spans="1:12" x14ac:dyDescent="0.3">
      <c r="A16" s="15">
        <v>2020</v>
      </c>
      <c r="B16" s="15" t="s">
        <v>1</v>
      </c>
      <c r="C16" s="16">
        <v>311.39999999999998</v>
      </c>
      <c r="D16" s="16">
        <v>445.3368471</v>
      </c>
      <c r="E16" s="16">
        <v>-1.5226251764396599</v>
      </c>
      <c r="G16" s="22"/>
      <c r="H16" s="15" t="s">
        <v>1</v>
      </c>
      <c r="I16" s="16">
        <v>15.732640506944399</v>
      </c>
      <c r="J16" s="16">
        <v>8442.2023719099107</v>
      </c>
      <c r="K16" s="16">
        <v>101.722678504098</v>
      </c>
      <c r="L16" s="16">
        <v>15.0562826300091</v>
      </c>
    </row>
    <row r="17" spans="1:12" x14ac:dyDescent="0.3">
      <c r="A17" s="9" t="s">
        <v>40</v>
      </c>
      <c r="B17" s="9" t="s">
        <v>5</v>
      </c>
      <c r="C17" s="10">
        <v>1113</v>
      </c>
      <c r="D17" s="10">
        <v>642.01389174819997</v>
      </c>
      <c r="E17" s="10">
        <v>-0.11200961899095899</v>
      </c>
      <c r="G17" s="22" t="s">
        <v>40</v>
      </c>
      <c r="H17" s="9" t="s">
        <v>5</v>
      </c>
      <c r="I17" s="10">
        <v>11.4129945124429</v>
      </c>
      <c r="J17" s="10">
        <v>10361.4971536046</v>
      </c>
      <c r="K17" s="10">
        <v>101.775270153539</v>
      </c>
      <c r="L17" s="10">
        <v>10.8486388130137</v>
      </c>
    </row>
    <row r="18" spans="1:12" x14ac:dyDescent="0.3">
      <c r="A18" s="4">
        <v>2020</v>
      </c>
      <c r="B18" s="4" t="s">
        <v>2</v>
      </c>
      <c r="C18" s="1">
        <v>841.7</v>
      </c>
      <c r="D18" s="1">
        <v>86.470658200000003</v>
      </c>
      <c r="E18" s="1">
        <v>7.3563762006962001</v>
      </c>
      <c r="G18" s="22"/>
      <c r="H18" s="4" t="s">
        <v>2</v>
      </c>
      <c r="I18" s="1">
        <v>7.3715225455586104</v>
      </c>
      <c r="J18" s="1">
        <v>1954.0663242446999</v>
      </c>
      <c r="K18" s="1">
        <v>101.809326045101</v>
      </c>
      <c r="L18" s="1">
        <v>6.2260339975961498</v>
      </c>
    </row>
    <row r="19" spans="1:12" x14ac:dyDescent="0.3">
      <c r="A19" s="15">
        <v>2021</v>
      </c>
      <c r="B19" s="15" t="s">
        <v>1</v>
      </c>
      <c r="C19" s="16">
        <v>271.3</v>
      </c>
      <c r="D19" s="16">
        <v>555.54323354819996</v>
      </c>
      <c r="E19" s="16">
        <v>-7.5395845872044207</v>
      </c>
      <c r="G19" s="22"/>
      <c r="H19" s="15" t="s">
        <v>1</v>
      </c>
      <c r="I19" s="16">
        <v>15.4323819330601</v>
      </c>
      <c r="J19" s="16">
        <v>8407.4308293599406</v>
      </c>
      <c r="K19" s="16">
        <v>101.741400359745</v>
      </c>
      <c r="L19" s="16">
        <v>15.445983492827899</v>
      </c>
    </row>
    <row r="20" spans="1:12" x14ac:dyDescent="0.3">
      <c r="G20" s="22" t="s">
        <v>21</v>
      </c>
      <c r="H20" s="9" t="s">
        <v>5</v>
      </c>
      <c r="I20" s="10">
        <v>11.564979974929466</v>
      </c>
      <c r="J20" s="10">
        <v>10375.016402983118</v>
      </c>
      <c r="K20" s="10">
        <v>101.66503441202617</v>
      </c>
      <c r="L20" s="10">
        <v>10.601304123472817</v>
      </c>
    </row>
    <row r="21" spans="1:12" x14ac:dyDescent="0.3">
      <c r="G21" s="22"/>
      <c r="H21" s="4" t="s">
        <v>2</v>
      </c>
      <c r="I21" s="1">
        <v>7.0734729674637871</v>
      </c>
      <c r="J21" s="1">
        <v>2123.0840370596948</v>
      </c>
      <c r="K21" s="1">
        <v>101.65508877651467</v>
      </c>
      <c r="L21" s="1">
        <v>5.8598870835453809</v>
      </c>
    </row>
    <row r="22" spans="1:12" x14ac:dyDescent="0.3">
      <c r="G22" s="22"/>
      <c r="H22" s="15" t="s">
        <v>1</v>
      </c>
      <c r="I22" s="16">
        <v>16.040131445829552</v>
      </c>
      <c r="J22" s="16">
        <v>8251.9323659234287</v>
      </c>
      <c r="K22" s="16">
        <v>101.67500032331516</v>
      </c>
      <c r="L22" s="16">
        <v>15.325071419436851</v>
      </c>
    </row>
  </sheetData>
  <mergeCells count="7">
    <mergeCell ref="G20:G22"/>
    <mergeCell ref="G2:G4"/>
    <mergeCell ref="G5:G7"/>
    <mergeCell ref="G8:G10"/>
    <mergeCell ref="G11:G13"/>
    <mergeCell ref="G14:G16"/>
    <mergeCell ref="G17:G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3753-5B89-4DE5-B2E8-F6C154AD4B22}">
  <dimension ref="A1:Q7"/>
  <sheetViews>
    <sheetView workbookViewId="0">
      <selection activeCell="C7" sqref="C7"/>
    </sheetView>
  </sheetViews>
  <sheetFormatPr defaultRowHeight="14.4" x14ac:dyDescent="0.3"/>
  <sheetData>
    <row r="1" spans="1:17" x14ac:dyDescent="0.3">
      <c r="C1" t="s">
        <v>0</v>
      </c>
      <c r="F1" t="s">
        <v>3</v>
      </c>
      <c r="I1" t="s">
        <v>48</v>
      </c>
      <c r="L1" t="s">
        <v>49</v>
      </c>
      <c r="O1" t="s">
        <v>50</v>
      </c>
    </row>
    <row r="2" spans="1:17" x14ac:dyDescent="0.3">
      <c r="A2" s="9" t="s">
        <v>36</v>
      </c>
      <c r="B2" s="4" t="s">
        <v>5</v>
      </c>
      <c r="C2" s="1">
        <v>11.4887152257379</v>
      </c>
      <c r="D2" s="3" t="s">
        <v>6</v>
      </c>
      <c r="E2" s="2">
        <v>16.095764926476601</v>
      </c>
      <c r="F2" s="1">
        <v>458.65576070392302</v>
      </c>
      <c r="G2" s="3" t="s">
        <v>6</v>
      </c>
      <c r="H2" s="2">
        <v>30.817377471158999</v>
      </c>
      <c r="I2" s="1">
        <v>470.14447592966098</v>
      </c>
      <c r="J2" s="3" t="s">
        <v>6</v>
      </c>
      <c r="K2" s="2">
        <v>38.629156877504499</v>
      </c>
      <c r="L2" s="1">
        <v>18.0481042491007</v>
      </c>
      <c r="M2" s="3" t="s">
        <v>6</v>
      </c>
      <c r="N2" s="2">
        <v>1.5693990086609799</v>
      </c>
      <c r="O2" s="1">
        <v>29.536819474838602</v>
      </c>
      <c r="P2" s="3" t="s">
        <v>6</v>
      </c>
      <c r="Q2" s="2">
        <v>16.17209515853714</v>
      </c>
    </row>
    <row r="3" spans="1:17" x14ac:dyDescent="0.3">
      <c r="A3" s="9" t="s">
        <v>37</v>
      </c>
      <c r="B3" s="4" t="s">
        <v>5</v>
      </c>
      <c r="C3" s="1">
        <v>-25.9827125365588</v>
      </c>
      <c r="D3" s="3" t="s">
        <v>6</v>
      </c>
      <c r="E3" s="2">
        <v>5.4644921408573399</v>
      </c>
      <c r="F3" s="1">
        <v>454.63420162837002</v>
      </c>
      <c r="G3" s="3" t="s">
        <v>6</v>
      </c>
      <c r="H3" s="2">
        <v>7.74683885977307</v>
      </c>
      <c r="I3" s="1">
        <v>428.65148909181198</v>
      </c>
      <c r="J3" s="3" t="s">
        <v>6</v>
      </c>
      <c r="K3" s="2">
        <v>7.0907141325731597</v>
      </c>
      <c r="L3" s="1">
        <v>13.2198561421168</v>
      </c>
      <c r="M3" s="3" t="s">
        <v>6</v>
      </c>
      <c r="N3" s="2">
        <v>0.992855065835623</v>
      </c>
      <c r="O3" s="1">
        <v>-12.762856394442</v>
      </c>
      <c r="P3" s="3" t="s">
        <v>6</v>
      </c>
      <c r="Q3" s="2">
        <v>5.5539567462528092</v>
      </c>
    </row>
    <row r="4" spans="1:17" x14ac:dyDescent="0.3">
      <c r="A4" s="9" t="s">
        <v>38</v>
      </c>
      <c r="B4" s="4" t="s">
        <v>5</v>
      </c>
      <c r="C4" s="1">
        <v>-32.606353062077901</v>
      </c>
      <c r="D4" s="3" t="s">
        <v>6</v>
      </c>
      <c r="E4" s="2">
        <v>21.480287812572598</v>
      </c>
      <c r="F4" s="1">
        <v>409.00497707217198</v>
      </c>
      <c r="G4" s="3" t="s">
        <v>6</v>
      </c>
      <c r="H4" s="2">
        <v>15.510831066212599</v>
      </c>
      <c r="I4" s="1">
        <v>376.39862401009401</v>
      </c>
      <c r="J4" s="3" t="s">
        <v>6</v>
      </c>
      <c r="K4" s="2">
        <v>9.6284220388832207</v>
      </c>
      <c r="L4" s="1">
        <v>12.196056004713601</v>
      </c>
      <c r="M4" s="3" t="s">
        <v>6</v>
      </c>
      <c r="N4" s="2">
        <v>0.62850937576951904</v>
      </c>
      <c r="O4" s="1">
        <v>-20.4102970573643</v>
      </c>
      <c r="P4" s="3" t="s">
        <v>6</v>
      </c>
      <c r="Q4" s="2">
        <v>21.489480881268051</v>
      </c>
    </row>
    <row r="5" spans="1:17" x14ac:dyDescent="0.3">
      <c r="A5" s="9" t="s">
        <v>39</v>
      </c>
      <c r="B5" s="4" t="s">
        <v>5</v>
      </c>
      <c r="C5" s="1">
        <v>-26.377651914277902</v>
      </c>
      <c r="D5" s="3" t="s">
        <v>6</v>
      </c>
      <c r="E5" s="2">
        <v>9.9242416501554107</v>
      </c>
      <c r="F5" s="1">
        <v>383.34590372656498</v>
      </c>
      <c r="G5" s="3" t="s">
        <v>6</v>
      </c>
      <c r="H5" s="2">
        <v>5.7340433799201502</v>
      </c>
      <c r="I5" s="1">
        <v>356.96825181228797</v>
      </c>
      <c r="J5" s="3" t="s">
        <v>6</v>
      </c>
      <c r="K5" s="2">
        <v>12.674450971830201</v>
      </c>
      <c r="L5" s="1">
        <v>11.649581035226699</v>
      </c>
      <c r="M5" s="3" t="s">
        <v>6</v>
      </c>
      <c r="N5" s="2">
        <v>0.71651237419764302</v>
      </c>
      <c r="O5" s="1">
        <v>-14.728070879051202</v>
      </c>
      <c r="P5" s="3" t="s">
        <v>6</v>
      </c>
      <c r="Q5" s="2">
        <v>9.9500734827968849</v>
      </c>
    </row>
    <row r="6" spans="1:17" x14ac:dyDescent="0.3">
      <c r="A6" s="9" t="s">
        <v>40</v>
      </c>
      <c r="B6" s="4" t="s">
        <v>5</v>
      </c>
      <c r="C6" s="1">
        <v>11.9058852844644</v>
      </c>
      <c r="D6" s="3" t="s">
        <v>6</v>
      </c>
      <c r="E6" s="2">
        <v>15.137005178361701</v>
      </c>
      <c r="F6" s="1">
        <v>378.73334548868002</v>
      </c>
      <c r="G6" s="3" t="s">
        <v>6</v>
      </c>
      <c r="H6" s="2">
        <v>16.6518753876299</v>
      </c>
      <c r="I6" s="1">
        <v>390.63923077314399</v>
      </c>
      <c r="J6" s="3" t="s">
        <v>6</v>
      </c>
      <c r="K6" s="2">
        <v>25.202437101773199</v>
      </c>
      <c r="L6" s="1">
        <v>13.194234631932501</v>
      </c>
      <c r="M6" s="3" t="s">
        <v>6</v>
      </c>
      <c r="N6" s="2">
        <v>0.76640293275869598</v>
      </c>
      <c r="O6" s="1">
        <v>25.100119916396899</v>
      </c>
      <c r="P6" s="3" t="s">
        <v>6</v>
      </c>
      <c r="Q6" s="2">
        <v>15.156394664467209</v>
      </c>
    </row>
    <row r="7" spans="1:17" x14ac:dyDescent="0.3">
      <c r="B7" s="4" t="s">
        <v>47</v>
      </c>
      <c r="C7" s="1">
        <f>AVERAGE(C2:C6)</f>
        <v>-12.314423400542461</v>
      </c>
      <c r="D7" s="1"/>
      <c r="E7" s="1"/>
      <c r="F7" s="1">
        <f t="shared" ref="F7:O7" si="0">AVERAGE(F2:F6)</f>
        <v>416.87483772394199</v>
      </c>
      <c r="G7" s="1"/>
      <c r="H7" s="1"/>
      <c r="I7" s="1">
        <f t="shared" si="0"/>
        <v>404.56041432339975</v>
      </c>
      <c r="J7" s="1"/>
      <c r="K7" s="1"/>
      <c r="L7" s="1">
        <f t="shared" si="0"/>
        <v>13.661566412618061</v>
      </c>
      <c r="M7" s="1"/>
      <c r="N7" s="1"/>
      <c r="O7" s="1">
        <f t="shared" si="0"/>
        <v>1.3471430120755996</v>
      </c>
      <c r="P7" s="1"/>
      <c r="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C_budget</vt:lpstr>
      <vt:lpstr>Flux_monthly</vt:lpstr>
      <vt:lpstr>GHG budget</vt:lpstr>
      <vt:lpstr>Met_annual</vt:lpstr>
      <vt:lpstr>Met_monthly</vt:lpstr>
      <vt:lpstr>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WS</dc:creator>
  <cp:lastModifiedBy>tinsa</cp:lastModifiedBy>
  <dcterms:created xsi:type="dcterms:W3CDTF">2022-02-18T18:42:39Z</dcterms:created>
  <dcterms:modified xsi:type="dcterms:W3CDTF">2022-04-26T05:15:13Z</dcterms:modified>
</cp:coreProperties>
</file>